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orcinekm.DKARVINA\Desktop\2022\VÝZVY\022025 šatna\zaslané doklady\"/>
    </mc:Choice>
  </mc:AlternateContent>
  <xr:revisionPtr revIDLastSave="0" documentId="8_{6DED1A1E-0D64-48DF-98F5-C47BE6ADF4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 rozpočtu" sheetId="1" r:id="rId1"/>
    <sheet name="VORN" sheetId="2" state="hidden" r:id="rId2"/>
    <sheet name="Rozpočet - objekty" sheetId="3" r:id="rId3"/>
    <sheet name="Rozpočet - podskupiny" sheetId="4" r:id="rId4"/>
    <sheet name="Stavební rozpočet" sheetId="5" r:id="rId5"/>
  </sheets>
  <definedNames>
    <definedName name="vorn_sum">VORN!$I$36</definedName>
  </definedNames>
  <calcPr calcId="181029"/>
</workbook>
</file>

<file path=xl/calcChain.xml><?xml version="1.0" encoding="utf-8"?>
<calcChain xmlns="http://schemas.openxmlformats.org/spreadsheetml/2006/main">
  <c r="BJ593" i="5" l="1"/>
  <c r="BF593" i="5"/>
  <c r="BD593" i="5"/>
  <c r="AP593" i="5"/>
  <c r="AX593" i="5" s="1"/>
  <c r="AO593" i="5"/>
  <c r="BH593" i="5" s="1"/>
  <c r="AB593" i="5" s="1"/>
  <c r="AL593" i="5"/>
  <c r="AJ593" i="5"/>
  <c r="AH593" i="5"/>
  <c r="AG593" i="5"/>
  <c r="AF593" i="5"/>
  <c r="AE593" i="5"/>
  <c r="AD593" i="5"/>
  <c r="Z593" i="5"/>
  <c r="J593" i="5"/>
  <c r="AK593" i="5" s="1"/>
  <c r="AT592" i="5" s="1"/>
  <c r="I593" i="5"/>
  <c r="H593" i="5"/>
  <c r="AU592" i="5"/>
  <c r="AS592" i="5"/>
  <c r="J592" i="5"/>
  <c r="I592" i="5"/>
  <c r="H592" i="5"/>
  <c r="BJ589" i="5"/>
  <c r="BF589" i="5"/>
  <c r="BD589" i="5"/>
  <c r="AX589" i="5"/>
  <c r="AP589" i="5"/>
  <c r="BI589" i="5" s="1"/>
  <c r="AC589" i="5" s="1"/>
  <c r="AO589" i="5"/>
  <c r="AW589" i="5" s="1"/>
  <c r="AL589" i="5"/>
  <c r="AJ589" i="5"/>
  <c r="AH589" i="5"/>
  <c r="AG589" i="5"/>
  <c r="AF589" i="5"/>
  <c r="AE589" i="5"/>
  <c r="AD589" i="5"/>
  <c r="Z589" i="5"/>
  <c r="J589" i="5"/>
  <c r="AK589" i="5" s="1"/>
  <c r="AT588" i="5" s="1"/>
  <c r="I589" i="5"/>
  <c r="I588" i="5" s="1"/>
  <c r="H589" i="5"/>
  <c r="H588" i="5" s="1"/>
  <c r="AU588" i="5"/>
  <c r="AS588" i="5"/>
  <c r="J588" i="5"/>
  <c r="BJ585" i="5"/>
  <c r="BF585" i="5"/>
  <c r="BD585" i="5"/>
  <c r="AP585" i="5"/>
  <c r="AX585" i="5" s="1"/>
  <c r="AO585" i="5"/>
  <c r="AW585" i="5" s="1"/>
  <c r="AV585" i="5" s="1"/>
  <c r="AL585" i="5"/>
  <c r="AJ585" i="5"/>
  <c r="AH585" i="5"/>
  <c r="AG585" i="5"/>
  <c r="AF585" i="5"/>
  <c r="AE585" i="5"/>
  <c r="AD585" i="5"/>
  <c r="Z585" i="5"/>
  <c r="J585" i="5"/>
  <c r="AK585" i="5" s="1"/>
  <c r="I585" i="5"/>
  <c r="BJ583" i="5"/>
  <c r="BF583" i="5"/>
  <c r="BD583" i="5"/>
  <c r="AP583" i="5"/>
  <c r="AX583" i="5" s="1"/>
  <c r="AO583" i="5"/>
  <c r="AL583" i="5"/>
  <c r="AJ583" i="5"/>
  <c r="AS582" i="5" s="1"/>
  <c r="AH583" i="5"/>
  <c r="AG583" i="5"/>
  <c r="AF583" i="5"/>
  <c r="AE583" i="5"/>
  <c r="AD583" i="5"/>
  <c r="Z583" i="5"/>
  <c r="J583" i="5"/>
  <c r="AK583" i="5" s="1"/>
  <c r="I583" i="5"/>
  <c r="BJ579" i="5"/>
  <c r="BF579" i="5"/>
  <c r="BD579" i="5"/>
  <c r="AP579" i="5"/>
  <c r="AO579" i="5"/>
  <c r="BH579" i="5" s="1"/>
  <c r="AB579" i="5" s="1"/>
  <c r="AL579" i="5"/>
  <c r="AU578" i="5" s="1"/>
  <c r="AJ579" i="5"/>
  <c r="AH579" i="5"/>
  <c r="AG579" i="5"/>
  <c r="AF579" i="5"/>
  <c r="AE579" i="5"/>
  <c r="AD579" i="5"/>
  <c r="Z579" i="5"/>
  <c r="J579" i="5"/>
  <c r="AK579" i="5" s="1"/>
  <c r="AT578" i="5" s="1"/>
  <c r="AS578" i="5"/>
  <c r="J578" i="5"/>
  <c r="BJ574" i="5"/>
  <c r="BF574" i="5"/>
  <c r="BD574" i="5"/>
  <c r="AP574" i="5"/>
  <c r="AO574" i="5"/>
  <c r="AW574" i="5" s="1"/>
  <c r="AL574" i="5"/>
  <c r="AJ574" i="5"/>
  <c r="AH574" i="5"/>
  <c r="AE574" i="5"/>
  <c r="AD574" i="5"/>
  <c r="AC574" i="5"/>
  <c r="AB574" i="5"/>
  <c r="Z574" i="5"/>
  <c r="J574" i="5"/>
  <c r="AK574" i="5" s="1"/>
  <c r="H574" i="5"/>
  <c r="BJ573" i="5"/>
  <c r="BF573" i="5"/>
  <c r="BD573" i="5"/>
  <c r="AP573" i="5"/>
  <c r="I573" i="5" s="1"/>
  <c r="AO573" i="5"/>
  <c r="AL573" i="5"/>
  <c r="AJ573" i="5"/>
  <c r="AH573" i="5"/>
  <c r="AE573" i="5"/>
  <c r="AD573" i="5"/>
  <c r="AC573" i="5"/>
  <c r="AB573" i="5"/>
  <c r="Z573" i="5"/>
  <c r="J573" i="5"/>
  <c r="AK573" i="5" s="1"/>
  <c r="BJ571" i="5"/>
  <c r="BH571" i="5"/>
  <c r="AF571" i="5" s="1"/>
  <c r="BF571" i="5"/>
  <c r="BD571" i="5"/>
  <c r="AW571" i="5"/>
  <c r="AP571" i="5"/>
  <c r="AO571" i="5"/>
  <c r="AL571" i="5"/>
  <c r="AJ571" i="5"/>
  <c r="AH571" i="5"/>
  <c r="AE571" i="5"/>
  <c r="AD571" i="5"/>
  <c r="AC571" i="5"/>
  <c r="AB571" i="5"/>
  <c r="Z571" i="5"/>
  <c r="J571" i="5"/>
  <c r="AK571" i="5" s="1"/>
  <c r="H571" i="5"/>
  <c r="BJ570" i="5"/>
  <c r="BH570" i="5"/>
  <c r="AF570" i="5" s="1"/>
  <c r="BF570" i="5"/>
  <c r="BD570" i="5"/>
  <c r="AW570" i="5"/>
  <c r="AP570" i="5"/>
  <c r="AO570" i="5"/>
  <c r="AL570" i="5"/>
  <c r="AJ570" i="5"/>
  <c r="AH570" i="5"/>
  <c r="AE570" i="5"/>
  <c r="AD570" i="5"/>
  <c r="AC570" i="5"/>
  <c r="AB570" i="5"/>
  <c r="Z570" i="5"/>
  <c r="J570" i="5"/>
  <c r="AK570" i="5" s="1"/>
  <c r="H570" i="5"/>
  <c r="BJ568" i="5"/>
  <c r="BF568" i="5"/>
  <c r="BD568" i="5"/>
  <c r="AW568" i="5"/>
  <c r="AP568" i="5"/>
  <c r="AO568" i="5"/>
  <c r="BH568" i="5" s="1"/>
  <c r="AF568" i="5" s="1"/>
  <c r="AL568" i="5"/>
  <c r="AJ568" i="5"/>
  <c r="AH568" i="5"/>
  <c r="AE568" i="5"/>
  <c r="AD568" i="5"/>
  <c r="AC568" i="5"/>
  <c r="AB568" i="5"/>
  <c r="Z568" i="5"/>
  <c r="J568" i="5"/>
  <c r="AK568" i="5" s="1"/>
  <c r="H568" i="5"/>
  <c r="BJ566" i="5"/>
  <c r="BF566" i="5"/>
  <c r="BD566" i="5"/>
  <c r="AX566" i="5"/>
  <c r="AP566" i="5"/>
  <c r="BI566" i="5" s="1"/>
  <c r="AG566" i="5" s="1"/>
  <c r="AO566" i="5"/>
  <c r="AW566" i="5" s="1"/>
  <c r="AL566" i="5"/>
  <c r="AJ566" i="5"/>
  <c r="AH566" i="5"/>
  <c r="AE566" i="5"/>
  <c r="AD566" i="5"/>
  <c r="AC566" i="5"/>
  <c r="AB566" i="5"/>
  <c r="Z566" i="5"/>
  <c r="J566" i="5"/>
  <c r="AK566" i="5" s="1"/>
  <c r="I566" i="5"/>
  <c r="H566" i="5"/>
  <c r="BJ564" i="5"/>
  <c r="BF564" i="5"/>
  <c r="BD564" i="5"/>
  <c r="AP564" i="5"/>
  <c r="AX564" i="5" s="1"/>
  <c r="AO564" i="5"/>
  <c r="H564" i="5" s="1"/>
  <c r="AL564" i="5"/>
  <c r="AJ564" i="5"/>
  <c r="AH564" i="5"/>
  <c r="AE564" i="5"/>
  <c r="AD564" i="5"/>
  <c r="AC564" i="5"/>
  <c r="AB564" i="5"/>
  <c r="Z564" i="5"/>
  <c r="J564" i="5"/>
  <c r="AK564" i="5" s="1"/>
  <c r="I564" i="5"/>
  <c r="BJ563" i="5"/>
  <c r="BF563" i="5"/>
  <c r="BD563" i="5"/>
  <c r="AP563" i="5"/>
  <c r="I563" i="5" s="1"/>
  <c r="AO563" i="5"/>
  <c r="AL563" i="5"/>
  <c r="AJ563" i="5"/>
  <c r="AH563" i="5"/>
  <c r="AE563" i="5"/>
  <c r="AD563" i="5"/>
  <c r="AC563" i="5"/>
  <c r="AB563" i="5"/>
  <c r="Z563" i="5"/>
  <c r="J563" i="5"/>
  <c r="AK563" i="5" s="1"/>
  <c r="BJ561" i="5"/>
  <c r="BH561" i="5"/>
  <c r="AF561" i="5" s="1"/>
  <c r="BF561" i="5"/>
  <c r="BD561" i="5"/>
  <c r="AW561" i="5"/>
  <c r="AP561" i="5"/>
  <c r="AO561" i="5"/>
  <c r="AL561" i="5"/>
  <c r="AJ561" i="5"/>
  <c r="AH561" i="5"/>
  <c r="AE561" i="5"/>
  <c r="AD561" i="5"/>
  <c r="AC561" i="5"/>
  <c r="AB561" i="5"/>
  <c r="Z561" i="5"/>
  <c r="J561" i="5"/>
  <c r="AK561" i="5" s="1"/>
  <c r="H561" i="5"/>
  <c r="BJ559" i="5"/>
  <c r="BI559" i="5"/>
  <c r="AG559" i="5" s="1"/>
  <c r="BH559" i="5"/>
  <c r="AF559" i="5" s="1"/>
  <c r="BF559" i="5"/>
  <c r="BD559" i="5"/>
  <c r="AX559" i="5"/>
  <c r="AW559" i="5"/>
  <c r="AP559" i="5"/>
  <c r="AO559" i="5"/>
  <c r="AL559" i="5"/>
  <c r="AJ559" i="5"/>
  <c r="AH559" i="5"/>
  <c r="AE559" i="5"/>
  <c r="AD559" i="5"/>
  <c r="AC559" i="5"/>
  <c r="AB559" i="5"/>
  <c r="Z559" i="5"/>
  <c r="J559" i="5"/>
  <c r="AK559" i="5" s="1"/>
  <c r="I559" i="5"/>
  <c r="H559" i="5"/>
  <c r="BJ557" i="5"/>
  <c r="BI557" i="5"/>
  <c r="AG557" i="5" s="1"/>
  <c r="BF557" i="5"/>
  <c r="BD557" i="5"/>
  <c r="AX557" i="5"/>
  <c r="AW557" i="5"/>
  <c r="AP557" i="5"/>
  <c r="AO557" i="5"/>
  <c r="BH557" i="5" s="1"/>
  <c r="AF557" i="5" s="1"/>
  <c r="AL557" i="5"/>
  <c r="AJ557" i="5"/>
  <c r="AH557" i="5"/>
  <c r="AE557" i="5"/>
  <c r="AD557" i="5"/>
  <c r="AC557" i="5"/>
  <c r="AB557" i="5"/>
  <c r="Z557" i="5"/>
  <c r="J557" i="5"/>
  <c r="AK557" i="5" s="1"/>
  <c r="I557" i="5"/>
  <c r="H557" i="5"/>
  <c r="BJ555" i="5"/>
  <c r="BF555" i="5"/>
  <c r="BD555" i="5"/>
  <c r="AP555" i="5"/>
  <c r="AO555" i="5"/>
  <c r="AW555" i="5" s="1"/>
  <c r="AL555" i="5"/>
  <c r="AJ555" i="5"/>
  <c r="AH555" i="5"/>
  <c r="AE555" i="5"/>
  <c r="AD555" i="5"/>
  <c r="AC555" i="5"/>
  <c r="AB555" i="5"/>
  <c r="Z555" i="5"/>
  <c r="J555" i="5"/>
  <c r="AK555" i="5" s="1"/>
  <c r="H555" i="5"/>
  <c r="BJ553" i="5"/>
  <c r="BF553" i="5"/>
  <c r="BD553" i="5"/>
  <c r="AP553" i="5"/>
  <c r="AX553" i="5" s="1"/>
  <c r="AO553" i="5"/>
  <c r="H553" i="5" s="1"/>
  <c r="AL553" i="5"/>
  <c r="AJ553" i="5"/>
  <c r="AH553" i="5"/>
  <c r="AE553" i="5"/>
  <c r="AD553" i="5"/>
  <c r="AC553" i="5"/>
  <c r="AB553" i="5"/>
  <c r="Z553" i="5"/>
  <c r="J553" i="5"/>
  <c r="AK553" i="5" s="1"/>
  <c r="I553" i="5"/>
  <c r="BJ551" i="5"/>
  <c r="BF551" i="5"/>
  <c r="BD551" i="5"/>
  <c r="AP551" i="5"/>
  <c r="I551" i="5" s="1"/>
  <c r="AO551" i="5"/>
  <c r="AL551" i="5"/>
  <c r="AJ551" i="5"/>
  <c r="AH551" i="5"/>
  <c r="AE551" i="5"/>
  <c r="AD551" i="5"/>
  <c r="AC551" i="5"/>
  <c r="AB551" i="5"/>
  <c r="Z551" i="5"/>
  <c r="J551" i="5"/>
  <c r="BJ549" i="5"/>
  <c r="BH549" i="5"/>
  <c r="AF549" i="5" s="1"/>
  <c r="BF549" i="5"/>
  <c r="BD549" i="5"/>
  <c r="AP549" i="5"/>
  <c r="AO549" i="5"/>
  <c r="AW549" i="5" s="1"/>
  <c r="AL549" i="5"/>
  <c r="AJ549" i="5"/>
  <c r="AH549" i="5"/>
  <c r="AE549" i="5"/>
  <c r="AD549" i="5"/>
  <c r="AC549" i="5"/>
  <c r="AB549" i="5"/>
  <c r="Z549" i="5"/>
  <c r="J549" i="5"/>
  <c r="AK549" i="5" s="1"/>
  <c r="H549" i="5"/>
  <c r="BJ547" i="5"/>
  <c r="BH547" i="5"/>
  <c r="AF547" i="5" s="1"/>
  <c r="BF547" i="5"/>
  <c r="BD547" i="5"/>
  <c r="AW547" i="5"/>
  <c r="AP547" i="5"/>
  <c r="BI547" i="5" s="1"/>
  <c r="AG547" i="5" s="1"/>
  <c r="AO547" i="5"/>
  <c r="AL547" i="5"/>
  <c r="AJ547" i="5"/>
  <c r="AH547" i="5"/>
  <c r="AE547" i="5"/>
  <c r="AD547" i="5"/>
  <c r="AC547" i="5"/>
  <c r="AB547" i="5"/>
  <c r="Z547" i="5"/>
  <c r="J547" i="5"/>
  <c r="AK547" i="5" s="1"/>
  <c r="I547" i="5"/>
  <c r="H547" i="5"/>
  <c r="BJ545" i="5"/>
  <c r="BI545" i="5"/>
  <c r="AG545" i="5" s="1"/>
  <c r="BF545" i="5"/>
  <c r="BD545" i="5"/>
  <c r="AW545" i="5"/>
  <c r="AP545" i="5"/>
  <c r="AX545" i="5" s="1"/>
  <c r="AO545" i="5"/>
  <c r="BH545" i="5" s="1"/>
  <c r="AF545" i="5" s="1"/>
  <c r="AL545" i="5"/>
  <c r="AJ545" i="5"/>
  <c r="AH545" i="5"/>
  <c r="AE545" i="5"/>
  <c r="AD545" i="5"/>
  <c r="AC545" i="5"/>
  <c r="AB545" i="5"/>
  <c r="Z545" i="5"/>
  <c r="J545" i="5"/>
  <c r="AK545" i="5" s="1"/>
  <c r="I545" i="5"/>
  <c r="H545" i="5"/>
  <c r="BJ543" i="5"/>
  <c r="BF543" i="5"/>
  <c r="BD543" i="5"/>
  <c r="AP543" i="5"/>
  <c r="BI543" i="5" s="1"/>
  <c r="AG543" i="5" s="1"/>
  <c r="AO543" i="5"/>
  <c r="AW543" i="5" s="1"/>
  <c r="AL543" i="5"/>
  <c r="AJ543" i="5"/>
  <c r="AH543" i="5"/>
  <c r="AE543" i="5"/>
  <c r="AD543" i="5"/>
  <c r="AC543" i="5"/>
  <c r="AB543" i="5"/>
  <c r="Z543" i="5"/>
  <c r="J543" i="5"/>
  <c r="AK543" i="5" s="1"/>
  <c r="I543" i="5"/>
  <c r="BJ540" i="5"/>
  <c r="BF540" i="5"/>
  <c r="BD540" i="5"/>
  <c r="AP540" i="5"/>
  <c r="AO540" i="5"/>
  <c r="H540" i="5" s="1"/>
  <c r="AL540" i="5"/>
  <c r="AJ540" i="5"/>
  <c r="AH540" i="5"/>
  <c r="AE540" i="5"/>
  <c r="AD540" i="5"/>
  <c r="AC540" i="5"/>
  <c r="AB540" i="5"/>
  <c r="Z540" i="5"/>
  <c r="J540" i="5"/>
  <c r="AK540" i="5" s="1"/>
  <c r="BJ537" i="5"/>
  <c r="BF537" i="5"/>
  <c r="BD537" i="5"/>
  <c r="AP537" i="5"/>
  <c r="I537" i="5" s="1"/>
  <c r="AO537" i="5"/>
  <c r="AL537" i="5"/>
  <c r="AJ537" i="5"/>
  <c r="AH537" i="5"/>
  <c r="AE537" i="5"/>
  <c r="AD537" i="5"/>
  <c r="AC537" i="5"/>
  <c r="AB537" i="5"/>
  <c r="Z537" i="5"/>
  <c r="J537" i="5"/>
  <c r="BJ534" i="5"/>
  <c r="BF534" i="5"/>
  <c r="BD534" i="5"/>
  <c r="AP534" i="5"/>
  <c r="AO534" i="5"/>
  <c r="AL534" i="5"/>
  <c r="AJ534" i="5"/>
  <c r="AH534" i="5"/>
  <c r="AE534" i="5"/>
  <c r="AD534" i="5"/>
  <c r="AC534" i="5"/>
  <c r="AB534" i="5"/>
  <c r="Z534" i="5"/>
  <c r="J534" i="5"/>
  <c r="AK534" i="5" s="1"/>
  <c r="BJ532" i="5"/>
  <c r="BF532" i="5"/>
  <c r="BD532" i="5"/>
  <c r="AP532" i="5"/>
  <c r="AO532" i="5"/>
  <c r="BH532" i="5" s="1"/>
  <c r="AF532" i="5" s="1"/>
  <c r="AL532" i="5"/>
  <c r="AJ532" i="5"/>
  <c r="AH532" i="5"/>
  <c r="AE532" i="5"/>
  <c r="AD532" i="5"/>
  <c r="AC532" i="5"/>
  <c r="AB532" i="5"/>
  <c r="Z532" i="5"/>
  <c r="J532" i="5"/>
  <c r="AK532" i="5" s="1"/>
  <c r="I532" i="5"/>
  <c r="H532" i="5"/>
  <c r="BJ531" i="5"/>
  <c r="BF531" i="5"/>
  <c r="BD531" i="5"/>
  <c r="AP531" i="5"/>
  <c r="AO531" i="5"/>
  <c r="BH531" i="5" s="1"/>
  <c r="AF531" i="5" s="1"/>
  <c r="AL531" i="5"/>
  <c r="AJ531" i="5"/>
  <c r="AS528" i="5" s="1"/>
  <c r="AH531" i="5"/>
  <c r="AE531" i="5"/>
  <c r="AD531" i="5"/>
  <c r="AC531" i="5"/>
  <c r="AB531" i="5"/>
  <c r="Z531" i="5"/>
  <c r="J531" i="5"/>
  <c r="AK531" i="5" s="1"/>
  <c r="I531" i="5"/>
  <c r="H531" i="5"/>
  <c r="BJ529" i="5"/>
  <c r="BF529" i="5"/>
  <c r="BD529" i="5"/>
  <c r="AX529" i="5"/>
  <c r="AP529" i="5"/>
  <c r="BI529" i="5" s="1"/>
  <c r="AG529" i="5" s="1"/>
  <c r="AO529" i="5"/>
  <c r="AW529" i="5" s="1"/>
  <c r="AL529" i="5"/>
  <c r="AU528" i="5" s="1"/>
  <c r="AJ529" i="5"/>
  <c r="AH529" i="5"/>
  <c r="AE529" i="5"/>
  <c r="AD529" i="5"/>
  <c r="AC529" i="5"/>
  <c r="AB529" i="5"/>
  <c r="Z529" i="5"/>
  <c r="J529" i="5"/>
  <c r="AK529" i="5" s="1"/>
  <c r="I529" i="5"/>
  <c r="H529" i="5"/>
  <c r="BJ526" i="5"/>
  <c r="BF526" i="5"/>
  <c r="BD526" i="5"/>
  <c r="AP526" i="5"/>
  <c r="AX526" i="5" s="1"/>
  <c r="AO526" i="5"/>
  <c r="H526" i="5" s="1"/>
  <c r="AL526" i="5"/>
  <c r="AJ526" i="5"/>
  <c r="AH526" i="5"/>
  <c r="AG526" i="5"/>
  <c r="AF526" i="5"/>
  <c r="AE526" i="5"/>
  <c r="AD526" i="5"/>
  <c r="Z526" i="5"/>
  <c r="J526" i="5"/>
  <c r="AK526" i="5" s="1"/>
  <c r="I526" i="5"/>
  <c r="BJ524" i="5"/>
  <c r="BF524" i="5"/>
  <c r="BD524" i="5"/>
  <c r="AP524" i="5"/>
  <c r="I524" i="5" s="1"/>
  <c r="AO524" i="5"/>
  <c r="AL524" i="5"/>
  <c r="AJ524" i="5"/>
  <c r="AH524" i="5"/>
  <c r="AG524" i="5"/>
  <c r="AF524" i="5"/>
  <c r="AE524" i="5"/>
  <c r="AD524" i="5"/>
  <c r="Z524" i="5"/>
  <c r="J524" i="5"/>
  <c r="BJ522" i="5"/>
  <c r="BH522" i="5"/>
  <c r="BF522" i="5"/>
  <c r="BD522" i="5"/>
  <c r="AW522" i="5"/>
  <c r="AP522" i="5"/>
  <c r="AO522" i="5"/>
  <c r="AL522" i="5"/>
  <c r="AK522" i="5"/>
  <c r="AJ522" i="5"/>
  <c r="AH522" i="5"/>
  <c r="AG522" i="5"/>
  <c r="AF522" i="5"/>
  <c r="AE522" i="5"/>
  <c r="AD522" i="5"/>
  <c r="AB522" i="5"/>
  <c r="Z522" i="5"/>
  <c r="J522" i="5"/>
  <c r="H522" i="5"/>
  <c r="BJ519" i="5"/>
  <c r="BF519" i="5"/>
  <c r="BD519" i="5"/>
  <c r="AP519" i="5"/>
  <c r="AO519" i="5"/>
  <c r="BH519" i="5" s="1"/>
  <c r="AB519" i="5" s="1"/>
  <c r="AL519" i="5"/>
  <c r="AJ519" i="5"/>
  <c r="AS518" i="5" s="1"/>
  <c r="AH519" i="5"/>
  <c r="AG519" i="5"/>
  <c r="AF519" i="5"/>
  <c r="AE519" i="5"/>
  <c r="AD519" i="5"/>
  <c r="Z519" i="5"/>
  <c r="J519" i="5"/>
  <c r="AK519" i="5" s="1"/>
  <c r="BJ515" i="5"/>
  <c r="BI515" i="5"/>
  <c r="AC515" i="5" s="1"/>
  <c r="BF515" i="5"/>
  <c r="BD515" i="5"/>
  <c r="AW515" i="5"/>
  <c r="AP515" i="5"/>
  <c r="I515" i="5" s="1"/>
  <c r="AO515" i="5"/>
  <c r="BH515" i="5" s="1"/>
  <c r="AB515" i="5" s="1"/>
  <c r="AL515" i="5"/>
  <c r="AK515" i="5"/>
  <c r="AJ515" i="5"/>
  <c r="AH515" i="5"/>
  <c r="AG515" i="5"/>
  <c r="AF515" i="5"/>
  <c r="AE515" i="5"/>
  <c r="AD515" i="5"/>
  <c r="Z515" i="5"/>
  <c r="J515" i="5"/>
  <c r="BJ512" i="5"/>
  <c r="BF512" i="5"/>
  <c r="BD512" i="5"/>
  <c r="AP512" i="5"/>
  <c r="AO512" i="5"/>
  <c r="AW512" i="5" s="1"/>
  <c r="AL512" i="5"/>
  <c r="AJ512" i="5"/>
  <c r="AH512" i="5"/>
  <c r="AG512" i="5"/>
  <c r="AF512" i="5"/>
  <c r="AE512" i="5"/>
  <c r="AD512" i="5"/>
  <c r="Z512" i="5"/>
  <c r="J512" i="5"/>
  <c r="AK512" i="5" s="1"/>
  <c r="I512" i="5"/>
  <c r="H512" i="5"/>
  <c r="BJ509" i="5"/>
  <c r="BF509" i="5"/>
  <c r="BD509" i="5"/>
  <c r="AP509" i="5"/>
  <c r="AX509" i="5" s="1"/>
  <c r="AO509" i="5"/>
  <c r="AL509" i="5"/>
  <c r="AJ509" i="5"/>
  <c r="AH509" i="5"/>
  <c r="AG509" i="5"/>
  <c r="AF509" i="5"/>
  <c r="AE509" i="5"/>
  <c r="AD509" i="5"/>
  <c r="Z509" i="5"/>
  <c r="J509" i="5"/>
  <c r="AK509" i="5" s="1"/>
  <c r="I509" i="5"/>
  <c r="BJ507" i="5"/>
  <c r="BF507" i="5"/>
  <c r="BD507" i="5"/>
  <c r="AP507" i="5"/>
  <c r="AO507" i="5"/>
  <c r="BH507" i="5" s="1"/>
  <c r="AB507" i="5" s="1"/>
  <c r="AL507" i="5"/>
  <c r="AJ507" i="5"/>
  <c r="AH507" i="5"/>
  <c r="AG507" i="5"/>
  <c r="AF507" i="5"/>
  <c r="AE507" i="5"/>
  <c r="AD507" i="5"/>
  <c r="Z507" i="5"/>
  <c r="J507" i="5"/>
  <c r="BJ503" i="5"/>
  <c r="BF503" i="5"/>
  <c r="BD503" i="5"/>
  <c r="AP503" i="5"/>
  <c r="AO503" i="5"/>
  <c r="AL503" i="5"/>
  <c r="AU499" i="5" s="1"/>
  <c r="AJ503" i="5"/>
  <c r="AH503" i="5"/>
  <c r="AG503" i="5"/>
  <c r="AF503" i="5"/>
  <c r="AE503" i="5"/>
  <c r="AD503" i="5"/>
  <c r="Z503" i="5"/>
  <c r="J503" i="5"/>
  <c r="AK503" i="5" s="1"/>
  <c r="BJ500" i="5"/>
  <c r="BH500" i="5"/>
  <c r="AB500" i="5" s="1"/>
  <c r="BF500" i="5"/>
  <c r="BD500" i="5"/>
  <c r="AW500" i="5"/>
  <c r="AP500" i="5"/>
  <c r="BI500" i="5" s="1"/>
  <c r="AC500" i="5" s="1"/>
  <c r="AO500" i="5"/>
  <c r="AL500" i="5"/>
  <c r="AJ500" i="5"/>
  <c r="AH500" i="5"/>
  <c r="AG500" i="5"/>
  <c r="AF500" i="5"/>
  <c r="AE500" i="5"/>
  <c r="AD500" i="5"/>
  <c r="Z500" i="5"/>
  <c r="J500" i="5"/>
  <c r="J499" i="5" s="1"/>
  <c r="I500" i="5"/>
  <c r="H500" i="5"/>
  <c r="BJ495" i="5"/>
  <c r="BF495" i="5"/>
  <c r="BD495" i="5"/>
  <c r="AP495" i="5"/>
  <c r="AO495" i="5"/>
  <c r="BH495" i="5" s="1"/>
  <c r="AB495" i="5" s="1"/>
  <c r="AL495" i="5"/>
  <c r="AJ495" i="5"/>
  <c r="AS494" i="5" s="1"/>
  <c r="AH495" i="5"/>
  <c r="AG495" i="5"/>
  <c r="AF495" i="5"/>
  <c r="AE495" i="5"/>
  <c r="AD495" i="5"/>
  <c r="Z495" i="5"/>
  <c r="J495" i="5"/>
  <c r="AK495" i="5" s="1"/>
  <c r="I495" i="5"/>
  <c r="I494" i="5" s="1"/>
  <c r="AU494" i="5"/>
  <c r="AT494" i="5"/>
  <c r="J494" i="5"/>
  <c r="BJ492" i="5"/>
  <c r="BH492" i="5"/>
  <c r="AD492" i="5" s="1"/>
  <c r="BF492" i="5"/>
  <c r="BD492" i="5"/>
  <c r="AP492" i="5"/>
  <c r="I492" i="5" s="1"/>
  <c r="AO492" i="5"/>
  <c r="AW492" i="5" s="1"/>
  <c r="AL492" i="5"/>
  <c r="AJ492" i="5"/>
  <c r="AH492" i="5"/>
  <c r="AG492" i="5"/>
  <c r="AF492" i="5"/>
  <c r="AC492" i="5"/>
  <c r="AB492" i="5"/>
  <c r="Z492" i="5"/>
  <c r="J492" i="5"/>
  <c r="AK492" i="5" s="1"/>
  <c r="H492" i="5"/>
  <c r="BJ490" i="5"/>
  <c r="BF490" i="5"/>
  <c r="BD490" i="5"/>
  <c r="AP490" i="5"/>
  <c r="AO490" i="5"/>
  <c r="BH490" i="5" s="1"/>
  <c r="AD490" i="5" s="1"/>
  <c r="AL490" i="5"/>
  <c r="AJ490" i="5"/>
  <c r="AH490" i="5"/>
  <c r="AG490" i="5"/>
  <c r="AF490" i="5"/>
  <c r="AC490" i="5"/>
  <c r="AB490" i="5"/>
  <c r="Z490" i="5"/>
  <c r="J490" i="5"/>
  <c r="AK490" i="5" s="1"/>
  <c r="H490" i="5"/>
  <c r="BJ489" i="5"/>
  <c r="BF489" i="5"/>
  <c r="BD489" i="5"/>
  <c r="AP489" i="5"/>
  <c r="AO489" i="5"/>
  <c r="BH489" i="5" s="1"/>
  <c r="AL489" i="5"/>
  <c r="AJ489" i="5"/>
  <c r="AH489" i="5"/>
  <c r="AG489" i="5"/>
  <c r="AF489" i="5"/>
  <c r="AD489" i="5"/>
  <c r="AC489" i="5"/>
  <c r="AB489" i="5"/>
  <c r="Z489" i="5"/>
  <c r="J489" i="5"/>
  <c r="AK489" i="5" s="1"/>
  <c r="BJ488" i="5"/>
  <c r="BF488" i="5"/>
  <c r="BD488" i="5"/>
  <c r="AP488" i="5"/>
  <c r="AO488" i="5"/>
  <c r="AW488" i="5" s="1"/>
  <c r="AL488" i="5"/>
  <c r="AJ488" i="5"/>
  <c r="AH488" i="5"/>
  <c r="AG488" i="5"/>
  <c r="AF488" i="5"/>
  <c r="AC488" i="5"/>
  <c r="AB488" i="5"/>
  <c r="Z488" i="5"/>
  <c r="J488" i="5"/>
  <c r="AK488" i="5" s="1"/>
  <c r="I488" i="5"/>
  <c r="H488" i="5"/>
  <c r="BJ486" i="5"/>
  <c r="BF486" i="5"/>
  <c r="BD486" i="5"/>
  <c r="AP486" i="5"/>
  <c r="AX486" i="5" s="1"/>
  <c r="AO486" i="5"/>
  <c r="AL486" i="5"/>
  <c r="AU479" i="5" s="1"/>
  <c r="AJ486" i="5"/>
  <c r="AH486" i="5"/>
  <c r="AG486" i="5"/>
  <c r="AF486" i="5"/>
  <c r="AC486" i="5"/>
  <c r="AB486" i="5"/>
  <c r="Z486" i="5"/>
  <c r="J486" i="5"/>
  <c r="AK486" i="5" s="1"/>
  <c r="I486" i="5"/>
  <c r="BJ484" i="5"/>
  <c r="BF484" i="5"/>
  <c r="BD484" i="5"/>
  <c r="AP484" i="5"/>
  <c r="AO484" i="5"/>
  <c r="H484" i="5" s="1"/>
  <c r="AL484" i="5"/>
  <c r="AJ484" i="5"/>
  <c r="AH484" i="5"/>
  <c r="AG484" i="5"/>
  <c r="AF484" i="5"/>
  <c r="AC484" i="5"/>
  <c r="AB484" i="5"/>
  <c r="Z484" i="5"/>
  <c r="J484" i="5"/>
  <c r="AK484" i="5" s="1"/>
  <c r="BJ482" i="5"/>
  <c r="BH482" i="5"/>
  <c r="AD482" i="5" s="1"/>
  <c r="BF482" i="5"/>
  <c r="BD482" i="5"/>
  <c r="AP482" i="5"/>
  <c r="I482" i="5" s="1"/>
  <c r="AO482" i="5"/>
  <c r="AW482" i="5" s="1"/>
  <c r="AL482" i="5"/>
  <c r="AJ482" i="5"/>
  <c r="AH482" i="5"/>
  <c r="AG482" i="5"/>
  <c r="AF482" i="5"/>
  <c r="AC482" i="5"/>
  <c r="AB482" i="5"/>
  <c r="Z482" i="5"/>
  <c r="J482" i="5"/>
  <c r="AK482" i="5" s="1"/>
  <c r="H482" i="5"/>
  <c r="BJ480" i="5"/>
  <c r="BF480" i="5"/>
  <c r="BD480" i="5"/>
  <c r="AP480" i="5"/>
  <c r="AO480" i="5"/>
  <c r="BH480" i="5" s="1"/>
  <c r="AD480" i="5" s="1"/>
  <c r="AL480" i="5"/>
  <c r="AJ480" i="5"/>
  <c r="AH480" i="5"/>
  <c r="AG480" i="5"/>
  <c r="AF480" i="5"/>
  <c r="AC480" i="5"/>
  <c r="AB480" i="5"/>
  <c r="Z480" i="5"/>
  <c r="J480" i="5"/>
  <c r="AK480" i="5" s="1"/>
  <c r="I480" i="5"/>
  <c r="H480" i="5"/>
  <c r="BJ478" i="5"/>
  <c r="BI478" i="5"/>
  <c r="AE478" i="5" s="1"/>
  <c r="BF478" i="5"/>
  <c r="BD478" i="5"/>
  <c r="AX478" i="5"/>
  <c r="AW478" i="5"/>
  <c r="AV478" i="5" s="1"/>
  <c r="AP478" i="5"/>
  <c r="I478" i="5" s="1"/>
  <c r="AO478" i="5"/>
  <c r="BH478" i="5" s="1"/>
  <c r="AL478" i="5"/>
  <c r="AK478" i="5"/>
  <c r="AJ478" i="5"/>
  <c r="AH478" i="5"/>
  <c r="AG478" i="5"/>
  <c r="AF478" i="5"/>
  <c r="AD478" i="5"/>
  <c r="AC478" i="5"/>
  <c r="AB478" i="5"/>
  <c r="Z478" i="5"/>
  <c r="J478" i="5"/>
  <c r="H478" i="5"/>
  <c r="BJ476" i="5"/>
  <c r="BF476" i="5"/>
  <c r="BD476" i="5"/>
  <c r="AP476" i="5"/>
  <c r="BI476" i="5" s="1"/>
  <c r="AE476" i="5" s="1"/>
  <c r="AO476" i="5"/>
  <c r="AW476" i="5" s="1"/>
  <c r="AL476" i="5"/>
  <c r="AJ476" i="5"/>
  <c r="AH476" i="5"/>
  <c r="AG476" i="5"/>
  <c r="AF476" i="5"/>
  <c r="AC476" i="5"/>
  <c r="AB476" i="5"/>
  <c r="Z476" i="5"/>
  <c r="J476" i="5"/>
  <c r="AK476" i="5" s="1"/>
  <c r="I476" i="5"/>
  <c r="H476" i="5"/>
  <c r="BJ475" i="5"/>
  <c r="BF475" i="5"/>
  <c r="BD475" i="5"/>
  <c r="AP475" i="5"/>
  <c r="AX475" i="5" s="1"/>
  <c r="AO475" i="5"/>
  <c r="AL475" i="5"/>
  <c r="AJ475" i="5"/>
  <c r="AH475" i="5"/>
  <c r="AG475" i="5"/>
  <c r="AF475" i="5"/>
  <c r="AC475" i="5"/>
  <c r="AB475" i="5"/>
  <c r="Z475" i="5"/>
  <c r="J475" i="5"/>
  <c r="I475" i="5"/>
  <c r="BJ473" i="5"/>
  <c r="BF473" i="5"/>
  <c r="BD473" i="5"/>
  <c r="AP473" i="5"/>
  <c r="AO473" i="5"/>
  <c r="H473" i="5" s="1"/>
  <c r="AL473" i="5"/>
  <c r="AJ473" i="5"/>
  <c r="AH473" i="5"/>
  <c r="AG473" i="5"/>
  <c r="AF473" i="5"/>
  <c r="AC473" i="5"/>
  <c r="AB473" i="5"/>
  <c r="Z473" i="5"/>
  <c r="J473" i="5"/>
  <c r="AK473" i="5" s="1"/>
  <c r="BJ471" i="5"/>
  <c r="BH471" i="5"/>
  <c r="AD471" i="5" s="1"/>
  <c r="BF471" i="5"/>
  <c r="BD471" i="5"/>
  <c r="AW471" i="5"/>
  <c r="AP471" i="5"/>
  <c r="I471" i="5" s="1"/>
  <c r="AO471" i="5"/>
  <c r="AL471" i="5"/>
  <c r="AJ471" i="5"/>
  <c r="AH471" i="5"/>
  <c r="AG471" i="5"/>
  <c r="AF471" i="5"/>
  <c r="AC471" i="5"/>
  <c r="AB471" i="5"/>
  <c r="Z471" i="5"/>
  <c r="J471" i="5"/>
  <c r="AK471" i="5" s="1"/>
  <c r="H471" i="5"/>
  <c r="BJ469" i="5"/>
  <c r="BH469" i="5"/>
  <c r="AD469" i="5" s="1"/>
  <c r="BF469" i="5"/>
  <c r="BD469" i="5"/>
  <c r="AW469" i="5"/>
  <c r="AP469" i="5"/>
  <c r="AO469" i="5"/>
  <c r="AL469" i="5"/>
  <c r="AJ469" i="5"/>
  <c r="AH469" i="5"/>
  <c r="AG469" i="5"/>
  <c r="AF469" i="5"/>
  <c r="AC469" i="5"/>
  <c r="AB469" i="5"/>
  <c r="Z469" i="5"/>
  <c r="J469" i="5"/>
  <c r="AK469" i="5" s="1"/>
  <c r="I469" i="5"/>
  <c r="H469" i="5"/>
  <c r="BJ467" i="5"/>
  <c r="BF467" i="5"/>
  <c r="BD467" i="5"/>
  <c r="AW467" i="5"/>
  <c r="AP467" i="5"/>
  <c r="AO467" i="5"/>
  <c r="BH467" i="5" s="1"/>
  <c r="AD467" i="5" s="1"/>
  <c r="AL467" i="5"/>
  <c r="AJ467" i="5"/>
  <c r="AH467" i="5"/>
  <c r="AG467" i="5"/>
  <c r="AF467" i="5"/>
  <c r="AC467" i="5"/>
  <c r="AB467" i="5"/>
  <c r="Z467" i="5"/>
  <c r="J467" i="5"/>
  <c r="AK467" i="5" s="1"/>
  <c r="H467" i="5"/>
  <c r="BJ465" i="5"/>
  <c r="BF465" i="5"/>
  <c r="BD465" i="5"/>
  <c r="AP465" i="5"/>
  <c r="AO465" i="5"/>
  <c r="AL465" i="5"/>
  <c r="AJ465" i="5"/>
  <c r="AH465" i="5"/>
  <c r="AG465" i="5"/>
  <c r="AF465" i="5"/>
  <c r="AC465" i="5"/>
  <c r="AB465" i="5"/>
  <c r="Z465" i="5"/>
  <c r="J465" i="5"/>
  <c r="AK465" i="5" s="1"/>
  <c r="I465" i="5"/>
  <c r="BJ463" i="5"/>
  <c r="BF463" i="5"/>
  <c r="BD463" i="5"/>
  <c r="AP463" i="5"/>
  <c r="AX463" i="5" s="1"/>
  <c r="AO463" i="5"/>
  <c r="AL463" i="5"/>
  <c r="AJ463" i="5"/>
  <c r="AH463" i="5"/>
  <c r="AG463" i="5"/>
  <c r="AF463" i="5"/>
  <c r="AC463" i="5"/>
  <c r="AB463" i="5"/>
  <c r="Z463" i="5"/>
  <c r="J463" i="5"/>
  <c r="I463" i="5"/>
  <c r="BJ461" i="5"/>
  <c r="BF461" i="5"/>
  <c r="BD461" i="5"/>
  <c r="AP461" i="5"/>
  <c r="AO461" i="5"/>
  <c r="H461" i="5" s="1"/>
  <c r="AL461" i="5"/>
  <c r="AJ461" i="5"/>
  <c r="AH461" i="5"/>
  <c r="AG461" i="5"/>
  <c r="AF461" i="5"/>
  <c r="AC461" i="5"/>
  <c r="AB461" i="5"/>
  <c r="Z461" i="5"/>
  <c r="J461" i="5"/>
  <c r="AK461" i="5" s="1"/>
  <c r="BJ459" i="5"/>
  <c r="BH459" i="5"/>
  <c r="AD459" i="5" s="1"/>
  <c r="BF459" i="5"/>
  <c r="BD459" i="5"/>
  <c r="AW459" i="5"/>
  <c r="AP459" i="5"/>
  <c r="I459" i="5" s="1"/>
  <c r="AO459" i="5"/>
  <c r="AL459" i="5"/>
  <c r="AJ459" i="5"/>
  <c r="AH459" i="5"/>
  <c r="AG459" i="5"/>
  <c r="AF459" i="5"/>
  <c r="AC459" i="5"/>
  <c r="AB459" i="5"/>
  <c r="Z459" i="5"/>
  <c r="J459" i="5"/>
  <c r="AK459" i="5" s="1"/>
  <c r="H459" i="5"/>
  <c r="BJ457" i="5"/>
  <c r="BH457" i="5"/>
  <c r="AD457" i="5" s="1"/>
  <c r="BF457" i="5"/>
  <c r="BD457" i="5"/>
  <c r="AW457" i="5"/>
  <c r="AP457" i="5"/>
  <c r="AO457" i="5"/>
  <c r="AL457" i="5"/>
  <c r="AJ457" i="5"/>
  <c r="AH457" i="5"/>
  <c r="AG457" i="5"/>
  <c r="AF457" i="5"/>
  <c r="AC457" i="5"/>
  <c r="AB457" i="5"/>
  <c r="Z457" i="5"/>
  <c r="J457" i="5"/>
  <c r="AK457" i="5" s="1"/>
  <c r="I457" i="5"/>
  <c r="H457" i="5"/>
  <c r="BJ455" i="5"/>
  <c r="BF455" i="5"/>
  <c r="BD455" i="5"/>
  <c r="AW455" i="5"/>
  <c r="AP455" i="5"/>
  <c r="AX455" i="5" s="1"/>
  <c r="AO455" i="5"/>
  <c r="BH455" i="5" s="1"/>
  <c r="AD455" i="5" s="1"/>
  <c r="AL455" i="5"/>
  <c r="AJ455" i="5"/>
  <c r="AH455" i="5"/>
  <c r="AG455" i="5"/>
  <c r="AF455" i="5"/>
  <c r="AC455" i="5"/>
  <c r="AB455" i="5"/>
  <c r="Z455" i="5"/>
  <c r="J455" i="5"/>
  <c r="AK455" i="5" s="1"/>
  <c r="I455" i="5"/>
  <c r="H455" i="5"/>
  <c r="BJ453" i="5"/>
  <c r="BF453" i="5"/>
  <c r="BD453" i="5"/>
  <c r="AX453" i="5"/>
  <c r="AP453" i="5"/>
  <c r="BI453" i="5" s="1"/>
  <c r="AO453" i="5"/>
  <c r="AL453" i="5"/>
  <c r="AU452" i="5" s="1"/>
  <c r="AK453" i="5"/>
  <c r="AJ453" i="5"/>
  <c r="AH453" i="5"/>
  <c r="AG453" i="5"/>
  <c r="AF453" i="5"/>
  <c r="AE453" i="5"/>
  <c r="AC453" i="5"/>
  <c r="AB453" i="5"/>
  <c r="Z453" i="5"/>
  <c r="J453" i="5"/>
  <c r="I453" i="5"/>
  <c r="BJ449" i="5"/>
  <c r="Z449" i="5" s="1"/>
  <c r="BH449" i="5"/>
  <c r="BF449" i="5"/>
  <c r="BD449" i="5"/>
  <c r="AW449" i="5"/>
  <c r="AP449" i="5"/>
  <c r="AO449" i="5"/>
  <c r="H449" i="5" s="1"/>
  <c r="H448" i="5" s="1"/>
  <c r="J49" i="4" s="1"/>
  <c r="AL449" i="5"/>
  <c r="AJ449" i="5"/>
  <c r="AS448" i="5" s="1"/>
  <c r="AH449" i="5"/>
  <c r="AG449" i="5"/>
  <c r="AF449" i="5"/>
  <c r="AE449" i="5"/>
  <c r="AD449" i="5"/>
  <c r="AC449" i="5"/>
  <c r="AB449" i="5"/>
  <c r="J449" i="5"/>
  <c r="J448" i="5" s="1"/>
  <c r="AU448" i="5"/>
  <c r="BJ446" i="5"/>
  <c r="Z446" i="5" s="1"/>
  <c r="BI446" i="5"/>
  <c r="BF446" i="5"/>
  <c r="BD446" i="5"/>
  <c r="AX446" i="5"/>
  <c r="AP446" i="5"/>
  <c r="AO446" i="5"/>
  <c r="H446" i="5" s="1"/>
  <c r="H445" i="5" s="1"/>
  <c r="AL446" i="5"/>
  <c r="AU445" i="5" s="1"/>
  <c r="AK446" i="5"/>
  <c r="AT445" i="5" s="1"/>
  <c r="AJ446" i="5"/>
  <c r="AS445" i="5" s="1"/>
  <c r="AH446" i="5"/>
  <c r="AG446" i="5"/>
  <c r="AF446" i="5"/>
  <c r="AE446" i="5"/>
  <c r="AD446" i="5"/>
  <c r="AC446" i="5"/>
  <c r="AB446" i="5"/>
  <c r="J446" i="5"/>
  <c r="I446" i="5"/>
  <c r="J445" i="5"/>
  <c r="I445" i="5"/>
  <c r="BJ443" i="5"/>
  <c r="Z443" i="5" s="1"/>
  <c r="BF443" i="5"/>
  <c r="BD443" i="5"/>
  <c r="AX443" i="5"/>
  <c r="AP443" i="5"/>
  <c r="BI443" i="5" s="1"/>
  <c r="AO443" i="5"/>
  <c r="AW443" i="5" s="1"/>
  <c r="AL443" i="5"/>
  <c r="AK443" i="5"/>
  <c r="AJ443" i="5"/>
  <c r="AH443" i="5"/>
  <c r="AG443" i="5"/>
  <c r="AF443" i="5"/>
  <c r="AE443" i="5"/>
  <c r="AD443" i="5"/>
  <c r="AC443" i="5"/>
  <c r="AB443" i="5"/>
  <c r="J443" i="5"/>
  <c r="H443" i="5"/>
  <c r="BJ441" i="5"/>
  <c r="Z441" i="5" s="1"/>
  <c r="BF441" i="5"/>
  <c r="BD441" i="5"/>
  <c r="AP441" i="5"/>
  <c r="AX441" i="5" s="1"/>
  <c r="AO441" i="5"/>
  <c r="AL441" i="5"/>
  <c r="AJ441" i="5"/>
  <c r="AH441" i="5"/>
  <c r="AG441" i="5"/>
  <c r="AF441" i="5"/>
  <c r="AE441" i="5"/>
  <c r="AD441" i="5"/>
  <c r="AC441" i="5"/>
  <c r="AB441" i="5"/>
  <c r="J441" i="5"/>
  <c r="I441" i="5"/>
  <c r="AS440" i="5"/>
  <c r="BJ438" i="5"/>
  <c r="BF438" i="5"/>
  <c r="BD438" i="5"/>
  <c r="AP438" i="5"/>
  <c r="AO438" i="5"/>
  <c r="H438" i="5" s="1"/>
  <c r="AL438" i="5"/>
  <c r="AJ438" i="5"/>
  <c r="AH438" i="5"/>
  <c r="AG438" i="5"/>
  <c r="AF438" i="5"/>
  <c r="AE438" i="5"/>
  <c r="AD438" i="5"/>
  <c r="AC438" i="5"/>
  <c r="AB438" i="5"/>
  <c r="Z438" i="5"/>
  <c r="J438" i="5"/>
  <c r="BJ436" i="5"/>
  <c r="BF436" i="5"/>
  <c r="BD436" i="5"/>
  <c r="AP436" i="5"/>
  <c r="I436" i="5" s="1"/>
  <c r="AO436" i="5"/>
  <c r="AL436" i="5"/>
  <c r="AU435" i="5" s="1"/>
  <c r="AJ436" i="5"/>
  <c r="AS435" i="5" s="1"/>
  <c r="AH436" i="5"/>
  <c r="AG436" i="5"/>
  <c r="AF436" i="5"/>
  <c r="AE436" i="5"/>
  <c r="AD436" i="5"/>
  <c r="AC436" i="5"/>
  <c r="AB436" i="5"/>
  <c r="Z436" i="5"/>
  <c r="J436" i="5"/>
  <c r="AK436" i="5" s="1"/>
  <c r="BJ433" i="5"/>
  <c r="Z433" i="5" s="1"/>
  <c r="BF433" i="5"/>
  <c r="BD433" i="5"/>
  <c r="AP433" i="5"/>
  <c r="AO433" i="5"/>
  <c r="BH433" i="5" s="1"/>
  <c r="AL433" i="5"/>
  <c r="AJ433" i="5"/>
  <c r="AH433" i="5"/>
  <c r="AG433" i="5"/>
  <c r="AF433" i="5"/>
  <c r="AE433" i="5"/>
  <c r="AD433" i="5"/>
  <c r="AC433" i="5"/>
  <c r="AB433" i="5"/>
  <c r="J433" i="5"/>
  <c r="J430" i="5" s="1"/>
  <c r="BJ431" i="5"/>
  <c r="Z431" i="5" s="1"/>
  <c r="BI431" i="5"/>
  <c r="BF431" i="5"/>
  <c r="BD431" i="5"/>
  <c r="AX431" i="5"/>
  <c r="AW431" i="5"/>
  <c r="AP431" i="5"/>
  <c r="I431" i="5" s="1"/>
  <c r="AO431" i="5"/>
  <c r="BH431" i="5" s="1"/>
  <c r="AL431" i="5"/>
  <c r="AK431" i="5"/>
  <c r="AJ431" i="5"/>
  <c r="AH431" i="5"/>
  <c r="AG431" i="5"/>
  <c r="AF431" i="5"/>
  <c r="AE431" i="5"/>
  <c r="AD431" i="5"/>
  <c r="AC431" i="5"/>
  <c r="AB431" i="5"/>
  <c r="J431" i="5"/>
  <c r="H431" i="5"/>
  <c r="AU430" i="5"/>
  <c r="BJ429" i="5"/>
  <c r="Z429" i="5" s="1"/>
  <c r="BF429" i="5"/>
  <c r="BD429" i="5"/>
  <c r="AX429" i="5"/>
  <c r="AP429" i="5"/>
  <c r="BI429" i="5" s="1"/>
  <c r="AO429" i="5"/>
  <c r="AW429" i="5" s="1"/>
  <c r="AL429" i="5"/>
  <c r="AU428" i="5" s="1"/>
  <c r="AJ429" i="5"/>
  <c r="AS428" i="5" s="1"/>
  <c r="AH429" i="5"/>
  <c r="AG429" i="5"/>
  <c r="AF429" i="5"/>
  <c r="AE429" i="5"/>
  <c r="AD429" i="5"/>
  <c r="AC429" i="5"/>
  <c r="AB429" i="5"/>
  <c r="J429" i="5"/>
  <c r="AK429" i="5" s="1"/>
  <c r="AT428" i="5" s="1"/>
  <c r="I429" i="5"/>
  <c r="H429" i="5"/>
  <c r="I428" i="5"/>
  <c r="H428" i="5"/>
  <c r="BJ426" i="5"/>
  <c r="BF426" i="5"/>
  <c r="BD426" i="5"/>
  <c r="AP426" i="5"/>
  <c r="AO426" i="5"/>
  <c r="AL426" i="5"/>
  <c r="AJ426" i="5"/>
  <c r="AS423" i="5" s="1"/>
  <c r="AH426" i="5"/>
  <c r="AG426" i="5"/>
  <c r="AF426" i="5"/>
  <c r="AC426" i="5"/>
  <c r="AB426" i="5"/>
  <c r="Z426" i="5"/>
  <c r="J426" i="5"/>
  <c r="AK426" i="5" s="1"/>
  <c r="I426" i="5"/>
  <c r="BJ424" i="5"/>
  <c r="BF424" i="5"/>
  <c r="BD424" i="5"/>
  <c r="AP424" i="5"/>
  <c r="AO424" i="5"/>
  <c r="AL424" i="5"/>
  <c r="AJ424" i="5"/>
  <c r="AH424" i="5"/>
  <c r="AG424" i="5"/>
  <c r="AF424" i="5"/>
  <c r="AC424" i="5"/>
  <c r="AB424" i="5"/>
  <c r="Z424" i="5"/>
  <c r="J424" i="5"/>
  <c r="AK424" i="5" s="1"/>
  <c r="AT423" i="5" s="1"/>
  <c r="J423" i="5"/>
  <c r="BJ422" i="5"/>
  <c r="BH422" i="5"/>
  <c r="AD422" i="5" s="1"/>
  <c r="BF422" i="5"/>
  <c r="BD422" i="5"/>
  <c r="AW422" i="5"/>
  <c r="AP422" i="5"/>
  <c r="AO422" i="5"/>
  <c r="AL422" i="5"/>
  <c r="AJ422" i="5"/>
  <c r="AH422" i="5"/>
  <c r="AG422" i="5"/>
  <c r="AF422" i="5"/>
  <c r="AC422" i="5"/>
  <c r="AB422" i="5"/>
  <c r="Z422" i="5"/>
  <c r="J422" i="5"/>
  <c r="AK422" i="5" s="1"/>
  <c r="H422" i="5"/>
  <c r="BJ420" i="5"/>
  <c r="BI420" i="5"/>
  <c r="AE420" i="5" s="1"/>
  <c r="BH420" i="5"/>
  <c r="AD420" i="5" s="1"/>
  <c r="BF420" i="5"/>
  <c r="BD420" i="5"/>
  <c r="AX420" i="5"/>
  <c r="AW420" i="5"/>
  <c r="BC420" i="5" s="1"/>
  <c r="AP420" i="5"/>
  <c r="I420" i="5" s="1"/>
  <c r="AO420" i="5"/>
  <c r="AL420" i="5"/>
  <c r="AK420" i="5"/>
  <c r="AJ420" i="5"/>
  <c r="AH420" i="5"/>
  <c r="AG420" i="5"/>
  <c r="AF420" i="5"/>
  <c r="AC420" i="5"/>
  <c r="AB420" i="5"/>
  <c r="Z420" i="5"/>
  <c r="J420" i="5"/>
  <c r="H420" i="5"/>
  <c r="BJ419" i="5"/>
  <c r="BF419" i="5"/>
  <c r="BD419" i="5"/>
  <c r="AX419" i="5"/>
  <c r="AP419" i="5"/>
  <c r="BI419" i="5" s="1"/>
  <c r="AO419" i="5"/>
  <c r="AL419" i="5"/>
  <c r="AJ419" i="5"/>
  <c r="AH419" i="5"/>
  <c r="AG419" i="5"/>
  <c r="AF419" i="5"/>
  <c r="AE419" i="5"/>
  <c r="AC419" i="5"/>
  <c r="AB419" i="5"/>
  <c r="Z419" i="5"/>
  <c r="J419" i="5"/>
  <c r="AK419" i="5" s="1"/>
  <c r="I419" i="5"/>
  <c r="BJ418" i="5"/>
  <c r="BF418" i="5"/>
  <c r="BD418" i="5"/>
  <c r="AX418" i="5"/>
  <c r="AP418" i="5"/>
  <c r="BI418" i="5" s="1"/>
  <c r="AO418" i="5"/>
  <c r="H418" i="5" s="1"/>
  <c r="AL418" i="5"/>
  <c r="AJ418" i="5"/>
  <c r="AH418" i="5"/>
  <c r="AG418" i="5"/>
  <c r="AF418" i="5"/>
  <c r="AE418" i="5"/>
  <c r="AC418" i="5"/>
  <c r="AB418" i="5"/>
  <c r="Z418" i="5"/>
  <c r="J418" i="5"/>
  <c r="AK418" i="5" s="1"/>
  <c r="I418" i="5"/>
  <c r="BJ416" i="5"/>
  <c r="BH416" i="5"/>
  <c r="AD416" i="5" s="1"/>
  <c r="BF416" i="5"/>
  <c r="BD416" i="5"/>
  <c r="AW416" i="5"/>
  <c r="AP416" i="5"/>
  <c r="BI416" i="5" s="1"/>
  <c r="AO416" i="5"/>
  <c r="H416" i="5" s="1"/>
  <c r="AL416" i="5"/>
  <c r="AJ416" i="5"/>
  <c r="AH416" i="5"/>
  <c r="AG416" i="5"/>
  <c r="AF416" i="5"/>
  <c r="AE416" i="5"/>
  <c r="AC416" i="5"/>
  <c r="AB416" i="5"/>
  <c r="Z416" i="5"/>
  <c r="J416" i="5"/>
  <c r="AK416" i="5" s="1"/>
  <c r="I416" i="5"/>
  <c r="BJ414" i="5"/>
  <c r="BF414" i="5"/>
  <c r="BD414" i="5"/>
  <c r="AP414" i="5"/>
  <c r="AO414" i="5"/>
  <c r="AL414" i="5"/>
  <c r="AJ414" i="5"/>
  <c r="AH414" i="5"/>
  <c r="AG414" i="5"/>
  <c r="AF414" i="5"/>
  <c r="AC414" i="5"/>
  <c r="AB414" i="5"/>
  <c r="Z414" i="5"/>
  <c r="J414" i="5"/>
  <c r="AK414" i="5" s="1"/>
  <c r="H414" i="5"/>
  <c r="BJ412" i="5"/>
  <c r="BF412" i="5"/>
  <c r="BD412" i="5"/>
  <c r="AW412" i="5"/>
  <c r="AP412" i="5"/>
  <c r="AO412" i="5"/>
  <c r="BH412" i="5" s="1"/>
  <c r="AD412" i="5" s="1"/>
  <c r="AL412" i="5"/>
  <c r="AK412" i="5"/>
  <c r="AJ412" i="5"/>
  <c r="AH412" i="5"/>
  <c r="AG412" i="5"/>
  <c r="AF412" i="5"/>
  <c r="AC412" i="5"/>
  <c r="AB412" i="5"/>
  <c r="Z412" i="5"/>
  <c r="J412" i="5"/>
  <c r="BJ411" i="5"/>
  <c r="BI411" i="5"/>
  <c r="AE411" i="5" s="1"/>
  <c r="BF411" i="5"/>
  <c r="BD411" i="5"/>
  <c r="AP411" i="5"/>
  <c r="AX411" i="5" s="1"/>
  <c r="AO411" i="5"/>
  <c r="AL411" i="5"/>
  <c r="AJ411" i="5"/>
  <c r="AH411" i="5"/>
  <c r="AG411" i="5"/>
  <c r="AF411" i="5"/>
  <c r="AC411" i="5"/>
  <c r="AB411" i="5"/>
  <c r="Z411" i="5"/>
  <c r="J411" i="5"/>
  <c r="AK411" i="5" s="1"/>
  <c r="BJ410" i="5"/>
  <c r="BF410" i="5"/>
  <c r="BD410" i="5"/>
  <c r="AP410" i="5"/>
  <c r="AO410" i="5"/>
  <c r="H410" i="5" s="1"/>
  <c r="AL410" i="5"/>
  <c r="AJ410" i="5"/>
  <c r="AH410" i="5"/>
  <c r="AG410" i="5"/>
  <c r="AF410" i="5"/>
  <c r="AC410" i="5"/>
  <c r="AB410" i="5"/>
  <c r="Z410" i="5"/>
  <c r="J410" i="5"/>
  <c r="AK410" i="5" s="1"/>
  <c r="BJ408" i="5"/>
  <c r="BF408" i="5"/>
  <c r="BD408" i="5"/>
  <c r="AP408" i="5"/>
  <c r="I408" i="5" s="1"/>
  <c r="AO408" i="5"/>
  <c r="AL408" i="5"/>
  <c r="AJ408" i="5"/>
  <c r="AH408" i="5"/>
  <c r="AG408" i="5"/>
  <c r="AF408" i="5"/>
  <c r="AC408" i="5"/>
  <c r="AB408" i="5"/>
  <c r="Z408" i="5"/>
  <c r="J408" i="5"/>
  <c r="AK408" i="5" s="1"/>
  <c r="BJ406" i="5"/>
  <c r="BI406" i="5"/>
  <c r="AE406" i="5" s="1"/>
  <c r="BF406" i="5"/>
  <c r="BD406" i="5"/>
  <c r="AP406" i="5"/>
  <c r="AX406" i="5" s="1"/>
  <c r="AO406" i="5"/>
  <c r="AL406" i="5"/>
  <c r="AJ406" i="5"/>
  <c r="AH406" i="5"/>
  <c r="AG406" i="5"/>
  <c r="AF406" i="5"/>
  <c r="AC406" i="5"/>
  <c r="AB406" i="5"/>
  <c r="Z406" i="5"/>
  <c r="J406" i="5"/>
  <c r="AK406" i="5" s="1"/>
  <c r="I406" i="5"/>
  <c r="BJ404" i="5"/>
  <c r="BF404" i="5"/>
  <c r="BD404" i="5"/>
  <c r="AW404" i="5"/>
  <c r="AP404" i="5"/>
  <c r="AO404" i="5"/>
  <c r="BH404" i="5" s="1"/>
  <c r="AD404" i="5" s="1"/>
  <c r="AL404" i="5"/>
  <c r="AJ404" i="5"/>
  <c r="AH404" i="5"/>
  <c r="AG404" i="5"/>
  <c r="AF404" i="5"/>
  <c r="AC404" i="5"/>
  <c r="AB404" i="5"/>
  <c r="Z404" i="5"/>
  <c r="J404" i="5"/>
  <c r="AK404" i="5" s="1"/>
  <c r="H404" i="5"/>
  <c r="BJ402" i="5"/>
  <c r="BF402" i="5"/>
  <c r="BD402" i="5"/>
  <c r="AW402" i="5"/>
  <c r="AP402" i="5"/>
  <c r="AO402" i="5"/>
  <c r="BH402" i="5" s="1"/>
  <c r="AD402" i="5" s="1"/>
  <c r="AL402" i="5"/>
  <c r="AK402" i="5"/>
  <c r="AJ402" i="5"/>
  <c r="AH402" i="5"/>
  <c r="AG402" i="5"/>
  <c r="AF402" i="5"/>
  <c r="AC402" i="5"/>
  <c r="AB402" i="5"/>
  <c r="Z402" i="5"/>
  <c r="J402" i="5"/>
  <c r="H402" i="5"/>
  <c r="BJ399" i="5"/>
  <c r="BF399" i="5"/>
  <c r="BD399" i="5"/>
  <c r="AX399" i="5"/>
  <c r="AP399" i="5"/>
  <c r="BI399" i="5" s="1"/>
  <c r="AE399" i="5" s="1"/>
  <c r="AO399" i="5"/>
  <c r="AL399" i="5"/>
  <c r="AJ399" i="5"/>
  <c r="AH399" i="5"/>
  <c r="AG399" i="5"/>
  <c r="AF399" i="5"/>
  <c r="AC399" i="5"/>
  <c r="AB399" i="5"/>
  <c r="Z399" i="5"/>
  <c r="J399" i="5"/>
  <c r="AK399" i="5" s="1"/>
  <c r="I399" i="5"/>
  <c r="BJ396" i="5"/>
  <c r="BF396" i="5"/>
  <c r="BD396" i="5"/>
  <c r="AP396" i="5"/>
  <c r="AO396" i="5"/>
  <c r="H396" i="5" s="1"/>
  <c r="AL396" i="5"/>
  <c r="AJ396" i="5"/>
  <c r="AH396" i="5"/>
  <c r="AG396" i="5"/>
  <c r="AF396" i="5"/>
  <c r="AC396" i="5"/>
  <c r="AB396" i="5"/>
  <c r="Z396" i="5"/>
  <c r="J396" i="5"/>
  <c r="BJ394" i="5"/>
  <c r="BF394" i="5"/>
  <c r="BD394" i="5"/>
  <c r="AP394" i="5"/>
  <c r="I394" i="5" s="1"/>
  <c r="AO394" i="5"/>
  <c r="AW394" i="5" s="1"/>
  <c r="AL394" i="5"/>
  <c r="AJ394" i="5"/>
  <c r="AH394" i="5"/>
  <c r="AG394" i="5"/>
  <c r="AF394" i="5"/>
  <c r="AC394" i="5"/>
  <c r="AB394" i="5"/>
  <c r="Z394" i="5"/>
  <c r="J394" i="5"/>
  <c r="AK394" i="5" s="1"/>
  <c r="H394" i="5"/>
  <c r="BJ391" i="5"/>
  <c r="BF391" i="5"/>
  <c r="BD391" i="5"/>
  <c r="AP391" i="5"/>
  <c r="AO391" i="5"/>
  <c r="AL391" i="5"/>
  <c r="AJ391" i="5"/>
  <c r="AH391" i="5"/>
  <c r="AG391" i="5"/>
  <c r="AF391" i="5"/>
  <c r="AC391" i="5"/>
  <c r="AB391" i="5"/>
  <c r="Z391" i="5"/>
  <c r="J391" i="5"/>
  <c r="AK391" i="5" s="1"/>
  <c r="BJ389" i="5"/>
  <c r="BI389" i="5"/>
  <c r="AE389" i="5" s="1"/>
  <c r="BF389" i="5"/>
  <c r="BD389" i="5"/>
  <c r="AX389" i="5"/>
  <c r="AW389" i="5"/>
  <c r="AP389" i="5"/>
  <c r="I389" i="5" s="1"/>
  <c r="AO389" i="5"/>
  <c r="BH389" i="5" s="1"/>
  <c r="AD389" i="5" s="1"/>
  <c r="AL389" i="5"/>
  <c r="AJ389" i="5"/>
  <c r="AH389" i="5"/>
  <c r="AG389" i="5"/>
  <c r="AF389" i="5"/>
  <c r="AC389" i="5"/>
  <c r="AB389" i="5"/>
  <c r="Z389" i="5"/>
  <c r="J389" i="5"/>
  <c r="AK389" i="5" s="1"/>
  <c r="H389" i="5"/>
  <c r="BJ387" i="5"/>
  <c r="BH387" i="5"/>
  <c r="AD387" i="5" s="1"/>
  <c r="BF387" i="5"/>
  <c r="BD387" i="5"/>
  <c r="AX387" i="5"/>
  <c r="AV387" i="5" s="1"/>
  <c r="AW387" i="5"/>
  <c r="AP387" i="5"/>
  <c r="BI387" i="5" s="1"/>
  <c r="AO387" i="5"/>
  <c r="AL387" i="5"/>
  <c r="AK387" i="5"/>
  <c r="AJ387" i="5"/>
  <c r="AH387" i="5"/>
  <c r="AG387" i="5"/>
  <c r="AF387" i="5"/>
  <c r="AE387" i="5"/>
  <c r="AC387" i="5"/>
  <c r="AB387" i="5"/>
  <c r="Z387" i="5"/>
  <c r="J387" i="5"/>
  <c r="I387" i="5"/>
  <c r="H387" i="5"/>
  <c r="BJ385" i="5"/>
  <c r="BF385" i="5"/>
  <c r="BD385" i="5"/>
  <c r="AX385" i="5"/>
  <c r="AP385" i="5"/>
  <c r="BI385" i="5" s="1"/>
  <c r="AO385" i="5"/>
  <c r="AL385" i="5"/>
  <c r="AJ385" i="5"/>
  <c r="AH385" i="5"/>
  <c r="AG385" i="5"/>
  <c r="AF385" i="5"/>
  <c r="AE385" i="5"/>
  <c r="AC385" i="5"/>
  <c r="AB385" i="5"/>
  <c r="Z385" i="5"/>
  <c r="J385" i="5"/>
  <c r="AK385" i="5" s="1"/>
  <c r="I385" i="5"/>
  <c r="BJ383" i="5"/>
  <c r="BF383" i="5"/>
  <c r="BD383" i="5"/>
  <c r="AP383" i="5"/>
  <c r="AO383" i="5"/>
  <c r="H383" i="5" s="1"/>
  <c r="AL383" i="5"/>
  <c r="AJ383" i="5"/>
  <c r="AH383" i="5"/>
  <c r="AG383" i="5"/>
  <c r="AF383" i="5"/>
  <c r="AC383" i="5"/>
  <c r="AB383" i="5"/>
  <c r="Z383" i="5"/>
  <c r="J383" i="5"/>
  <c r="AK383" i="5" s="1"/>
  <c r="BJ382" i="5"/>
  <c r="BF382" i="5"/>
  <c r="BD382" i="5"/>
  <c r="AP382" i="5"/>
  <c r="I382" i="5" s="1"/>
  <c r="AO382" i="5"/>
  <c r="AW382" i="5" s="1"/>
  <c r="AL382" i="5"/>
  <c r="AJ382" i="5"/>
  <c r="AH382" i="5"/>
  <c r="AG382" i="5"/>
  <c r="AF382" i="5"/>
  <c r="AC382" i="5"/>
  <c r="AB382" i="5"/>
  <c r="Z382" i="5"/>
  <c r="J382" i="5"/>
  <c r="AK382" i="5" s="1"/>
  <c r="H382" i="5"/>
  <c r="BJ380" i="5"/>
  <c r="BI380" i="5"/>
  <c r="AE380" i="5" s="1"/>
  <c r="BF380" i="5"/>
  <c r="BD380" i="5"/>
  <c r="AW380" i="5"/>
  <c r="AP380" i="5"/>
  <c r="AX380" i="5" s="1"/>
  <c r="AO380" i="5"/>
  <c r="H380" i="5" s="1"/>
  <c r="AL380" i="5"/>
  <c r="AJ380" i="5"/>
  <c r="AH380" i="5"/>
  <c r="AG380" i="5"/>
  <c r="AF380" i="5"/>
  <c r="AC380" i="5"/>
  <c r="AB380" i="5"/>
  <c r="Z380" i="5"/>
  <c r="J380" i="5"/>
  <c r="AK380" i="5" s="1"/>
  <c r="I380" i="5"/>
  <c r="BJ379" i="5"/>
  <c r="BI379" i="5"/>
  <c r="AE379" i="5" s="1"/>
  <c r="BF379" i="5"/>
  <c r="BD379" i="5"/>
  <c r="AX379" i="5"/>
  <c r="AP379" i="5"/>
  <c r="I379" i="5" s="1"/>
  <c r="AO379" i="5"/>
  <c r="BH379" i="5" s="1"/>
  <c r="AD379" i="5" s="1"/>
  <c r="AL379" i="5"/>
  <c r="AK379" i="5"/>
  <c r="AJ379" i="5"/>
  <c r="AH379" i="5"/>
  <c r="AG379" i="5"/>
  <c r="AF379" i="5"/>
  <c r="AC379" i="5"/>
  <c r="AB379" i="5"/>
  <c r="Z379" i="5"/>
  <c r="J379" i="5"/>
  <c r="H379" i="5"/>
  <c r="BJ377" i="5"/>
  <c r="BF377" i="5"/>
  <c r="BD377" i="5"/>
  <c r="AP377" i="5"/>
  <c r="BI377" i="5" s="1"/>
  <c r="AE377" i="5" s="1"/>
  <c r="AO377" i="5"/>
  <c r="AL377" i="5"/>
  <c r="AJ377" i="5"/>
  <c r="AH377" i="5"/>
  <c r="AG377" i="5"/>
  <c r="AF377" i="5"/>
  <c r="AC377" i="5"/>
  <c r="AB377" i="5"/>
  <c r="Z377" i="5"/>
  <c r="J377" i="5"/>
  <c r="AK377" i="5" s="1"/>
  <c r="I377" i="5"/>
  <c r="BJ376" i="5"/>
  <c r="BF376" i="5"/>
  <c r="BD376" i="5"/>
  <c r="AX376" i="5"/>
  <c r="AP376" i="5"/>
  <c r="BI376" i="5" s="1"/>
  <c r="AE376" i="5" s="1"/>
  <c r="AO376" i="5"/>
  <c r="AL376" i="5"/>
  <c r="AJ376" i="5"/>
  <c r="AH376" i="5"/>
  <c r="AG376" i="5"/>
  <c r="AF376" i="5"/>
  <c r="AC376" i="5"/>
  <c r="AB376" i="5"/>
  <c r="Z376" i="5"/>
  <c r="J376" i="5"/>
  <c r="AK376" i="5" s="1"/>
  <c r="I376" i="5"/>
  <c r="BJ374" i="5"/>
  <c r="BF374" i="5"/>
  <c r="BD374" i="5"/>
  <c r="AP374" i="5"/>
  <c r="AO374" i="5"/>
  <c r="H374" i="5" s="1"/>
  <c r="AL374" i="5"/>
  <c r="AJ374" i="5"/>
  <c r="AH374" i="5"/>
  <c r="AG374" i="5"/>
  <c r="AF374" i="5"/>
  <c r="AC374" i="5"/>
  <c r="AB374" i="5"/>
  <c r="Z374" i="5"/>
  <c r="J374" i="5"/>
  <c r="AK374" i="5" s="1"/>
  <c r="BJ373" i="5"/>
  <c r="BF373" i="5"/>
  <c r="BD373" i="5"/>
  <c r="AP373" i="5"/>
  <c r="I373" i="5" s="1"/>
  <c r="AO373" i="5"/>
  <c r="AW373" i="5" s="1"/>
  <c r="AL373" i="5"/>
  <c r="AJ373" i="5"/>
  <c r="AH373" i="5"/>
  <c r="AG373" i="5"/>
  <c r="AF373" i="5"/>
  <c r="AC373" i="5"/>
  <c r="AB373" i="5"/>
  <c r="Z373" i="5"/>
  <c r="J373" i="5"/>
  <c r="AK373" i="5" s="1"/>
  <c r="H373" i="5"/>
  <c r="BJ371" i="5"/>
  <c r="BF371" i="5"/>
  <c r="BD371" i="5"/>
  <c r="AP371" i="5"/>
  <c r="AX371" i="5" s="1"/>
  <c r="AO371" i="5"/>
  <c r="AL371" i="5"/>
  <c r="AJ371" i="5"/>
  <c r="AH371" i="5"/>
  <c r="AG371" i="5"/>
  <c r="AF371" i="5"/>
  <c r="AC371" i="5"/>
  <c r="AB371" i="5"/>
  <c r="Z371" i="5"/>
  <c r="J371" i="5"/>
  <c r="AK371" i="5" s="1"/>
  <c r="BJ369" i="5"/>
  <c r="BI369" i="5"/>
  <c r="AE369" i="5" s="1"/>
  <c r="BF369" i="5"/>
  <c r="BD369" i="5"/>
  <c r="AW369" i="5"/>
  <c r="AP369" i="5"/>
  <c r="I369" i="5" s="1"/>
  <c r="AO369" i="5"/>
  <c r="BH369" i="5" s="1"/>
  <c r="AD369" i="5" s="1"/>
  <c r="AL369" i="5"/>
  <c r="AJ369" i="5"/>
  <c r="AH369" i="5"/>
  <c r="AG369" i="5"/>
  <c r="AF369" i="5"/>
  <c r="AC369" i="5"/>
  <c r="AB369" i="5"/>
  <c r="Z369" i="5"/>
  <c r="J369" i="5"/>
  <c r="AK369" i="5" s="1"/>
  <c r="H369" i="5"/>
  <c r="BJ367" i="5"/>
  <c r="BF367" i="5"/>
  <c r="BD367" i="5"/>
  <c r="AP367" i="5"/>
  <c r="AO367" i="5"/>
  <c r="BH367" i="5" s="1"/>
  <c r="AD367" i="5" s="1"/>
  <c r="AL367" i="5"/>
  <c r="AJ367" i="5"/>
  <c r="AH367" i="5"/>
  <c r="AG367" i="5"/>
  <c r="AF367" i="5"/>
  <c r="AC367" i="5"/>
  <c r="AB367" i="5"/>
  <c r="Z367" i="5"/>
  <c r="J367" i="5"/>
  <c r="AK367" i="5" s="1"/>
  <c r="BJ365" i="5"/>
  <c r="BF365" i="5"/>
  <c r="BD365" i="5"/>
  <c r="AX365" i="5"/>
  <c r="AP365" i="5"/>
  <c r="BI365" i="5" s="1"/>
  <c r="AO365" i="5"/>
  <c r="AL365" i="5"/>
  <c r="AJ365" i="5"/>
  <c r="AH365" i="5"/>
  <c r="AG365" i="5"/>
  <c r="AF365" i="5"/>
  <c r="AE365" i="5"/>
  <c r="AC365" i="5"/>
  <c r="AB365" i="5"/>
  <c r="Z365" i="5"/>
  <c r="J365" i="5"/>
  <c r="AK365" i="5" s="1"/>
  <c r="I365" i="5"/>
  <c r="BJ363" i="5"/>
  <c r="BF363" i="5"/>
  <c r="BD363" i="5"/>
  <c r="AP363" i="5"/>
  <c r="AO363" i="5"/>
  <c r="AL363" i="5"/>
  <c r="AJ363" i="5"/>
  <c r="AH363" i="5"/>
  <c r="AG363" i="5"/>
  <c r="AF363" i="5"/>
  <c r="AC363" i="5"/>
  <c r="AB363" i="5"/>
  <c r="Z363" i="5"/>
  <c r="J363" i="5"/>
  <c r="AK363" i="5" s="1"/>
  <c r="BJ361" i="5"/>
  <c r="BF361" i="5"/>
  <c r="BD361" i="5"/>
  <c r="AP361" i="5"/>
  <c r="AO361" i="5"/>
  <c r="AW361" i="5" s="1"/>
  <c r="AL361" i="5"/>
  <c r="AJ361" i="5"/>
  <c r="AH361" i="5"/>
  <c r="AG361" i="5"/>
  <c r="AF361" i="5"/>
  <c r="AC361" i="5"/>
  <c r="AB361" i="5"/>
  <c r="Z361" i="5"/>
  <c r="J361" i="5"/>
  <c r="AK361" i="5" s="1"/>
  <c r="H361" i="5"/>
  <c r="BJ359" i="5"/>
  <c r="BF359" i="5"/>
  <c r="BD359" i="5"/>
  <c r="AP359" i="5"/>
  <c r="AX359" i="5" s="1"/>
  <c r="AO359" i="5"/>
  <c r="AL359" i="5"/>
  <c r="AJ359" i="5"/>
  <c r="AH359" i="5"/>
  <c r="AG359" i="5"/>
  <c r="AF359" i="5"/>
  <c r="AC359" i="5"/>
  <c r="AB359" i="5"/>
  <c r="Z359" i="5"/>
  <c r="J359" i="5"/>
  <c r="AK359" i="5" s="1"/>
  <c r="BJ357" i="5"/>
  <c r="BF357" i="5"/>
  <c r="BD357" i="5"/>
  <c r="AP357" i="5"/>
  <c r="I357" i="5" s="1"/>
  <c r="AO357" i="5"/>
  <c r="BH357" i="5" s="1"/>
  <c r="AL357" i="5"/>
  <c r="AJ357" i="5"/>
  <c r="AH357" i="5"/>
  <c r="AG357" i="5"/>
  <c r="AF357" i="5"/>
  <c r="AD357" i="5"/>
  <c r="AC357" i="5"/>
  <c r="AB357" i="5"/>
  <c r="Z357" i="5"/>
  <c r="J357" i="5"/>
  <c r="AK357" i="5" s="1"/>
  <c r="BJ355" i="5"/>
  <c r="BH355" i="5"/>
  <c r="AD355" i="5" s="1"/>
  <c r="BF355" i="5"/>
  <c r="BD355" i="5"/>
  <c r="AX355" i="5"/>
  <c r="AV355" i="5" s="1"/>
  <c r="AW355" i="5"/>
  <c r="AP355" i="5"/>
  <c r="BI355" i="5" s="1"/>
  <c r="AO355" i="5"/>
  <c r="AL355" i="5"/>
  <c r="AK355" i="5"/>
  <c r="AJ355" i="5"/>
  <c r="AH355" i="5"/>
  <c r="AG355" i="5"/>
  <c r="AF355" i="5"/>
  <c r="AE355" i="5"/>
  <c r="AC355" i="5"/>
  <c r="AB355" i="5"/>
  <c r="Z355" i="5"/>
  <c r="J355" i="5"/>
  <c r="I355" i="5"/>
  <c r="H355" i="5"/>
  <c r="BJ353" i="5"/>
  <c r="BF353" i="5"/>
  <c r="BD353" i="5"/>
  <c r="AP353" i="5"/>
  <c r="AX353" i="5" s="1"/>
  <c r="AO353" i="5"/>
  <c r="H353" i="5" s="1"/>
  <c r="AL353" i="5"/>
  <c r="AJ353" i="5"/>
  <c r="AH353" i="5"/>
  <c r="AG353" i="5"/>
  <c r="AF353" i="5"/>
  <c r="AC353" i="5"/>
  <c r="AB353" i="5"/>
  <c r="Z353" i="5"/>
  <c r="J353" i="5"/>
  <c r="AK353" i="5" s="1"/>
  <c r="I353" i="5"/>
  <c r="BJ350" i="5"/>
  <c r="BF350" i="5"/>
  <c r="BD350" i="5"/>
  <c r="AP350" i="5"/>
  <c r="AX350" i="5" s="1"/>
  <c r="AO350" i="5"/>
  <c r="AL350" i="5"/>
  <c r="AJ350" i="5"/>
  <c r="AH350" i="5"/>
  <c r="AG350" i="5"/>
  <c r="AF350" i="5"/>
  <c r="AC350" i="5"/>
  <c r="AB350" i="5"/>
  <c r="Z350" i="5"/>
  <c r="J350" i="5"/>
  <c r="AK350" i="5" s="1"/>
  <c r="BJ348" i="5"/>
  <c r="BF348" i="5"/>
  <c r="BD348" i="5"/>
  <c r="AX348" i="5"/>
  <c r="BC348" i="5" s="1"/>
  <c r="AP348" i="5"/>
  <c r="BI348" i="5" s="1"/>
  <c r="AO348" i="5"/>
  <c r="AW348" i="5" s="1"/>
  <c r="AL348" i="5"/>
  <c r="AK348" i="5"/>
  <c r="AJ348" i="5"/>
  <c r="AH348" i="5"/>
  <c r="AG348" i="5"/>
  <c r="AF348" i="5"/>
  <c r="AE348" i="5"/>
  <c r="AC348" i="5"/>
  <c r="AB348" i="5"/>
  <c r="Z348" i="5"/>
  <c r="J348" i="5"/>
  <c r="H348" i="5"/>
  <c r="BJ346" i="5"/>
  <c r="BF346" i="5"/>
  <c r="BD346" i="5"/>
  <c r="AP346" i="5"/>
  <c r="BI346" i="5" s="1"/>
  <c r="AE346" i="5" s="1"/>
  <c r="AO346" i="5"/>
  <c r="AW346" i="5" s="1"/>
  <c r="AL346" i="5"/>
  <c r="AJ346" i="5"/>
  <c r="AH346" i="5"/>
  <c r="AG346" i="5"/>
  <c r="AF346" i="5"/>
  <c r="AC346" i="5"/>
  <c r="AB346" i="5"/>
  <c r="Z346" i="5"/>
  <c r="J346" i="5"/>
  <c r="AK346" i="5" s="1"/>
  <c r="BJ345" i="5"/>
  <c r="BF345" i="5"/>
  <c r="BD345" i="5"/>
  <c r="AP345" i="5"/>
  <c r="AX345" i="5" s="1"/>
  <c r="AO345" i="5"/>
  <c r="AL345" i="5"/>
  <c r="AJ345" i="5"/>
  <c r="AH345" i="5"/>
  <c r="AG345" i="5"/>
  <c r="AF345" i="5"/>
  <c r="AC345" i="5"/>
  <c r="AB345" i="5"/>
  <c r="Z345" i="5"/>
  <c r="J345" i="5"/>
  <c r="BJ344" i="5"/>
  <c r="BF344" i="5"/>
  <c r="BD344" i="5"/>
  <c r="AW344" i="5"/>
  <c r="AP344" i="5"/>
  <c r="AO344" i="5"/>
  <c r="H344" i="5" s="1"/>
  <c r="AL344" i="5"/>
  <c r="AJ344" i="5"/>
  <c r="AH344" i="5"/>
  <c r="AG344" i="5"/>
  <c r="AF344" i="5"/>
  <c r="AC344" i="5"/>
  <c r="AB344" i="5"/>
  <c r="Z344" i="5"/>
  <c r="J344" i="5"/>
  <c r="AK344" i="5" s="1"/>
  <c r="BJ343" i="5"/>
  <c r="BH343" i="5"/>
  <c r="AD343" i="5" s="1"/>
  <c r="BF343" i="5"/>
  <c r="BD343" i="5"/>
  <c r="AW343" i="5"/>
  <c r="AP343" i="5"/>
  <c r="I343" i="5" s="1"/>
  <c r="AO343" i="5"/>
  <c r="AL343" i="5"/>
  <c r="AJ343" i="5"/>
  <c r="AH343" i="5"/>
  <c r="AG343" i="5"/>
  <c r="AF343" i="5"/>
  <c r="AC343" i="5"/>
  <c r="AB343" i="5"/>
  <c r="Z343" i="5"/>
  <c r="J343" i="5"/>
  <c r="AK343" i="5" s="1"/>
  <c r="H343" i="5"/>
  <c r="BJ342" i="5"/>
  <c r="BH342" i="5"/>
  <c r="AD342" i="5" s="1"/>
  <c r="BF342" i="5"/>
  <c r="BD342" i="5"/>
  <c r="AW342" i="5"/>
  <c r="AP342" i="5"/>
  <c r="I342" i="5" s="1"/>
  <c r="AO342" i="5"/>
  <c r="AL342" i="5"/>
  <c r="AK342" i="5"/>
  <c r="AJ342" i="5"/>
  <c r="AH342" i="5"/>
  <c r="AG342" i="5"/>
  <c r="AF342" i="5"/>
  <c r="AC342" i="5"/>
  <c r="AB342" i="5"/>
  <c r="Z342" i="5"/>
  <c r="J342" i="5"/>
  <c r="H342" i="5"/>
  <c r="BJ341" i="5"/>
  <c r="BF341" i="5"/>
  <c r="BD341" i="5"/>
  <c r="AX341" i="5"/>
  <c r="AP341" i="5"/>
  <c r="BI341" i="5" s="1"/>
  <c r="AE341" i="5" s="1"/>
  <c r="AO341" i="5"/>
  <c r="BH341" i="5" s="1"/>
  <c r="AL341" i="5"/>
  <c r="AK341" i="5"/>
  <c r="AJ341" i="5"/>
  <c r="AH341" i="5"/>
  <c r="AG341" i="5"/>
  <c r="AF341" i="5"/>
  <c r="AD341" i="5"/>
  <c r="AC341" i="5"/>
  <c r="AB341" i="5"/>
  <c r="Z341" i="5"/>
  <c r="J341" i="5"/>
  <c r="H341" i="5"/>
  <c r="BJ340" i="5"/>
  <c r="BF340" i="5"/>
  <c r="BD340" i="5"/>
  <c r="AP340" i="5"/>
  <c r="BI340" i="5" s="1"/>
  <c r="AE340" i="5" s="1"/>
  <c r="AO340" i="5"/>
  <c r="AW340" i="5" s="1"/>
  <c r="AL340" i="5"/>
  <c r="AJ340" i="5"/>
  <c r="AH340" i="5"/>
  <c r="AG340" i="5"/>
  <c r="AF340" i="5"/>
  <c r="AC340" i="5"/>
  <c r="AB340" i="5"/>
  <c r="Z340" i="5"/>
  <c r="J340" i="5"/>
  <c r="AK340" i="5" s="1"/>
  <c r="I340" i="5"/>
  <c r="BJ337" i="5"/>
  <c r="BF337" i="5"/>
  <c r="BD337" i="5"/>
  <c r="AP337" i="5"/>
  <c r="AX337" i="5" s="1"/>
  <c r="AO337" i="5"/>
  <c r="AL337" i="5"/>
  <c r="AJ337" i="5"/>
  <c r="AH337" i="5"/>
  <c r="AG337" i="5"/>
  <c r="AF337" i="5"/>
  <c r="AC337" i="5"/>
  <c r="AB337" i="5"/>
  <c r="Z337" i="5"/>
  <c r="J337" i="5"/>
  <c r="AK337" i="5" s="1"/>
  <c r="BJ335" i="5"/>
  <c r="BH335" i="5"/>
  <c r="AD335" i="5" s="1"/>
  <c r="BF335" i="5"/>
  <c r="BD335" i="5"/>
  <c r="AP335" i="5"/>
  <c r="AO335" i="5"/>
  <c r="H335" i="5" s="1"/>
  <c r="AL335" i="5"/>
  <c r="AJ335" i="5"/>
  <c r="AH335" i="5"/>
  <c r="AG335" i="5"/>
  <c r="AF335" i="5"/>
  <c r="AC335" i="5"/>
  <c r="AB335" i="5"/>
  <c r="Z335" i="5"/>
  <c r="J335" i="5"/>
  <c r="AK335" i="5" s="1"/>
  <c r="BJ333" i="5"/>
  <c r="BI333" i="5"/>
  <c r="AE333" i="5" s="1"/>
  <c r="BF333" i="5"/>
  <c r="BD333" i="5"/>
  <c r="AX333" i="5"/>
  <c r="AP333" i="5"/>
  <c r="I333" i="5" s="1"/>
  <c r="AO333" i="5"/>
  <c r="AL333" i="5"/>
  <c r="AJ333" i="5"/>
  <c r="AH333" i="5"/>
  <c r="AG333" i="5"/>
  <c r="AF333" i="5"/>
  <c r="AC333" i="5"/>
  <c r="AB333" i="5"/>
  <c r="Z333" i="5"/>
  <c r="J333" i="5"/>
  <c r="AK333" i="5" s="1"/>
  <c r="BJ331" i="5"/>
  <c r="BI331" i="5"/>
  <c r="AE331" i="5" s="1"/>
  <c r="BF331" i="5"/>
  <c r="BD331" i="5"/>
  <c r="AX331" i="5"/>
  <c r="AP331" i="5"/>
  <c r="AO331" i="5"/>
  <c r="AL331" i="5"/>
  <c r="AJ331" i="5"/>
  <c r="AH331" i="5"/>
  <c r="AG331" i="5"/>
  <c r="AF331" i="5"/>
  <c r="AC331" i="5"/>
  <c r="AB331" i="5"/>
  <c r="Z331" i="5"/>
  <c r="J331" i="5"/>
  <c r="AK331" i="5" s="1"/>
  <c r="I331" i="5"/>
  <c r="BJ329" i="5"/>
  <c r="BF329" i="5"/>
  <c r="BD329" i="5"/>
  <c r="AX329" i="5"/>
  <c r="AP329" i="5"/>
  <c r="BI329" i="5" s="1"/>
  <c r="AE329" i="5" s="1"/>
  <c r="AO329" i="5"/>
  <c r="AL329" i="5"/>
  <c r="AJ329" i="5"/>
  <c r="AH329" i="5"/>
  <c r="AG329" i="5"/>
  <c r="AF329" i="5"/>
  <c r="AC329" i="5"/>
  <c r="AB329" i="5"/>
  <c r="Z329" i="5"/>
  <c r="J329" i="5"/>
  <c r="AK329" i="5" s="1"/>
  <c r="I329" i="5"/>
  <c r="BJ328" i="5"/>
  <c r="BF328" i="5"/>
  <c r="BD328" i="5"/>
  <c r="AP328" i="5"/>
  <c r="BI328" i="5" s="1"/>
  <c r="AE328" i="5" s="1"/>
  <c r="AO328" i="5"/>
  <c r="AW328" i="5" s="1"/>
  <c r="AL328" i="5"/>
  <c r="AJ328" i="5"/>
  <c r="AH328" i="5"/>
  <c r="AG328" i="5"/>
  <c r="AF328" i="5"/>
  <c r="AC328" i="5"/>
  <c r="AB328" i="5"/>
  <c r="Z328" i="5"/>
  <c r="J328" i="5"/>
  <c r="AK328" i="5" s="1"/>
  <c r="I328" i="5"/>
  <c r="BJ326" i="5"/>
  <c r="BF326" i="5"/>
  <c r="BD326" i="5"/>
  <c r="AP326" i="5"/>
  <c r="AX326" i="5" s="1"/>
  <c r="AO326" i="5"/>
  <c r="AL326" i="5"/>
  <c r="AJ326" i="5"/>
  <c r="AH326" i="5"/>
  <c r="AG326" i="5"/>
  <c r="AF326" i="5"/>
  <c r="AC326" i="5"/>
  <c r="AB326" i="5"/>
  <c r="Z326" i="5"/>
  <c r="J326" i="5"/>
  <c r="AK326" i="5" s="1"/>
  <c r="BJ323" i="5"/>
  <c r="BH323" i="5"/>
  <c r="AD323" i="5" s="1"/>
  <c r="BF323" i="5"/>
  <c r="BD323" i="5"/>
  <c r="AP323" i="5"/>
  <c r="AO323" i="5"/>
  <c r="H323" i="5" s="1"/>
  <c r="AL323" i="5"/>
  <c r="AJ323" i="5"/>
  <c r="AH323" i="5"/>
  <c r="AG323" i="5"/>
  <c r="AF323" i="5"/>
  <c r="AC323" i="5"/>
  <c r="AB323" i="5"/>
  <c r="Z323" i="5"/>
  <c r="J323" i="5"/>
  <c r="AK323" i="5" s="1"/>
  <c r="BJ320" i="5"/>
  <c r="BI320" i="5"/>
  <c r="AE320" i="5" s="1"/>
  <c r="BF320" i="5"/>
  <c r="BD320" i="5"/>
  <c r="AX320" i="5"/>
  <c r="AP320" i="5"/>
  <c r="I320" i="5" s="1"/>
  <c r="AO320" i="5"/>
  <c r="AL320" i="5"/>
  <c r="AJ320" i="5"/>
  <c r="AH320" i="5"/>
  <c r="AG320" i="5"/>
  <c r="AF320" i="5"/>
  <c r="AC320" i="5"/>
  <c r="AB320" i="5"/>
  <c r="Z320" i="5"/>
  <c r="J320" i="5"/>
  <c r="AK320" i="5" s="1"/>
  <c r="BJ318" i="5"/>
  <c r="BI318" i="5"/>
  <c r="AE318" i="5" s="1"/>
  <c r="BF318" i="5"/>
  <c r="BD318" i="5"/>
  <c r="AX318" i="5"/>
  <c r="AP318" i="5"/>
  <c r="AO318" i="5"/>
  <c r="AL318" i="5"/>
  <c r="AJ318" i="5"/>
  <c r="AH318" i="5"/>
  <c r="AG318" i="5"/>
  <c r="AF318" i="5"/>
  <c r="AC318" i="5"/>
  <c r="AB318" i="5"/>
  <c r="Z318" i="5"/>
  <c r="J318" i="5"/>
  <c r="AK318" i="5" s="1"/>
  <c r="I318" i="5"/>
  <c r="H318" i="5"/>
  <c r="BJ316" i="5"/>
  <c r="BF316" i="5"/>
  <c r="BD316" i="5"/>
  <c r="AX316" i="5"/>
  <c r="AP316" i="5"/>
  <c r="BI316" i="5" s="1"/>
  <c r="AE316" i="5" s="1"/>
  <c r="AO316" i="5"/>
  <c r="AL316" i="5"/>
  <c r="AJ316" i="5"/>
  <c r="AH316" i="5"/>
  <c r="AG316" i="5"/>
  <c r="AF316" i="5"/>
  <c r="AC316" i="5"/>
  <c r="AB316" i="5"/>
  <c r="Z316" i="5"/>
  <c r="J316" i="5"/>
  <c r="AK316" i="5" s="1"/>
  <c r="I316" i="5"/>
  <c r="BJ314" i="5"/>
  <c r="BF314" i="5"/>
  <c r="BD314" i="5"/>
  <c r="AP314" i="5"/>
  <c r="BI314" i="5" s="1"/>
  <c r="AE314" i="5" s="1"/>
  <c r="AO314" i="5"/>
  <c r="AW314" i="5" s="1"/>
  <c r="AL314" i="5"/>
  <c r="AU310" i="5" s="1"/>
  <c r="AJ314" i="5"/>
  <c r="AS310" i="5" s="1"/>
  <c r="AH314" i="5"/>
  <c r="AG314" i="5"/>
  <c r="AF314" i="5"/>
  <c r="AC314" i="5"/>
  <c r="AB314" i="5"/>
  <c r="Z314" i="5"/>
  <c r="J314" i="5"/>
  <c r="AK314" i="5" s="1"/>
  <c r="I314" i="5"/>
  <c r="BJ313" i="5"/>
  <c r="BF313" i="5"/>
  <c r="BD313" i="5"/>
  <c r="AP313" i="5"/>
  <c r="AX313" i="5" s="1"/>
  <c r="AO313" i="5"/>
  <c r="AL313" i="5"/>
  <c r="AJ313" i="5"/>
  <c r="AH313" i="5"/>
  <c r="AG313" i="5"/>
  <c r="AF313" i="5"/>
  <c r="AC313" i="5"/>
  <c r="AB313" i="5"/>
  <c r="Z313" i="5"/>
  <c r="J313" i="5"/>
  <c r="BJ311" i="5"/>
  <c r="BH311" i="5"/>
  <c r="AD311" i="5" s="1"/>
  <c r="BF311" i="5"/>
  <c r="BD311" i="5"/>
  <c r="AW311" i="5"/>
  <c r="AP311" i="5"/>
  <c r="AO311" i="5"/>
  <c r="H311" i="5" s="1"/>
  <c r="AL311" i="5"/>
  <c r="AJ311" i="5"/>
  <c r="AH311" i="5"/>
  <c r="AG311" i="5"/>
  <c r="AF311" i="5"/>
  <c r="AC311" i="5"/>
  <c r="AB311" i="5"/>
  <c r="Z311" i="5"/>
  <c r="J311" i="5"/>
  <c r="AK311" i="5" s="1"/>
  <c r="BJ308" i="5"/>
  <c r="BF308" i="5"/>
  <c r="BD308" i="5"/>
  <c r="AP308" i="5"/>
  <c r="AO308" i="5"/>
  <c r="BH308" i="5" s="1"/>
  <c r="AD308" i="5" s="1"/>
  <c r="AL308" i="5"/>
  <c r="AJ308" i="5"/>
  <c r="AH308" i="5"/>
  <c r="AG308" i="5"/>
  <c r="AF308" i="5"/>
  <c r="AC308" i="5"/>
  <c r="AB308" i="5"/>
  <c r="Z308" i="5"/>
  <c r="J308" i="5"/>
  <c r="AK308" i="5" s="1"/>
  <c r="H308" i="5"/>
  <c r="BJ306" i="5"/>
  <c r="BH306" i="5"/>
  <c r="BF306" i="5"/>
  <c r="BD306" i="5"/>
  <c r="AW306" i="5"/>
  <c r="AP306" i="5"/>
  <c r="AO306" i="5"/>
  <c r="AL306" i="5"/>
  <c r="AK306" i="5"/>
  <c r="AJ306" i="5"/>
  <c r="AH306" i="5"/>
  <c r="AG306" i="5"/>
  <c r="AF306" i="5"/>
  <c r="AD306" i="5"/>
  <c r="AC306" i="5"/>
  <c r="AB306" i="5"/>
  <c r="Z306" i="5"/>
  <c r="J306" i="5"/>
  <c r="H306" i="5"/>
  <c r="BJ304" i="5"/>
  <c r="BF304" i="5"/>
  <c r="BD304" i="5"/>
  <c r="AX304" i="5"/>
  <c r="AP304" i="5"/>
  <c r="I304" i="5" s="1"/>
  <c r="AO304" i="5"/>
  <c r="BH304" i="5" s="1"/>
  <c r="AD304" i="5" s="1"/>
  <c r="AL304" i="5"/>
  <c r="AK304" i="5"/>
  <c r="AJ304" i="5"/>
  <c r="AH304" i="5"/>
  <c r="AG304" i="5"/>
  <c r="AF304" i="5"/>
  <c r="AC304" i="5"/>
  <c r="AB304" i="5"/>
  <c r="Z304" i="5"/>
  <c r="J304" i="5"/>
  <c r="H304" i="5"/>
  <c r="BJ302" i="5"/>
  <c r="BF302" i="5"/>
  <c r="BD302" i="5"/>
  <c r="AP302" i="5"/>
  <c r="BI302" i="5" s="1"/>
  <c r="AE302" i="5" s="1"/>
  <c r="AO302" i="5"/>
  <c r="AW302" i="5" s="1"/>
  <c r="AL302" i="5"/>
  <c r="AJ302" i="5"/>
  <c r="AH302" i="5"/>
  <c r="AG302" i="5"/>
  <c r="AF302" i="5"/>
  <c r="AC302" i="5"/>
  <c r="AB302" i="5"/>
  <c r="Z302" i="5"/>
  <c r="J302" i="5"/>
  <c r="AK302" i="5" s="1"/>
  <c r="I302" i="5"/>
  <c r="BJ301" i="5"/>
  <c r="BF301" i="5"/>
  <c r="BD301" i="5"/>
  <c r="AP301" i="5"/>
  <c r="AX301" i="5" s="1"/>
  <c r="AO301" i="5"/>
  <c r="AL301" i="5"/>
  <c r="AJ301" i="5"/>
  <c r="AH301" i="5"/>
  <c r="AG301" i="5"/>
  <c r="AF301" i="5"/>
  <c r="AC301" i="5"/>
  <c r="AB301" i="5"/>
  <c r="Z301" i="5"/>
  <c r="J301" i="5"/>
  <c r="AK301" i="5" s="1"/>
  <c r="BJ299" i="5"/>
  <c r="BF299" i="5"/>
  <c r="BD299" i="5"/>
  <c r="AW299" i="5"/>
  <c r="AP299" i="5"/>
  <c r="AO299" i="5"/>
  <c r="H299" i="5" s="1"/>
  <c r="AL299" i="5"/>
  <c r="AJ299" i="5"/>
  <c r="AH299" i="5"/>
  <c r="AG299" i="5"/>
  <c r="AF299" i="5"/>
  <c r="AC299" i="5"/>
  <c r="AB299" i="5"/>
  <c r="Z299" i="5"/>
  <c r="J299" i="5"/>
  <c r="AK299" i="5" s="1"/>
  <c r="BJ297" i="5"/>
  <c r="BF297" i="5"/>
  <c r="BD297" i="5"/>
  <c r="AW297" i="5"/>
  <c r="AP297" i="5"/>
  <c r="AO297" i="5"/>
  <c r="BH297" i="5" s="1"/>
  <c r="AD297" i="5" s="1"/>
  <c r="AL297" i="5"/>
  <c r="AJ297" i="5"/>
  <c r="AH297" i="5"/>
  <c r="AG297" i="5"/>
  <c r="AF297" i="5"/>
  <c r="AC297" i="5"/>
  <c r="AB297" i="5"/>
  <c r="Z297" i="5"/>
  <c r="J297" i="5"/>
  <c r="AK297" i="5" s="1"/>
  <c r="H297" i="5"/>
  <c r="BJ295" i="5"/>
  <c r="BH295" i="5"/>
  <c r="BF295" i="5"/>
  <c r="BD295" i="5"/>
  <c r="AW295" i="5"/>
  <c r="AP295" i="5"/>
  <c r="AO295" i="5"/>
  <c r="AL295" i="5"/>
  <c r="AK295" i="5"/>
  <c r="AJ295" i="5"/>
  <c r="AH295" i="5"/>
  <c r="AG295" i="5"/>
  <c r="AF295" i="5"/>
  <c r="AD295" i="5"/>
  <c r="AC295" i="5"/>
  <c r="AB295" i="5"/>
  <c r="Z295" i="5"/>
  <c r="J295" i="5"/>
  <c r="H295" i="5"/>
  <c r="BJ294" i="5"/>
  <c r="BF294" i="5"/>
  <c r="BD294" i="5"/>
  <c r="AX294" i="5"/>
  <c r="AP294" i="5"/>
  <c r="I294" i="5" s="1"/>
  <c r="AO294" i="5"/>
  <c r="BH294" i="5" s="1"/>
  <c r="AL294" i="5"/>
  <c r="AK294" i="5"/>
  <c r="AJ294" i="5"/>
  <c r="AH294" i="5"/>
  <c r="AG294" i="5"/>
  <c r="AF294" i="5"/>
  <c r="AD294" i="5"/>
  <c r="AC294" i="5"/>
  <c r="AB294" i="5"/>
  <c r="Z294" i="5"/>
  <c r="J294" i="5"/>
  <c r="H294" i="5"/>
  <c r="BJ293" i="5"/>
  <c r="BF293" i="5"/>
  <c r="BD293" i="5"/>
  <c r="AP293" i="5"/>
  <c r="I293" i="5" s="1"/>
  <c r="AO293" i="5"/>
  <c r="AL293" i="5"/>
  <c r="AJ293" i="5"/>
  <c r="AH293" i="5"/>
  <c r="AG293" i="5"/>
  <c r="AF293" i="5"/>
  <c r="AC293" i="5"/>
  <c r="AB293" i="5"/>
  <c r="Z293" i="5"/>
  <c r="J293" i="5"/>
  <c r="AK293" i="5" s="1"/>
  <c r="BJ292" i="5"/>
  <c r="BF292" i="5"/>
  <c r="BD292" i="5"/>
  <c r="AP292" i="5"/>
  <c r="AO292" i="5"/>
  <c r="AL292" i="5"/>
  <c r="AJ292" i="5"/>
  <c r="AH292" i="5"/>
  <c r="AG292" i="5"/>
  <c r="AF292" i="5"/>
  <c r="AC292" i="5"/>
  <c r="AB292" i="5"/>
  <c r="Z292" i="5"/>
  <c r="J292" i="5"/>
  <c r="AK292" i="5" s="1"/>
  <c r="BJ290" i="5"/>
  <c r="BF290" i="5"/>
  <c r="BD290" i="5"/>
  <c r="AP290" i="5"/>
  <c r="BI290" i="5" s="1"/>
  <c r="AE290" i="5" s="1"/>
  <c r="AO290" i="5"/>
  <c r="AL290" i="5"/>
  <c r="AJ290" i="5"/>
  <c r="AH290" i="5"/>
  <c r="AG290" i="5"/>
  <c r="AF290" i="5"/>
  <c r="AC290" i="5"/>
  <c r="AB290" i="5"/>
  <c r="Z290" i="5"/>
  <c r="J290" i="5"/>
  <c r="AK290" i="5" s="1"/>
  <c r="BJ288" i="5"/>
  <c r="BI288" i="5"/>
  <c r="AE288" i="5" s="1"/>
  <c r="BH288" i="5"/>
  <c r="AD288" i="5" s="1"/>
  <c r="BF288" i="5"/>
  <c r="BD288" i="5"/>
  <c r="AW288" i="5"/>
  <c r="AP288" i="5"/>
  <c r="I288" i="5" s="1"/>
  <c r="AO288" i="5"/>
  <c r="AL288" i="5"/>
  <c r="AJ288" i="5"/>
  <c r="AH288" i="5"/>
  <c r="AG288" i="5"/>
  <c r="AF288" i="5"/>
  <c r="AC288" i="5"/>
  <c r="AB288" i="5"/>
  <c r="Z288" i="5"/>
  <c r="J288" i="5"/>
  <c r="AK288" i="5" s="1"/>
  <c r="H288" i="5"/>
  <c r="BJ286" i="5"/>
  <c r="BH286" i="5"/>
  <c r="AD286" i="5" s="1"/>
  <c r="BF286" i="5"/>
  <c r="BD286" i="5"/>
  <c r="AW286" i="5"/>
  <c r="AP286" i="5"/>
  <c r="AO286" i="5"/>
  <c r="AL286" i="5"/>
  <c r="AJ286" i="5"/>
  <c r="AH286" i="5"/>
  <c r="AG286" i="5"/>
  <c r="AF286" i="5"/>
  <c r="AC286" i="5"/>
  <c r="AB286" i="5"/>
  <c r="Z286" i="5"/>
  <c r="J286" i="5"/>
  <c r="AK286" i="5" s="1"/>
  <c r="I286" i="5"/>
  <c r="H286" i="5"/>
  <c r="BJ284" i="5"/>
  <c r="BF284" i="5"/>
  <c r="BD284" i="5"/>
  <c r="AP284" i="5"/>
  <c r="AX284" i="5" s="1"/>
  <c r="AO284" i="5"/>
  <c r="AL284" i="5"/>
  <c r="AJ284" i="5"/>
  <c r="AH284" i="5"/>
  <c r="AG284" i="5"/>
  <c r="AF284" i="5"/>
  <c r="AC284" i="5"/>
  <c r="AB284" i="5"/>
  <c r="Z284" i="5"/>
  <c r="J284" i="5"/>
  <c r="I284" i="5"/>
  <c r="BJ283" i="5"/>
  <c r="BF283" i="5"/>
  <c r="BD283" i="5"/>
  <c r="AX283" i="5"/>
  <c r="AP283" i="5"/>
  <c r="AO283" i="5"/>
  <c r="AL283" i="5"/>
  <c r="AK283" i="5"/>
  <c r="AJ283" i="5"/>
  <c r="AH283" i="5"/>
  <c r="AG283" i="5"/>
  <c r="AF283" i="5"/>
  <c r="AC283" i="5"/>
  <c r="AB283" i="5"/>
  <c r="Z283" i="5"/>
  <c r="J283" i="5"/>
  <c r="H283" i="5"/>
  <c r="BJ279" i="5"/>
  <c r="BF279" i="5"/>
  <c r="BD279" i="5"/>
  <c r="AP279" i="5"/>
  <c r="I279" i="5" s="1"/>
  <c r="I278" i="5" s="1"/>
  <c r="AO279" i="5"/>
  <c r="AL279" i="5"/>
  <c r="AU278" i="5" s="1"/>
  <c r="AJ279" i="5"/>
  <c r="AH279" i="5"/>
  <c r="AG279" i="5"/>
  <c r="AF279" i="5"/>
  <c r="AE279" i="5"/>
  <c r="AD279" i="5"/>
  <c r="Z279" i="5"/>
  <c r="J279" i="5"/>
  <c r="AK279" i="5" s="1"/>
  <c r="AT278" i="5"/>
  <c r="AS278" i="5"/>
  <c r="J278" i="5"/>
  <c r="BJ274" i="5"/>
  <c r="BI274" i="5"/>
  <c r="AC274" i="5" s="1"/>
  <c r="BF274" i="5"/>
  <c r="BD274" i="5"/>
  <c r="AP274" i="5"/>
  <c r="AX274" i="5" s="1"/>
  <c r="AO274" i="5"/>
  <c r="AL274" i="5"/>
  <c r="AU273" i="5" s="1"/>
  <c r="AJ274" i="5"/>
  <c r="AH274" i="5"/>
  <c r="AG274" i="5"/>
  <c r="AF274" i="5"/>
  <c r="AE274" i="5"/>
  <c r="AD274" i="5"/>
  <c r="Z274" i="5"/>
  <c r="J274" i="5"/>
  <c r="AK274" i="5" s="1"/>
  <c r="AT273" i="5" s="1"/>
  <c r="I274" i="5"/>
  <c r="AS273" i="5"/>
  <c r="I273" i="5"/>
  <c r="BJ270" i="5"/>
  <c r="Z270" i="5" s="1"/>
  <c r="BH270" i="5"/>
  <c r="BF270" i="5"/>
  <c r="BD270" i="5"/>
  <c r="AW270" i="5"/>
  <c r="AP270" i="5"/>
  <c r="AO270" i="5"/>
  <c r="AL270" i="5"/>
  <c r="AK270" i="5"/>
  <c r="AJ270" i="5"/>
  <c r="AS269" i="5" s="1"/>
  <c r="AH270" i="5"/>
  <c r="AG270" i="5"/>
  <c r="AF270" i="5"/>
  <c r="AE270" i="5"/>
  <c r="AD270" i="5"/>
  <c r="AC270" i="5"/>
  <c r="AB270" i="5"/>
  <c r="J270" i="5"/>
  <c r="J269" i="5" s="1"/>
  <c r="H270" i="5"/>
  <c r="AU269" i="5"/>
  <c r="AT269" i="5"/>
  <c r="H269" i="5"/>
  <c r="BJ267" i="5"/>
  <c r="Z267" i="5" s="1"/>
  <c r="BF267" i="5"/>
  <c r="BD267" i="5"/>
  <c r="AX267" i="5"/>
  <c r="AP267" i="5"/>
  <c r="BI267" i="5" s="1"/>
  <c r="AO267" i="5"/>
  <c r="BH267" i="5" s="1"/>
  <c r="AL267" i="5"/>
  <c r="AU266" i="5" s="1"/>
  <c r="AK267" i="5"/>
  <c r="AT266" i="5" s="1"/>
  <c r="AJ267" i="5"/>
  <c r="AS266" i="5" s="1"/>
  <c r="AH267" i="5"/>
  <c r="AG267" i="5"/>
  <c r="AF267" i="5"/>
  <c r="AE267" i="5"/>
  <c r="AD267" i="5"/>
  <c r="AC267" i="5"/>
  <c r="AB267" i="5"/>
  <c r="J267" i="5"/>
  <c r="I267" i="5"/>
  <c r="H267" i="5"/>
  <c r="H266" i="5" s="1"/>
  <c r="J266" i="5"/>
  <c r="I266" i="5"/>
  <c r="BJ265" i="5"/>
  <c r="Z265" i="5" s="1"/>
  <c r="BF265" i="5"/>
  <c r="BD265" i="5"/>
  <c r="AP265" i="5"/>
  <c r="BI265" i="5" s="1"/>
  <c r="AO265" i="5"/>
  <c r="AL265" i="5"/>
  <c r="AU264" i="5" s="1"/>
  <c r="AJ265" i="5"/>
  <c r="AH265" i="5"/>
  <c r="AG265" i="5"/>
  <c r="AF265" i="5"/>
  <c r="AE265" i="5"/>
  <c r="AD265" i="5"/>
  <c r="AC265" i="5"/>
  <c r="AB265" i="5"/>
  <c r="J265" i="5"/>
  <c r="AK265" i="5" s="1"/>
  <c r="AT264" i="5" s="1"/>
  <c r="I265" i="5"/>
  <c r="I264" i="5" s="1"/>
  <c r="K33" i="4" s="1"/>
  <c r="AS264" i="5"/>
  <c r="J264" i="5"/>
  <c r="BJ262" i="5"/>
  <c r="BF262" i="5"/>
  <c r="BD262" i="5"/>
  <c r="AP262" i="5"/>
  <c r="AX262" i="5" s="1"/>
  <c r="AO262" i="5"/>
  <c r="AL262" i="5"/>
  <c r="AU261" i="5" s="1"/>
  <c r="AJ262" i="5"/>
  <c r="AH262" i="5"/>
  <c r="AG262" i="5"/>
  <c r="AF262" i="5"/>
  <c r="AE262" i="5"/>
  <c r="AD262" i="5"/>
  <c r="AC262" i="5"/>
  <c r="AB262" i="5"/>
  <c r="Z262" i="5"/>
  <c r="J262" i="5"/>
  <c r="I262" i="5"/>
  <c r="AS261" i="5"/>
  <c r="I261" i="5"/>
  <c r="BJ259" i="5"/>
  <c r="BF259" i="5"/>
  <c r="BD259" i="5"/>
  <c r="AP259" i="5"/>
  <c r="AO259" i="5"/>
  <c r="H259" i="5" s="1"/>
  <c r="H258" i="5" s="1"/>
  <c r="AL259" i="5"/>
  <c r="AJ259" i="5"/>
  <c r="AS258" i="5" s="1"/>
  <c r="AH259" i="5"/>
  <c r="AG259" i="5"/>
  <c r="AF259" i="5"/>
  <c r="AE259" i="5"/>
  <c r="AD259" i="5"/>
  <c r="Z259" i="5"/>
  <c r="J259" i="5"/>
  <c r="AK259" i="5" s="1"/>
  <c r="AT258" i="5" s="1"/>
  <c r="AU258" i="5"/>
  <c r="J258" i="5"/>
  <c r="BJ256" i="5"/>
  <c r="BF256" i="5"/>
  <c r="BD256" i="5"/>
  <c r="AP256" i="5"/>
  <c r="I256" i="5" s="1"/>
  <c r="I255" i="5" s="1"/>
  <c r="AO256" i="5"/>
  <c r="AL256" i="5"/>
  <c r="AJ256" i="5"/>
  <c r="AS255" i="5" s="1"/>
  <c r="AH256" i="5"/>
  <c r="AG256" i="5"/>
  <c r="AF256" i="5"/>
  <c r="AE256" i="5"/>
  <c r="AD256" i="5"/>
  <c r="Z256" i="5"/>
  <c r="J256" i="5"/>
  <c r="AK256" i="5" s="1"/>
  <c r="AT255" i="5" s="1"/>
  <c r="AU255" i="5"/>
  <c r="J255" i="5"/>
  <c r="BJ253" i="5"/>
  <c r="BH253" i="5"/>
  <c r="AD253" i="5" s="1"/>
  <c r="BF253" i="5"/>
  <c r="BD253" i="5"/>
  <c r="AW253" i="5"/>
  <c r="AP253" i="5"/>
  <c r="AO253" i="5"/>
  <c r="AL253" i="5"/>
  <c r="AJ253" i="5"/>
  <c r="AS246" i="5" s="1"/>
  <c r="AH253" i="5"/>
  <c r="AG253" i="5"/>
  <c r="AF253" i="5"/>
  <c r="AC253" i="5"/>
  <c r="AB253" i="5"/>
  <c r="Z253" i="5"/>
  <c r="J253" i="5"/>
  <c r="AK253" i="5" s="1"/>
  <c r="I253" i="5"/>
  <c r="H253" i="5"/>
  <c r="BJ250" i="5"/>
  <c r="BF250" i="5"/>
  <c r="BD250" i="5"/>
  <c r="AW250" i="5"/>
  <c r="AP250" i="5"/>
  <c r="AX250" i="5" s="1"/>
  <c r="AO250" i="5"/>
  <c r="BH250" i="5" s="1"/>
  <c r="AD250" i="5" s="1"/>
  <c r="AL250" i="5"/>
  <c r="AJ250" i="5"/>
  <c r="AH250" i="5"/>
  <c r="AG250" i="5"/>
  <c r="AF250" i="5"/>
  <c r="AC250" i="5"/>
  <c r="AB250" i="5"/>
  <c r="Z250" i="5"/>
  <c r="J250" i="5"/>
  <c r="J246" i="5" s="1"/>
  <c r="I250" i="5"/>
  <c r="H250" i="5"/>
  <c r="BJ247" i="5"/>
  <c r="BF247" i="5"/>
  <c r="BD247" i="5"/>
  <c r="AX247" i="5"/>
  <c r="AP247" i="5"/>
  <c r="BI247" i="5" s="1"/>
  <c r="AO247" i="5"/>
  <c r="AW247" i="5" s="1"/>
  <c r="AL247" i="5"/>
  <c r="AU246" i="5" s="1"/>
  <c r="AK247" i="5"/>
  <c r="AJ247" i="5"/>
  <c r="AH247" i="5"/>
  <c r="AG247" i="5"/>
  <c r="AF247" i="5"/>
  <c r="AE247" i="5"/>
  <c r="AC247" i="5"/>
  <c r="AB247" i="5"/>
  <c r="Z247" i="5"/>
  <c r="J247" i="5"/>
  <c r="I247" i="5"/>
  <c r="BJ244" i="5"/>
  <c r="BF244" i="5"/>
  <c r="BD244" i="5"/>
  <c r="AP244" i="5"/>
  <c r="AX244" i="5" s="1"/>
  <c r="AO244" i="5"/>
  <c r="AL244" i="5"/>
  <c r="AU243" i="5" s="1"/>
  <c r="AJ244" i="5"/>
  <c r="AS243" i="5" s="1"/>
  <c r="AH244" i="5"/>
  <c r="AG244" i="5"/>
  <c r="AF244" i="5"/>
  <c r="AC244" i="5"/>
  <c r="AB244" i="5"/>
  <c r="Z244" i="5"/>
  <c r="J244" i="5"/>
  <c r="I244" i="5"/>
  <c r="I243" i="5" s="1"/>
  <c r="K28" i="4" s="1"/>
  <c r="BJ240" i="5"/>
  <c r="BF240" i="5"/>
  <c r="BD240" i="5"/>
  <c r="AP240" i="5"/>
  <c r="AO240" i="5"/>
  <c r="H240" i="5" s="1"/>
  <c r="AL240" i="5"/>
  <c r="AJ240" i="5"/>
  <c r="AH240" i="5"/>
  <c r="AG240" i="5"/>
  <c r="AF240" i="5"/>
  <c r="AC240" i="5"/>
  <c r="AB240" i="5"/>
  <c r="Z240" i="5"/>
  <c r="J240" i="5"/>
  <c r="AK240" i="5" s="1"/>
  <c r="BJ237" i="5"/>
  <c r="BF237" i="5"/>
  <c r="BD237" i="5"/>
  <c r="AP237" i="5"/>
  <c r="I237" i="5" s="1"/>
  <c r="AO237" i="5"/>
  <c r="AW237" i="5" s="1"/>
  <c r="AL237" i="5"/>
  <c r="AJ237" i="5"/>
  <c r="AH237" i="5"/>
  <c r="AG237" i="5"/>
  <c r="AF237" i="5"/>
  <c r="AC237" i="5"/>
  <c r="AB237" i="5"/>
  <c r="Z237" i="5"/>
  <c r="J237" i="5"/>
  <c r="AK237" i="5" s="1"/>
  <c r="H237" i="5"/>
  <c r="BJ234" i="5"/>
  <c r="BF234" i="5"/>
  <c r="BD234" i="5"/>
  <c r="AP234" i="5"/>
  <c r="AO234" i="5"/>
  <c r="AL234" i="5"/>
  <c r="AJ234" i="5"/>
  <c r="AH234" i="5"/>
  <c r="AG234" i="5"/>
  <c r="AF234" i="5"/>
  <c r="AC234" i="5"/>
  <c r="AB234" i="5"/>
  <c r="Z234" i="5"/>
  <c r="J234" i="5"/>
  <c r="AK234" i="5" s="1"/>
  <c r="H234" i="5"/>
  <c r="BJ231" i="5"/>
  <c r="BF231" i="5"/>
  <c r="BD231" i="5"/>
  <c r="AP231" i="5"/>
  <c r="AO231" i="5"/>
  <c r="AL231" i="5"/>
  <c r="AJ231" i="5"/>
  <c r="AH231" i="5"/>
  <c r="AG231" i="5"/>
  <c r="AF231" i="5"/>
  <c r="AC231" i="5"/>
  <c r="AB231" i="5"/>
  <c r="Z231" i="5"/>
  <c r="J231" i="5"/>
  <c r="AK231" i="5" s="1"/>
  <c r="I231" i="5"/>
  <c r="BJ228" i="5"/>
  <c r="BF228" i="5"/>
  <c r="BD228" i="5"/>
  <c r="AP228" i="5"/>
  <c r="BI228" i="5" s="1"/>
  <c r="AE228" i="5" s="1"/>
  <c r="AO228" i="5"/>
  <c r="AW228" i="5" s="1"/>
  <c r="AL228" i="5"/>
  <c r="AJ228" i="5"/>
  <c r="AH228" i="5"/>
  <c r="AG228" i="5"/>
  <c r="AF228" i="5"/>
  <c r="AC228" i="5"/>
  <c r="AB228" i="5"/>
  <c r="Z228" i="5"/>
  <c r="J228" i="5"/>
  <c r="AK228" i="5" s="1"/>
  <c r="I228" i="5"/>
  <c r="H228" i="5"/>
  <c r="BJ225" i="5"/>
  <c r="BF225" i="5"/>
  <c r="BD225" i="5"/>
  <c r="AP225" i="5"/>
  <c r="AO225" i="5"/>
  <c r="AL225" i="5"/>
  <c r="AJ225" i="5"/>
  <c r="AH225" i="5"/>
  <c r="AG225" i="5"/>
  <c r="AF225" i="5"/>
  <c r="AC225" i="5"/>
  <c r="AB225" i="5"/>
  <c r="Z225" i="5"/>
  <c r="J225" i="5"/>
  <c r="AK225" i="5" s="1"/>
  <c r="BJ222" i="5"/>
  <c r="BF222" i="5"/>
  <c r="BD222" i="5"/>
  <c r="AP222" i="5"/>
  <c r="AO222" i="5"/>
  <c r="H222" i="5" s="1"/>
  <c r="AL222" i="5"/>
  <c r="AJ222" i="5"/>
  <c r="AH222" i="5"/>
  <c r="AG222" i="5"/>
  <c r="AF222" i="5"/>
  <c r="AC222" i="5"/>
  <c r="AB222" i="5"/>
  <c r="Z222" i="5"/>
  <c r="J222" i="5"/>
  <c r="J215" i="5" s="1"/>
  <c r="L27" i="4" s="1"/>
  <c r="N27" i="4" s="1"/>
  <c r="BJ216" i="5"/>
  <c r="BF216" i="5"/>
  <c r="BD216" i="5"/>
  <c r="AP216" i="5"/>
  <c r="I216" i="5" s="1"/>
  <c r="AO216" i="5"/>
  <c r="AL216" i="5"/>
  <c r="AJ216" i="5"/>
  <c r="AH216" i="5"/>
  <c r="AG216" i="5"/>
  <c r="AF216" i="5"/>
  <c r="AC216" i="5"/>
  <c r="AB216" i="5"/>
  <c r="Z216" i="5"/>
  <c r="J216" i="5"/>
  <c r="AK216" i="5" s="1"/>
  <c r="BJ213" i="5"/>
  <c r="BI213" i="5"/>
  <c r="AE213" i="5" s="1"/>
  <c r="BF213" i="5"/>
  <c r="BD213" i="5"/>
  <c r="AX213" i="5"/>
  <c r="AP213" i="5"/>
  <c r="AO213" i="5"/>
  <c r="AL213" i="5"/>
  <c r="AJ213" i="5"/>
  <c r="AH213" i="5"/>
  <c r="AG213" i="5"/>
  <c r="AF213" i="5"/>
  <c r="AC213" i="5"/>
  <c r="AB213" i="5"/>
  <c r="Z213" i="5"/>
  <c r="J213" i="5"/>
  <c r="AK213" i="5" s="1"/>
  <c r="I213" i="5"/>
  <c r="H213" i="5"/>
  <c r="BJ211" i="5"/>
  <c r="BF211" i="5"/>
  <c r="BD211" i="5"/>
  <c r="AX211" i="5"/>
  <c r="AP211" i="5"/>
  <c r="BI211" i="5" s="1"/>
  <c r="AE211" i="5" s="1"/>
  <c r="AO211" i="5"/>
  <c r="AL211" i="5"/>
  <c r="AJ211" i="5"/>
  <c r="AH211" i="5"/>
  <c r="AG211" i="5"/>
  <c r="AF211" i="5"/>
  <c r="AC211" i="5"/>
  <c r="AB211" i="5"/>
  <c r="Z211" i="5"/>
  <c r="J211" i="5"/>
  <c r="AK211" i="5" s="1"/>
  <c r="I211" i="5"/>
  <c r="H211" i="5"/>
  <c r="BJ208" i="5"/>
  <c r="BF208" i="5"/>
  <c r="BD208" i="5"/>
  <c r="BC208" i="5"/>
  <c r="AX208" i="5"/>
  <c r="AP208" i="5"/>
  <c r="BI208" i="5" s="1"/>
  <c r="AO208" i="5"/>
  <c r="AW208" i="5" s="1"/>
  <c r="AL208" i="5"/>
  <c r="AK208" i="5"/>
  <c r="AJ208" i="5"/>
  <c r="AH208" i="5"/>
  <c r="AG208" i="5"/>
  <c r="AF208" i="5"/>
  <c r="AE208" i="5"/>
  <c r="AC208" i="5"/>
  <c r="AB208" i="5"/>
  <c r="Z208" i="5"/>
  <c r="J208" i="5"/>
  <c r="I208" i="5"/>
  <c r="H208" i="5"/>
  <c r="BJ205" i="5"/>
  <c r="BF205" i="5"/>
  <c r="BD205" i="5"/>
  <c r="AP205" i="5"/>
  <c r="AX205" i="5" s="1"/>
  <c r="AO205" i="5"/>
  <c r="AL205" i="5"/>
  <c r="AJ205" i="5"/>
  <c r="AH205" i="5"/>
  <c r="AG205" i="5"/>
  <c r="AF205" i="5"/>
  <c r="AC205" i="5"/>
  <c r="AB205" i="5"/>
  <c r="Z205" i="5"/>
  <c r="J205" i="5"/>
  <c r="AK205" i="5" s="1"/>
  <c r="I205" i="5"/>
  <c r="BJ202" i="5"/>
  <c r="BF202" i="5"/>
  <c r="BD202" i="5"/>
  <c r="AP202" i="5"/>
  <c r="AO202" i="5"/>
  <c r="H202" i="5" s="1"/>
  <c r="AL202" i="5"/>
  <c r="AJ202" i="5"/>
  <c r="AH202" i="5"/>
  <c r="AG202" i="5"/>
  <c r="AF202" i="5"/>
  <c r="AC202" i="5"/>
  <c r="AB202" i="5"/>
  <c r="Z202" i="5"/>
  <c r="J202" i="5"/>
  <c r="AK202" i="5" s="1"/>
  <c r="BJ199" i="5"/>
  <c r="BH199" i="5"/>
  <c r="AD199" i="5" s="1"/>
  <c r="BF199" i="5"/>
  <c r="BD199" i="5"/>
  <c r="AW199" i="5"/>
  <c r="AP199" i="5"/>
  <c r="I199" i="5" s="1"/>
  <c r="AO199" i="5"/>
  <c r="AL199" i="5"/>
  <c r="AJ199" i="5"/>
  <c r="AH199" i="5"/>
  <c r="AG199" i="5"/>
  <c r="AF199" i="5"/>
  <c r="AC199" i="5"/>
  <c r="AB199" i="5"/>
  <c r="Z199" i="5"/>
  <c r="J199" i="5"/>
  <c r="AK199" i="5" s="1"/>
  <c r="H199" i="5"/>
  <c r="BJ197" i="5"/>
  <c r="BH197" i="5"/>
  <c r="AD197" i="5" s="1"/>
  <c r="BF197" i="5"/>
  <c r="BD197" i="5"/>
  <c r="AW197" i="5"/>
  <c r="AP197" i="5"/>
  <c r="AO197" i="5"/>
  <c r="AL197" i="5"/>
  <c r="AJ197" i="5"/>
  <c r="AH197" i="5"/>
  <c r="AG197" i="5"/>
  <c r="AF197" i="5"/>
  <c r="AC197" i="5"/>
  <c r="AB197" i="5"/>
  <c r="Z197" i="5"/>
  <c r="J197" i="5"/>
  <c r="AK197" i="5" s="1"/>
  <c r="I197" i="5"/>
  <c r="H197" i="5"/>
  <c r="BJ195" i="5"/>
  <c r="BF195" i="5"/>
  <c r="BD195" i="5"/>
  <c r="AW195" i="5"/>
  <c r="AP195" i="5"/>
  <c r="AO195" i="5"/>
  <c r="BH195" i="5" s="1"/>
  <c r="AD195" i="5" s="1"/>
  <c r="AL195" i="5"/>
  <c r="AJ195" i="5"/>
  <c r="AH195" i="5"/>
  <c r="AG195" i="5"/>
  <c r="AF195" i="5"/>
  <c r="AC195" i="5"/>
  <c r="AB195" i="5"/>
  <c r="Z195" i="5"/>
  <c r="J195" i="5"/>
  <c r="AK195" i="5" s="1"/>
  <c r="H195" i="5"/>
  <c r="BJ193" i="5"/>
  <c r="BF193" i="5"/>
  <c r="BD193" i="5"/>
  <c r="AX193" i="5"/>
  <c r="AP193" i="5"/>
  <c r="BI193" i="5" s="1"/>
  <c r="AO193" i="5"/>
  <c r="AW193" i="5" s="1"/>
  <c r="AL193" i="5"/>
  <c r="AU183" i="5" s="1"/>
  <c r="AK193" i="5"/>
  <c r="AJ193" i="5"/>
  <c r="AH193" i="5"/>
  <c r="AG193" i="5"/>
  <c r="AF193" i="5"/>
  <c r="AE193" i="5"/>
  <c r="AC193" i="5"/>
  <c r="AB193" i="5"/>
  <c r="Z193" i="5"/>
  <c r="J193" i="5"/>
  <c r="I193" i="5"/>
  <c r="H193" i="5"/>
  <c r="BJ191" i="5"/>
  <c r="BF191" i="5"/>
  <c r="BD191" i="5"/>
  <c r="AP191" i="5"/>
  <c r="AO191" i="5"/>
  <c r="AL191" i="5"/>
  <c r="AJ191" i="5"/>
  <c r="AH191" i="5"/>
  <c r="AG191" i="5"/>
  <c r="AF191" i="5"/>
  <c r="AC191" i="5"/>
  <c r="AB191" i="5"/>
  <c r="Z191" i="5"/>
  <c r="J191" i="5"/>
  <c r="AK191" i="5" s="1"/>
  <c r="BJ189" i="5"/>
  <c r="BF189" i="5"/>
  <c r="BD189" i="5"/>
  <c r="AP189" i="5"/>
  <c r="AO189" i="5"/>
  <c r="H189" i="5" s="1"/>
  <c r="AL189" i="5"/>
  <c r="AJ189" i="5"/>
  <c r="AH189" i="5"/>
  <c r="AG189" i="5"/>
  <c r="AF189" i="5"/>
  <c r="AC189" i="5"/>
  <c r="AB189" i="5"/>
  <c r="Z189" i="5"/>
  <c r="J189" i="5"/>
  <c r="AK189" i="5" s="1"/>
  <c r="BJ186" i="5"/>
  <c r="BF186" i="5"/>
  <c r="BD186" i="5"/>
  <c r="AP186" i="5"/>
  <c r="I186" i="5" s="1"/>
  <c r="AO186" i="5"/>
  <c r="AL186" i="5"/>
  <c r="AJ186" i="5"/>
  <c r="AH186" i="5"/>
  <c r="AG186" i="5"/>
  <c r="AF186" i="5"/>
  <c r="AC186" i="5"/>
  <c r="AB186" i="5"/>
  <c r="Z186" i="5"/>
  <c r="J186" i="5"/>
  <c r="AK186" i="5" s="1"/>
  <c r="BJ184" i="5"/>
  <c r="BF184" i="5"/>
  <c r="BD184" i="5"/>
  <c r="AP184" i="5"/>
  <c r="BI184" i="5" s="1"/>
  <c r="AE184" i="5" s="1"/>
  <c r="AO184" i="5"/>
  <c r="AL184" i="5"/>
  <c r="AJ184" i="5"/>
  <c r="AH184" i="5"/>
  <c r="AG184" i="5"/>
  <c r="AF184" i="5"/>
  <c r="AC184" i="5"/>
  <c r="AB184" i="5"/>
  <c r="Z184" i="5"/>
  <c r="J184" i="5"/>
  <c r="AK184" i="5" s="1"/>
  <c r="I184" i="5"/>
  <c r="BJ181" i="5"/>
  <c r="BF181" i="5"/>
  <c r="BD181" i="5"/>
  <c r="AP181" i="5"/>
  <c r="AX181" i="5" s="1"/>
  <c r="AO181" i="5"/>
  <c r="AL181" i="5"/>
  <c r="AJ181" i="5"/>
  <c r="AS178" i="5" s="1"/>
  <c r="AH181" i="5"/>
  <c r="AG181" i="5"/>
  <c r="AF181" i="5"/>
  <c r="AC181" i="5"/>
  <c r="AB181" i="5"/>
  <c r="Z181" i="5"/>
  <c r="J181" i="5"/>
  <c r="AK181" i="5" s="1"/>
  <c r="I181" i="5"/>
  <c r="BJ179" i="5"/>
  <c r="BF179" i="5"/>
  <c r="BD179" i="5"/>
  <c r="BC179" i="5"/>
  <c r="AX179" i="5"/>
  <c r="AP179" i="5"/>
  <c r="BI179" i="5" s="1"/>
  <c r="AE179" i="5" s="1"/>
  <c r="AO179" i="5"/>
  <c r="AW179" i="5" s="1"/>
  <c r="AV179" i="5" s="1"/>
  <c r="AL179" i="5"/>
  <c r="AU178" i="5" s="1"/>
  <c r="AJ179" i="5"/>
  <c r="AH179" i="5"/>
  <c r="AG179" i="5"/>
  <c r="AF179" i="5"/>
  <c r="AC179" i="5"/>
  <c r="AB179" i="5"/>
  <c r="Z179" i="5"/>
  <c r="J179" i="5"/>
  <c r="I179" i="5"/>
  <c r="BJ176" i="5"/>
  <c r="BF176" i="5"/>
  <c r="BD176" i="5"/>
  <c r="AP176" i="5"/>
  <c r="AX176" i="5" s="1"/>
  <c r="AO176" i="5"/>
  <c r="AL176" i="5"/>
  <c r="AJ176" i="5"/>
  <c r="AH176" i="5"/>
  <c r="AG176" i="5"/>
  <c r="AF176" i="5"/>
  <c r="AC176" i="5"/>
  <c r="AB176" i="5"/>
  <c r="Z176" i="5"/>
  <c r="J176" i="5"/>
  <c r="AK176" i="5" s="1"/>
  <c r="BJ174" i="5"/>
  <c r="BF174" i="5"/>
  <c r="BD174" i="5"/>
  <c r="AP174" i="5"/>
  <c r="AO174" i="5"/>
  <c r="H174" i="5" s="1"/>
  <c r="AL174" i="5"/>
  <c r="AJ174" i="5"/>
  <c r="AH174" i="5"/>
  <c r="AG174" i="5"/>
  <c r="AF174" i="5"/>
  <c r="AC174" i="5"/>
  <c r="AB174" i="5"/>
  <c r="Z174" i="5"/>
  <c r="J174" i="5"/>
  <c r="AK174" i="5" s="1"/>
  <c r="BJ172" i="5"/>
  <c r="BF172" i="5"/>
  <c r="BD172" i="5"/>
  <c r="AP172" i="5"/>
  <c r="I172" i="5" s="1"/>
  <c r="AO172" i="5"/>
  <c r="AW172" i="5" s="1"/>
  <c r="AL172" i="5"/>
  <c r="AJ172" i="5"/>
  <c r="AH172" i="5"/>
  <c r="AG172" i="5"/>
  <c r="AF172" i="5"/>
  <c r="AC172" i="5"/>
  <c r="AB172" i="5"/>
  <c r="Z172" i="5"/>
  <c r="J172" i="5"/>
  <c r="AK172" i="5" s="1"/>
  <c r="BJ170" i="5"/>
  <c r="BI170" i="5"/>
  <c r="AE170" i="5" s="1"/>
  <c r="BF170" i="5"/>
  <c r="BD170" i="5"/>
  <c r="AX170" i="5"/>
  <c r="AP170" i="5"/>
  <c r="AO170" i="5"/>
  <c r="BH170" i="5" s="1"/>
  <c r="AD170" i="5" s="1"/>
  <c r="AL170" i="5"/>
  <c r="AK170" i="5"/>
  <c r="AJ170" i="5"/>
  <c r="AH170" i="5"/>
  <c r="AG170" i="5"/>
  <c r="AF170" i="5"/>
  <c r="AC170" i="5"/>
  <c r="AB170" i="5"/>
  <c r="Z170" i="5"/>
  <c r="J170" i="5"/>
  <c r="I170" i="5"/>
  <c r="H170" i="5"/>
  <c r="BJ169" i="5"/>
  <c r="BF169" i="5"/>
  <c r="BD169" i="5"/>
  <c r="AP169" i="5"/>
  <c r="AX169" i="5" s="1"/>
  <c r="AO169" i="5"/>
  <c r="AL169" i="5"/>
  <c r="AJ169" i="5"/>
  <c r="AH169" i="5"/>
  <c r="AG169" i="5"/>
  <c r="AF169" i="5"/>
  <c r="AC169" i="5"/>
  <c r="AB169" i="5"/>
  <c r="Z169" i="5"/>
  <c r="J169" i="5"/>
  <c r="AK169" i="5" s="1"/>
  <c r="BJ167" i="5"/>
  <c r="BF167" i="5"/>
  <c r="BD167" i="5"/>
  <c r="AP167" i="5"/>
  <c r="BI167" i="5" s="1"/>
  <c r="AE167" i="5" s="1"/>
  <c r="AO167" i="5"/>
  <c r="AL167" i="5"/>
  <c r="AJ167" i="5"/>
  <c r="AH167" i="5"/>
  <c r="AG167" i="5"/>
  <c r="AF167" i="5"/>
  <c r="AC167" i="5"/>
  <c r="AB167" i="5"/>
  <c r="Z167" i="5"/>
  <c r="J167" i="5"/>
  <c r="AK167" i="5" s="1"/>
  <c r="BJ166" i="5"/>
  <c r="BF166" i="5"/>
  <c r="BD166" i="5"/>
  <c r="AP166" i="5"/>
  <c r="AX166" i="5" s="1"/>
  <c r="AO166" i="5"/>
  <c r="AL166" i="5"/>
  <c r="AJ166" i="5"/>
  <c r="AH166" i="5"/>
  <c r="AG166" i="5"/>
  <c r="AF166" i="5"/>
  <c r="AC166" i="5"/>
  <c r="AB166" i="5"/>
  <c r="Z166" i="5"/>
  <c r="J166" i="5"/>
  <c r="AK166" i="5" s="1"/>
  <c r="BJ164" i="5"/>
  <c r="BF164" i="5"/>
  <c r="BD164" i="5"/>
  <c r="AP164" i="5"/>
  <c r="AO164" i="5"/>
  <c r="H164" i="5" s="1"/>
  <c r="AL164" i="5"/>
  <c r="AJ164" i="5"/>
  <c r="AH164" i="5"/>
  <c r="AG164" i="5"/>
  <c r="AF164" i="5"/>
  <c r="AC164" i="5"/>
  <c r="AB164" i="5"/>
  <c r="Z164" i="5"/>
  <c r="J164" i="5"/>
  <c r="AK164" i="5" s="1"/>
  <c r="BJ162" i="5"/>
  <c r="BH162" i="5"/>
  <c r="AD162" i="5" s="1"/>
  <c r="BF162" i="5"/>
  <c r="BD162" i="5"/>
  <c r="AW162" i="5"/>
  <c r="AP162" i="5"/>
  <c r="AO162" i="5"/>
  <c r="AL162" i="5"/>
  <c r="AJ162" i="5"/>
  <c r="AH162" i="5"/>
  <c r="AG162" i="5"/>
  <c r="AF162" i="5"/>
  <c r="AC162" i="5"/>
  <c r="AB162" i="5"/>
  <c r="Z162" i="5"/>
  <c r="J162" i="5"/>
  <c r="AK162" i="5" s="1"/>
  <c r="H162" i="5"/>
  <c r="BJ160" i="5"/>
  <c r="BH160" i="5"/>
  <c r="BF160" i="5"/>
  <c r="BD160" i="5"/>
  <c r="AW160" i="5"/>
  <c r="AP160" i="5"/>
  <c r="AO160" i="5"/>
  <c r="H160" i="5" s="1"/>
  <c r="AL160" i="5"/>
  <c r="AJ160" i="5"/>
  <c r="AH160" i="5"/>
  <c r="AG160" i="5"/>
  <c r="AF160" i="5"/>
  <c r="AD160" i="5"/>
  <c r="AC160" i="5"/>
  <c r="AB160" i="5"/>
  <c r="Z160" i="5"/>
  <c r="J160" i="5"/>
  <c r="AK160" i="5" s="1"/>
  <c r="BJ158" i="5"/>
  <c r="BI158" i="5"/>
  <c r="AE158" i="5" s="1"/>
  <c r="BF158" i="5"/>
  <c r="BD158" i="5"/>
  <c r="AX158" i="5"/>
  <c r="AW158" i="5"/>
  <c r="AP158" i="5"/>
  <c r="AO158" i="5"/>
  <c r="BH158" i="5" s="1"/>
  <c r="AL158" i="5"/>
  <c r="AK158" i="5"/>
  <c r="AJ158" i="5"/>
  <c r="AH158" i="5"/>
  <c r="AG158" i="5"/>
  <c r="AF158" i="5"/>
  <c r="AD158" i="5"/>
  <c r="AC158" i="5"/>
  <c r="AB158" i="5"/>
  <c r="Z158" i="5"/>
  <c r="J158" i="5"/>
  <c r="I158" i="5"/>
  <c r="H158" i="5"/>
  <c r="BJ156" i="5"/>
  <c r="BF156" i="5"/>
  <c r="BD156" i="5"/>
  <c r="AP156" i="5"/>
  <c r="BI156" i="5" s="1"/>
  <c r="AE156" i="5" s="1"/>
  <c r="AO156" i="5"/>
  <c r="AW156" i="5" s="1"/>
  <c r="AL156" i="5"/>
  <c r="AJ156" i="5"/>
  <c r="AH156" i="5"/>
  <c r="AG156" i="5"/>
  <c r="AF156" i="5"/>
  <c r="AC156" i="5"/>
  <c r="AB156" i="5"/>
  <c r="Z156" i="5"/>
  <c r="J156" i="5"/>
  <c r="AK156" i="5" s="1"/>
  <c r="I156" i="5"/>
  <c r="BJ154" i="5"/>
  <c r="BF154" i="5"/>
  <c r="BD154" i="5"/>
  <c r="AP154" i="5"/>
  <c r="AX154" i="5" s="1"/>
  <c r="AO154" i="5"/>
  <c r="AL154" i="5"/>
  <c r="AJ154" i="5"/>
  <c r="AH154" i="5"/>
  <c r="AG154" i="5"/>
  <c r="AF154" i="5"/>
  <c r="AC154" i="5"/>
  <c r="AB154" i="5"/>
  <c r="Z154" i="5"/>
  <c r="J154" i="5"/>
  <c r="AK154" i="5" s="1"/>
  <c r="BJ152" i="5"/>
  <c r="BH152" i="5"/>
  <c r="AD152" i="5" s="1"/>
  <c r="BF152" i="5"/>
  <c r="BD152" i="5"/>
  <c r="AW152" i="5"/>
  <c r="AP152" i="5"/>
  <c r="AO152" i="5"/>
  <c r="H152" i="5" s="1"/>
  <c r="AL152" i="5"/>
  <c r="AJ152" i="5"/>
  <c r="AH152" i="5"/>
  <c r="AG152" i="5"/>
  <c r="AF152" i="5"/>
  <c r="AC152" i="5"/>
  <c r="AB152" i="5"/>
  <c r="Z152" i="5"/>
  <c r="J152" i="5"/>
  <c r="BJ149" i="5"/>
  <c r="BI149" i="5"/>
  <c r="AE149" i="5" s="1"/>
  <c r="BF149" i="5"/>
  <c r="BD149" i="5"/>
  <c r="AX149" i="5"/>
  <c r="AP149" i="5"/>
  <c r="I149" i="5" s="1"/>
  <c r="AO149" i="5"/>
  <c r="AL149" i="5"/>
  <c r="AJ149" i="5"/>
  <c r="AH149" i="5"/>
  <c r="AG149" i="5"/>
  <c r="AF149" i="5"/>
  <c r="AC149" i="5"/>
  <c r="AB149" i="5"/>
  <c r="Z149" i="5"/>
  <c r="J149" i="5"/>
  <c r="AK149" i="5" s="1"/>
  <c r="BJ146" i="5"/>
  <c r="BF146" i="5"/>
  <c r="BD146" i="5"/>
  <c r="AP146" i="5"/>
  <c r="BI146" i="5" s="1"/>
  <c r="AE146" i="5" s="1"/>
  <c r="AO146" i="5"/>
  <c r="AL146" i="5"/>
  <c r="AJ146" i="5"/>
  <c r="AH146" i="5"/>
  <c r="AG146" i="5"/>
  <c r="AF146" i="5"/>
  <c r="AC146" i="5"/>
  <c r="AB146" i="5"/>
  <c r="Z146" i="5"/>
  <c r="J146" i="5"/>
  <c r="AK146" i="5" s="1"/>
  <c r="I146" i="5"/>
  <c r="BJ143" i="5"/>
  <c r="BF143" i="5"/>
  <c r="BD143" i="5"/>
  <c r="AP143" i="5"/>
  <c r="BI143" i="5" s="1"/>
  <c r="AE143" i="5" s="1"/>
  <c r="AO143" i="5"/>
  <c r="AL143" i="5"/>
  <c r="AJ143" i="5"/>
  <c r="AH143" i="5"/>
  <c r="AG143" i="5"/>
  <c r="AF143" i="5"/>
  <c r="AC143" i="5"/>
  <c r="AB143" i="5"/>
  <c r="Z143" i="5"/>
  <c r="J143" i="5"/>
  <c r="AK143" i="5" s="1"/>
  <c r="I143" i="5"/>
  <c r="BJ137" i="5"/>
  <c r="BF137" i="5"/>
  <c r="BD137" i="5"/>
  <c r="AP137" i="5"/>
  <c r="BI137" i="5" s="1"/>
  <c r="AO137" i="5"/>
  <c r="AW137" i="5" s="1"/>
  <c r="AL137" i="5"/>
  <c r="AJ137" i="5"/>
  <c r="AH137" i="5"/>
  <c r="AG137" i="5"/>
  <c r="AF137" i="5"/>
  <c r="AE137" i="5"/>
  <c r="AC137" i="5"/>
  <c r="AB137" i="5"/>
  <c r="Z137" i="5"/>
  <c r="J137" i="5"/>
  <c r="AK137" i="5" s="1"/>
  <c r="I137" i="5"/>
  <c r="BJ134" i="5"/>
  <c r="BF134" i="5"/>
  <c r="BD134" i="5"/>
  <c r="AP134" i="5"/>
  <c r="AX134" i="5" s="1"/>
  <c r="AO134" i="5"/>
  <c r="AL134" i="5"/>
  <c r="AJ134" i="5"/>
  <c r="AH134" i="5"/>
  <c r="AG134" i="5"/>
  <c r="AF134" i="5"/>
  <c r="AC134" i="5"/>
  <c r="AB134" i="5"/>
  <c r="Z134" i="5"/>
  <c r="J134" i="5"/>
  <c r="BJ130" i="5"/>
  <c r="BH130" i="5"/>
  <c r="AD130" i="5" s="1"/>
  <c r="BF130" i="5"/>
  <c r="BD130" i="5"/>
  <c r="AW130" i="5"/>
  <c r="AP130" i="5"/>
  <c r="AO130" i="5"/>
  <c r="H130" i="5" s="1"/>
  <c r="AL130" i="5"/>
  <c r="AJ130" i="5"/>
  <c r="AH130" i="5"/>
  <c r="AG130" i="5"/>
  <c r="AF130" i="5"/>
  <c r="AC130" i="5"/>
  <c r="AB130" i="5"/>
  <c r="Z130" i="5"/>
  <c r="J130" i="5"/>
  <c r="AK130" i="5" s="1"/>
  <c r="AS129" i="5"/>
  <c r="BJ126" i="5"/>
  <c r="BH126" i="5"/>
  <c r="BF126" i="5"/>
  <c r="BD126" i="5"/>
  <c r="AW126" i="5"/>
  <c r="AP126" i="5"/>
  <c r="I126" i="5" s="1"/>
  <c r="AO126" i="5"/>
  <c r="AL126" i="5"/>
  <c r="AK126" i="5"/>
  <c r="AJ126" i="5"/>
  <c r="AH126" i="5"/>
  <c r="AG126" i="5"/>
  <c r="AF126" i="5"/>
  <c r="AE126" i="5"/>
  <c r="AD126" i="5"/>
  <c r="AB126" i="5"/>
  <c r="Z126" i="5"/>
  <c r="J126" i="5"/>
  <c r="H126" i="5"/>
  <c r="BJ123" i="5"/>
  <c r="BF123" i="5"/>
  <c r="BD123" i="5"/>
  <c r="AP123" i="5"/>
  <c r="AO123" i="5"/>
  <c r="AL123" i="5"/>
  <c r="AJ123" i="5"/>
  <c r="AH123" i="5"/>
  <c r="AG123" i="5"/>
  <c r="AF123" i="5"/>
  <c r="AE123" i="5"/>
  <c r="AD123" i="5"/>
  <c r="Z123" i="5"/>
  <c r="J123" i="5"/>
  <c r="AK123" i="5" s="1"/>
  <c r="BJ120" i="5"/>
  <c r="BF120" i="5"/>
  <c r="BD120" i="5"/>
  <c r="AP120" i="5"/>
  <c r="I120" i="5" s="1"/>
  <c r="AO120" i="5"/>
  <c r="H120" i="5" s="1"/>
  <c r="AL120" i="5"/>
  <c r="AJ120" i="5"/>
  <c r="AS119" i="5" s="1"/>
  <c r="AH120" i="5"/>
  <c r="AG120" i="5"/>
  <c r="AF120" i="5"/>
  <c r="AE120" i="5"/>
  <c r="AD120" i="5"/>
  <c r="Z120" i="5"/>
  <c r="J120" i="5"/>
  <c r="AK120" i="5" s="1"/>
  <c r="AT119" i="5" s="1"/>
  <c r="J119" i="5"/>
  <c r="L22" i="4" s="1"/>
  <c r="N22" i="4" s="1"/>
  <c r="BJ115" i="5"/>
  <c r="BF115" i="5"/>
  <c r="BD115" i="5"/>
  <c r="AX115" i="5"/>
  <c r="AP115" i="5"/>
  <c r="BI115" i="5" s="1"/>
  <c r="AC115" i="5" s="1"/>
  <c r="AO115" i="5"/>
  <c r="AL115" i="5"/>
  <c r="AJ115" i="5"/>
  <c r="AH115" i="5"/>
  <c r="AG115" i="5"/>
  <c r="AF115" i="5"/>
  <c r="AE115" i="5"/>
  <c r="AD115" i="5"/>
  <c r="Z115" i="5"/>
  <c r="J115" i="5"/>
  <c r="AK115" i="5" s="1"/>
  <c r="I115" i="5"/>
  <c r="H115" i="5"/>
  <c r="BJ108" i="5"/>
  <c r="BF108" i="5"/>
  <c r="BD108" i="5"/>
  <c r="AP108" i="5"/>
  <c r="AO108" i="5"/>
  <c r="BH108" i="5" s="1"/>
  <c r="AB108" i="5" s="1"/>
  <c r="AL108" i="5"/>
  <c r="AU107" i="5" s="1"/>
  <c r="AJ108" i="5"/>
  <c r="AS107" i="5" s="1"/>
  <c r="AH108" i="5"/>
  <c r="AG108" i="5"/>
  <c r="AF108" i="5"/>
  <c r="AE108" i="5"/>
  <c r="AD108" i="5"/>
  <c r="Z108" i="5"/>
  <c r="J108" i="5"/>
  <c r="I108" i="5"/>
  <c r="I107" i="5" s="1"/>
  <c r="K21" i="4" s="1"/>
  <c r="BJ103" i="5"/>
  <c r="BH103" i="5"/>
  <c r="AB103" i="5" s="1"/>
  <c r="BF103" i="5"/>
  <c r="BD103" i="5"/>
  <c r="AP103" i="5"/>
  <c r="AO103" i="5"/>
  <c r="AW103" i="5" s="1"/>
  <c r="AL103" i="5"/>
  <c r="AJ103" i="5"/>
  <c r="AH103" i="5"/>
  <c r="AG103" i="5"/>
  <c r="AF103" i="5"/>
  <c r="AE103" i="5"/>
  <c r="AD103" i="5"/>
  <c r="Z103" i="5"/>
  <c r="J103" i="5"/>
  <c r="AK103" i="5" s="1"/>
  <c r="BJ97" i="5"/>
  <c r="BF97" i="5"/>
  <c r="BD97" i="5"/>
  <c r="AX97" i="5"/>
  <c r="AP97" i="5"/>
  <c r="BI97" i="5" s="1"/>
  <c r="AC97" i="5" s="1"/>
  <c r="AO97" i="5"/>
  <c r="AL97" i="5"/>
  <c r="AJ97" i="5"/>
  <c r="AS92" i="5" s="1"/>
  <c r="AH97" i="5"/>
  <c r="AG97" i="5"/>
  <c r="AF97" i="5"/>
  <c r="AE97" i="5"/>
  <c r="AD97" i="5"/>
  <c r="Z97" i="5"/>
  <c r="J97" i="5"/>
  <c r="AK97" i="5" s="1"/>
  <c r="I97" i="5"/>
  <c r="BJ93" i="5"/>
  <c r="BF93" i="5"/>
  <c r="BD93" i="5"/>
  <c r="AP93" i="5"/>
  <c r="AO93" i="5"/>
  <c r="AL93" i="5"/>
  <c r="AJ93" i="5"/>
  <c r="AH93" i="5"/>
  <c r="AG93" i="5"/>
  <c r="AF93" i="5"/>
  <c r="AE93" i="5"/>
  <c r="AD93" i="5"/>
  <c r="Z93" i="5"/>
  <c r="J93" i="5"/>
  <c r="AK93" i="5" s="1"/>
  <c r="BJ90" i="5"/>
  <c r="BF90" i="5"/>
  <c r="BD90" i="5"/>
  <c r="AP90" i="5"/>
  <c r="AO90" i="5"/>
  <c r="H90" i="5" s="1"/>
  <c r="AL90" i="5"/>
  <c r="AJ90" i="5"/>
  <c r="AH90" i="5"/>
  <c r="AG90" i="5"/>
  <c r="AF90" i="5"/>
  <c r="AE90" i="5"/>
  <c r="AD90" i="5"/>
  <c r="Z90" i="5"/>
  <c r="J90" i="5"/>
  <c r="AK90" i="5" s="1"/>
  <c r="BJ87" i="5"/>
  <c r="BI87" i="5"/>
  <c r="AC87" i="5" s="1"/>
  <c r="BH87" i="5"/>
  <c r="AB87" i="5" s="1"/>
  <c r="BF87" i="5"/>
  <c r="BD87" i="5"/>
  <c r="AW87" i="5"/>
  <c r="AP87" i="5"/>
  <c r="I87" i="5" s="1"/>
  <c r="AO87" i="5"/>
  <c r="AL87" i="5"/>
  <c r="AJ87" i="5"/>
  <c r="AH87" i="5"/>
  <c r="AG87" i="5"/>
  <c r="AF87" i="5"/>
  <c r="AE87" i="5"/>
  <c r="AD87" i="5"/>
  <c r="Z87" i="5"/>
  <c r="J87" i="5"/>
  <c r="AK87" i="5" s="1"/>
  <c r="H87" i="5"/>
  <c r="BJ84" i="5"/>
  <c r="BI84" i="5"/>
  <c r="AC84" i="5" s="1"/>
  <c r="BH84" i="5"/>
  <c r="AB84" i="5" s="1"/>
  <c r="BF84" i="5"/>
  <c r="BD84" i="5"/>
  <c r="AX84" i="5"/>
  <c r="AW84" i="5"/>
  <c r="AP84" i="5"/>
  <c r="I84" i="5" s="1"/>
  <c r="AO84" i="5"/>
  <c r="AL84" i="5"/>
  <c r="AK84" i="5"/>
  <c r="AJ84" i="5"/>
  <c r="AH84" i="5"/>
  <c r="AG84" i="5"/>
  <c r="AF84" i="5"/>
  <c r="AE84" i="5"/>
  <c r="AD84" i="5"/>
  <c r="Z84" i="5"/>
  <c r="J84" i="5"/>
  <c r="H84" i="5"/>
  <c r="BJ82" i="5"/>
  <c r="BI82" i="5"/>
  <c r="BF82" i="5"/>
  <c r="BD82" i="5"/>
  <c r="AX82" i="5"/>
  <c r="AP82" i="5"/>
  <c r="AO82" i="5"/>
  <c r="H82" i="5" s="1"/>
  <c r="AL82" i="5"/>
  <c r="AK82" i="5"/>
  <c r="AJ82" i="5"/>
  <c r="AH82" i="5"/>
  <c r="AG82" i="5"/>
  <c r="AF82" i="5"/>
  <c r="AE82" i="5"/>
  <c r="AD82" i="5"/>
  <c r="AC82" i="5"/>
  <c r="Z82" i="5"/>
  <c r="J82" i="5"/>
  <c r="I82" i="5"/>
  <c r="BJ79" i="5"/>
  <c r="BF79" i="5"/>
  <c r="BD79" i="5"/>
  <c r="AX79" i="5"/>
  <c r="AP79" i="5"/>
  <c r="BI79" i="5" s="1"/>
  <c r="AC79" i="5" s="1"/>
  <c r="AO79" i="5"/>
  <c r="AL79" i="5"/>
  <c r="AJ79" i="5"/>
  <c r="AH79" i="5"/>
  <c r="AG79" i="5"/>
  <c r="AF79" i="5"/>
  <c r="AE79" i="5"/>
  <c r="AD79" i="5"/>
  <c r="Z79" i="5"/>
  <c r="J79" i="5"/>
  <c r="AK79" i="5" s="1"/>
  <c r="I79" i="5"/>
  <c r="BJ76" i="5"/>
  <c r="BF76" i="5"/>
  <c r="BD76" i="5"/>
  <c r="AP76" i="5"/>
  <c r="AO76" i="5"/>
  <c r="AL76" i="5"/>
  <c r="AJ76" i="5"/>
  <c r="AH76" i="5"/>
  <c r="AG76" i="5"/>
  <c r="AF76" i="5"/>
  <c r="AE76" i="5"/>
  <c r="AD76" i="5"/>
  <c r="Z76" i="5"/>
  <c r="J76" i="5"/>
  <c r="BJ73" i="5"/>
  <c r="BF73" i="5"/>
  <c r="BD73" i="5"/>
  <c r="AP73" i="5"/>
  <c r="AO73" i="5"/>
  <c r="H73" i="5" s="1"/>
  <c r="AL73" i="5"/>
  <c r="AJ73" i="5"/>
  <c r="AH73" i="5"/>
  <c r="AG73" i="5"/>
  <c r="AF73" i="5"/>
  <c r="AE73" i="5"/>
  <c r="AD73" i="5"/>
  <c r="Z73" i="5"/>
  <c r="J73" i="5"/>
  <c r="AK73" i="5" s="1"/>
  <c r="AS72" i="5"/>
  <c r="BJ69" i="5"/>
  <c r="Z69" i="5" s="1"/>
  <c r="BF69" i="5"/>
  <c r="BD69" i="5"/>
  <c r="AX69" i="5"/>
  <c r="AP69" i="5"/>
  <c r="BI69" i="5" s="1"/>
  <c r="AO69" i="5"/>
  <c r="AL69" i="5"/>
  <c r="AJ69" i="5"/>
  <c r="AH69" i="5"/>
  <c r="AG69" i="5"/>
  <c r="AF69" i="5"/>
  <c r="AE69" i="5"/>
  <c r="AD69" i="5"/>
  <c r="AC69" i="5"/>
  <c r="AB69" i="5"/>
  <c r="J69" i="5"/>
  <c r="AK69" i="5" s="1"/>
  <c r="I69" i="5"/>
  <c r="BJ67" i="5"/>
  <c r="BF67" i="5"/>
  <c r="BD67" i="5"/>
  <c r="AP67" i="5"/>
  <c r="AO67" i="5"/>
  <c r="AL67" i="5"/>
  <c r="AJ67" i="5"/>
  <c r="AH67" i="5"/>
  <c r="AG67" i="5"/>
  <c r="AF67" i="5"/>
  <c r="AE67" i="5"/>
  <c r="AD67" i="5"/>
  <c r="AC67" i="5"/>
  <c r="AB67" i="5"/>
  <c r="Z67" i="5"/>
  <c r="J67" i="5"/>
  <c r="AK67" i="5" s="1"/>
  <c r="BJ65" i="5"/>
  <c r="BF65" i="5"/>
  <c r="BD65" i="5"/>
  <c r="AP65" i="5"/>
  <c r="AO65" i="5"/>
  <c r="H65" i="5" s="1"/>
  <c r="AL65" i="5"/>
  <c r="AJ65" i="5"/>
  <c r="AH65" i="5"/>
  <c r="AG65" i="5"/>
  <c r="AF65" i="5"/>
  <c r="AE65" i="5"/>
  <c r="AD65" i="5"/>
  <c r="AC65" i="5"/>
  <c r="AB65" i="5"/>
  <c r="Z65" i="5"/>
  <c r="J65" i="5"/>
  <c r="AK65" i="5" s="1"/>
  <c r="BJ63" i="5"/>
  <c r="BI63" i="5"/>
  <c r="BH63" i="5"/>
  <c r="BF63" i="5"/>
  <c r="BD63" i="5"/>
  <c r="AW63" i="5"/>
  <c r="AP63" i="5"/>
  <c r="I63" i="5" s="1"/>
  <c r="AO63" i="5"/>
  <c r="AL63" i="5"/>
  <c r="AJ63" i="5"/>
  <c r="AS56" i="5" s="1"/>
  <c r="AH63" i="5"/>
  <c r="AG63" i="5"/>
  <c r="AF63" i="5"/>
  <c r="AE63" i="5"/>
  <c r="AD63" i="5"/>
  <c r="AC63" i="5"/>
  <c r="AB63" i="5"/>
  <c r="Z63" i="5"/>
  <c r="J63" i="5"/>
  <c r="AK63" i="5" s="1"/>
  <c r="H63" i="5"/>
  <c r="BJ62" i="5"/>
  <c r="Z62" i="5" s="1"/>
  <c r="BI62" i="5"/>
  <c r="BH62" i="5"/>
  <c r="BF62" i="5"/>
  <c r="BD62" i="5"/>
  <c r="AX62" i="5"/>
  <c r="AW62" i="5"/>
  <c r="AP62" i="5"/>
  <c r="I62" i="5" s="1"/>
  <c r="AO62" i="5"/>
  <c r="AL62" i="5"/>
  <c r="AK62" i="5"/>
  <c r="AJ62" i="5"/>
  <c r="AH62" i="5"/>
  <c r="AG62" i="5"/>
  <c r="AF62" i="5"/>
  <c r="AE62" i="5"/>
  <c r="AD62" i="5"/>
  <c r="AC62" i="5"/>
  <c r="AB62" i="5"/>
  <c r="J62" i="5"/>
  <c r="H62" i="5"/>
  <c r="BJ61" i="5"/>
  <c r="Z61" i="5" s="1"/>
  <c r="BF61" i="5"/>
  <c r="BD61" i="5"/>
  <c r="AP61" i="5"/>
  <c r="AO61" i="5"/>
  <c r="AL61" i="5"/>
  <c r="AJ61" i="5"/>
  <c r="AH61" i="5"/>
  <c r="AG61" i="5"/>
  <c r="AF61" i="5"/>
  <c r="AE61" i="5"/>
  <c r="AD61" i="5"/>
  <c r="AC61" i="5"/>
  <c r="AB61" i="5"/>
  <c r="J61" i="5"/>
  <c r="AK61" i="5" s="1"/>
  <c r="I61" i="5"/>
  <c r="BJ59" i="5"/>
  <c r="Z59" i="5" s="1"/>
  <c r="BF59" i="5"/>
  <c r="BD59" i="5"/>
  <c r="AX59" i="5"/>
  <c r="AP59" i="5"/>
  <c r="BI59" i="5" s="1"/>
  <c r="AO59" i="5"/>
  <c r="AL59" i="5"/>
  <c r="AJ59" i="5"/>
  <c r="AH59" i="5"/>
  <c r="AG59" i="5"/>
  <c r="AF59" i="5"/>
  <c r="AE59" i="5"/>
  <c r="AD59" i="5"/>
  <c r="AC59" i="5"/>
  <c r="AB59" i="5"/>
  <c r="J59" i="5"/>
  <c r="AK59" i="5" s="1"/>
  <c r="I59" i="5"/>
  <c r="BJ57" i="5"/>
  <c r="Z57" i="5" s="1"/>
  <c r="BF57" i="5"/>
  <c r="BD57" i="5"/>
  <c r="AP57" i="5"/>
  <c r="AO57" i="5"/>
  <c r="AL57" i="5"/>
  <c r="AJ57" i="5"/>
  <c r="AH57" i="5"/>
  <c r="AG57" i="5"/>
  <c r="AF57" i="5"/>
  <c r="AE57" i="5"/>
  <c r="AD57" i="5"/>
  <c r="AC57" i="5"/>
  <c r="AB57" i="5"/>
  <c r="J57" i="5"/>
  <c r="AK57" i="5" s="1"/>
  <c r="BJ54" i="5"/>
  <c r="BF54" i="5"/>
  <c r="BD54" i="5"/>
  <c r="AP54" i="5"/>
  <c r="AO54" i="5"/>
  <c r="H54" i="5" s="1"/>
  <c r="H53" i="5" s="1"/>
  <c r="AL54" i="5"/>
  <c r="AJ54" i="5"/>
  <c r="AS53" i="5" s="1"/>
  <c r="AH54" i="5"/>
  <c r="AE54" i="5"/>
  <c r="AD54" i="5"/>
  <c r="AC54" i="5"/>
  <c r="AB54" i="5"/>
  <c r="Z54" i="5"/>
  <c r="J54" i="5"/>
  <c r="AK54" i="5" s="1"/>
  <c r="AU53" i="5"/>
  <c r="AT53" i="5"/>
  <c r="J53" i="5"/>
  <c r="BJ51" i="5"/>
  <c r="BI51" i="5"/>
  <c r="AC51" i="5" s="1"/>
  <c r="BH51" i="5"/>
  <c r="AB51" i="5" s="1"/>
  <c r="BF51" i="5"/>
  <c r="BD51" i="5"/>
  <c r="AW51" i="5"/>
  <c r="AP51" i="5"/>
  <c r="I51" i="5" s="1"/>
  <c r="AO51" i="5"/>
  <c r="AL51" i="5"/>
  <c r="AK51" i="5"/>
  <c r="AJ51" i="5"/>
  <c r="AH51" i="5"/>
  <c r="AG51" i="5"/>
  <c r="AF51" i="5"/>
  <c r="AE51" i="5"/>
  <c r="AD51" i="5"/>
  <c r="Z51" i="5"/>
  <c r="J51" i="5"/>
  <c r="H51" i="5"/>
  <c r="BJ49" i="5"/>
  <c r="BI49" i="5"/>
  <c r="AC49" i="5" s="1"/>
  <c r="BF49" i="5"/>
  <c r="BD49" i="5"/>
  <c r="AX49" i="5"/>
  <c r="AP49" i="5"/>
  <c r="AO49" i="5"/>
  <c r="AL49" i="5"/>
  <c r="AJ49" i="5"/>
  <c r="AH49" i="5"/>
  <c r="AG49" i="5"/>
  <c r="AF49" i="5"/>
  <c r="AE49" i="5"/>
  <c r="AD49" i="5"/>
  <c r="Z49" i="5"/>
  <c r="J49" i="5"/>
  <c r="AK49" i="5" s="1"/>
  <c r="I49" i="5"/>
  <c r="BJ45" i="5"/>
  <c r="BF45" i="5"/>
  <c r="BD45" i="5"/>
  <c r="AW45" i="5"/>
  <c r="AP45" i="5"/>
  <c r="AO45" i="5"/>
  <c r="BH45" i="5" s="1"/>
  <c r="AB45" i="5" s="1"/>
  <c r="AL45" i="5"/>
  <c r="AJ45" i="5"/>
  <c r="AH45" i="5"/>
  <c r="AG45" i="5"/>
  <c r="AF45" i="5"/>
  <c r="AE45" i="5"/>
  <c r="AD45" i="5"/>
  <c r="Z45" i="5"/>
  <c r="J45" i="5"/>
  <c r="AK45" i="5" s="1"/>
  <c r="BJ43" i="5"/>
  <c r="BF43" i="5"/>
  <c r="BD43" i="5"/>
  <c r="AP43" i="5"/>
  <c r="AO43" i="5"/>
  <c r="AL43" i="5"/>
  <c r="AJ43" i="5"/>
  <c r="AH43" i="5"/>
  <c r="AG43" i="5"/>
  <c r="AF43" i="5"/>
  <c r="AE43" i="5"/>
  <c r="AD43" i="5"/>
  <c r="Z43" i="5"/>
  <c r="J43" i="5"/>
  <c r="AK43" i="5" s="1"/>
  <c r="BJ41" i="5"/>
  <c r="BF41" i="5"/>
  <c r="BD41" i="5"/>
  <c r="AP41" i="5"/>
  <c r="AO41" i="5"/>
  <c r="AL41" i="5"/>
  <c r="AJ41" i="5"/>
  <c r="AH41" i="5"/>
  <c r="AG41" i="5"/>
  <c r="AF41" i="5"/>
  <c r="AE41" i="5"/>
  <c r="AD41" i="5"/>
  <c r="Z41" i="5"/>
  <c r="J41" i="5"/>
  <c r="BJ39" i="5"/>
  <c r="BF39" i="5"/>
  <c r="BD39" i="5"/>
  <c r="AP39" i="5"/>
  <c r="AO39" i="5"/>
  <c r="H39" i="5" s="1"/>
  <c r="AL39" i="5"/>
  <c r="AJ39" i="5"/>
  <c r="AH39" i="5"/>
  <c r="AG39" i="5"/>
  <c r="AF39" i="5"/>
  <c r="AE39" i="5"/>
  <c r="AD39" i="5"/>
  <c r="Z39" i="5"/>
  <c r="J39" i="5"/>
  <c r="AK39" i="5" s="1"/>
  <c r="AS38" i="5"/>
  <c r="BJ36" i="5"/>
  <c r="BF36" i="5"/>
  <c r="BD36" i="5"/>
  <c r="AP36" i="5"/>
  <c r="AO36" i="5"/>
  <c r="AL36" i="5"/>
  <c r="AJ36" i="5"/>
  <c r="AH36" i="5"/>
  <c r="AG36" i="5"/>
  <c r="AF36" i="5"/>
  <c r="AE36" i="5"/>
  <c r="AD36" i="5"/>
  <c r="Z36" i="5"/>
  <c r="J36" i="5"/>
  <c r="AK36" i="5" s="1"/>
  <c r="BJ33" i="5"/>
  <c r="BI33" i="5"/>
  <c r="AC33" i="5" s="1"/>
  <c r="BH33" i="5"/>
  <c r="BF33" i="5"/>
  <c r="BD33" i="5"/>
  <c r="AX33" i="5"/>
  <c r="AW33" i="5"/>
  <c r="AP33" i="5"/>
  <c r="I33" i="5" s="1"/>
  <c r="AO33" i="5"/>
  <c r="AL33" i="5"/>
  <c r="AK33" i="5"/>
  <c r="AJ33" i="5"/>
  <c r="AH33" i="5"/>
  <c r="AG33" i="5"/>
  <c r="AF33" i="5"/>
  <c r="AE33" i="5"/>
  <c r="AD33" i="5"/>
  <c r="AB33" i="5"/>
  <c r="Z33" i="5"/>
  <c r="J33" i="5"/>
  <c r="H33" i="5"/>
  <c r="BJ31" i="5"/>
  <c r="BI31" i="5"/>
  <c r="BF31" i="5"/>
  <c r="BD31" i="5"/>
  <c r="AX31" i="5"/>
  <c r="AP31" i="5"/>
  <c r="AO31" i="5"/>
  <c r="AL31" i="5"/>
  <c r="AK31" i="5"/>
  <c r="AJ31" i="5"/>
  <c r="AH31" i="5"/>
  <c r="AG31" i="5"/>
  <c r="AF31" i="5"/>
  <c r="AE31" i="5"/>
  <c r="AD31" i="5"/>
  <c r="AC31" i="5"/>
  <c r="Z31" i="5"/>
  <c r="J31" i="5"/>
  <c r="I31" i="5"/>
  <c r="H31" i="5"/>
  <c r="BJ28" i="5"/>
  <c r="BF28" i="5"/>
  <c r="BD28" i="5"/>
  <c r="AX28" i="5"/>
  <c r="AP28" i="5"/>
  <c r="BI28" i="5" s="1"/>
  <c r="AC28" i="5" s="1"/>
  <c r="AO28" i="5"/>
  <c r="AL28" i="5"/>
  <c r="AJ28" i="5"/>
  <c r="AH28" i="5"/>
  <c r="AG28" i="5"/>
  <c r="AF28" i="5"/>
  <c r="AE28" i="5"/>
  <c r="AD28" i="5"/>
  <c r="Z28" i="5"/>
  <c r="J28" i="5"/>
  <c r="AK28" i="5" s="1"/>
  <c r="I28" i="5"/>
  <c r="BJ25" i="5"/>
  <c r="BF25" i="5"/>
  <c r="BD25" i="5"/>
  <c r="AP25" i="5"/>
  <c r="AO25" i="5"/>
  <c r="AL25" i="5"/>
  <c r="AJ25" i="5"/>
  <c r="AH25" i="5"/>
  <c r="AG25" i="5"/>
  <c r="AF25" i="5"/>
  <c r="AE25" i="5"/>
  <c r="AD25" i="5"/>
  <c r="Z25" i="5"/>
  <c r="J25" i="5"/>
  <c r="BJ23" i="5"/>
  <c r="BH23" i="5"/>
  <c r="AB23" i="5" s="1"/>
  <c r="BF23" i="5"/>
  <c r="BD23" i="5"/>
  <c r="AP23" i="5"/>
  <c r="AO23" i="5"/>
  <c r="H23" i="5" s="1"/>
  <c r="AL23" i="5"/>
  <c r="AJ23" i="5"/>
  <c r="AH23" i="5"/>
  <c r="AG23" i="5"/>
  <c r="AF23" i="5"/>
  <c r="AE23" i="5"/>
  <c r="AD23" i="5"/>
  <c r="Z23" i="5"/>
  <c r="J23" i="5"/>
  <c r="AK23" i="5" s="1"/>
  <c r="BJ21" i="5"/>
  <c r="BH21" i="5"/>
  <c r="AB21" i="5" s="1"/>
  <c r="BF21" i="5"/>
  <c r="BD21" i="5"/>
  <c r="AW21" i="5"/>
  <c r="AP21" i="5"/>
  <c r="I21" i="5" s="1"/>
  <c r="AO21" i="5"/>
  <c r="AL21" i="5"/>
  <c r="AJ21" i="5"/>
  <c r="C27" i="1" s="1"/>
  <c r="AH21" i="5"/>
  <c r="AG21" i="5"/>
  <c r="AF21" i="5"/>
  <c r="AE21" i="5"/>
  <c r="AD21" i="5"/>
  <c r="Z21" i="5"/>
  <c r="J21" i="5"/>
  <c r="AK21" i="5" s="1"/>
  <c r="H21" i="5"/>
  <c r="BJ17" i="5"/>
  <c r="BI17" i="5"/>
  <c r="AC17" i="5" s="1"/>
  <c r="BH17" i="5"/>
  <c r="AB17" i="5" s="1"/>
  <c r="BF17" i="5"/>
  <c r="BD17" i="5"/>
  <c r="AX17" i="5"/>
  <c r="AW17" i="5"/>
  <c r="AP17" i="5"/>
  <c r="I17" i="5" s="1"/>
  <c r="AO17" i="5"/>
  <c r="AL17" i="5"/>
  <c r="AK17" i="5"/>
  <c r="AJ17" i="5"/>
  <c r="AH17" i="5"/>
  <c r="AG17" i="5"/>
  <c r="AF17" i="5"/>
  <c r="AE17" i="5"/>
  <c r="AD17" i="5"/>
  <c r="Z17" i="5"/>
  <c r="C21" i="1" s="1"/>
  <c r="J17" i="5"/>
  <c r="H17" i="5"/>
  <c r="BJ14" i="5"/>
  <c r="BI14" i="5"/>
  <c r="AE14" i="5" s="1"/>
  <c r="BF14" i="5"/>
  <c r="BD14" i="5"/>
  <c r="AX14" i="5"/>
  <c r="AP14" i="5"/>
  <c r="AO14" i="5"/>
  <c r="AL14" i="5"/>
  <c r="AK14" i="5"/>
  <c r="AT13" i="5" s="1"/>
  <c r="AJ14" i="5"/>
  <c r="AS13" i="5" s="1"/>
  <c r="AH14" i="5"/>
  <c r="C20" i="1" s="1"/>
  <c r="AG14" i="5"/>
  <c r="AF14" i="5"/>
  <c r="AC14" i="5"/>
  <c r="AB14" i="5"/>
  <c r="Z14" i="5"/>
  <c r="J14" i="5"/>
  <c r="I14" i="5"/>
  <c r="I13" i="5" s="1"/>
  <c r="H14" i="5"/>
  <c r="H13" i="5" s="1"/>
  <c r="J13" i="5"/>
  <c r="AU1" i="5"/>
  <c r="AT1" i="5"/>
  <c r="AS1" i="5"/>
  <c r="P65" i="4"/>
  <c r="L65" i="4"/>
  <c r="N65" i="4" s="1"/>
  <c r="K65" i="4"/>
  <c r="J65" i="4"/>
  <c r="P64" i="4"/>
  <c r="L64" i="4"/>
  <c r="N64" i="4" s="1"/>
  <c r="K64" i="4"/>
  <c r="J64" i="4"/>
  <c r="P63" i="4"/>
  <c r="P62" i="4"/>
  <c r="N62" i="4"/>
  <c r="L62" i="4"/>
  <c r="N61" i="4"/>
  <c r="P60" i="4"/>
  <c r="P59" i="4"/>
  <c r="P58" i="4"/>
  <c r="P57" i="4"/>
  <c r="P56" i="4"/>
  <c r="L56" i="4"/>
  <c r="N56" i="4" s="1"/>
  <c r="N55" i="4"/>
  <c r="P54" i="4"/>
  <c r="L54" i="4"/>
  <c r="N54" i="4" s="1"/>
  <c r="K54" i="4"/>
  <c r="P53" i="4"/>
  <c r="P52" i="4"/>
  <c r="P51" i="4"/>
  <c r="N50" i="4"/>
  <c r="P49" i="4"/>
  <c r="L49" i="4"/>
  <c r="N49" i="4" s="1"/>
  <c r="P48" i="4"/>
  <c r="L48" i="4"/>
  <c r="N48" i="4" s="1"/>
  <c r="K48" i="4"/>
  <c r="J48" i="4"/>
  <c r="P47" i="4"/>
  <c r="P46" i="4"/>
  <c r="P45" i="4"/>
  <c r="L45" i="4"/>
  <c r="N45" i="4" s="1"/>
  <c r="P44" i="4"/>
  <c r="K44" i="4"/>
  <c r="J44" i="4"/>
  <c r="P43" i="4"/>
  <c r="L43" i="4"/>
  <c r="N43" i="4" s="1"/>
  <c r="P42" i="4"/>
  <c r="P41" i="4"/>
  <c r="P40" i="4"/>
  <c r="P39" i="4"/>
  <c r="P38" i="4"/>
  <c r="N38" i="4"/>
  <c r="L38" i="4"/>
  <c r="K38" i="4"/>
  <c r="P37" i="4"/>
  <c r="N36" i="4"/>
  <c r="P35" i="4"/>
  <c r="N35" i="4"/>
  <c r="L35" i="4"/>
  <c r="J35" i="4"/>
  <c r="P34" i="4"/>
  <c r="L34" i="4"/>
  <c r="N34" i="4" s="1"/>
  <c r="K34" i="4"/>
  <c r="J34" i="4"/>
  <c r="P33" i="4"/>
  <c r="L33" i="4"/>
  <c r="N33" i="4" s="1"/>
  <c r="P32" i="4"/>
  <c r="K32" i="4"/>
  <c r="P31" i="4"/>
  <c r="L31" i="4"/>
  <c r="N31" i="4" s="1"/>
  <c r="J31" i="4"/>
  <c r="P30" i="4"/>
  <c r="L30" i="4"/>
  <c r="N30" i="4" s="1"/>
  <c r="K30" i="4"/>
  <c r="P29" i="4"/>
  <c r="N29" i="4"/>
  <c r="L29" i="4"/>
  <c r="P28" i="4"/>
  <c r="P27" i="4"/>
  <c r="P26" i="4"/>
  <c r="P25" i="4"/>
  <c r="P24" i="4"/>
  <c r="P23" i="4"/>
  <c r="P22" i="4"/>
  <c r="P21" i="4"/>
  <c r="P20" i="4"/>
  <c r="P19" i="4"/>
  <c r="N18" i="4"/>
  <c r="P17" i="4"/>
  <c r="P16" i="4"/>
  <c r="N16" i="4"/>
  <c r="L16" i="4"/>
  <c r="J16" i="4"/>
  <c r="P15" i="4"/>
  <c r="P14" i="4"/>
  <c r="P13" i="4"/>
  <c r="N13" i="4"/>
  <c r="L13" i="4"/>
  <c r="N12" i="4"/>
  <c r="J8" i="4"/>
  <c r="H8" i="4"/>
  <c r="D8" i="4"/>
  <c r="J6" i="4"/>
  <c r="H6" i="4"/>
  <c r="D6" i="4"/>
  <c r="J4" i="4"/>
  <c r="H4" i="4"/>
  <c r="D4" i="4"/>
  <c r="J2" i="4"/>
  <c r="H2" i="4"/>
  <c r="D2" i="4"/>
  <c r="N17" i="3"/>
  <c r="N16" i="3"/>
  <c r="N15" i="3"/>
  <c r="N14" i="3"/>
  <c r="N13" i="3"/>
  <c r="N12" i="3"/>
  <c r="J8" i="3"/>
  <c r="H8" i="3"/>
  <c r="D8" i="3"/>
  <c r="J6" i="3"/>
  <c r="H6" i="3"/>
  <c r="D6" i="3"/>
  <c r="J4" i="3"/>
  <c r="H4" i="3"/>
  <c r="D4" i="3"/>
  <c r="J2" i="3"/>
  <c r="H2" i="3"/>
  <c r="D2" i="3"/>
  <c r="I35" i="2"/>
  <c r="I36" i="2" s="1"/>
  <c r="I24" i="1" s="1"/>
  <c r="I26" i="2"/>
  <c r="I25" i="2"/>
  <c r="I24" i="2"/>
  <c r="I17" i="1" s="1"/>
  <c r="I23" i="2"/>
  <c r="I16" i="1" s="1"/>
  <c r="I22" i="2"/>
  <c r="I21" i="2"/>
  <c r="I14" i="1" s="1"/>
  <c r="I17" i="2"/>
  <c r="F16" i="1" s="1"/>
  <c r="I16" i="2"/>
  <c r="F15" i="1" s="1"/>
  <c r="I15" i="2"/>
  <c r="I10" i="2"/>
  <c r="F10" i="2"/>
  <c r="C10" i="2"/>
  <c r="F8" i="2"/>
  <c r="C8" i="2"/>
  <c r="F6" i="2"/>
  <c r="C6" i="2"/>
  <c r="F4" i="2"/>
  <c r="C4" i="2"/>
  <c r="F2" i="2"/>
  <c r="C2" i="2"/>
  <c r="I19" i="1"/>
  <c r="I18" i="1"/>
  <c r="I15" i="1"/>
  <c r="F14" i="1"/>
  <c r="I10" i="1"/>
  <c r="F10" i="1"/>
  <c r="C10" i="1"/>
  <c r="F8" i="1"/>
  <c r="C8" i="1"/>
  <c r="F6" i="1"/>
  <c r="C6" i="1"/>
  <c r="F4" i="1"/>
  <c r="C4" i="1"/>
  <c r="F2" i="1"/>
  <c r="C2" i="1"/>
  <c r="H146" i="5" l="1"/>
  <c r="BH146" i="5"/>
  <c r="AD146" i="5" s="1"/>
  <c r="AW146" i="5"/>
  <c r="AV146" i="5" s="1"/>
  <c r="BH181" i="5"/>
  <c r="AD181" i="5" s="1"/>
  <c r="AW181" i="5"/>
  <c r="AV181" i="5" s="1"/>
  <c r="BH329" i="5"/>
  <c r="AD329" i="5" s="1"/>
  <c r="H329" i="5"/>
  <c r="BH350" i="5"/>
  <c r="AD350" i="5" s="1"/>
  <c r="H350" i="5"/>
  <c r="AX467" i="5"/>
  <c r="AV467" i="5" s="1"/>
  <c r="I467" i="5"/>
  <c r="BI21" i="5"/>
  <c r="AC21" i="5" s="1"/>
  <c r="AU16" i="5"/>
  <c r="BH31" i="5"/>
  <c r="AB31" i="5" s="1"/>
  <c r="AW31" i="5"/>
  <c r="BC31" i="5" s="1"/>
  <c r="AU56" i="5"/>
  <c r="AX120" i="5"/>
  <c r="BH143" i="5"/>
  <c r="AD143" i="5" s="1"/>
  <c r="H143" i="5"/>
  <c r="AK179" i="5"/>
  <c r="AT178" i="5" s="1"/>
  <c r="J178" i="5"/>
  <c r="L25" i="4" s="1"/>
  <c r="N25" i="4" s="1"/>
  <c r="H181" i="5"/>
  <c r="H178" i="5" s="1"/>
  <c r="J25" i="4" s="1"/>
  <c r="H36" i="5"/>
  <c r="AW36" i="5"/>
  <c r="BH36" i="5"/>
  <c r="AB36" i="5" s="1"/>
  <c r="I45" i="5"/>
  <c r="AX45" i="5"/>
  <c r="BC45" i="5" s="1"/>
  <c r="BI45" i="5"/>
  <c r="AC45" i="5" s="1"/>
  <c r="BH73" i="5"/>
  <c r="AB73" i="5" s="1"/>
  <c r="AX103" i="5"/>
  <c r="I103" i="5"/>
  <c r="BH149" i="5"/>
  <c r="AD149" i="5" s="1"/>
  <c r="AW149" i="5"/>
  <c r="H149" i="5"/>
  <c r="I160" i="5"/>
  <c r="BI160" i="5"/>
  <c r="AE160" i="5" s="1"/>
  <c r="AX160" i="5"/>
  <c r="BC160" i="5" s="1"/>
  <c r="BH164" i="5"/>
  <c r="AD164" i="5" s="1"/>
  <c r="BH169" i="5"/>
  <c r="AD169" i="5" s="1"/>
  <c r="AW169" i="5"/>
  <c r="BC169" i="5" s="1"/>
  <c r="H169" i="5"/>
  <c r="BH186" i="5"/>
  <c r="AD186" i="5" s="1"/>
  <c r="AW186" i="5"/>
  <c r="H186" i="5"/>
  <c r="AX195" i="5"/>
  <c r="BC195" i="5" s="1"/>
  <c r="BI195" i="5"/>
  <c r="AE195" i="5" s="1"/>
  <c r="BI234" i="5"/>
  <c r="AE234" i="5" s="1"/>
  <c r="AX234" i="5"/>
  <c r="I234" i="5"/>
  <c r="AW256" i="5"/>
  <c r="H256" i="5"/>
  <c r="H255" i="5" s="1"/>
  <c r="J30" i="4" s="1"/>
  <c r="BH256" i="5"/>
  <c r="AB256" i="5" s="1"/>
  <c r="I297" i="5"/>
  <c r="BI297" i="5"/>
  <c r="AE297" i="5" s="1"/>
  <c r="AX297" i="5"/>
  <c r="AV297" i="5" s="1"/>
  <c r="I308" i="5"/>
  <c r="BI308" i="5"/>
  <c r="AE308" i="5" s="1"/>
  <c r="AX308" i="5"/>
  <c r="AW453" i="5"/>
  <c r="H453" i="5"/>
  <c r="BH14" i="5"/>
  <c r="AD14" i="5" s="1"/>
  <c r="AW14" i="5"/>
  <c r="AV14" i="5" s="1"/>
  <c r="BI61" i="5"/>
  <c r="AX61" i="5"/>
  <c r="AK108" i="5"/>
  <c r="AT107" i="5" s="1"/>
  <c r="J107" i="5"/>
  <c r="L21" i="4" s="1"/>
  <c r="N21" i="4" s="1"/>
  <c r="BI120" i="5"/>
  <c r="AC120" i="5" s="1"/>
  <c r="BI123" i="5"/>
  <c r="AC123" i="5" s="1"/>
  <c r="AX123" i="5"/>
  <c r="BC123" i="5" s="1"/>
  <c r="I123" i="5"/>
  <c r="BH184" i="5"/>
  <c r="AD184" i="5" s="1"/>
  <c r="AW184" i="5"/>
  <c r="AX225" i="5"/>
  <c r="I225" i="5"/>
  <c r="AK244" i="5"/>
  <c r="AT243" i="5" s="1"/>
  <c r="J243" i="5"/>
  <c r="L28" i="4" s="1"/>
  <c r="N28" i="4" s="1"/>
  <c r="AW265" i="5"/>
  <c r="H265" i="5"/>
  <c r="H264" i="5" s="1"/>
  <c r="J33" i="4" s="1"/>
  <c r="H331" i="5"/>
  <c r="BH331" i="5"/>
  <c r="AD331" i="5" s="1"/>
  <c r="AW331" i="5"/>
  <c r="AV331" i="5" s="1"/>
  <c r="BH333" i="5"/>
  <c r="AD333" i="5" s="1"/>
  <c r="AW333" i="5"/>
  <c r="H333" i="5"/>
  <c r="BI467" i="5"/>
  <c r="AE467" i="5" s="1"/>
  <c r="H184" i="5"/>
  <c r="F22" i="1"/>
  <c r="AU13" i="5"/>
  <c r="C29" i="1"/>
  <c r="F29" i="1" s="1"/>
  <c r="I36" i="5"/>
  <c r="BI36" i="5"/>
  <c r="AC36" i="5" s="1"/>
  <c r="AU38" i="5"/>
  <c r="BI43" i="5"/>
  <c r="AC43" i="5" s="1"/>
  <c r="AX43" i="5"/>
  <c r="I43" i="5"/>
  <c r="AV45" i="5"/>
  <c r="BH49" i="5"/>
  <c r="AB49" i="5" s="1"/>
  <c r="AW49" i="5"/>
  <c r="H49" i="5"/>
  <c r="J56" i="5"/>
  <c r="L17" i="4" s="1"/>
  <c r="N17" i="4" s="1"/>
  <c r="BH61" i="5"/>
  <c r="H61" i="5"/>
  <c r="AW61" i="5"/>
  <c r="BH82" i="5"/>
  <c r="AB82" i="5" s="1"/>
  <c r="AW82" i="5"/>
  <c r="BC82" i="5" s="1"/>
  <c r="BH90" i="5"/>
  <c r="AB90" i="5" s="1"/>
  <c r="H103" i="5"/>
  <c r="H119" i="5"/>
  <c r="J22" i="4" s="1"/>
  <c r="BH123" i="5"/>
  <c r="AB123" i="5" s="1"/>
  <c r="AW123" i="5"/>
  <c r="H123" i="5"/>
  <c r="I162" i="5"/>
  <c r="BI162" i="5"/>
  <c r="AE162" i="5" s="1"/>
  <c r="AW167" i="5"/>
  <c r="H167" i="5"/>
  <c r="AX191" i="5"/>
  <c r="I191" i="5"/>
  <c r="I195" i="5"/>
  <c r="BI197" i="5"/>
  <c r="AE197" i="5" s="1"/>
  <c r="AX197" i="5"/>
  <c r="BC197" i="5" s="1"/>
  <c r="AX231" i="5"/>
  <c r="BI231" i="5"/>
  <c r="AE231" i="5" s="1"/>
  <c r="AS282" i="5"/>
  <c r="BC402" i="5"/>
  <c r="AS148" i="5"/>
  <c r="AS215" i="5"/>
  <c r="H359" i="5"/>
  <c r="AW359" i="5"/>
  <c r="AV359" i="5" s="1"/>
  <c r="BH359" i="5"/>
  <c r="AD359" i="5" s="1"/>
  <c r="I22" i="1"/>
  <c r="BH39" i="5"/>
  <c r="AB39" i="5" s="1"/>
  <c r="H45" i="5"/>
  <c r="BH65" i="5"/>
  <c r="AU119" i="5"/>
  <c r="AX126" i="5"/>
  <c r="AV126" i="5" s="1"/>
  <c r="BI126" i="5"/>
  <c r="AC126" i="5" s="1"/>
  <c r="AX143" i="5"/>
  <c r="AU148" i="5"/>
  <c r="I166" i="5"/>
  <c r="I167" i="5"/>
  <c r="AX167" i="5"/>
  <c r="BI169" i="5"/>
  <c r="AE169" i="5" s="1"/>
  <c r="H172" i="5"/>
  <c r="BH172" i="5"/>
  <c r="AD172" i="5" s="1"/>
  <c r="I176" i="5"/>
  <c r="H179" i="5"/>
  <c r="BI181" i="5"/>
  <c r="AE181" i="5" s="1"/>
  <c r="BH211" i="5"/>
  <c r="AD211" i="5" s="1"/>
  <c r="AW211" i="5"/>
  <c r="AV211" i="5" s="1"/>
  <c r="AU215" i="5"/>
  <c r="BH237" i="5"/>
  <c r="AD237" i="5" s="1"/>
  <c r="H247" i="5"/>
  <c r="H246" i="5" s="1"/>
  <c r="J29" i="4" s="1"/>
  <c r="BI250" i="5"/>
  <c r="AE250" i="5" s="1"/>
  <c r="J273" i="5"/>
  <c r="L37" i="4" s="1"/>
  <c r="N37" i="4" s="1"/>
  <c r="BI284" i="5"/>
  <c r="AE284" i="5" s="1"/>
  <c r="BC286" i="5"/>
  <c r="I295" i="5"/>
  <c r="BI295" i="5"/>
  <c r="AE295" i="5" s="1"/>
  <c r="AX295" i="5"/>
  <c r="I306" i="5"/>
  <c r="BI306" i="5"/>
  <c r="AE306" i="5" s="1"/>
  <c r="AX306" i="5"/>
  <c r="BH316" i="5"/>
  <c r="AD316" i="5" s="1"/>
  <c r="H316" i="5"/>
  <c r="H371" i="5"/>
  <c r="AW371" i="5"/>
  <c r="BH371" i="5"/>
  <c r="AD371" i="5" s="1"/>
  <c r="AW377" i="5"/>
  <c r="BC377" i="5" s="1"/>
  <c r="H377" i="5"/>
  <c r="BH377" i="5"/>
  <c r="AD377" i="5" s="1"/>
  <c r="AW408" i="5"/>
  <c r="H408" i="5"/>
  <c r="BH408" i="5"/>
  <c r="AD408" i="5" s="1"/>
  <c r="I411" i="5"/>
  <c r="AU129" i="5"/>
  <c r="BC158" i="5"/>
  <c r="AS183" i="5"/>
  <c r="BI253" i="5"/>
  <c r="AE253" i="5" s="1"/>
  <c r="AX253" i="5"/>
  <c r="BI286" i="5"/>
  <c r="AE286" i="5" s="1"/>
  <c r="AX286" i="5"/>
  <c r="AS464" i="5"/>
  <c r="I18" i="2"/>
  <c r="BH54" i="5"/>
  <c r="AF54" i="5" s="1"/>
  <c r="I119" i="5"/>
  <c r="K22" i="4" s="1"/>
  <c r="AX146" i="5"/>
  <c r="I169" i="5"/>
  <c r="AW170" i="5"/>
  <c r="BC170" i="5" s="1"/>
  <c r="I178" i="5"/>
  <c r="K25" i="4" s="1"/>
  <c r="AX184" i="5"/>
  <c r="BH213" i="5"/>
  <c r="AD213" i="5" s="1"/>
  <c r="AW213" i="5"/>
  <c r="BC213" i="5" s="1"/>
  <c r="AW216" i="5"/>
  <c r="BH216" i="5"/>
  <c r="AD216" i="5" s="1"/>
  <c r="H216" i="5"/>
  <c r="BH231" i="5"/>
  <c r="AD231" i="5" s="1"/>
  <c r="H231" i="5"/>
  <c r="AW231" i="5"/>
  <c r="BH234" i="5"/>
  <c r="AD234" i="5" s="1"/>
  <c r="AW234" i="5"/>
  <c r="BC234" i="5" s="1"/>
  <c r="I246" i="5"/>
  <c r="K29" i="4" s="1"/>
  <c r="AK250" i="5"/>
  <c r="I270" i="5"/>
  <c r="I269" i="5" s="1"/>
  <c r="K35" i="4" s="1"/>
  <c r="BI270" i="5"/>
  <c r="AX270" i="5"/>
  <c r="BI283" i="5"/>
  <c r="AE283" i="5" s="1"/>
  <c r="I283" i="5"/>
  <c r="H290" i="5"/>
  <c r="AW290" i="5"/>
  <c r="BH290" i="5"/>
  <c r="AD290" i="5" s="1"/>
  <c r="BI294" i="5"/>
  <c r="AE294" i="5" s="1"/>
  <c r="BI304" i="5"/>
  <c r="AE304" i="5" s="1"/>
  <c r="BH318" i="5"/>
  <c r="AD318" i="5" s="1"/>
  <c r="AW318" i="5"/>
  <c r="BH320" i="5"/>
  <c r="AD320" i="5" s="1"/>
  <c r="AW320" i="5"/>
  <c r="H320" i="5"/>
  <c r="BC355" i="5"/>
  <c r="BI367" i="5"/>
  <c r="AE367" i="5" s="1"/>
  <c r="AX367" i="5"/>
  <c r="AV367" i="5" s="1"/>
  <c r="I367" i="5"/>
  <c r="I404" i="5"/>
  <c r="AX404" i="5"/>
  <c r="BI404" i="5"/>
  <c r="AE404" i="5" s="1"/>
  <c r="H406" i="5"/>
  <c r="AW406" i="5"/>
  <c r="BH406" i="5"/>
  <c r="AD406" i="5" s="1"/>
  <c r="AW534" i="5"/>
  <c r="BH534" i="5"/>
  <c r="AF534" i="5" s="1"/>
  <c r="H534" i="5"/>
  <c r="AX568" i="5"/>
  <c r="BI568" i="5"/>
  <c r="AG568" i="5" s="1"/>
  <c r="I568" i="5"/>
  <c r="AV208" i="5"/>
  <c r="BC297" i="5"/>
  <c r="AW308" i="5"/>
  <c r="AW323" i="5"/>
  <c r="AW335" i="5"/>
  <c r="I341" i="5"/>
  <c r="AX342" i="5"/>
  <c r="AV342" i="5" s="1"/>
  <c r="BI342" i="5"/>
  <c r="AE342" i="5" s="1"/>
  <c r="BI353" i="5"/>
  <c r="AE353" i="5" s="1"/>
  <c r="H367" i="5"/>
  <c r="AW367" i="5"/>
  <c r="AX369" i="5"/>
  <c r="AW379" i="5"/>
  <c r="AV379" i="5" s="1"/>
  <c r="H391" i="5"/>
  <c r="AW391" i="5"/>
  <c r="BH391" i="5"/>
  <c r="AD391" i="5" s="1"/>
  <c r="AV404" i="5"/>
  <c r="BI433" i="5"/>
  <c r="AX433" i="5"/>
  <c r="I433" i="5"/>
  <c r="I449" i="5"/>
  <c r="I448" i="5" s="1"/>
  <c r="K49" i="4" s="1"/>
  <c r="BI449" i="5"/>
  <c r="AX449" i="5"/>
  <c r="AK500" i="5"/>
  <c r="AT499" i="5" s="1"/>
  <c r="AW503" i="5"/>
  <c r="BH503" i="5"/>
  <c r="AB503" i="5" s="1"/>
  <c r="AX540" i="5"/>
  <c r="I540" i="5"/>
  <c r="H543" i="5"/>
  <c r="BI555" i="5"/>
  <c r="AG555" i="5" s="1"/>
  <c r="AX555" i="5"/>
  <c r="BC559" i="5"/>
  <c r="AV559" i="5"/>
  <c r="BI570" i="5"/>
  <c r="AG570" i="5" s="1"/>
  <c r="AX570" i="5"/>
  <c r="AV570" i="5" s="1"/>
  <c r="AX574" i="5"/>
  <c r="BC574" i="5" s="1"/>
  <c r="I574" i="5"/>
  <c r="AX228" i="5"/>
  <c r="AV228" i="5" s="1"/>
  <c r="BH299" i="5"/>
  <c r="AD299" i="5" s="1"/>
  <c r="AU339" i="5"/>
  <c r="AX343" i="5"/>
  <c r="AV343" i="5" s="1"/>
  <c r="BI343" i="5"/>
  <c r="AE343" i="5" s="1"/>
  <c r="BH344" i="5"/>
  <c r="AD344" i="5" s="1"/>
  <c r="I346" i="5"/>
  <c r="I348" i="5"/>
  <c r="AV348" i="5"/>
  <c r="I350" i="5"/>
  <c r="H357" i="5"/>
  <c r="I359" i="5"/>
  <c r="BI359" i="5"/>
  <c r="AE359" i="5" s="1"/>
  <c r="I371" i="5"/>
  <c r="BI371" i="5"/>
  <c r="AE371" i="5" s="1"/>
  <c r="BH373" i="5"/>
  <c r="AD373" i="5" s="1"/>
  <c r="AX377" i="5"/>
  <c r="BH380" i="5"/>
  <c r="AD380" i="5" s="1"/>
  <c r="AV389" i="5"/>
  <c r="AX391" i="5"/>
  <c r="BC391" i="5" s="1"/>
  <c r="BI391" i="5"/>
  <c r="AE391" i="5" s="1"/>
  <c r="I391" i="5"/>
  <c r="BI412" i="5"/>
  <c r="AE412" i="5" s="1"/>
  <c r="I412" i="5"/>
  <c r="AX412" i="5"/>
  <c r="AV412" i="5" s="1"/>
  <c r="BH414" i="5"/>
  <c r="AD414" i="5" s="1"/>
  <c r="AW414" i="5"/>
  <c r="I430" i="5"/>
  <c r="K45" i="4" s="1"/>
  <c r="AK433" i="5"/>
  <c r="H436" i="5"/>
  <c r="AW436" i="5"/>
  <c r="BH436" i="5"/>
  <c r="AK449" i="5"/>
  <c r="AT448" i="5" s="1"/>
  <c r="BI457" i="5"/>
  <c r="AE457" i="5" s="1"/>
  <c r="AX457" i="5"/>
  <c r="AV457" i="5" s="1"/>
  <c r="AW465" i="5"/>
  <c r="H465" i="5"/>
  <c r="AX476" i="5"/>
  <c r="BI480" i="5"/>
  <c r="AE480" i="5" s="1"/>
  <c r="AX480" i="5"/>
  <c r="BC480" i="5" s="1"/>
  <c r="I489" i="5"/>
  <c r="AX489" i="5"/>
  <c r="BI489" i="5"/>
  <c r="AE489" i="5" s="1"/>
  <c r="BI490" i="5"/>
  <c r="AE490" i="5" s="1"/>
  <c r="AX490" i="5"/>
  <c r="AK507" i="5"/>
  <c r="AT506" i="5" s="1"/>
  <c r="J506" i="5"/>
  <c r="L57" i="4" s="1"/>
  <c r="N57" i="4" s="1"/>
  <c r="BI519" i="5"/>
  <c r="AC519" i="5" s="1"/>
  <c r="AX519" i="5"/>
  <c r="I519" i="5"/>
  <c r="I555" i="5"/>
  <c r="I570" i="5"/>
  <c r="AS339" i="5"/>
  <c r="BH361" i="5"/>
  <c r="AD361" i="5" s="1"/>
  <c r="BC387" i="5"/>
  <c r="BI402" i="5"/>
  <c r="AE402" i="5" s="1"/>
  <c r="AX402" i="5"/>
  <c r="AV402" i="5" s="1"/>
  <c r="I402" i="5"/>
  <c r="BC412" i="5"/>
  <c r="I414" i="5"/>
  <c r="AX414" i="5"/>
  <c r="BI414" i="5"/>
  <c r="AE414" i="5" s="1"/>
  <c r="AT430" i="5"/>
  <c r="BH446" i="5"/>
  <c r="AW446" i="5"/>
  <c r="AS452" i="5"/>
  <c r="BI455" i="5"/>
  <c r="AE455" i="5" s="1"/>
  <c r="BI465" i="5"/>
  <c r="AE465" i="5" s="1"/>
  <c r="AX465" i="5"/>
  <c r="BI469" i="5"/>
  <c r="AE469" i="5" s="1"/>
  <c r="AX469" i="5"/>
  <c r="BC469" i="5" s="1"/>
  <c r="AS479" i="5"/>
  <c r="BI488" i="5"/>
  <c r="AE488" i="5" s="1"/>
  <c r="AX488" i="5"/>
  <c r="BC488" i="5" s="1"/>
  <c r="I490" i="5"/>
  <c r="I479" i="5" s="1"/>
  <c r="K53" i="4" s="1"/>
  <c r="H503" i="5"/>
  <c r="H499" i="5" s="1"/>
  <c r="J56" i="4" s="1"/>
  <c r="BI512" i="5"/>
  <c r="AC512" i="5" s="1"/>
  <c r="AX512" i="5"/>
  <c r="AV512" i="5" s="1"/>
  <c r="AX531" i="5"/>
  <c r="BC531" i="5" s="1"/>
  <c r="BI531" i="5"/>
  <c r="AG531" i="5" s="1"/>
  <c r="BI532" i="5"/>
  <c r="AG532" i="5" s="1"/>
  <c r="AX532" i="5"/>
  <c r="I582" i="5"/>
  <c r="K63" i="4" s="1"/>
  <c r="AW593" i="5"/>
  <c r="AW480" i="5"/>
  <c r="AW489" i="5"/>
  <c r="AV489" i="5" s="1"/>
  <c r="AW490" i="5"/>
  <c r="BC490" i="5" s="1"/>
  <c r="AU506" i="5"/>
  <c r="H515" i="5"/>
  <c r="AX515" i="5"/>
  <c r="BC515" i="5" s="1"/>
  <c r="AW531" i="5"/>
  <c r="AU582" i="5"/>
  <c r="BH382" i="5"/>
  <c r="AD382" i="5" s="1"/>
  <c r="H412" i="5"/>
  <c r="AU423" i="5"/>
  <c r="H433" i="5"/>
  <c r="H430" i="5" s="1"/>
  <c r="J45" i="4" s="1"/>
  <c r="AW433" i="5"/>
  <c r="H435" i="5"/>
  <c r="J46" i="4" s="1"/>
  <c r="I443" i="5"/>
  <c r="I440" i="5" s="1"/>
  <c r="K47" i="4" s="1"/>
  <c r="AV443" i="5"/>
  <c r="H489" i="5"/>
  <c r="AX500" i="5"/>
  <c r="AV500" i="5" s="1"/>
  <c r="H519" i="5"/>
  <c r="AW519" i="5"/>
  <c r="AW532" i="5"/>
  <c r="AX543" i="5"/>
  <c r="AX547" i="5"/>
  <c r="AV547" i="5" s="1"/>
  <c r="BC570" i="5"/>
  <c r="BH394" i="5"/>
  <c r="AD394" i="5" s="1"/>
  <c r="BC429" i="5"/>
  <c r="J435" i="5"/>
  <c r="L46" i="4" s="1"/>
  <c r="N46" i="4" s="1"/>
  <c r="AU440" i="5"/>
  <c r="AU464" i="5"/>
  <c r="AV476" i="5"/>
  <c r="AS506" i="5"/>
  <c r="AU518" i="5"/>
  <c r="AS542" i="5"/>
  <c r="AW579" i="5"/>
  <c r="H585" i="5"/>
  <c r="J13" i="4"/>
  <c r="AS16" i="5"/>
  <c r="H25" i="5"/>
  <c r="AW25" i="5"/>
  <c r="BH25" i="5"/>
  <c r="AB25" i="5" s="1"/>
  <c r="BC33" i="5"/>
  <c r="AV33" i="5"/>
  <c r="I39" i="5"/>
  <c r="AX39" i="5"/>
  <c r="BI39" i="5"/>
  <c r="AC39" i="5" s="1"/>
  <c r="AK41" i="5"/>
  <c r="AT38" i="5" s="1"/>
  <c r="J38" i="5"/>
  <c r="L15" i="4" s="1"/>
  <c r="N15" i="4" s="1"/>
  <c r="AW43" i="5"/>
  <c r="BH43" i="5"/>
  <c r="AB43" i="5" s="1"/>
  <c r="H43" i="5"/>
  <c r="H57" i="5"/>
  <c r="AW57" i="5"/>
  <c r="BH57" i="5"/>
  <c r="BC62" i="5"/>
  <c r="AV62" i="5"/>
  <c r="I174" i="5"/>
  <c r="AX174" i="5"/>
  <c r="BI174" i="5"/>
  <c r="AE174" i="5" s="1"/>
  <c r="AV197" i="5"/>
  <c r="AX25" i="5"/>
  <c r="BI25" i="5"/>
  <c r="AC25" i="5" s="1"/>
  <c r="I25" i="5"/>
  <c r="AT56" i="5"/>
  <c r="AX57" i="5"/>
  <c r="BI57" i="5"/>
  <c r="I57" i="5"/>
  <c r="AW69" i="5"/>
  <c r="BH69" i="5"/>
  <c r="H69" i="5"/>
  <c r="AU72" i="5"/>
  <c r="AT92" i="5"/>
  <c r="AW97" i="5"/>
  <c r="BH97" i="5"/>
  <c r="AB97" i="5" s="1"/>
  <c r="H97" i="5"/>
  <c r="BC103" i="5"/>
  <c r="AV103" i="5"/>
  <c r="BC228" i="5"/>
  <c r="I27" i="2"/>
  <c r="H76" i="5"/>
  <c r="AW76" i="5"/>
  <c r="BH76" i="5"/>
  <c r="AB76" i="5" s="1"/>
  <c r="BC84" i="5"/>
  <c r="AV84" i="5"/>
  <c r="H108" i="5"/>
  <c r="H107" i="5" s="1"/>
  <c r="J21" i="4" s="1"/>
  <c r="AW108" i="5"/>
  <c r="H166" i="5"/>
  <c r="AW166" i="5"/>
  <c r="BH166" i="5"/>
  <c r="AD166" i="5" s="1"/>
  <c r="AT183" i="5"/>
  <c r="H191" i="5"/>
  <c r="AW191" i="5"/>
  <c r="BH191" i="5"/>
  <c r="AD191" i="5" s="1"/>
  <c r="AV193" i="5"/>
  <c r="BC193" i="5"/>
  <c r="H225" i="5"/>
  <c r="AW225" i="5"/>
  <c r="BH225" i="5"/>
  <c r="AD225" i="5" s="1"/>
  <c r="I23" i="5"/>
  <c r="I16" i="5" s="1"/>
  <c r="K14" i="4" s="1"/>
  <c r="AX23" i="5"/>
  <c r="BI23" i="5"/>
  <c r="AC23" i="5" s="1"/>
  <c r="AK25" i="5"/>
  <c r="AT16" i="5" s="1"/>
  <c r="J16" i="5"/>
  <c r="AW28" i="5"/>
  <c r="BH28" i="5"/>
  <c r="AB28" i="5" s="1"/>
  <c r="H28" i="5"/>
  <c r="H41" i="5"/>
  <c r="AW41" i="5"/>
  <c r="BH41" i="5"/>
  <c r="AB41" i="5" s="1"/>
  <c r="BC49" i="5"/>
  <c r="AV49" i="5"/>
  <c r="H67" i="5"/>
  <c r="AW67" i="5"/>
  <c r="BH67" i="5"/>
  <c r="AX76" i="5"/>
  <c r="BI76" i="5"/>
  <c r="AC76" i="5" s="1"/>
  <c r="I76" i="5"/>
  <c r="AV82" i="5"/>
  <c r="AU92" i="5"/>
  <c r="BC253" i="5"/>
  <c r="AV253" i="5"/>
  <c r="K13" i="4"/>
  <c r="AX41" i="5"/>
  <c r="BI41" i="5"/>
  <c r="AC41" i="5" s="1"/>
  <c r="I41" i="5"/>
  <c r="AW59" i="5"/>
  <c r="BH59" i="5"/>
  <c r="H59" i="5"/>
  <c r="I65" i="5"/>
  <c r="AX65" i="5"/>
  <c r="BI65" i="5"/>
  <c r="AX67" i="5"/>
  <c r="BI67" i="5"/>
  <c r="I67" i="5"/>
  <c r="H93" i="5"/>
  <c r="AW93" i="5"/>
  <c r="BH93" i="5"/>
  <c r="AB93" i="5" s="1"/>
  <c r="I152" i="5"/>
  <c r="AX152" i="5"/>
  <c r="BI152" i="5"/>
  <c r="AE152" i="5" s="1"/>
  <c r="BC270" i="5"/>
  <c r="AV270" i="5"/>
  <c r="AK284" i="5"/>
  <c r="J282" i="5"/>
  <c r="L39" i="4" s="1"/>
  <c r="N39" i="4" s="1"/>
  <c r="AX292" i="5"/>
  <c r="BI292" i="5"/>
  <c r="AE292" i="5" s="1"/>
  <c r="I292" i="5"/>
  <c r="BC17" i="5"/>
  <c r="AV17" i="5"/>
  <c r="I54" i="5"/>
  <c r="I53" i="5" s="1"/>
  <c r="K16" i="4" s="1"/>
  <c r="AX54" i="5"/>
  <c r="BI54" i="5"/>
  <c r="AG54" i="5" s="1"/>
  <c r="I73" i="5"/>
  <c r="AX73" i="5"/>
  <c r="BI73" i="5"/>
  <c r="AC73" i="5" s="1"/>
  <c r="AK76" i="5"/>
  <c r="AT72" i="5" s="1"/>
  <c r="J72" i="5"/>
  <c r="AW79" i="5"/>
  <c r="BH79" i="5"/>
  <c r="AB79" i="5" s="1"/>
  <c r="H79" i="5"/>
  <c r="H72" i="5" s="1"/>
  <c r="I90" i="5"/>
  <c r="AX90" i="5"/>
  <c r="BI90" i="5"/>
  <c r="AC90" i="5" s="1"/>
  <c r="J92" i="5"/>
  <c r="L20" i="4" s="1"/>
  <c r="N20" i="4" s="1"/>
  <c r="AX93" i="5"/>
  <c r="BI93" i="5"/>
  <c r="AC93" i="5" s="1"/>
  <c r="I93" i="5"/>
  <c r="I92" i="5" s="1"/>
  <c r="K20" i="4" s="1"/>
  <c r="BC152" i="5"/>
  <c r="I202" i="5"/>
  <c r="AX202" i="5"/>
  <c r="BI202" i="5"/>
  <c r="AE202" i="5" s="1"/>
  <c r="I240" i="5"/>
  <c r="AX240" i="5"/>
  <c r="BI240" i="5"/>
  <c r="AE240" i="5" s="1"/>
  <c r="AV247" i="5"/>
  <c r="BC247" i="5"/>
  <c r="AK262" i="5"/>
  <c r="AT261" i="5" s="1"/>
  <c r="J261" i="5"/>
  <c r="L32" i="4" s="1"/>
  <c r="N32" i="4" s="1"/>
  <c r="K37" i="4"/>
  <c r="H134" i="5"/>
  <c r="AW134" i="5"/>
  <c r="BH134" i="5"/>
  <c r="AD134" i="5" s="1"/>
  <c r="AV158" i="5"/>
  <c r="BC184" i="5"/>
  <c r="AV184" i="5"/>
  <c r="I189" i="5"/>
  <c r="AX189" i="5"/>
  <c r="BI189" i="5"/>
  <c r="AE189" i="5" s="1"/>
  <c r="AV195" i="5"/>
  <c r="H244" i="5"/>
  <c r="H243" i="5" s="1"/>
  <c r="J28" i="4" s="1"/>
  <c r="AW244" i="5"/>
  <c r="BH244" i="5"/>
  <c r="AD244" i="5" s="1"/>
  <c r="AT246" i="5"/>
  <c r="AV250" i="5"/>
  <c r="H262" i="5"/>
  <c r="H261" i="5" s="1"/>
  <c r="J32" i="4" s="1"/>
  <c r="AW262" i="5"/>
  <c r="BH262" i="5"/>
  <c r="I311" i="5"/>
  <c r="AX311" i="5"/>
  <c r="AV311" i="5" s="1"/>
  <c r="BI311" i="5"/>
  <c r="AE311" i="5" s="1"/>
  <c r="AK313" i="5"/>
  <c r="AT310" i="5" s="1"/>
  <c r="J310" i="5"/>
  <c r="L40" i="4" s="1"/>
  <c r="N40" i="4" s="1"/>
  <c r="AV431" i="5"/>
  <c r="BC431" i="5"/>
  <c r="BC457" i="5"/>
  <c r="I335" i="5"/>
  <c r="AX335" i="5"/>
  <c r="AV335" i="5" s="1"/>
  <c r="BI335" i="5"/>
  <c r="AE335" i="5" s="1"/>
  <c r="AX21" i="5"/>
  <c r="AV21" i="5" s="1"/>
  <c r="AW23" i="5"/>
  <c r="AX36" i="5"/>
  <c r="AW39" i="5"/>
  <c r="AX51" i="5"/>
  <c r="BC51" i="5" s="1"/>
  <c r="AW54" i="5"/>
  <c r="AX63" i="5"/>
  <c r="AV63" i="5" s="1"/>
  <c r="AW65" i="5"/>
  <c r="AW73" i="5"/>
  <c r="AX87" i="5"/>
  <c r="AV87" i="5" s="1"/>
  <c r="AW90" i="5"/>
  <c r="BI103" i="5"/>
  <c r="AC103" i="5" s="1"/>
  <c r="AX108" i="5"/>
  <c r="BI108" i="5"/>
  <c r="AC108" i="5" s="1"/>
  <c r="BH120" i="5"/>
  <c r="AB120" i="5" s="1"/>
  <c r="AW120" i="5"/>
  <c r="BC126" i="5"/>
  <c r="I130" i="5"/>
  <c r="AX130" i="5"/>
  <c r="BI130" i="5"/>
  <c r="AE130" i="5" s="1"/>
  <c r="AK134" i="5"/>
  <c r="AT129" i="5" s="1"/>
  <c r="J129" i="5"/>
  <c r="L23" i="4" s="1"/>
  <c r="N23" i="4" s="1"/>
  <c r="J148" i="5"/>
  <c r="L24" i="4" s="1"/>
  <c r="N24" i="4" s="1"/>
  <c r="AV160" i="5"/>
  <c r="BC167" i="5"/>
  <c r="AW274" i="5"/>
  <c r="BH274" i="5"/>
  <c r="AB274" i="5" s="1"/>
  <c r="H274" i="5"/>
  <c r="H273" i="5" s="1"/>
  <c r="I290" i="5"/>
  <c r="AX290" i="5"/>
  <c r="BC295" i="5"/>
  <c r="AV295" i="5"/>
  <c r="AW115" i="5"/>
  <c r="BH115" i="5"/>
  <c r="AB115" i="5" s="1"/>
  <c r="BC130" i="5"/>
  <c r="BC146" i="5"/>
  <c r="H154" i="5"/>
  <c r="AW154" i="5"/>
  <c r="BH154" i="5"/>
  <c r="AD154" i="5" s="1"/>
  <c r="I164" i="5"/>
  <c r="AX164" i="5"/>
  <c r="BI164" i="5"/>
  <c r="AE164" i="5" s="1"/>
  <c r="H176" i="5"/>
  <c r="AW176" i="5"/>
  <c r="BH176" i="5"/>
  <c r="AD176" i="5" s="1"/>
  <c r="H205" i="5"/>
  <c r="AW205" i="5"/>
  <c r="BH205" i="5"/>
  <c r="AD205" i="5" s="1"/>
  <c r="H215" i="5"/>
  <c r="J27" i="4" s="1"/>
  <c r="AV290" i="5"/>
  <c r="H326" i="5"/>
  <c r="AW326" i="5"/>
  <c r="BH326" i="5"/>
  <c r="AD326" i="5" s="1"/>
  <c r="AV169" i="5"/>
  <c r="H183" i="5"/>
  <c r="J26" i="4" s="1"/>
  <c r="I222" i="5"/>
  <c r="AX222" i="5"/>
  <c r="BI222" i="5"/>
  <c r="AE222" i="5" s="1"/>
  <c r="AV231" i="5"/>
  <c r="I259" i="5"/>
  <c r="I258" i="5" s="1"/>
  <c r="K31" i="4" s="1"/>
  <c r="AX259" i="5"/>
  <c r="BI259" i="5"/>
  <c r="AC259" i="5" s="1"/>
  <c r="AV265" i="5"/>
  <c r="BH284" i="5"/>
  <c r="AD284" i="5" s="1"/>
  <c r="H284" i="5"/>
  <c r="AW284" i="5"/>
  <c r="BI293" i="5"/>
  <c r="AE293" i="5" s="1"/>
  <c r="AX293" i="5"/>
  <c r="I134" i="5"/>
  <c r="H137" i="5"/>
  <c r="AX137" i="5"/>
  <c r="BC137" i="5" s="1"/>
  <c r="AW143" i="5"/>
  <c r="I154" i="5"/>
  <c r="H156" i="5"/>
  <c r="AX156" i="5"/>
  <c r="AV156" i="5" s="1"/>
  <c r="AX265" i="5"/>
  <c r="AW267" i="5"/>
  <c r="H292" i="5"/>
  <c r="AW292" i="5"/>
  <c r="AW293" i="5"/>
  <c r="BH293" i="5"/>
  <c r="AD293" i="5" s="1"/>
  <c r="H293" i="5"/>
  <c r="H301" i="5"/>
  <c r="AW301" i="5"/>
  <c r="BH301" i="5"/>
  <c r="AD301" i="5" s="1"/>
  <c r="AV130" i="5"/>
  <c r="AV152" i="5"/>
  <c r="BI172" i="5"/>
  <c r="AE172" i="5" s="1"/>
  <c r="BH174" i="5"/>
  <c r="AD174" i="5" s="1"/>
  <c r="BC181" i="5"/>
  <c r="BI186" i="5"/>
  <c r="AE186" i="5" s="1"/>
  <c r="BH189" i="5"/>
  <c r="AD189" i="5" s="1"/>
  <c r="BI199" i="5"/>
  <c r="AE199" i="5" s="1"/>
  <c r="BH202" i="5"/>
  <c r="AD202" i="5" s="1"/>
  <c r="BC211" i="5"/>
  <c r="BI216" i="5"/>
  <c r="AE216" i="5" s="1"/>
  <c r="BH222" i="5"/>
  <c r="AD222" i="5" s="1"/>
  <c r="BC231" i="5"/>
  <c r="BI237" i="5"/>
  <c r="AE237" i="5" s="1"/>
  <c r="BH240" i="5"/>
  <c r="AD240" i="5" s="1"/>
  <c r="BC250" i="5"/>
  <c r="BI256" i="5"/>
  <c r="AC256" i="5" s="1"/>
  <c r="BH259" i="5"/>
  <c r="AB259" i="5" s="1"/>
  <c r="H279" i="5"/>
  <c r="H278" i="5" s="1"/>
  <c r="J38" i="4" s="1"/>
  <c r="AW279" i="5"/>
  <c r="BH279" i="5"/>
  <c r="AB279" i="5" s="1"/>
  <c r="AT282" i="5"/>
  <c r="AV286" i="5"/>
  <c r="BC311" i="5"/>
  <c r="BC318" i="5"/>
  <c r="AV318" i="5"/>
  <c r="BC335" i="5"/>
  <c r="H345" i="5"/>
  <c r="AW345" i="5"/>
  <c r="BH345" i="5"/>
  <c r="AD345" i="5" s="1"/>
  <c r="I374" i="5"/>
  <c r="AX374" i="5"/>
  <c r="BI374" i="5"/>
  <c r="AE374" i="5" s="1"/>
  <c r="H385" i="5"/>
  <c r="AW385" i="5"/>
  <c r="BH385" i="5"/>
  <c r="AD385" i="5" s="1"/>
  <c r="AX162" i="5"/>
  <c r="AV162" i="5" s="1"/>
  <c r="AW164" i="5"/>
  <c r="AX172" i="5"/>
  <c r="AV172" i="5" s="1"/>
  <c r="AW174" i="5"/>
  <c r="AX186" i="5"/>
  <c r="AV186" i="5" s="1"/>
  <c r="AW189" i="5"/>
  <c r="AX199" i="5"/>
  <c r="AV199" i="5" s="1"/>
  <c r="AW202" i="5"/>
  <c r="AX216" i="5"/>
  <c r="AV216" i="5" s="1"/>
  <c r="AW222" i="5"/>
  <c r="AX237" i="5"/>
  <c r="AV237" i="5" s="1"/>
  <c r="AW240" i="5"/>
  <c r="AX256" i="5"/>
  <c r="AV256" i="5" s="1"/>
  <c r="AW259" i="5"/>
  <c r="AX279" i="5"/>
  <c r="BI279" i="5"/>
  <c r="AC279" i="5" s="1"/>
  <c r="AU282" i="5"/>
  <c r="AX288" i="5"/>
  <c r="AV288" i="5" s="1"/>
  <c r="BC290" i="5"/>
  <c r="I299" i="5"/>
  <c r="AX299" i="5"/>
  <c r="AV299" i="5" s="1"/>
  <c r="BI299" i="5"/>
  <c r="AE299" i="5" s="1"/>
  <c r="BC342" i="5"/>
  <c r="BI134" i="5"/>
  <c r="AE134" i="5" s="1"/>
  <c r="BH137" i="5"/>
  <c r="AD137" i="5" s="1"/>
  <c r="AK152" i="5"/>
  <c r="AT148" i="5" s="1"/>
  <c r="BI154" i="5"/>
  <c r="AE154" i="5" s="1"/>
  <c r="BH156" i="5"/>
  <c r="AD156" i="5" s="1"/>
  <c r="BI166" i="5"/>
  <c r="AE166" i="5" s="1"/>
  <c r="BH167" i="5"/>
  <c r="AD167" i="5" s="1"/>
  <c r="BI176" i="5"/>
  <c r="AE176" i="5" s="1"/>
  <c r="BH179" i="5"/>
  <c r="AD179" i="5" s="1"/>
  <c r="J183" i="5"/>
  <c r="L26" i="4" s="1"/>
  <c r="N26" i="4" s="1"/>
  <c r="BI191" i="5"/>
  <c r="AE191" i="5" s="1"/>
  <c r="BH193" i="5"/>
  <c r="AD193" i="5" s="1"/>
  <c r="BI205" i="5"/>
  <c r="AE205" i="5" s="1"/>
  <c r="BH208" i="5"/>
  <c r="AD208" i="5" s="1"/>
  <c r="AK222" i="5"/>
  <c r="AT215" i="5" s="1"/>
  <c r="BI225" i="5"/>
  <c r="AE225" i="5" s="1"/>
  <c r="BH228" i="5"/>
  <c r="AD228" i="5" s="1"/>
  <c r="BI244" i="5"/>
  <c r="AE244" i="5" s="1"/>
  <c r="BH247" i="5"/>
  <c r="AD247" i="5" s="1"/>
  <c r="BI262" i="5"/>
  <c r="BH265" i="5"/>
  <c r="AW283" i="5"/>
  <c r="BH283" i="5"/>
  <c r="AD283" i="5" s="1"/>
  <c r="BC299" i="5"/>
  <c r="BC306" i="5"/>
  <c r="AV306" i="5"/>
  <c r="H313" i="5"/>
  <c r="H310" i="5" s="1"/>
  <c r="J40" i="4" s="1"/>
  <c r="AW313" i="5"/>
  <c r="BH313" i="5"/>
  <c r="AD313" i="5" s="1"/>
  <c r="I323" i="5"/>
  <c r="AX323" i="5"/>
  <c r="AV323" i="5" s="1"/>
  <c r="BI323" i="5"/>
  <c r="AE323" i="5" s="1"/>
  <c r="H337" i="5"/>
  <c r="AW337" i="5"/>
  <c r="BH337" i="5"/>
  <c r="AD337" i="5" s="1"/>
  <c r="BC406" i="5"/>
  <c r="AV406" i="5"/>
  <c r="BH292" i="5"/>
  <c r="AD292" i="5" s="1"/>
  <c r="BC331" i="5"/>
  <c r="I344" i="5"/>
  <c r="AX344" i="5"/>
  <c r="BC344" i="5" s="1"/>
  <c r="BI344" i="5"/>
  <c r="AE344" i="5" s="1"/>
  <c r="AK345" i="5"/>
  <c r="AT339" i="5" s="1"/>
  <c r="J339" i="5"/>
  <c r="L41" i="4" s="1"/>
  <c r="N41" i="4" s="1"/>
  <c r="BC367" i="5"/>
  <c r="AW294" i="5"/>
  <c r="I301" i="5"/>
  <c r="H302" i="5"/>
  <c r="AX302" i="5"/>
  <c r="BC302" i="5" s="1"/>
  <c r="AW304" i="5"/>
  <c r="I313" i="5"/>
  <c r="H314" i="5"/>
  <c r="AX314" i="5"/>
  <c r="BC314" i="5" s="1"/>
  <c r="AW316" i="5"/>
  <c r="I326" i="5"/>
  <c r="H328" i="5"/>
  <c r="AX328" i="5"/>
  <c r="BC328" i="5" s="1"/>
  <c r="AW329" i="5"/>
  <c r="I337" i="5"/>
  <c r="H340" i="5"/>
  <c r="AX340" i="5"/>
  <c r="AV340" i="5" s="1"/>
  <c r="AW341" i="5"/>
  <c r="I345" i="5"/>
  <c r="H346" i="5"/>
  <c r="AX346" i="5"/>
  <c r="BC346" i="5" s="1"/>
  <c r="AW353" i="5"/>
  <c r="H365" i="5"/>
  <c r="AW365" i="5"/>
  <c r="BH365" i="5"/>
  <c r="AD365" i="5" s="1"/>
  <c r="BC380" i="5"/>
  <c r="AV380" i="5"/>
  <c r="I461" i="5"/>
  <c r="I452" i="5" s="1"/>
  <c r="AX461" i="5"/>
  <c r="BI461" i="5"/>
  <c r="AE461" i="5" s="1"/>
  <c r="I484" i="5"/>
  <c r="AX484" i="5"/>
  <c r="BI484" i="5"/>
  <c r="AE484" i="5" s="1"/>
  <c r="BI350" i="5"/>
  <c r="AE350" i="5" s="1"/>
  <c r="BI357" i="5"/>
  <c r="AE357" i="5" s="1"/>
  <c r="H363" i="5"/>
  <c r="AW363" i="5"/>
  <c r="BH363" i="5"/>
  <c r="AD363" i="5" s="1"/>
  <c r="AU393" i="5"/>
  <c r="I396" i="5"/>
  <c r="AX396" i="5"/>
  <c r="BI396" i="5"/>
  <c r="AE396" i="5" s="1"/>
  <c r="H411" i="5"/>
  <c r="AW411" i="5"/>
  <c r="BH411" i="5"/>
  <c r="AD411" i="5" s="1"/>
  <c r="I424" i="5"/>
  <c r="I423" i="5" s="1"/>
  <c r="K43" i="4" s="1"/>
  <c r="AX424" i="5"/>
  <c r="BI424" i="5"/>
  <c r="AE424" i="5" s="1"/>
  <c r="I363" i="5"/>
  <c r="AX363" i="5"/>
  <c r="BI363" i="5"/>
  <c r="AE363" i="5" s="1"/>
  <c r="AV369" i="5"/>
  <c r="BC369" i="5"/>
  <c r="BC371" i="5"/>
  <c r="AV371" i="5"/>
  <c r="AS393" i="5"/>
  <c r="BH419" i="5"/>
  <c r="AD419" i="5" s="1"/>
  <c r="H419" i="5"/>
  <c r="AW419" i="5"/>
  <c r="AV453" i="5"/>
  <c r="BC453" i="5"/>
  <c r="BI301" i="5"/>
  <c r="AE301" i="5" s="1"/>
  <c r="BH302" i="5"/>
  <c r="AD302" i="5" s="1"/>
  <c r="BI313" i="5"/>
  <c r="AE313" i="5" s="1"/>
  <c r="BH314" i="5"/>
  <c r="AD314" i="5" s="1"/>
  <c r="BI326" i="5"/>
  <c r="AE326" i="5" s="1"/>
  <c r="BH328" i="5"/>
  <c r="AD328" i="5" s="1"/>
  <c r="BI337" i="5"/>
  <c r="AE337" i="5" s="1"/>
  <c r="BH340" i="5"/>
  <c r="AD340" i="5" s="1"/>
  <c r="BI345" i="5"/>
  <c r="AE345" i="5" s="1"/>
  <c r="BH346" i="5"/>
  <c r="AD346" i="5" s="1"/>
  <c r="BH348" i="5"/>
  <c r="AD348" i="5" s="1"/>
  <c r="AW350" i="5"/>
  <c r="AW357" i="5"/>
  <c r="BC361" i="5"/>
  <c r="AV373" i="5"/>
  <c r="H376" i="5"/>
  <c r="AW376" i="5"/>
  <c r="BH376" i="5"/>
  <c r="AD376" i="5" s="1"/>
  <c r="I383" i="5"/>
  <c r="AX383" i="5"/>
  <c r="BI383" i="5"/>
  <c r="AE383" i="5" s="1"/>
  <c r="J393" i="5"/>
  <c r="L42" i="4" s="1"/>
  <c r="N42" i="4" s="1"/>
  <c r="AV414" i="5"/>
  <c r="BH353" i="5"/>
  <c r="AD353" i="5" s="1"/>
  <c r="AX357" i="5"/>
  <c r="I361" i="5"/>
  <c r="AX361" i="5"/>
  <c r="AV361" i="5" s="1"/>
  <c r="BI361" i="5"/>
  <c r="AE361" i="5" s="1"/>
  <c r="H399" i="5"/>
  <c r="AW399" i="5"/>
  <c r="BH399" i="5"/>
  <c r="AD399" i="5" s="1"/>
  <c r="I410" i="5"/>
  <c r="AX410" i="5"/>
  <c r="BI410" i="5"/>
  <c r="AE410" i="5" s="1"/>
  <c r="AX426" i="5"/>
  <c r="BI426" i="5"/>
  <c r="AE426" i="5" s="1"/>
  <c r="AK441" i="5"/>
  <c r="AT440" i="5" s="1"/>
  <c r="J440" i="5"/>
  <c r="L47" i="4" s="1"/>
  <c r="N47" i="4" s="1"/>
  <c r="H424" i="5"/>
  <c r="AW424" i="5"/>
  <c r="H426" i="5"/>
  <c r="AW426" i="5"/>
  <c r="BH426" i="5"/>
  <c r="AD426" i="5" s="1"/>
  <c r="I438" i="5"/>
  <c r="AX438" i="5"/>
  <c r="BI438" i="5"/>
  <c r="H441" i="5"/>
  <c r="H440" i="5" s="1"/>
  <c r="J47" i="4" s="1"/>
  <c r="AW441" i="5"/>
  <c r="BH441" i="5"/>
  <c r="AK463" i="5"/>
  <c r="J452" i="5"/>
  <c r="H475" i="5"/>
  <c r="H464" i="5" s="1"/>
  <c r="J52" i="4" s="1"/>
  <c r="AW475" i="5"/>
  <c r="BH475" i="5"/>
  <c r="AD475" i="5" s="1"/>
  <c r="BC545" i="5"/>
  <c r="AV545" i="5"/>
  <c r="BI373" i="5"/>
  <c r="AE373" i="5" s="1"/>
  <c r="BH374" i="5"/>
  <c r="AD374" i="5" s="1"/>
  <c r="BI382" i="5"/>
  <c r="AE382" i="5" s="1"/>
  <c r="BH383" i="5"/>
  <c r="AD383" i="5" s="1"/>
  <c r="BC389" i="5"/>
  <c r="BI394" i="5"/>
  <c r="AE394" i="5" s="1"/>
  <c r="BH396" i="5"/>
  <c r="AD396" i="5" s="1"/>
  <c r="BC404" i="5"/>
  <c r="BI408" i="5"/>
  <c r="AE408" i="5" s="1"/>
  <c r="BH410" i="5"/>
  <c r="AD410" i="5" s="1"/>
  <c r="BC414" i="5"/>
  <c r="AX416" i="5"/>
  <c r="AV416" i="5" s="1"/>
  <c r="AV420" i="5"/>
  <c r="J428" i="5"/>
  <c r="L44" i="4" s="1"/>
  <c r="N44" i="4" s="1"/>
  <c r="AS430" i="5"/>
  <c r="AV446" i="5"/>
  <c r="BH537" i="5"/>
  <c r="AF537" i="5" s="1"/>
  <c r="H537" i="5"/>
  <c r="H528" i="5" s="1"/>
  <c r="J59" i="4" s="1"/>
  <c r="AW537" i="5"/>
  <c r="AX373" i="5"/>
  <c r="BC373" i="5" s="1"/>
  <c r="AW374" i="5"/>
  <c r="AX382" i="5"/>
  <c r="AV382" i="5" s="1"/>
  <c r="AW383" i="5"/>
  <c r="AX394" i="5"/>
  <c r="BC394" i="5" s="1"/>
  <c r="AW396" i="5"/>
  <c r="AX408" i="5"/>
  <c r="AW410" i="5"/>
  <c r="BC443" i="5"/>
  <c r="H463" i="5"/>
  <c r="H452" i="5" s="1"/>
  <c r="AW463" i="5"/>
  <c r="BH463" i="5"/>
  <c r="AD463" i="5" s="1"/>
  <c r="AK475" i="5"/>
  <c r="AT464" i="5" s="1"/>
  <c r="J464" i="5"/>
  <c r="L52" i="4" s="1"/>
  <c r="N52" i="4" s="1"/>
  <c r="BC476" i="5"/>
  <c r="AT479" i="5"/>
  <c r="H486" i="5"/>
  <c r="AW486" i="5"/>
  <c r="BH486" i="5"/>
  <c r="AD486" i="5" s="1"/>
  <c r="BC555" i="5"/>
  <c r="AV555" i="5"/>
  <c r="AK396" i="5"/>
  <c r="AT393" i="5" s="1"/>
  <c r="AW418" i="5"/>
  <c r="BH418" i="5"/>
  <c r="AD418" i="5" s="1"/>
  <c r="I422" i="5"/>
  <c r="AX422" i="5"/>
  <c r="BC422" i="5" s="1"/>
  <c r="BI422" i="5"/>
  <c r="AE422" i="5" s="1"/>
  <c r="BC449" i="5"/>
  <c r="AV449" i="5"/>
  <c r="I473" i="5"/>
  <c r="I464" i="5" s="1"/>
  <c r="K52" i="4" s="1"/>
  <c r="AX473" i="5"/>
  <c r="BI473" i="5"/>
  <c r="AE473" i="5" s="1"/>
  <c r="BC482" i="5"/>
  <c r="AV422" i="5"/>
  <c r="BH424" i="5"/>
  <c r="AD424" i="5" s="1"/>
  <c r="AV429" i="5"/>
  <c r="I435" i="5"/>
  <c r="K46" i="4" s="1"/>
  <c r="AT452" i="5"/>
  <c r="AV455" i="5"/>
  <c r="BI522" i="5"/>
  <c r="AC522" i="5" s="1"/>
  <c r="I522" i="5"/>
  <c r="I518" i="5" s="1"/>
  <c r="K58" i="4" s="1"/>
  <c r="AX522" i="5"/>
  <c r="AV522" i="5" s="1"/>
  <c r="AK524" i="5"/>
  <c r="AT518" i="5" s="1"/>
  <c r="J518" i="5"/>
  <c r="L58" i="4" s="1"/>
  <c r="N58" i="4" s="1"/>
  <c r="BC549" i="5"/>
  <c r="I503" i="5"/>
  <c r="I499" i="5" s="1"/>
  <c r="AX503" i="5"/>
  <c r="BI503" i="5"/>
  <c r="AC503" i="5" s="1"/>
  <c r="BI549" i="5"/>
  <c r="AG549" i="5" s="1"/>
  <c r="I549" i="5"/>
  <c r="AX549" i="5"/>
  <c r="AV549" i="5" s="1"/>
  <c r="J542" i="5"/>
  <c r="L60" i="4" s="1"/>
  <c r="N60" i="4" s="1"/>
  <c r="AK551" i="5"/>
  <c r="AT542" i="5" s="1"/>
  <c r="BH563" i="5"/>
  <c r="AF563" i="5" s="1"/>
  <c r="H563" i="5"/>
  <c r="AW563" i="5"/>
  <c r="BH573" i="5"/>
  <c r="AF573" i="5" s="1"/>
  <c r="H573" i="5"/>
  <c r="AW573" i="5"/>
  <c r="BI579" i="5"/>
  <c r="AC579" i="5" s="1"/>
  <c r="I579" i="5"/>
  <c r="I578" i="5" s="1"/>
  <c r="AX579" i="5"/>
  <c r="AV579" i="5" s="1"/>
  <c r="BI436" i="5"/>
  <c r="BH438" i="5"/>
  <c r="BC446" i="5"/>
  <c r="BC455" i="5"/>
  <c r="BI459" i="5"/>
  <c r="AE459" i="5" s="1"/>
  <c r="BH461" i="5"/>
  <c r="AD461" i="5" s="1"/>
  <c r="BC467" i="5"/>
  <c r="BI471" i="5"/>
  <c r="AE471" i="5" s="1"/>
  <c r="BH473" i="5"/>
  <c r="AD473" i="5" s="1"/>
  <c r="BC478" i="5"/>
  <c r="BI482" i="5"/>
  <c r="AE482" i="5" s="1"/>
  <c r="BH484" i="5"/>
  <c r="AD484" i="5" s="1"/>
  <c r="BI492" i="5"/>
  <c r="AE492" i="5" s="1"/>
  <c r="BC503" i="5"/>
  <c r="H509" i="5"/>
  <c r="AW509" i="5"/>
  <c r="BH509" i="5"/>
  <c r="AB509" i="5" s="1"/>
  <c r="BC512" i="5"/>
  <c r="BC529" i="5"/>
  <c r="AV529" i="5"/>
  <c r="BI561" i="5"/>
  <c r="AG561" i="5" s="1"/>
  <c r="I561" i="5"/>
  <c r="AX561" i="5"/>
  <c r="BC561" i="5" s="1"/>
  <c r="BI571" i="5"/>
  <c r="AG571" i="5" s="1"/>
  <c r="I571" i="5"/>
  <c r="AX571" i="5"/>
  <c r="AT582" i="5"/>
  <c r="BC589" i="5"/>
  <c r="AV589" i="5"/>
  <c r="BC593" i="5"/>
  <c r="AX436" i="5"/>
  <c r="AV436" i="5" s="1"/>
  <c r="AW438" i="5"/>
  <c r="AX459" i="5"/>
  <c r="AV459" i="5" s="1"/>
  <c r="AW461" i="5"/>
  <c r="AX471" i="5"/>
  <c r="AV471" i="5" s="1"/>
  <c r="AW473" i="5"/>
  <c r="AX482" i="5"/>
  <c r="AV482" i="5" s="1"/>
  <c r="AW484" i="5"/>
  <c r="AX492" i="5"/>
  <c r="AV492" i="5" s="1"/>
  <c r="H495" i="5"/>
  <c r="H494" i="5" s="1"/>
  <c r="J54" i="4" s="1"/>
  <c r="AW495" i="5"/>
  <c r="AS499" i="5"/>
  <c r="H507" i="5"/>
  <c r="H506" i="5" s="1"/>
  <c r="J57" i="4" s="1"/>
  <c r="AW507" i="5"/>
  <c r="BI534" i="5"/>
  <c r="AG534" i="5" s="1"/>
  <c r="I534" i="5"/>
  <c r="I528" i="5" s="1"/>
  <c r="K59" i="4" s="1"/>
  <c r="AX534" i="5"/>
  <c r="J528" i="5"/>
  <c r="L59" i="4" s="1"/>
  <c r="N59" i="4" s="1"/>
  <c r="AK537" i="5"/>
  <c r="AT528" i="5" s="1"/>
  <c r="BC557" i="5"/>
  <c r="AV557" i="5"/>
  <c r="BC566" i="5"/>
  <c r="AV566" i="5"/>
  <c r="AV571" i="5"/>
  <c r="BH429" i="5"/>
  <c r="AK438" i="5"/>
  <c r="AT435" i="5" s="1"/>
  <c r="BI441" i="5"/>
  <c r="BH443" i="5"/>
  <c r="BH453" i="5"/>
  <c r="AD453" i="5" s="1"/>
  <c r="BI463" i="5"/>
  <c r="AE463" i="5" s="1"/>
  <c r="BH465" i="5"/>
  <c r="AD465" i="5" s="1"/>
  <c r="BI475" i="5"/>
  <c r="AE475" i="5" s="1"/>
  <c r="BH476" i="5"/>
  <c r="AD476" i="5" s="1"/>
  <c r="J479" i="5"/>
  <c r="L53" i="4" s="1"/>
  <c r="N53" i="4" s="1"/>
  <c r="BI486" i="5"/>
  <c r="AE486" i="5" s="1"/>
  <c r="BH488" i="5"/>
  <c r="AD488" i="5" s="1"/>
  <c r="AX495" i="5"/>
  <c r="BI495" i="5"/>
  <c r="AC495" i="5" s="1"/>
  <c r="I507" i="5"/>
  <c r="I506" i="5" s="1"/>
  <c r="K57" i="4" s="1"/>
  <c r="AX507" i="5"/>
  <c r="BI507" i="5"/>
  <c r="AC507" i="5" s="1"/>
  <c r="BH524" i="5"/>
  <c r="AB524" i="5" s="1"/>
  <c r="H524" i="5"/>
  <c r="H518" i="5" s="1"/>
  <c r="J58" i="4" s="1"/>
  <c r="AW524" i="5"/>
  <c r="AU542" i="5"/>
  <c r="BH551" i="5"/>
  <c r="AF551" i="5" s="1"/>
  <c r="H551" i="5"/>
  <c r="AW551" i="5"/>
  <c r="BC568" i="5"/>
  <c r="AV568" i="5"/>
  <c r="AV574" i="5"/>
  <c r="BC543" i="5"/>
  <c r="AV543" i="5"/>
  <c r="J582" i="5"/>
  <c r="BH583" i="5"/>
  <c r="AB583" i="5" s="1"/>
  <c r="H583" i="5"/>
  <c r="H582" i="5" s="1"/>
  <c r="J63" i="4" s="1"/>
  <c r="AW583" i="5"/>
  <c r="BC585" i="5"/>
  <c r="BI524" i="5"/>
  <c r="AC524" i="5" s="1"/>
  <c r="BH526" i="5"/>
  <c r="AB526" i="5" s="1"/>
  <c r="BI537" i="5"/>
  <c r="AG537" i="5" s="1"/>
  <c r="BH540" i="5"/>
  <c r="AF540" i="5" s="1"/>
  <c r="BI551" i="5"/>
  <c r="AG551" i="5" s="1"/>
  <c r="BH553" i="5"/>
  <c r="AF553" i="5" s="1"/>
  <c r="BI563" i="5"/>
  <c r="AG563" i="5" s="1"/>
  <c r="BH564" i="5"/>
  <c r="AF564" i="5" s="1"/>
  <c r="BI573" i="5"/>
  <c r="AG573" i="5" s="1"/>
  <c r="BH574" i="5"/>
  <c r="AF574" i="5" s="1"/>
  <c r="H579" i="5"/>
  <c r="H578" i="5" s="1"/>
  <c r="BI583" i="5"/>
  <c r="AC583" i="5" s="1"/>
  <c r="BH585" i="5"/>
  <c r="AB585" i="5" s="1"/>
  <c r="BI509" i="5"/>
  <c r="AC509" i="5" s="1"/>
  <c r="BH512" i="5"/>
  <c r="AB512" i="5" s="1"/>
  <c r="AX524" i="5"/>
  <c r="AW526" i="5"/>
  <c r="BI526" i="5"/>
  <c r="AC526" i="5" s="1"/>
  <c r="BH529" i="5"/>
  <c r="AF529" i="5" s="1"/>
  <c r="AX537" i="5"/>
  <c r="AW540" i="5"/>
  <c r="BI540" i="5"/>
  <c r="AG540" i="5" s="1"/>
  <c r="BH543" i="5"/>
  <c r="AF543" i="5" s="1"/>
  <c r="AX551" i="5"/>
  <c r="AW553" i="5"/>
  <c r="BI553" i="5"/>
  <c r="AG553" i="5" s="1"/>
  <c r="BH555" i="5"/>
  <c r="AF555" i="5" s="1"/>
  <c r="AX563" i="5"/>
  <c r="AW564" i="5"/>
  <c r="BI564" i="5"/>
  <c r="AG564" i="5" s="1"/>
  <c r="BH566" i="5"/>
  <c r="AF566" i="5" s="1"/>
  <c r="BC571" i="5"/>
  <c r="AX573" i="5"/>
  <c r="BI574" i="5"/>
  <c r="AG574" i="5" s="1"/>
  <c r="BC579" i="5"/>
  <c r="BI585" i="5"/>
  <c r="AC585" i="5" s="1"/>
  <c r="BH589" i="5"/>
  <c r="AB589" i="5" s="1"/>
  <c r="AV593" i="5"/>
  <c r="BI593" i="5"/>
  <c r="AC593" i="5" s="1"/>
  <c r="I72" i="5" l="1"/>
  <c r="C14" i="1"/>
  <c r="BC532" i="5"/>
  <c r="AV532" i="5"/>
  <c r="BC433" i="5"/>
  <c r="AV433" i="5"/>
  <c r="AV465" i="5"/>
  <c r="BC465" i="5"/>
  <c r="BC308" i="5"/>
  <c r="AV308" i="5"/>
  <c r="BC320" i="5"/>
  <c r="AV320" i="5"/>
  <c r="BC149" i="5"/>
  <c r="AV149" i="5"/>
  <c r="AV515" i="5"/>
  <c r="AV469" i="5"/>
  <c r="AV490" i="5"/>
  <c r="H479" i="5"/>
  <c r="J53" i="4" s="1"/>
  <c r="AV213" i="5"/>
  <c r="AV480" i="5"/>
  <c r="AV61" i="5"/>
  <c r="BC61" i="5"/>
  <c r="AV531" i="5"/>
  <c r="BC522" i="5"/>
  <c r="BC489" i="5"/>
  <c r="AV503" i="5"/>
  <c r="BC379" i="5"/>
  <c r="AV391" i="5"/>
  <c r="AV344" i="5"/>
  <c r="I148" i="5"/>
  <c r="K24" i="4" s="1"/>
  <c r="H282" i="5"/>
  <c r="J39" i="4" s="1"/>
  <c r="H148" i="5"/>
  <c r="J24" i="4" s="1"/>
  <c r="H92" i="5"/>
  <c r="J20" i="4" s="1"/>
  <c r="H38" i="5"/>
  <c r="J15" i="4" s="1"/>
  <c r="AV170" i="5"/>
  <c r="AV31" i="5"/>
  <c r="AV234" i="5"/>
  <c r="AV488" i="5"/>
  <c r="BC547" i="5"/>
  <c r="BC343" i="5"/>
  <c r="AV167" i="5"/>
  <c r="BC333" i="5"/>
  <c r="AV333" i="5"/>
  <c r="C15" i="1"/>
  <c r="AV534" i="5"/>
  <c r="H393" i="5"/>
  <c r="J42" i="4" s="1"/>
  <c r="BC359" i="5"/>
  <c r="AV123" i="5"/>
  <c r="H129" i="5"/>
  <c r="J23" i="4" s="1"/>
  <c r="BC519" i="5"/>
  <c r="AV519" i="5"/>
  <c r="C18" i="1"/>
  <c r="H542" i="5"/>
  <c r="J60" i="4" s="1"/>
  <c r="AV561" i="5"/>
  <c r="I542" i="5"/>
  <c r="K60" i="4" s="1"/>
  <c r="BC408" i="5"/>
  <c r="BC416" i="5"/>
  <c r="I393" i="5"/>
  <c r="K42" i="4" s="1"/>
  <c r="BC265" i="5"/>
  <c r="I215" i="5"/>
  <c r="K27" i="4" s="1"/>
  <c r="I282" i="5"/>
  <c r="BC36" i="5"/>
  <c r="I183" i="5"/>
  <c r="K26" i="4" s="1"/>
  <c r="C16" i="1"/>
  <c r="F29" i="2"/>
  <c r="BC500" i="5"/>
  <c r="AV377" i="5"/>
  <c r="BC14" i="5"/>
  <c r="J19" i="4"/>
  <c r="K39" i="4"/>
  <c r="BC473" i="5"/>
  <c r="AV473" i="5"/>
  <c r="AV573" i="5"/>
  <c r="BC573" i="5"/>
  <c r="BC459" i="5"/>
  <c r="BC492" i="5"/>
  <c r="I451" i="5"/>
  <c r="K51" i="4"/>
  <c r="AV353" i="5"/>
  <c r="BC353" i="5"/>
  <c r="H339" i="5"/>
  <c r="J41" i="4" s="1"/>
  <c r="AV316" i="5"/>
  <c r="BC316" i="5"/>
  <c r="AV385" i="5"/>
  <c r="BC385" i="5"/>
  <c r="AV314" i="5"/>
  <c r="BC279" i="5"/>
  <c r="AV279" i="5"/>
  <c r="AV293" i="5"/>
  <c r="BC293" i="5"/>
  <c r="BC274" i="5"/>
  <c r="AV274" i="5"/>
  <c r="BC54" i="5"/>
  <c r="AV54" i="5"/>
  <c r="J594" i="5"/>
  <c r="BC162" i="5"/>
  <c r="K19" i="4"/>
  <c r="AV67" i="5"/>
  <c r="BC67" i="5"/>
  <c r="C28" i="1"/>
  <c r="AV564" i="5"/>
  <c r="BC564" i="5"/>
  <c r="AV551" i="5"/>
  <c r="BC551" i="5"/>
  <c r="BC495" i="5"/>
  <c r="AV495" i="5"/>
  <c r="AV418" i="5"/>
  <c r="BC418" i="5"/>
  <c r="BC410" i="5"/>
  <c r="AV410" i="5"/>
  <c r="BC374" i="5"/>
  <c r="AV374" i="5"/>
  <c r="AV394" i="5"/>
  <c r="AV419" i="5"/>
  <c r="BC419" i="5"/>
  <c r="BC222" i="5"/>
  <c r="AV222" i="5"/>
  <c r="BC174" i="5"/>
  <c r="AV174" i="5"/>
  <c r="AV345" i="5"/>
  <c r="BC345" i="5"/>
  <c r="BC292" i="5"/>
  <c r="AV292" i="5"/>
  <c r="AV205" i="5"/>
  <c r="BC205" i="5"/>
  <c r="J272" i="5"/>
  <c r="BC90" i="5"/>
  <c r="AV90" i="5"/>
  <c r="BC156" i="5"/>
  <c r="AV79" i="5"/>
  <c r="BC79" i="5"/>
  <c r="C19" i="1"/>
  <c r="AV93" i="5"/>
  <c r="BC93" i="5"/>
  <c r="AV59" i="5"/>
  <c r="BC59" i="5"/>
  <c r="AV166" i="5"/>
  <c r="BC166" i="5"/>
  <c r="AV57" i="5"/>
  <c r="BC57" i="5"/>
  <c r="AV51" i="5"/>
  <c r="AV526" i="5"/>
  <c r="BC526" i="5"/>
  <c r="H577" i="5"/>
  <c r="J62" i="4"/>
  <c r="AV583" i="5"/>
  <c r="BC583" i="5"/>
  <c r="AV524" i="5"/>
  <c r="BC524" i="5"/>
  <c r="BC461" i="5"/>
  <c r="AV461" i="5"/>
  <c r="I498" i="5"/>
  <c r="K56" i="4"/>
  <c r="AV441" i="5"/>
  <c r="BC441" i="5"/>
  <c r="AV426" i="5"/>
  <c r="BC426" i="5"/>
  <c r="BC382" i="5"/>
  <c r="AV357" i="5"/>
  <c r="BC357" i="5"/>
  <c r="AV411" i="5"/>
  <c r="BC411" i="5"/>
  <c r="AV329" i="5"/>
  <c r="BC329" i="5"/>
  <c r="AV294" i="5"/>
  <c r="BC294" i="5"/>
  <c r="AV302" i="5"/>
  <c r="BC288" i="5"/>
  <c r="AV301" i="5"/>
  <c r="BC301" i="5"/>
  <c r="AV143" i="5"/>
  <c r="BC143" i="5"/>
  <c r="AV284" i="5"/>
  <c r="BC284" i="5"/>
  <c r="BC237" i="5"/>
  <c r="AV137" i="5"/>
  <c r="BC186" i="5"/>
  <c r="AV120" i="5"/>
  <c r="BC120" i="5"/>
  <c r="BC39" i="5"/>
  <c r="AV39" i="5"/>
  <c r="I310" i="5"/>
  <c r="K40" i="4" s="1"/>
  <c r="J71" i="5"/>
  <c r="L19" i="4"/>
  <c r="N19" i="4" s="1"/>
  <c r="H56" i="5"/>
  <c r="J17" i="4" s="1"/>
  <c r="AV25" i="5"/>
  <c r="BC25" i="5"/>
  <c r="AV36" i="5"/>
  <c r="AV540" i="5"/>
  <c r="BC540" i="5"/>
  <c r="AV563" i="5"/>
  <c r="BC563" i="5"/>
  <c r="H498" i="5"/>
  <c r="AV486" i="5"/>
  <c r="BC486" i="5"/>
  <c r="BC396" i="5"/>
  <c r="AV396" i="5"/>
  <c r="AV537" i="5"/>
  <c r="BC537" i="5"/>
  <c r="H451" i="5"/>
  <c r="J51" i="4"/>
  <c r="AV475" i="5"/>
  <c r="BC475" i="5"/>
  <c r="BC350" i="5"/>
  <c r="AV350" i="5"/>
  <c r="BC471" i="5"/>
  <c r="AV328" i="5"/>
  <c r="AV337" i="5"/>
  <c r="BC337" i="5"/>
  <c r="BC259" i="5"/>
  <c r="AV259" i="5"/>
  <c r="BC202" i="5"/>
  <c r="AV202" i="5"/>
  <c r="BC164" i="5"/>
  <c r="AV164" i="5"/>
  <c r="AV267" i="5"/>
  <c r="BC267" i="5"/>
  <c r="BC199" i="5"/>
  <c r="C17" i="1"/>
  <c r="C22" i="1" s="1"/>
  <c r="BC73" i="5"/>
  <c r="AV73" i="5"/>
  <c r="AV244" i="5"/>
  <c r="BC244" i="5"/>
  <c r="AV28" i="5"/>
  <c r="BC28" i="5"/>
  <c r="AV191" i="5"/>
  <c r="BC191" i="5"/>
  <c r="AV76" i="5"/>
  <c r="BC76" i="5"/>
  <c r="BC87" i="5"/>
  <c r="H16" i="5"/>
  <c r="BC507" i="5"/>
  <c r="AV507" i="5"/>
  <c r="BC484" i="5"/>
  <c r="AV484" i="5"/>
  <c r="BC438" i="5"/>
  <c r="AV438" i="5"/>
  <c r="AV509" i="5"/>
  <c r="BC509" i="5"/>
  <c r="I577" i="5"/>
  <c r="K62" i="4"/>
  <c r="AV463" i="5"/>
  <c r="BC463" i="5"/>
  <c r="BC424" i="5"/>
  <c r="AV424" i="5"/>
  <c r="AV376" i="5"/>
  <c r="BC376" i="5"/>
  <c r="AV408" i="5"/>
  <c r="BC436" i="5"/>
  <c r="AV365" i="5"/>
  <c r="BC365" i="5"/>
  <c r="AV341" i="5"/>
  <c r="BC341" i="5"/>
  <c r="AV304" i="5"/>
  <c r="BC304" i="5"/>
  <c r="I339" i="5"/>
  <c r="K41" i="4" s="1"/>
  <c r="BC323" i="5"/>
  <c r="AV313" i="5"/>
  <c r="BC313" i="5"/>
  <c r="AV346" i="5"/>
  <c r="BC256" i="5"/>
  <c r="AV326" i="5"/>
  <c r="BC326" i="5"/>
  <c r="AV176" i="5"/>
  <c r="BC176" i="5"/>
  <c r="AV154" i="5"/>
  <c r="BC154" i="5"/>
  <c r="J37" i="4"/>
  <c r="BC65" i="5"/>
  <c r="AV65" i="5"/>
  <c r="BC23" i="5"/>
  <c r="AV23" i="5"/>
  <c r="AV262" i="5"/>
  <c r="BC262" i="5"/>
  <c r="BC63" i="5"/>
  <c r="J12" i="5"/>
  <c r="L14" i="4"/>
  <c r="N14" i="4" s="1"/>
  <c r="AV225" i="5"/>
  <c r="BC225" i="5"/>
  <c r="BC108" i="5"/>
  <c r="AV108" i="5"/>
  <c r="AV69" i="5"/>
  <c r="BC69" i="5"/>
  <c r="I38" i="5"/>
  <c r="K15" i="4" s="1"/>
  <c r="AV553" i="5"/>
  <c r="BC553" i="5"/>
  <c r="BC534" i="5"/>
  <c r="J577" i="5"/>
  <c r="L63" i="4"/>
  <c r="N63" i="4" s="1"/>
  <c r="BC383" i="5"/>
  <c r="AV383" i="5"/>
  <c r="J498" i="5"/>
  <c r="J451" i="5"/>
  <c r="L51" i="4"/>
  <c r="N51" i="4" s="1"/>
  <c r="H423" i="5"/>
  <c r="J43" i="4" s="1"/>
  <c r="AV399" i="5"/>
  <c r="BC399" i="5"/>
  <c r="BC363" i="5"/>
  <c r="AV363" i="5"/>
  <c r="BC340" i="5"/>
  <c r="AV283" i="5"/>
  <c r="BC283" i="5"/>
  <c r="BC240" i="5"/>
  <c r="AV240" i="5"/>
  <c r="BC189" i="5"/>
  <c r="AV189" i="5"/>
  <c r="BC172" i="5"/>
  <c r="AV115" i="5"/>
  <c r="BC115" i="5"/>
  <c r="I129" i="5"/>
  <c r="K23" i="4" s="1"/>
  <c r="AV134" i="5"/>
  <c r="BC134" i="5"/>
  <c r="BC21" i="5"/>
  <c r="BC216" i="5"/>
  <c r="AV41" i="5"/>
  <c r="BC41" i="5"/>
  <c r="AV97" i="5"/>
  <c r="BC97" i="5"/>
  <c r="I56" i="5"/>
  <c r="K17" i="4" s="1"/>
  <c r="AV43" i="5"/>
  <c r="BC43" i="5"/>
  <c r="L66" i="4" l="1"/>
  <c r="H71" i="5"/>
  <c r="L18" i="4"/>
  <c r="P18" i="4" s="1"/>
  <c r="L13" i="3"/>
  <c r="P13" i="3" s="1"/>
  <c r="F28" i="1"/>
  <c r="I28" i="1"/>
  <c r="I29" i="1" s="1"/>
  <c r="K50" i="4"/>
  <c r="K15" i="3"/>
  <c r="J14" i="4"/>
  <c r="H12" i="5"/>
  <c r="J50" i="4"/>
  <c r="J15" i="3"/>
  <c r="L61" i="4"/>
  <c r="P61" i="4" s="1"/>
  <c r="L17" i="3"/>
  <c r="P17" i="3" s="1"/>
  <c r="L12" i="4"/>
  <c r="P12" i="4" s="1"/>
  <c r="L12" i="3"/>
  <c r="P12" i="3" s="1"/>
  <c r="J55" i="4"/>
  <c r="J16" i="3"/>
  <c r="K55" i="4"/>
  <c r="K16" i="3"/>
  <c r="I272" i="5"/>
  <c r="L50" i="4"/>
  <c r="P50" i="4" s="1"/>
  <c r="L15" i="3"/>
  <c r="P15" i="3" s="1"/>
  <c r="K61" i="4"/>
  <c r="K17" i="3"/>
  <c r="J61" i="4"/>
  <c r="J17" i="3"/>
  <c r="I71" i="5"/>
  <c r="L36" i="4"/>
  <c r="P36" i="4" s="1"/>
  <c r="L14" i="3"/>
  <c r="P14" i="3" s="1"/>
  <c r="J18" i="4"/>
  <c r="J13" i="3"/>
  <c r="L55" i="4"/>
  <c r="P55" i="4" s="1"/>
  <c r="L16" i="3"/>
  <c r="P16" i="3" s="1"/>
  <c r="H272" i="5"/>
  <c r="I12" i="5"/>
  <c r="K12" i="4" l="1"/>
  <c r="K12" i="3"/>
  <c r="L18" i="3"/>
  <c r="J12" i="4"/>
  <c r="J12" i="3"/>
  <c r="J36" i="4"/>
  <c r="J14" i="3"/>
  <c r="K18" i="4"/>
  <c r="K13" i="3"/>
  <c r="K14" i="3"/>
  <c r="K36" i="4"/>
</calcChain>
</file>

<file path=xl/sharedStrings.xml><?xml version="1.0" encoding="utf-8"?>
<sst xmlns="http://schemas.openxmlformats.org/spreadsheetml/2006/main" count="4394" uniqueCount="1238">
  <si>
    <t>Krycí list slepého rozpočtu</t>
  </si>
  <si>
    <t>Název stavby:</t>
  </si>
  <si>
    <t>Objednatel:</t>
  </si>
  <si>
    <t>IČO/DIČ:</t>
  </si>
  <si>
    <t>00847330/CZ00847330</t>
  </si>
  <si>
    <t>Specifikace stavby:</t>
  </si>
  <si>
    <t>Projektant:</t>
  </si>
  <si>
    <t>10611550/CZ10611550</t>
  </si>
  <si>
    <t>Lokalita/Adresa:</t>
  </si>
  <si>
    <t>Zhotovitel:</t>
  </si>
  <si>
    <t/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</si>
  <si>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</si>
  <si>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</si>
  <si>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</si>
  <si>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</si>
  <si>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</si>
  <si>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</si>
  <si>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</si>
  <si>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</si>
  <si>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</si>
  <si>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</si>
  <si>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</si>
  <si>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</si>
  <si>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</si>
  <si>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</si>
  <si>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</si>
  <si>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</si>
  <si>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</si>
  <si>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</si>
  <si>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</si>
  <si>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</si>
  <si>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</si>
  <si>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</si>
  <si>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</si>
  <si>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</si>
  <si>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</si>
  <si>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</si>
  <si>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</si>
  <si>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</si>
  <si>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</si>
  <si>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</si>
  <si>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</si>
  <si>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</si>
  <si>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</si>
  <si>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</si>
  <si>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</si>
  <si>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</si>
  <si>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</si>
  <si>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</si>
  <si>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</si>
  <si>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</si>
  <si>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</si>
  <si>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</si>
  <si>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</si>
  <si>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</si>
  <si>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</si>
  <si>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</si>
  <si>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</si>
  <si>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</si>
  <si>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</si>
  <si>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</si>
  <si>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</si>
  <si>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</si>
  <si>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</si>
  <si>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</si>
  <si>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</si>
  <si>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</si>
  <si>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</si>
  <si>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</si>
  <si>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</si>
  <si>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</si>
  <si>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 - Jen objekty celkem</t>
  </si>
  <si>
    <t>Doba výstavby:</t>
  </si>
  <si>
    <t>Zpracováno dne:</t>
  </si>
  <si>
    <t xml:space="preserve"> </t>
  </si>
  <si>
    <t>Náklady (Kč)</t>
  </si>
  <si>
    <t>Zkrácený popis</t>
  </si>
  <si>
    <t>Dodávka</t>
  </si>
  <si>
    <t>Celkem</t>
  </si>
  <si>
    <t>BOURACÍ PRÁCE</t>
  </si>
  <si>
    <t>F</t>
  </si>
  <si>
    <t>01</t>
  </si>
  <si>
    <t>STAVEBNÍ PRÁCE</t>
  </si>
  <si>
    <t>02</t>
  </si>
  <si>
    <t>ZDRAVOTECHNICKÉ INSTALACE</t>
  </si>
  <si>
    <t>03</t>
  </si>
  <si>
    <t>ÚSTŘEDNÍ VYTÁPĚNÍ</t>
  </si>
  <si>
    <t>04</t>
  </si>
  <si>
    <t>ELEKTROINSTALACE</t>
  </si>
  <si>
    <t>05</t>
  </si>
  <si>
    <t>NUS,  ZRN, OSTATNÍ VEDLEJŠÍ NÁKLADY</t>
  </si>
  <si>
    <t>06</t>
  </si>
  <si>
    <t>Celkem:</t>
  </si>
  <si>
    <t>Slepý stavební rozpočet - Jen podskupiny</t>
  </si>
  <si>
    <t>Kód</t>
  </si>
  <si>
    <t>784</t>
  </si>
  <si>
    <t>Malby</t>
  </si>
  <si>
    <t>T</t>
  </si>
  <si>
    <t>96</t>
  </si>
  <si>
    <t>Bourání konstrukcí</t>
  </si>
  <si>
    <t>97</t>
  </si>
  <si>
    <t>Prorážení otvorů a ostatní bourací práce</t>
  </si>
  <si>
    <t>M22</t>
  </si>
  <si>
    <t>Montáže sdělovací a zabezpečovací techniky</t>
  </si>
  <si>
    <t>S</t>
  </si>
  <si>
    <t>Přesuny sutí</t>
  </si>
  <si>
    <t>34</t>
  </si>
  <si>
    <t>Stěny a příčky</t>
  </si>
  <si>
    <t>60</t>
  </si>
  <si>
    <t>Omítky ze suchých směsí</t>
  </si>
  <si>
    <t>61</t>
  </si>
  <si>
    <t>Úprava povrchů vnitřní</t>
  </si>
  <si>
    <t>64</t>
  </si>
  <si>
    <t>Výplně otvorů</t>
  </si>
  <si>
    <t>711</t>
  </si>
  <si>
    <t>Izolace proti vodě</t>
  </si>
  <si>
    <t>766</t>
  </si>
  <si>
    <t>Konstrukce truhlářské</t>
  </si>
  <si>
    <t>767</t>
  </si>
  <si>
    <t>Konstrukce doplňkové stavební (zámečnické)</t>
  </si>
  <si>
    <t>771</t>
  </si>
  <si>
    <t>Podlahy z dlaždic</t>
  </si>
  <si>
    <t>781</t>
  </si>
  <si>
    <t>Obklady (keramické)</t>
  </si>
  <si>
    <t>783</t>
  </si>
  <si>
    <t>Nátěry</t>
  </si>
  <si>
    <t>95</t>
  </si>
  <si>
    <t>Různé dokončovací konstrukce a práce na pozemních stavbách</t>
  </si>
  <si>
    <t>H711</t>
  </si>
  <si>
    <t>H771</t>
  </si>
  <si>
    <t>H781</t>
  </si>
  <si>
    <t>H99</t>
  </si>
  <si>
    <t>Ostatní přesuny hmot</t>
  </si>
  <si>
    <t>17</t>
  </si>
  <si>
    <t>Konstrukce ze zemin</t>
  </si>
  <si>
    <t>63</t>
  </si>
  <si>
    <t>Podlahy a podlahové konstrukce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</si>
  <si>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</si>
  <si>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</si>
  <si>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</si>
  <si>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</si>
  <si>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</si>
  <si>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</si>
  <si>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</si>
  <si>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</si>
  <si>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733</t>
  </si>
  <si>
    <t>Rozvod potrubí</t>
  </si>
  <si>
    <t>H27</t>
  </si>
  <si>
    <t>Vedení trubní dálková a přípojná</t>
  </si>
  <si>
    <t>H721</t>
  </si>
  <si>
    <t>H722</t>
  </si>
  <si>
    <t>H725</t>
  </si>
  <si>
    <t>H726</t>
  </si>
  <si>
    <t>Instalační prefabrikáty</t>
  </si>
  <si>
    <t>734</t>
  </si>
  <si>
    <t>Armatury</t>
  </si>
  <si>
    <t>735</t>
  </si>
  <si>
    <t>Otopná tělesa</t>
  </si>
  <si>
    <t>90</t>
  </si>
  <si>
    <t>Hodinové zúčtovací sazby (HZS)</t>
  </si>
  <si>
    <t>M21</t>
  </si>
  <si>
    <t>Elektromontáže</t>
  </si>
  <si>
    <t>M65</t>
  </si>
  <si>
    <t>Elektroinstalace</t>
  </si>
  <si>
    <t>100VD</t>
  </si>
  <si>
    <t>VEDLEJŠÍ A OSTATNÍ NÁKLADY STAVBY</t>
  </si>
  <si>
    <t>Slepý stavební rozpočet</t>
  </si>
  <si>
    <t>NOVÝ DOMOV p.o. - ŠATNA ZAMĚSTNANCŮ</t>
  </si>
  <si>
    <t>NOVÝ DOMOV p.o., U Bažantnice 1564/15, Karviná</t>
  </si>
  <si>
    <t>ZMĚNA ÚČELU UŽÍVÁNÍ</t>
  </si>
  <si>
    <t>FR. ŠEBELA, I. VRÁTNÍK, Krásná 137, 739 04, Krásná</t>
  </si>
  <si>
    <t>KARVINÁ-NOVÉ MĚSTO</t>
  </si>
  <si>
    <t>DLE VÝSLEDKŮ VÝBĚROVÉHO ŘÍZENÍ</t>
  </si>
  <si>
    <t>8019119</t>
  </si>
  <si>
    <t>26.02.2025</t>
  </si>
  <si>
    <t>I. Vrátník</t>
  </si>
  <si>
    <t>Č</t>
  </si>
  <si>
    <t>MJ</t>
  </si>
  <si>
    <t>Množství</t>
  </si>
  <si>
    <t>Cena/MJ</t>
  </si>
  <si>
    <t>Cenová</t>
  </si>
  <si>
    <t>ISWORK</t>
  </si>
  <si>
    <t>GROUPCODE</t>
  </si>
  <si>
    <t>VATTAX</t>
  </si>
  <si>
    <t>Rozměry</t>
  </si>
  <si>
    <t>(Kč)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</si>
  <si>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</si>
  <si>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</si>
  <si>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</si>
  <si>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</si>
  <si>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</si>
  <si>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</si>
  <si>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</si>
  <si>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</si>
  <si>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</si>
  <si>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</si>
  <si>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</si>
  <si>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</si>
  <si>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</si>
  <si>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</si>
  <si>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784402801R00</t>
  </si>
  <si>
    <t>Odstranění malby oškrábáním v místnosti H do 3,8 m</t>
  </si>
  <si>
    <t>m2</t>
  </si>
  <si>
    <t>RTS I / 2025</t>
  </si>
  <si>
    <t>7</t>
  </si>
  <si>
    <t>784_</t>
  </si>
  <si>
    <t>01_78_</t>
  </si>
  <si>
    <t>01_</t>
  </si>
  <si>
    <t>P</t>
  </si>
  <si>
    <t>2,02*7,11+0,16*2,02+3,23+2,02*0,17+3,44*2,02</t>
  </si>
  <si>
    <t>celá podélná stěna sousedící s CO krytem</t>
  </si>
  <si>
    <t>2</t>
  </si>
  <si>
    <t>965081713RT1</t>
  </si>
  <si>
    <t>Bourání dlažeb keramických tl.10 mm, nad 1 m2</t>
  </si>
  <si>
    <t>96_</t>
  </si>
  <si>
    <t>01_9_</t>
  </si>
  <si>
    <t>ručně, dlaždice keramické</t>
  </si>
  <si>
    <t>3,44*3,86+1,19*0,17</t>
  </si>
  <si>
    <t>ZADNÍ MÍSTNOST</t>
  </si>
  <si>
    <t>3,23*4+1,2*0,16</t>
  </si>
  <si>
    <t>PROSTŘEDNÍ MÍSTNOST</t>
  </si>
  <si>
    <t>3</t>
  </si>
  <si>
    <t>965081702R00</t>
  </si>
  <si>
    <t>Bourání soklíků z dlažeb keramických</t>
  </si>
  <si>
    <t>m</t>
  </si>
  <si>
    <t>3,44+0,17+3,23+0,16+3,23+2,8+2,67+0,17</t>
  </si>
  <si>
    <t>PROSTŘEDNÍ MÍSTNOST+ 1 STĚNA ZADNÍ M.</t>
  </si>
  <si>
    <t>4</t>
  </si>
  <si>
    <t>961055111R00</t>
  </si>
  <si>
    <t>Bourání základů železobetonových</t>
  </si>
  <si>
    <t>m3</t>
  </si>
  <si>
    <t>1*1*0,3</t>
  </si>
  <si>
    <t>ZÁKLAD PO KERAMICKÉ PECI</t>
  </si>
  <si>
    <t>5</t>
  </si>
  <si>
    <t>965043341RT1</t>
  </si>
  <si>
    <t>Bourání podkladů bet., potěr tl. 10 cm, nad 4 m2</t>
  </si>
  <si>
    <t>ručně mazanina tl. 5 - 8 cm s potěrem</t>
  </si>
  <si>
    <t>26,6*0,05</t>
  </si>
  <si>
    <t>CCA DO 5 CM</t>
  </si>
  <si>
    <t>6</t>
  </si>
  <si>
    <t>965042121RT1</t>
  </si>
  <si>
    <t>Bourání mazanin betonových tl. 10 cm, pl. 1 m2</t>
  </si>
  <si>
    <t>ručně tl. mazaniny 5 - 8 cm</t>
  </si>
  <si>
    <t>1*2</t>
  </si>
  <si>
    <t>podlaha pro nové spádování sprch</t>
  </si>
  <si>
    <t>962031145R00</t>
  </si>
  <si>
    <t>Bourání příček z tvárnic pórobetonových tl. 150 mm</t>
  </si>
  <si>
    <t>0,35*2,47</t>
  </si>
  <si>
    <t>ubourání příčky mezi místnostmi šaten na průchod 1,0m + skřínky</t>
  </si>
  <si>
    <t>8</t>
  </si>
  <si>
    <t>968061125R00</t>
  </si>
  <si>
    <t>Vyvěšení dřevěných a plastových dveřních křídel pl. do 2 m2</t>
  </si>
  <si>
    <t>kus</t>
  </si>
  <si>
    <t>šatna/ chodba</t>
  </si>
  <si>
    <t>chodba / schodiště na únikové cestě</t>
  </si>
  <si>
    <t>9</t>
  </si>
  <si>
    <t>968072455R00</t>
  </si>
  <si>
    <t>Vybourání kovových dveřních zárubní pl. do 2 m2</t>
  </si>
  <si>
    <t>0,9*2</t>
  </si>
  <si>
    <t>šatna / chodba</t>
  </si>
  <si>
    <t>10</t>
  </si>
  <si>
    <t>978059531R00</t>
  </si>
  <si>
    <t>Odsekání vnitřních obkladů stěn nad 2 m2</t>
  </si>
  <si>
    <t>97_</t>
  </si>
  <si>
    <t>3,86*1,2+3,44*1,2+2,67*1,2+2,67*0,15+1,2*0,15</t>
  </si>
  <si>
    <t>POUZE ZADNÍ MÍSTNOST</t>
  </si>
  <si>
    <t>11</t>
  </si>
  <si>
    <t>974042577R00</t>
  </si>
  <si>
    <t>Vysekání rýh v podlaze betonové, 20x30 cm</t>
  </si>
  <si>
    <t>3,44+3,86+1,5*3+1+1</t>
  </si>
  <si>
    <t>12</t>
  </si>
  <si>
    <t>974054722R00</t>
  </si>
  <si>
    <t>Dodatečné vyřezání otvoru v SDK podhledu pl.0,5 m2</t>
  </si>
  <si>
    <t>napojení ÚT</t>
  </si>
  <si>
    <t>13</t>
  </si>
  <si>
    <t>974054732R00</t>
  </si>
  <si>
    <t>Dodatečné vyřezání otvoru v SDVK stěně pl.0,5 m2</t>
  </si>
  <si>
    <t>napojení kanalizace</t>
  </si>
  <si>
    <t>napojení VZT</t>
  </si>
  <si>
    <t>14</t>
  </si>
  <si>
    <t>978013191R00</t>
  </si>
  <si>
    <t>Otlučení omítek vnitřních stěn v rozsahu do 100 %</t>
  </si>
  <si>
    <t>12,55</t>
  </si>
  <si>
    <t>PODKLAD KERAM. OBKLADU</t>
  </si>
  <si>
    <t>15</t>
  </si>
  <si>
    <t>972054491R00</t>
  </si>
  <si>
    <t>Vybourání otvoru  ŽB pl. 1 m2, tl. nad 8 cm</t>
  </si>
  <si>
    <t>0,6*0,6*0,6</t>
  </si>
  <si>
    <t>otvor v podlaze pro napojení a redukci kanalizace</t>
  </si>
  <si>
    <t>16</t>
  </si>
  <si>
    <t>222281500VL</t>
  </si>
  <si>
    <t>Demontáž kabeláže k termostat. ventilům</t>
  </si>
  <si>
    <t>VLASTNÍ</t>
  </si>
  <si>
    <t>M22_</t>
  </si>
  <si>
    <t>4+7,2+3,5+2,47+4*1</t>
  </si>
  <si>
    <t>979082111R00</t>
  </si>
  <si>
    <t>Vnitrostaveništní doprava suti do 10 m</t>
  </si>
  <si>
    <t>t</t>
  </si>
  <si>
    <t>S_</t>
  </si>
  <si>
    <t>12,63</t>
  </si>
  <si>
    <t>18</t>
  </si>
  <si>
    <t>979082121R00</t>
  </si>
  <si>
    <t>Příplatek k vnitrost. dopravě suti za dalších 5 m</t>
  </si>
  <si>
    <t>12,63*10</t>
  </si>
  <si>
    <t>19</t>
  </si>
  <si>
    <t>979094211R00</t>
  </si>
  <si>
    <t>Nakládání nebo překládání vybourané suti</t>
  </si>
  <si>
    <t>20</t>
  </si>
  <si>
    <t>979081111R00</t>
  </si>
  <si>
    <t>Odvoz suti a vybour. hmot na skládku do 1 km</t>
  </si>
  <si>
    <t>21</t>
  </si>
  <si>
    <t>979081121R00</t>
  </si>
  <si>
    <t>Příplatek k odvozu za každý další 1 km</t>
  </si>
  <si>
    <t>12,63*20</t>
  </si>
  <si>
    <t>22</t>
  </si>
  <si>
    <t>979999997R00</t>
  </si>
  <si>
    <t>Poplatek za recyklaci směsi suti betonu, cihel, tašek a keram.výrobků, kusovost do 1600 cm2 (170107)</t>
  </si>
  <si>
    <t>8,84+3,796</t>
  </si>
  <si>
    <t>23</t>
  </si>
  <si>
    <t>979990107R00</t>
  </si>
  <si>
    <t>Poplatek za uložení suti - směs betonu, cihel, dřeva, skupina odpadu 170904</t>
  </si>
  <si>
    <t>0,5</t>
  </si>
  <si>
    <t>24</t>
  </si>
  <si>
    <t>979999999R00</t>
  </si>
  <si>
    <t>Poplatek za ukládku suť do 10 % příměsí (skup.170107)</t>
  </si>
  <si>
    <t>25</t>
  </si>
  <si>
    <t>340271615R00</t>
  </si>
  <si>
    <t>Zazdívka otvorů pl.do 4 m2, pórobet.tvár.,tl.15 cm</t>
  </si>
  <si>
    <t>34_</t>
  </si>
  <si>
    <t>02_3_</t>
  </si>
  <si>
    <t>02_</t>
  </si>
  <si>
    <t>(1,27*3,86+1,19*2,47)*0,15</t>
  </si>
  <si>
    <t>dozdívka příčky dělící um. od šatny</t>
  </si>
  <si>
    <t>-0,9*2*0,15</t>
  </si>
  <si>
    <t>26</t>
  </si>
  <si>
    <t>342255024RT1</t>
  </si>
  <si>
    <t>Příčky z desek Ytong tl. 100 mm</t>
  </si>
  <si>
    <t>desky Klasik, 599 x 249 x 100 mm</t>
  </si>
  <si>
    <t>0,9*2*2</t>
  </si>
  <si>
    <t>sprchy</t>
  </si>
  <si>
    <t>27</t>
  </si>
  <si>
    <t>342264051RT3</t>
  </si>
  <si>
    <t>Podhled sádrokartonový na zavěšenou ocel. konstr.</t>
  </si>
  <si>
    <t>desky standard impreg. tl. 12,5 mm, bez izolace</t>
  </si>
  <si>
    <t>0,85*0,85+0,85*0,4*2</t>
  </si>
  <si>
    <t>OPLÁŠTĚNÍ MOTORU VZT V ŠATNĚ 02</t>
  </si>
  <si>
    <t>28</t>
  </si>
  <si>
    <t>342264102R00</t>
  </si>
  <si>
    <t>Osazení reviz. dvířek do SDK podhledu, do 0,50 m2</t>
  </si>
  <si>
    <t>PRO PŘÍSTUP K TRUBKOVÉMU VENTILÁTORU</t>
  </si>
  <si>
    <t>29</t>
  </si>
  <si>
    <t>346244351RT2</t>
  </si>
  <si>
    <t>Obezdívka - opláštění modulu WC</t>
  </si>
  <si>
    <t>s použitím suché maltové směsi popř. SDKi</t>
  </si>
  <si>
    <t>0,95*(1,2*2+0,125*2)</t>
  </si>
  <si>
    <t>30</t>
  </si>
  <si>
    <t>342948111R00</t>
  </si>
  <si>
    <t>Ukotvení příček k cihelné konstrukci kotvami na hmoždinky</t>
  </si>
  <si>
    <t>2,47*2*2</t>
  </si>
  <si>
    <t>wc příčky</t>
  </si>
  <si>
    <t>2*2</t>
  </si>
  <si>
    <t>příčky sprch</t>
  </si>
  <si>
    <t>31</t>
  </si>
  <si>
    <t>342668111R00</t>
  </si>
  <si>
    <t>Těsnění styku příčky se stáv. konstrukcí PU pěnou</t>
  </si>
  <si>
    <t>1*2+1,05*2</t>
  </si>
  <si>
    <t>32</t>
  </si>
  <si>
    <t>602023193R00</t>
  </si>
  <si>
    <t>Penetrace stěn Ardex P 51</t>
  </si>
  <si>
    <t>60_</t>
  </si>
  <si>
    <t>02_6_</t>
  </si>
  <si>
    <t>10,746*2,02</t>
  </si>
  <si>
    <t>stěna sousedící s krytem CO</t>
  </si>
  <si>
    <t>-0,9*2</t>
  </si>
  <si>
    <t>0,55*2*2</t>
  </si>
  <si>
    <t>33</t>
  </si>
  <si>
    <t>602023147RT2</t>
  </si>
  <si>
    <t>Stěrka stěn sádrová Ardex W820 Superfinish, ručně</t>
  </si>
  <si>
    <t xml:space="preserve">tloušťka vrstvy 3 mm
s výjimkou stěny okenní všude
</t>
  </si>
  <si>
    <t>4*2*2,47+2,48*2,47*2+0,16*2,47</t>
  </si>
  <si>
    <t>601023147RT2</t>
  </si>
  <si>
    <t>Stěrka stropů sádrová Ardex W820 Superfinish,ručně</t>
  </si>
  <si>
    <t>tloušťka vrstvy 3 mm</t>
  </si>
  <si>
    <t>10,736*4</t>
  </si>
  <si>
    <t>3,86*3,44</t>
  </si>
  <si>
    <t>35</t>
  </si>
  <si>
    <t>612481211RT8</t>
  </si>
  <si>
    <t>Montáž výztužné sítě(perlinky)do stěrky-vnit.stěny</t>
  </si>
  <si>
    <t>61_</t>
  </si>
  <si>
    <t>včetně výztužné sítě a stěrkového tmelu např. Cemix</t>
  </si>
  <si>
    <t>1*2,47*2*2+0,95*2,47*2*2</t>
  </si>
  <si>
    <t>příčky WC</t>
  </si>
  <si>
    <t>-0,7*2*2*2</t>
  </si>
  <si>
    <t>0,95*1,2*2+0,12*0,95*2</t>
  </si>
  <si>
    <t>opl. modulů</t>
  </si>
  <si>
    <t>0,9*2*2*2+0,9*0,1*2</t>
  </si>
  <si>
    <t>1,3*1,1</t>
  </si>
  <si>
    <t>vyztužení nároží po odbour. příčce</t>
  </si>
  <si>
    <t>36</t>
  </si>
  <si>
    <t>612425931RT2</t>
  </si>
  <si>
    <t>Omítka vápenná vnitřního ostění - štuková</t>
  </si>
  <si>
    <t>s použitím suché maltové směsi</t>
  </si>
  <si>
    <t>2,47*0,5</t>
  </si>
  <si>
    <t>po odbourané příčce</t>
  </si>
  <si>
    <t>0,45*2*2*2+0,8*0,45+0,45*0,9</t>
  </si>
  <si>
    <t>ostění otočených zárubní</t>
  </si>
  <si>
    <t>37</t>
  </si>
  <si>
    <t>642944121RU5</t>
  </si>
  <si>
    <t>Osazení ocelových zárubní dodatečně do 2,5 m2</t>
  </si>
  <si>
    <t>64_</t>
  </si>
  <si>
    <t>včetně dodávky zárubně 900 x 1970 x 150 mm</t>
  </si>
  <si>
    <t>1+1</t>
  </si>
  <si>
    <t>um/ šatna,   šatna/ chodba</t>
  </si>
  <si>
    <t>38</t>
  </si>
  <si>
    <t>642944121RT3</t>
  </si>
  <si>
    <t>včetně dodávky zárubně 700 x 1970 x 100 mm</t>
  </si>
  <si>
    <t>WC KABINY</t>
  </si>
  <si>
    <t>39</t>
  </si>
  <si>
    <t>642944121RU4</t>
  </si>
  <si>
    <t>včetně dodávky zárubně 800 x 1970 x 150 mm</t>
  </si>
  <si>
    <t>mezi chodbou a schodištěm pož. únikové cesty</t>
  </si>
  <si>
    <t>40</t>
  </si>
  <si>
    <t>711212000R00</t>
  </si>
  <si>
    <t>Penetrace podkladu pod hydroizolační hmoty, včetně dodávky</t>
  </si>
  <si>
    <t>711_</t>
  </si>
  <si>
    <t>02_71_</t>
  </si>
  <si>
    <t>0,9*2*2+1*2*4</t>
  </si>
  <si>
    <t>stěny sprchových stání</t>
  </si>
  <si>
    <t>10,79</t>
  </si>
  <si>
    <t>podlaha umývárny</t>
  </si>
  <si>
    <t>14,36*1,5</t>
  </si>
  <si>
    <t>stěna sousedící s CO krytem</t>
  </si>
  <si>
    <t>41</t>
  </si>
  <si>
    <t>711212002RT1</t>
  </si>
  <si>
    <t>Stěrka hydroizolační, vč. dodávky HI hmoty</t>
  </si>
  <si>
    <t>Aquafin 2K (fa Schömburg), tl. 2 mm</t>
  </si>
  <si>
    <t>43,93*1,03</t>
  </si>
  <si>
    <t>42</t>
  </si>
  <si>
    <t>711212601RT1</t>
  </si>
  <si>
    <t>Utěsnění detailů při stěrkových hydroizolacích, těsnicí pás do spoje podlaha - stěna</t>
  </si>
  <si>
    <t>Aso Dichtband-2000-S šířka 120 mm (fa Schomburg)</t>
  </si>
  <si>
    <t>3,44*2+3,86*2+1*4</t>
  </si>
  <si>
    <t>-0,7*2</t>
  </si>
  <si>
    <t>-0,9</t>
  </si>
  <si>
    <t>14,36-0,9</t>
  </si>
  <si>
    <t>43</t>
  </si>
  <si>
    <t>711212611RT1</t>
  </si>
  <si>
    <t>Utěsnění detailů při stěrkových hydroizolacích, těsnicí pás do svislých koutů</t>
  </si>
  <si>
    <t>2*4</t>
  </si>
  <si>
    <t>44</t>
  </si>
  <si>
    <t>711212621R00</t>
  </si>
  <si>
    <t>Utěsnění detailů při stěrkových hydroizolacích, těsnění prostupů těsnicí manžetou</t>
  </si>
  <si>
    <t>sprch. baterie</t>
  </si>
  <si>
    <t>45</t>
  </si>
  <si>
    <t>766623922R00</t>
  </si>
  <si>
    <t>Oprava oken zdvojených výklopných, s výměnou prvků</t>
  </si>
  <si>
    <t>766_</t>
  </si>
  <si>
    <t>02_76_</t>
  </si>
  <si>
    <t>překování plastových oken v sestavě 2 - 3 ks.
z důvodu přístupu k nim přes šatní skřínky</t>
  </si>
  <si>
    <t>0,4*1,5*3</t>
  </si>
  <si>
    <t>46</t>
  </si>
  <si>
    <t>54915000VL</t>
  </si>
  <si>
    <t>Kování doplňkové - pákový ovladač, bovden, lišta, systém kování pro PVC okna, 12 krytek</t>
  </si>
  <si>
    <t>soubor</t>
  </si>
  <si>
    <t>M</t>
  </si>
  <si>
    <t>3*2</t>
  </si>
  <si>
    <t>všechna křídla, MTŽ levá, pravá</t>
  </si>
  <si>
    <t>47</t>
  </si>
  <si>
    <t>766662811R00</t>
  </si>
  <si>
    <t>Demontáž prahů dveří 1křídlových</t>
  </si>
  <si>
    <t>48</t>
  </si>
  <si>
    <t>766661112R00</t>
  </si>
  <si>
    <t>Montáž dveří do zárubně,otevíravých 1kř.do 0,8 m</t>
  </si>
  <si>
    <t>kabiny WC</t>
  </si>
  <si>
    <t>49</t>
  </si>
  <si>
    <t>61162102</t>
  </si>
  <si>
    <t>Dveře vnitřní hladké plné FÓLIE 1-křídlé 700 x 1970 mm</t>
  </si>
  <si>
    <t>KABINY WC</t>
  </si>
  <si>
    <t>50</t>
  </si>
  <si>
    <t>766661821R00</t>
  </si>
  <si>
    <t>Demontáž samozavírače</t>
  </si>
  <si>
    <t>dveře chodba / schodiště</t>
  </si>
  <si>
    <t>51</t>
  </si>
  <si>
    <t>766669117R00</t>
  </si>
  <si>
    <t>Dokování samozavírače na ocelovou zárubeň</t>
  </si>
  <si>
    <t>PP dveře</t>
  </si>
  <si>
    <t>52</t>
  </si>
  <si>
    <t>54917045</t>
  </si>
  <si>
    <t>Zavírač dveří hydraulický K 204 - 14 stříbrná</t>
  </si>
  <si>
    <t>53</t>
  </si>
  <si>
    <t>766661422R00</t>
  </si>
  <si>
    <t>Montáž dveří protipožárních 1kříd. nad 80 cm</t>
  </si>
  <si>
    <t>54</t>
  </si>
  <si>
    <t>611656494</t>
  </si>
  <si>
    <t>Dveře dřevěné protipožární SOLODOOR EI30, 900 x 1970 mm L/P, lak, plné</t>
  </si>
  <si>
    <t>ŠATNA 01 LEVÉ</t>
  </si>
  <si>
    <t>55</t>
  </si>
  <si>
    <t>766661413R00</t>
  </si>
  <si>
    <t>Montáž dveří protipožár.1kř.do 80 cm, bez kukátka</t>
  </si>
  <si>
    <t>56</t>
  </si>
  <si>
    <t>611656493</t>
  </si>
  <si>
    <t>Dveře dřevěné protipožární SOLODOOR EI30, 800 x 1970 mm L/P, lak, plné</t>
  </si>
  <si>
    <t>ÚNIKOVÁ CESTA</t>
  </si>
  <si>
    <t>57</t>
  </si>
  <si>
    <t>766670021R00</t>
  </si>
  <si>
    <t>Montáž kliky a štítku</t>
  </si>
  <si>
    <t>2+1+1+1</t>
  </si>
  <si>
    <t>58</t>
  </si>
  <si>
    <t>54914637</t>
  </si>
  <si>
    <t>Kování dveřní SIESTA klíč Ti</t>
  </si>
  <si>
    <t>2+1</t>
  </si>
  <si>
    <t>59</t>
  </si>
  <si>
    <t>5490001VL</t>
  </si>
  <si>
    <t>DVEŘNÍ KOVÁNÍ A ZÁMEK S PANIKOVOU FUNKCÍ klika-klika nerez mat</t>
  </si>
  <si>
    <t>767811100R00</t>
  </si>
  <si>
    <t>Montáž větracích mřížek, typ VM vč. vyříznutí otvoru do dveří</t>
  </si>
  <si>
    <t>767_</t>
  </si>
  <si>
    <t>osazení oboustranné dveřní mřížky do dv. umývárny</t>
  </si>
  <si>
    <t>42972893104</t>
  </si>
  <si>
    <t>Mřížka čtyřhranná plastová 500 x 90 mm, bílá</t>
  </si>
  <si>
    <t>dveře do umývárny</t>
  </si>
  <si>
    <t>62</t>
  </si>
  <si>
    <t>771101101R00</t>
  </si>
  <si>
    <t>Vysávání podlah prům.vysavačem pro pokládku dlažby</t>
  </si>
  <si>
    <t>771_</t>
  </si>
  <si>
    <t>02_77_</t>
  </si>
  <si>
    <t>10,79+0,95*2+14,1+1,5*0,15+0,7*0,1*2</t>
  </si>
  <si>
    <t>771101210RT1</t>
  </si>
  <si>
    <t>Penetrace podkladu pod dlažby</t>
  </si>
  <si>
    <t>penetrační nátěr Primer G</t>
  </si>
  <si>
    <t>27,155</t>
  </si>
  <si>
    <t>771101115R00</t>
  </si>
  <si>
    <t>Vyrovnání podkladů samonivelační hmotou tloušťky do 10 mm</t>
  </si>
  <si>
    <t>65</t>
  </si>
  <si>
    <t>58581503</t>
  </si>
  <si>
    <t>Hmota samonivelační NIVELITH FT pro podlahové vrstvy</t>
  </si>
  <si>
    <t>kg</t>
  </si>
  <si>
    <t>27,155*1,7*10</t>
  </si>
  <si>
    <t>spotřeba 1,7 kg/m2/1 mm</t>
  </si>
  <si>
    <t>66</t>
  </si>
  <si>
    <t>771111121R00</t>
  </si>
  <si>
    <t>Montáž podlahových lišt dilatačních,dlažba</t>
  </si>
  <si>
    <t>0,9+1,5</t>
  </si>
  <si>
    <t>67</t>
  </si>
  <si>
    <t>283424192</t>
  </si>
  <si>
    <t>Profil obkladový dilatační PVC, H = 10 mm, Š = 8 mm</t>
  </si>
  <si>
    <t>68</t>
  </si>
  <si>
    <t>771575109R00</t>
  </si>
  <si>
    <t>Montáž keramické dlažby, hladké, na tmel, 300 x 300 m</t>
  </si>
  <si>
    <t>69</t>
  </si>
  <si>
    <t>597642068</t>
  </si>
  <si>
    <t>Dlažba Taurus Granit reliéfní SRU 300 x 600 x 9 mm Nordic R11</t>
  </si>
  <si>
    <t>10,79+0,95*2+0,7*0,1*2</t>
  </si>
  <si>
    <t>;ztratné 10%; 1,283</t>
  </si>
  <si>
    <t>70</t>
  </si>
  <si>
    <t>59764210</t>
  </si>
  <si>
    <t>Dlažba Taurus Granit  300 x 300 x 9 mm Nordic R9</t>
  </si>
  <si>
    <t>14,1+1,5*0,15</t>
  </si>
  <si>
    <t>;ztratné 10%; 1,4325</t>
  </si>
  <si>
    <t>71</t>
  </si>
  <si>
    <t>771130111R00</t>
  </si>
  <si>
    <t>Obklad soklíků rovných do tmele výšky do 100 mm</t>
  </si>
  <si>
    <t>3,475+4*2</t>
  </si>
  <si>
    <t>-(0,8+1,5)</t>
  </si>
  <si>
    <t>72</t>
  </si>
  <si>
    <t>597642412</t>
  </si>
  <si>
    <t>Dlažba Taurus Granit matná sokl 600 x 95 x 10 mm Nordic</t>
  </si>
  <si>
    <t>9,175/0,6</t>
  </si>
  <si>
    <t>;ztratné 10%; 1,529167</t>
  </si>
  <si>
    <t>73</t>
  </si>
  <si>
    <t>771578011R00</t>
  </si>
  <si>
    <t>Spára podlaha - stěna, silikonem</t>
  </si>
  <si>
    <t>9,175+3,44*2+3,86*2+0,9*4+1*2*2+1,05*2*2</t>
  </si>
  <si>
    <t>74</t>
  </si>
  <si>
    <t>771579791R00</t>
  </si>
  <si>
    <t>Příplatek za plochu podlah keram. do 5 m2 jednotl.</t>
  </si>
  <si>
    <t>0,95*2</t>
  </si>
  <si>
    <t>75</t>
  </si>
  <si>
    <t>781101210R00</t>
  </si>
  <si>
    <t>D+Penetrace podkladu pod obklady</t>
  </si>
  <si>
    <t>781_</t>
  </si>
  <si>
    <t>02_78_</t>
  </si>
  <si>
    <t>2,47*(3,86*2+3,44*2+1*2+1,1*2+0,9*2*2+1,15*2+0,95*2)</t>
  </si>
  <si>
    <t>K.O. do stropu v celé umývárně a WC</t>
  </si>
  <si>
    <t>0,1*2*2</t>
  </si>
  <si>
    <t>čela sprch. zídek</t>
  </si>
  <si>
    <t>odpočet dveří WC</t>
  </si>
  <si>
    <t>odpočet dveří do umývárny</t>
  </si>
  <si>
    <t>0,95*0,12*2+0,9*0,1*2</t>
  </si>
  <si>
    <t>vrchní části zídek</t>
  </si>
  <si>
    <t>76</t>
  </si>
  <si>
    <t>781675112RV5</t>
  </si>
  <si>
    <t>Montáž obkladů parapetů keramic. na tmel, do 15 cm</t>
  </si>
  <si>
    <t>Unifix S3 (lepidlo), CRISTALLFUGE-FLEX (spár.hmota)</t>
  </si>
  <si>
    <t>0,95*2+0,9*2</t>
  </si>
  <si>
    <t>77</t>
  </si>
  <si>
    <t>781415016RU1</t>
  </si>
  <si>
    <t>Montáž obkladů stěn, porovin.,tmel, nad 20x25 cm</t>
  </si>
  <si>
    <t>Ardex FB 9 L (flex.lepidlo), Ardex FL (spár.hmota)</t>
  </si>
  <si>
    <t>59,91</t>
  </si>
  <si>
    <t>78</t>
  </si>
  <si>
    <t>59781000VL</t>
  </si>
  <si>
    <t>Obkládačka větší formát (řízená cena 550,-/m2)</t>
  </si>
  <si>
    <t>;ztratné 7%; 4,1937</t>
  </si>
  <si>
    <t>79</t>
  </si>
  <si>
    <t>781419711R00</t>
  </si>
  <si>
    <t>Příplatek k obkladu stěn za plochu do 10 m2 jedntl</t>
  </si>
  <si>
    <t>2,47*(0,95*2*2+1*2*2)</t>
  </si>
  <si>
    <t>-0,7*2*2</t>
  </si>
  <si>
    <t>80</t>
  </si>
  <si>
    <t>781491001RT1</t>
  </si>
  <si>
    <t>Montáž lišt k obkladům</t>
  </si>
  <si>
    <t>rohových, koutových i dilatačních</t>
  </si>
  <si>
    <t>2,47*24+0,95*2*2+0,9*2*2+0,1*2</t>
  </si>
  <si>
    <t>81</t>
  </si>
  <si>
    <t>283424152</t>
  </si>
  <si>
    <t>Profil ukončovací obkladový "L" PVC, H = 8 mm</t>
  </si>
  <si>
    <t>(0,95*2*2+0,9*2*2+0,1*2)/2,5</t>
  </si>
  <si>
    <t>;ztratné 15%; 0,456</t>
  </si>
  <si>
    <t>82</t>
  </si>
  <si>
    <t>283424182</t>
  </si>
  <si>
    <t>Profil obkladový kout vnitřní PVC, H = 8 mm</t>
  </si>
  <si>
    <t>(2,47*24)/2,5</t>
  </si>
  <si>
    <t>;ztratné 15%; 3,5568</t>
  </si>
  <si>
    <t>83</t>
  </si>
  <si>
    <t>783225400R00</t>
  </si>
  <si>
    <t>Nátěr syntetický kov. konstr. 2x + 1x email + tmel</t>
  </si>
  <si>
    <t>783_</t>
  </si>
  <si>
    <t>0,7*2*2+0,8*2+0,9*2*2</t>
  </si>
  <si>
    <t>84</t>
  </si>
  <si>
    <t>784111101R00</t>
  </si>
  <si>
    <t>Penetrace podkladu nátěrem V1307  1 x</t>
  </si>
  <si>
    <t>10,746*4+3,44*3,86</t>
  </si>
  <si>
    <t>stropy</t>
  </si>
  <si>
    <t>10,746*2,02+10,746*2,47+4*2,47+2,48*2,47+2,48*2,47+4*2,47+3,475*2,47+3,475*2,02</t>
  </si>
  <si>
    <t>stěny</t>
  </si>
  <si>
    <t>85</t>
  </si>
  <si>
    <t>784452921R00</t>
  </si>
  <si>
    <t>Oprava,malba směsí tekut.2x,1bar+oškr. míst. 3,8 m</t>
  </si>
  <si>
    <t>86</t>
  </si>
  <si>
    <t>784167101R00</t>
  </si>
  <si>
    <t>Vyhlazení disperzním tmelem HET, Ditmel, 1x (1 mm)</t>
  </si>
  <si>
    <t>10,746*2,47</t>
  </si>
  <si>
    <t>OKENNÍ STĚNA</t>
  </si>
  <si>
    <t>87</t>
  </si>
  <si>
    <t>954312303R00</t>
  </si>
  <si>
    <t>Opláštění z SDK,2.str,do 800x800 mm,RBI tl.12,5 mm</t>
  </si>
  <si>
    <t>95_</t>
  </si>
  <si>
    <t>02_9_</t>
  </si>
  <si>
    <t>3,44</t>
  </si>
  <si>
    <t>SDK KUFR V UMÝVÁRNĚ</t>
  </si>
  <si>
    <t>88</t>
  </si>
  <si>
    <t>šatna/ chodba,     chodba/ schodiště (úniková cesta)</t>
  </si>
  <si>
    <t>89</t>
  </si>
  <si>
    <t>998711101R00</t>
  </si>
  <si>
    <t>Přesun hmot pro izolace proti vodě, výšky do 6 m</t>
  </si>
  <si>
    <t>H711_</t>
  </si>
  <si>
    <t>0,19</t>
  </si>
  <si>
    <t>998771101R00</t>
  </si>
  <si>
    <t>Přesun hmot pro podlahy z dlaždic, výšky do 6 m</t>
  </si>
  <si>
    <t>H771_</t>
  </si>
  <si>
    <t>91</t>
  </si>
  <si>
    <t>998781101R00</t>
  </si>
  <si>
    <t>Přesun hmot pro obklady keramické, výšky do 6 m</t>
  </si>
  <si>
    <t>H781_</t>
  </si>
  <si>
    <t>1,13</t>
  </si>
  <si>
    <t>92</t>
  </si>
  <si>
    <t>999281145R00</t>
  </si>
  <si>
    <t>Přesun hmot pro opravy a údržbu do v. 6 m, nošením</t>
  </si>
  <si>
    <t>H99_</t>
  </si>
  <si>
    <t>1,377+0,577+0,29+0,34</t>
  </si>
  <si>
    <t>93</t>
  </si>
  <si>
    <t>175101101RT2</t>
  </si>
  <si>
    <t>Obsyp potrubí bez prohození sypaniny</t>
  </si>
  <si>
    <t>17_</t>
  </si>
  <si>
    <t>03_1_</t>
  </si>
  <si>
    <t>03_</t>
  </si>
  <si>
    <t>s dodáním štěrkopísku frakce 0 - 22 mm</t>
  </si>
  <si>
    <t>9*0,3*0,2</t>
  </si>
  <si>
    <t>0,5*0,5*0,2</t>
  </si>
  <si>
    <t>94</t>
  </si>
  <si>
    <t>631312141R00</t>
  </si>
  <si>
    <t>Doplnění rýh betonem v dosavadních mazaninách</t>
  </si>
  <si>
    <t>63_</t>
  </si>
  <si>
    <t>03_6_</t>
  </si>
  <si>
    <t>0,3*0,15*9</t>
  </si>
  <si>
    <t>0,5*0,15*0,5</t>
  </si>
  <si>
    <t>721210812R00</t>
  </si>
  <si>
    <t>Demontáž vpusti z kameniny, DN 70 mm</t>
  </si>
  <si>
    <t>721_</t>
  </si>
  <si>
    <t>03_72_</t>
  </si>
  <si>
    <t>721211001VL</t>
  </si>
  <si>
    <t>Montáž podlahové vpusti</t>
  </si>
  <si>
    <t>552319103</t>
  </si>
  <si>
    <t>Podlahová vpust 150x150/ d75 mm, nerez mřížka</t>
  </si>
  <si>
    <t>98</t>
  </si>
  <si>
    <t>721211591RT2</t>
  </si>
  <si>
    <t>Souprava izolační HL86 pro dvorní vpusť</t>
  </si>
  <si>
    <t>S IZOLAČNÍM LÍMCEM</t>
  </si>
  <si>
    <t>99</t>
  </si>
  <si>
    <t>721213041RT1</t>
  </si>
  <si>
    <t>Montáž sprchového odtokového žlabu, s betonáží prostoru sprchového koutu</t>
  </si>
  <si>
    <t>bez dodávky betonové směsi</t>
  </si>
  <si>
    <t>100</t>
  </si>
  <si>
    <t>55231802</t>
  </si>
  <si>
    <t>Žlab sprchový nerezový ALCA APZ1, dl. 750 mm</t>
  </si>
  <si>
    <t>101</t>
  </si>
  <si>
    <t>721170956R00</t>
  </si>
  <si>
    <t>Provedení opravy vnitřní kanalizace, potrubí plastové, vsazení odbočky, potrubí hrdlové, D 140 mm</t>
  </si>
  <si>
    <t>102</t>
  </si>
  <si>
    <t>721170973R00</t>
  </si>
  <si>
    <t>Provedení opravy vnitřní kanalizace, potrubí plastové, krácení trub, D 75 mm</t>
  </si>
  <si>
    <t>103</t>
  </si>
  <si>
    <t>721176103R00</t>
  </si>
  <si>
    <t>Potrubí HT připojovací, D 50 x 1,8 mm</t>
  </si>
  <si>
    <t>1,5+0,3+0,3</t>
  </si>
  <si>
    <t>104</t>
  </si>
  <si>
    <t>721176104R00</t>
  </si>
  <si>
    <t>Potrubí HT připojovací, D 75 x 1,9 mm</t>
  </si>
  <si>
    <t>2+2+1,5+1,5+2,5+2,5</t>
  </si>
  <si>
    <t>105</t>
  </si>
  <si>
    <t>721176105R00</t>
  </si>
  <si>
    <t>Potrubí HT připojovací, D 110 x 2,7 mm</t>
  </si>
  <si>
    <t>1,5+2</t>
  </si>
  <si>
    <t>106</t>
  </si>
  <si>
    <t>721176126R00</t>
  </si>
  <si>
    <t>Potrubí HT svodné (ležaté) v zemi, D 125 x 3,1 mm</t>
  </si>
  <si>
    <t>107</t>
  </si>
  <si>
    <t>721194105R00</t>
  </si>
  <si>
    <t>Vyvedení odpadních výpustek, D 50 x 1,8 mm</t>
  </si>
  <si>
    <t>2+2</t>
  </si>
  <si>
    <t>108</t>
  </si>
  <si>
    <t>721194107R00</t>
  </si>
  <si>
    <t>Vyvedení odpadních výpustek, D 75 x 1,9 mm</t>
  </si>
  <si>
    <t>109</t>
  </si>
  <si>
    <t>721194109R00</t>
  </si>
  <si>
    <t>Vyvedení odpadních výpustek, D 110 x 2,3 mm</t>
  </si>
  <si>
    <t>110</t>
  </si>
  <si>
    <t>721290111R00</t>
  </si>
  <si>
    <t>Zkouška těsnosti kanalizace vodou DN 125 mm</t>
  </si>
  <si>
    <t>2,1+12+3,5+3</t>
  </si>
  <si>
    <t>111</t>
  </si>
  <si>
    <t>722170911R00</t>
  </si>
  <si>
    <t>Oprava plastového potrubí, vsazení odbočky do D 32 mm</t>
  </si>
  <si>
    <t>722_</t>
  </si>
  <si>
    <t>112</t>
  </si>
  <si>
    <t>722171912R00</t>
  </si>
  <si>
    <t>Odříznutí plastové trubky D 20 mm</t>
  </si>
  <si>
    <t>113</t>
  </si>
  <si>
    <t>722172331R00</t>
  </si>
  <si>
    <t>Potrubí plastové PP-R Instaplast, včetně zednických výpomocí, D 20 x 3,4 mm, PN 20</t>
  </si>
  <si>
    <t>3,44*2+3,86*2+3*2+2*2+0,3*5+0,5*2</t>
  </si>
  <si>
    <t>114</t>
  </si>
  <si>
    <t>722172351R00</t>
  </si>
  <si>
    <t>Křížení potrubí z PP-R Instaplast, D 20 x 3,4 mm, PN 20</t>
  </si>
  <si>
    <t>115</t>
  </si>
  <si>
    <t>722172912R00</t>
  </si>
  <si>
    <t>Provedení propojení plastového vodovodního potrubí polyfuzí, D 20 mm</t>
  </si>
  <si>
    <t>116</t>
  </si>
  <si>
    <t>722181212RT7</t>
  </si>
  <si>
    <t>Izolace návleková MIRELON PRO tl. stěny 9 mm</t>
  </si>
  <si>
    <t>vnitřní průměr 22 mm</t>
  </si>
  <si>
    <t>3,44+3+3,56+0,3*7</t>
  </si>
  <si>
    <t>117</t>
  </si>
  <si>
    <t>722181213RT7</t>
  </si>
  <si>
    <t>Izolace návleková MIRELON PRO tl. stěny 13 mm</t>
  </si>
  <si>
    <t>27,1-12,1</t>
  </si>
  <si>
    <t>118</t>
  </si>
  <si>
    <t>722190402R00</t>
  </si>
  <si>
    <t>Vyvedení a upevnění výpustek DN 20 mm</t>
  </si>
  <si>
    <t>119</t>
  </si>
  <si>
    <t>722190901R00</t>
  </si>
  <si>
    <t>Uzavření/otevření vodovodního potrubí při opravě</t>
  </si>
  <si>
    <t>120</t>
  </si>
  <si>
    <t>722220111R00</t>
  </si>
  <si>
    <t>Nástěnka K 247, pro výtokový ventil G 1/2"</t>
  </si>
  <si>
    <t>121</t>
  </si>
  <si>
    <t>722220121R00</t>
  </si>
  <si>
    <t>Nástěnka K 247, pro baterii G 1/2"</t>
  </si>
  <si>
    <t>pár</t>
  </si>
  <si>
    <t>122</t>
  </si>
  <si>
    <t>722202442R00</t>
  </si>
  <si>
    <t>Kohout kulový rozebíratelný s výpustí PP-R INSTAPLAST, D 20 mm</t>
  </si>
  <si>
    <t>123</t>
  </si>
  <si>
    <t>722280106R00</t>
  </si>
  <si>
    <t>Tlaková zkouška vodovodního potrubí DN 32 mm</t>
  </si>
  <si>
    <t>27,1</t>
  </si>
  <si>
    <t>124</t>
  </si>
  <si>
    <t>722290234R00</t>
  </si>
  <si>
    <t>Proplach a dezinfekce vodovodního potrubí DN 80 mm</t>
  </si>
  <si>
    <t>odběr vody akred. laboratoří</t>
  </si>
  <si>
    <t>125</t>
  </si>
  <si>
    <t>725210821R00</t>
  </si>
  <si>
    <t>Demontáž umyvadel bez výtokových armatur</t>
  </si>
  <si>
    <t>725_</t>
  </si>
  <si>
    <t>126</t>
  </si>
  <si>
    <t>725320828R00</t>
  </si>
  <si>
    <t>Demontáž dřezů dvojitých na konzolách</t>
  </si>
  <si>
    <t>127</t>
  </si>
  <si>
    <t>725310821R00</t>
  </si>
  <si>
    <t>Demontáž dřezů jednodílných na konzolách</t>
  </si>
  <si>
    <t>128</t>
  </si>
  <si>
    <t>725820802R00</t>
  </si>
  <si>
    <t>Demontáž baterie stojánkové do 1 otvoru</t>
  </si>
  <si>
    <t>129</t>
  </si>
  <si>
    <t>725820801R00</t>
  </si>
  <si>
    <t>Demontáž baterie nástěnné do G 3/4"</t>
  </si>
  <si>
    <t>130</t>
  </si>
  <si>
    <t>725860811R00</t>
  </si>
  <si>
    <t>Demontáž uzávěrek zápachových jednoduchých</t>
  </si>
  <si>
    <t>131</t>
  </si>
  <si>
    <t>725991811R00</t>
  </si>
  <si>
    <t>Demontáž konzol jednoduchých</t>
  </si>
  <si>
    <t>132</t>
  </si>
  <si>
    <t>725900001VL</t>
  </si>
  <si>
    <t>Demontáž doplňků koupelny - za 1 vrut</t>
  </si>
  <si>
    <t>vrut</t>
  </si>
  <si>
    <t>dávkovač mýdla</t>
  </si>
  <si>
    <t>133</t>
  </si>
  <si>
    <t>725219401R00</t>
  </si>
  <si>
    <t>Montáž umyvadel na šrouby do zdiva</t>
  </si>
  <si>
    <t>vč. odpad. systému klik/klak</t>
  </si>
  <si>
    <t>134</t>
  </si>
  <si>
    <t>64214330</t>
  </si>
  <si>
    <t>Umyvadlo keramické LYRA Plus s otvorem pro baterii 550 x 450 mm</t>
  </si>
  <si>
    <t>135</t>
  </si>
  <si>
    <t>725219503R00</t>
  </si>
  <si>
    <t>Montáž krytu sifonu umyvadel</t>
  </si>
  <si>
    <t>136</t>
  </si>
  <si>
    <t>64291390</t>
  </si>
  <si>
    <t>Kryt na sifón LYRA Plus bílý polosloup</t>
  </si>
  <si>
    <t>137</t>
  </si>
  <si>
    <t>725849200R00</t>
  </si>
  <si>
    <t>Montáž baterií sprchových, nastavitelná výška</t>
  </si>
  <si>
    <t>138</t>
  </si>
  <si>
    <t>55145009</t>
  </si>
  <si>
    <t>Baterie sprchová směšovací nástěnná se sprchovou tyčí PL82B</t>
  </si>
  <si>
    <t>139</t>
  </si>
  <si>
    <t>725829301R00</t>
  </si>
  <si>
    <t>Montáž baterie umyvadlové a dřezové stojánkové</t>
  </si>
  <si>
    <t>140</t>
  </si>
  <si>
    <t>55145031</t>
  </si>
  <si>
    <t>Baterie umyvadlová stojánková bez otevírání odpadu TM26</t>
  </si>
  <si>
    <t>141</t>
  </si>
  <si>
    <t>725249106R00</t>
  </si>
  <si>
    <t>Montáž sprchových dveří posuvných</t>
  </si>
  <si>
    <t>142</t>
  </si>
  <si>
    <t>55484471.A</t>
  </si>
  <si>
    <t>Dveře sprchové třídilné 90 cm, AL rám, posuv díly z tvrzeného bezp. skla</t>
  </si>
  <si>
    <t>143</t>
  </si>
  <si>
    <t>725900952R00</t>
  </si>
  <si>
    <t>Upevnění doplňků koupelny - za 1 vrut</t>
  </si>
  <si>
    <t>2*2+2+2+2*2+8+2*2</t>
  </si>
  <si>
    <t>144</t>
  </si>
  <si>
    <t>55149001</t>
  </si>
  <si>
    <t>Zásobník nerezový na toaletní papír SLZN 01</t>
  </si>
  <si>
    <t>145</t>
  </si>
  <si>
    <t>55149010</t>
  </si>
  <si>
    <t>Zásobník nerez na papírové ručníky SLZN 03</t>
  </si>
  <si>
    <t>146</t>
  </si>
  <si>
    <t>55149023</t>
  </si>
  <si>
    <t>Dávkovač tekutého mýdla nerezový SLZN 07 obsah 0,50 l</t>
  </si>
  <si>
    <t>147</t>
  </si>
  <si>
    <t>35731000VL</t>
  </si>
  <si>
    <t>Polička perforovaná, hloubka 150 mm, délka do 200 mm nerez</t>
  </si>
  <si>
    <t>do sprchy</t>
  </si>
  <si>
    <t>148</t>
  </si>
  <si>
    <t>591608000VL</t>
  </si>
  <si>
    <t>Háček dvojitý nerez</t>
  </si>
  <si>
    <t>149</t>
  </si>
  <si>
    <t>55149061</t>
  </si>
  <si>
    <t>Zrcadlo nerez SLZN 30 nerozbitné 600 x 400 mm</t>
  </si>
  <si>
    <t>nad umyvadla</t>
  </si>
  <si>
    <t>150</t>
  </si>
  <si>
    <t>725980113R00</t>
  </si>
  <si>
    <t>Dvířka vanová 300 x 300 mm</t>
  </si>
  <si>
    <t>151</t>
  </si>
  <si>
    <t>725119401R00</t>
  </si>
  <si>
    <t>Montáž předstěnových systémů pro zazdění</t>
  </si>
  <si>
    <t>152</t>
  </si>
  <si>
    <t>286967561</t>
  </si>
  <si>
    <t>Modul-WC Kombifix ovládání zepředu UP320, h 1080 mm</t>
  </si>
  <si>
    <t>153</t>
  </si>
  <si>
    <t>28696715</t>
  </si>
  <si>
    <t>Deska ovládací WC pro ovlád. zepředu</t>
  </si>
  <si>
    <t>154</t>
  </si>
  <si>
    <t>725119306R00</t>
  </si>
  <si>
    <t>Montáž klozetu závěsného</t>
  </si>
  <si>
    <t>155</t>
  </si>
  <si>
    <t>64238931</t>
  </si>
  <si>
    <t>Klozet keramický závěsný  hluboké splachování</t>
  </si>
  <si>
    <t>VČ. POMALUSKLOPNÉHO SEDÁKU</t>
  </si>
  <si>
    <t>156</t>
  </si>
  <si>
    <t>728616853R00</t>
  </si>
  <si>
    <t>Demontáž ventilátoru diagonálního nízkotlakého střešního do d 300 mm</t>
  </si>
  <si>
    <t>728_</t>
  </si>
  <si>
    <t>stáv. ventilátor v prostřední místnosti</t>
  </si>
  <si>
    <t>157</t>
  </si>
  <si>
    <t>728112112RM2</t>
  </si>
  <si>
    <t>Montáž potrubí plechového kruhového do d 200 mm</t>
  </si>
  <si>
    <t>vč. ukotvení potrubí do stropu a kotevních objímek
vč. montáže kolen</t>
  </si>
  <si>
    <t>3,5+3</t>
  </si>
  <si>
    <t>158</t>
  </si>
  <si>
    <t>42981300VL</t>
  </si>
  <si>
    <t>Potrubí vzduchotechnické SPIRO z nerezového plechu d 200 mm</t>
  </si>
  <si>
    <t>7,5</t>
  </si>
  <si>
    <t>;ztratné 10%; 0,75</t>
  </si>
  <si>
    <t>159</t>
  </si>
  <si>
    <t>3195020VL</t>
  </si>
  <si>
    <t>Koleno 45° nerez Spiro</t>
  </si>
  <si>
    <t>160</t>
  </si>
  <si>
    <t>728212212R00</t>
  </si>
  <si>
    <t>Montáž přechodu plechového kruhového do d 200 mm</t>
  </si>
  <si>
    <t>161</t>
  </si>
  <si>
    <t>728212311R00</t>
  </si>
  <si>
    <t>Montáž odbočky plechové kruhové do d 100 mm</t>
  </si>
  <si>
    <t>162</t>
  </si>
  <si>
    <t>728212312R00</t>
  </si>
  <si>
    <t>Montáž odbočky plechové kruhové do d 200 mm</t>
  </si>
  <si>
    <t>163</t>
  </si>
  <si>
    <t>728313322R00</t>
  </si>
  <si>
    <t>Montáž filtru kazetového kruhového do d 300 mm</t>
  </si>
  <si>
    <t>164</t>
  </si>
  <si>
    <t>728314111R00</t>
  </si>
  <si>
    <t>Montáž protidešťové žaluzie čtyřhranné do 0,15 m2</t>
  </si>
  <si>
    <t>165</t>
  </si>
  <si>
    <t>728412121R00</t>
  </si>
  <si>
    <t>Montáž anemostatu kruhového do d 300 mm</t>
  </si>
  <si>
    <t>166</t>
  </si>
  <si>
    <t>4297266084</t>
  </si>
  <si>
    <t>Ventil talířový univerzální plastový 200</t>
  </si>
  <si>
    <t>167</t>
  </si>
  <si>
    <t>4297266052</t>
  </si>
  <si>
    <t>Ventil talířový univerzální plastový 100</t>
  </si>
  <si>
    <t>168</t>
  </si>
  <si>
    <t>728415522R00</t>
  </si>
  <si>
    <t>Montáž regulátoru - přepínače otáček</t>
  </si>
  <si>
    <t>169</t>
  </si>
  <si>
    <t>34535500VL</t>
  </si>
  <si>
    <t>Přepínač otáček COM 3</t>
  </si>
  <si>
    <t>170</t>
  </si>
  <si>
    <t>728612114R00</t>
  </si>
  <si>
    <t>Montáž ventilátoru radiáního středotlakého potrubního do 0,13 m2</t>
  </si>
  <si>
    <t>171</t>
  </si>
  <si>
    <t>4291100VL</t>
  </si>
  <si>
    <t>Ventilátor TD800/200 časovač</t>
  </si>
  <si>
    <t>172</t>
  </si>
  <si>
    <t>733191816R00</t>
  </si>
  <si>
    <t>Odřezání třmenových držáků potrubí do D 44,5</t>
  </si>
  <si>
    <t>733_</t>
  </si>
  <si>
    <t>03_73_</t>
  </si>
  <si>
    <t>2*3</t>
  </si>
  <si>
    <t>173</t>
  </si>
  <si>
    <t>733110806R00</t>
  </si>
  <si>
    <t>Demontáž potrubí ocelového závitového do DN 15-32</t>
  </si>
  <si>
    <t>3,86*2+3,44*2+2,47*2</t>
  </si>
  <si>
    <t>přípojka k otopn. tělesu v zadní místnosti</t>
  </si>
  <si>
    <t>174</t>
  </si>
  <si>
    <t>998276201R00</t>
  </si>
  <si>
    <t>Přesun hmot, trub.vedení plast. obsypaná kamenivem</t>
  </si>
  <si>
    <t>H27_</t>
  </si>
  <si>
    <t>03_9_</t>
  </si>
  <si>
    <t>175</t>
  </si>
  <si>
    <t>998721101R00</t>
  </si>
  <si>
    <t>Přesun hmot pro vnitřní kanalizaci, výšky do 6 m</t>
  </si>
  <si>
    <t>H721_</t>
  </si>
  <si>
    <t>0,1514</t>
  </si>
  <si>
    <t>176</t>
  </si>
  <si>
    <t>998721192R00</t>
  </si>
  <si>
    <t>Příplatek za zvětšený přesun, vnitřní kanalizace do 100 m</t>
  </si>
  <si>
    <t>177</t>
  </si>
  <si>
    <t>998722101R00</t>
  </si>
  <si>
    <t>Přesun hmot pro vnitřní vodovod, výšky do 6 m</t>
  </si>
  <si>
    <t>H722_</t>
  </si>
  <si>
    <t>0,1324</t>
  </si>
  <si>
    <t>178</t>
  </si>
  <si>
    <t>998722192R00</t>
  </si>
  <si>
    <t>Příplatek za zvětšený přesun, vnitřní vodovod do 100 m</t>
  </si>
  <si>
    <t>179</t>
  </si>
  <si>
    <t>998725101R00</t>
  </si>
  <si>
    <t>Přesun hmot pro zařizovací předměty, výšky do 6 m</t>
  </si>
  <si>
    <t>H725_</t>
  </si>
  <si>
    <t>0,316</t>
  </si>
  <si>
    <t>180</t>
  </si>
  <si>
    <t>998725192R00</t>
  </si>
  <si>
    <t>Příplatek za zvětšený přesun, zařizovací předměty do 100 m</t>
  </si>
  <si>
    <t>181</t>
  </si>
  <si>
    <t>998726121R00</t>
  </si>
  <si>
    <t>Přesun hmot pro předstěnové systémy, výšky do 6 m</t>
  </si>
  <si>
    <t>H726_</t>
  </si>
  <si>
    <t>0,018</t>
  </si>
  <si>
    <t>182</t>
  </si>
  <si>
    <t>999281105R00</t>
  </si>
  <si>
    <t>Přesun hmot pro opravy a údržbu do výšky 6 m</t>
  </si>
  <si>
    <t>1,16</t>
  </si>
  <si>
    <t>183</t>
  </si>
  <si>
    <t>733191914R00</t>
  </si>
  <si>
    <t>Zaslepení potrubí zkováním a zavařením DN 20</t>
  </si>
  <si>
    <t>04_73_</t>
  </si>
  <si>
    <t>04_</t>
  </si>
  <si>
    <t>odbočka pod stropem v umývárně</t>
  </si>
  <si>
    <t>184</t>
  </si>
  <si>
    <t>733163102R00</t>
  </si>
  <si>
    <t>Potrubí z měděných trubek vytápění D 15 x 1,0 mm</t>
  </si>
  <si>
    <t>0,5*2*3</t>
  </si>
  <si>
    <t>185</t>
  </si>
  <si>
    <t>733163104R00</t>
  </si>
  <si>
    <t>Potrubí z měděných trubek vytápění D 22 x 1,0 mm</t>
  </si>
  <si>
    <t>2,2*2+3,2*2</t>
  </si>
  <si>
    <t>186</t>
  </si>
  <si>
    <t>733167001R00</t>
  </si>
  <si>
    <t>Příplatek za zhotovení přípojky Cu 15/1</t>
  </si>
  <si>
    <t>187</t>
  </si>
  <si>
    <t>3*2+2,4*2+2*2</t>
  </si>
  <si>
    <t>188</t>
  </si>
  <si>
    <t>733190306R00</t>
  </si>
  <si>
    <t>Tlaková zkouška Cu potrubí do D 35</t>
  </si>
  <si>
    <t>189</t>
  </si>
  <si>
    <t>734200821R00</t>
  </si>
  <si>
    <t>Demontáž armatur se 2závity do G 1/2</t>
  </si>
  <si>
    <t>734_</t>
  </si>
  <si>
    <t>1+3</t>
  </si>
  <si>
    <t>budoucí umývarna+šatna  01 a 02</t>
  </si>
  <si>
    <t>190</t>
  </si>
  <si>
    <t>734300821R00</t>
  </si>
  <si>
    <t>Demontáž armatur horkov.,rozpoj.šroubení do DN 15</t>
  </si>
  <si>
    <t>budoucí umývárna</t>
  </si>
  <si>
    <t>191</t>
  </si>
  <si>
    <t>734265424R00</t>
  </si>
  <si>
    <t>Šroub.reg.s vypouš.rohové,GIACOMINI R384  DN 15x18</t>
  </si>
  <si>
    <t>ŽEBŘÍKY UMÝVÁRNA</t>
  </si>
  <si>
    <t>192</t>
  </si>
  <si>
    <t>734291951R00</t>
  </si>
  <si>
    <t>Montáž hlavic ručního/termostat.ovládání</t>
  </si>
  <si>
    <t>3+3</t>
  </si>
  <si>
    <t>šatny+umývárna</t>
  </si>
  <si>
    <t>193</t>
  </si>
  <si>
    <t>55137306.A</t>
  </si>
  <si>
    <t>Hlavice termostatická Heimeier K standard</t>
  </si>
  <si>
    <t>194</t>
  </si>
  <si>
    <t>734226411R00</t>
  </si>
  <si>
    <t>Ventil radiátorový,přímý,Heimeier Mikrotherm DN 10</t>
  </si>
  <si>
    <t>195</t>
  </si>
  <si>
    <t>734215132R00</t>
  </si>
  <si>
    <t>Ventil odvzdušňovací automat. GIACOMINI R99 DN 10</t>
  </si>
  <si>
    <t>na poslední žebřík v sestavě</t>
  </si>
  <si>
    <t>196</t>
  </si>
  <si>
    <t>197</t>
  </si>
  <si>
    <t>735151821R00</t>
  </si>
  <si>
    <t>Demontáž otopných těles panelových dvouřadých, délky do 1500 mm</t>
  </si>
  <si>
    <t>735_</t>
  </si>
  <si>
    <t>umývárna</t>
  </si>
  <si>
    <t>198</t>
  </si>
  <si>
    <t>735179110R00</t>
  </si>
  <si>
    <t>Montáž otopných těles koupelnových (žebříků)</t>
  </si>
  <si>
    <t>199</t>
  </si>
  <si>
    <t>54132110</t>
  </si>
  <si>
    <t>Těleso trubkové KORALUX LINEAR  výška 1500 mm, délka 750 mm</t>
  </si>
  <si>
    <t>200</t>
  </si>
  <si>
    <t>735494811R00</t>
  </si>
  <si>
    <t>Vypuštění vody z otopných těles</t>
  </si>
  <si>
    <t>cca</t>
  </si>
  <si>
    <t>201</t>
  </si>
  <si>
    <t>735890801R00</t>
  </si>
  <si>
    <t>Přemístění demont. hmot - otop. těles, H do 6 m</t>
  </si>
  <si>
    <t>202</t>
  </si>
  <si>
    <t>735191910R00</t>
  </si>
  <si>
    <t>Napuštění vody do otopného systému - bez kotle</t>
  </si>
  <si>
    <t>203</t>
  </si>
  <si>
    <t>735191905R00</t>
  </si>
  <si>
    <t>Oprava - odvzdušnění otopných těles</t>
  </si>
  <si>
    <t>204</t>
  </si>
  <si>
    <t>735191901R00</t>
  </si>
  <si>
    <t>Vyzkoušení otopných těles ocelových tlakem</t>
  </si>
  <si>
    <t>0,75*1,5*3</t>
  </si>
  <si>
    <t>205</t>
  </si>
  <si>
    <t>904      R02</t>
  </si>
  <si>
    <t>Hzs-zkousky v ramci montaz.praci</t>
  </si>
  <si>
    <t>h</t>
  </si>
  <si>
    <t>90_</t>
  </si>
  <si>
    <t>04_9_</t>
  </si>
  <si>
    <t>Topná zkouška</t>
  </si>
  <si>
    <t>206</t>
  </si>
  <si>
    <t>612423521R00</t>
  </si>
  <si>
    <t>Omítka rýh stěn vápenná šířky do 15 cm, hladká</t>
  </si>
  <si>
    <t>05_6_</t>
  </si>
  <si>
    <t>05_</t>
  </si>
  <si>
    <t>15*0,05</t>
  </si>
  <si>
    <t>22*0,05</t>
  </si>
  <si>
    <t>207</t>
  </si>
  <si>
    <t>611455531R00</t>
  </si>
  <si>
    <t>Omítka rýh ve stropech MC o šířce do 15 cm</t>
  </si>
  <si>
    <t>43*0,05</t>
  </si>
  <si>
    <t>208</t>
  </si>
  <si>
    <t>905      R01</t>
  </si>
  <si>
    <t>Hzs-revize provoz.souboru a st.obj.</t>
  </si>
  <si>
    <t>05_9_</t>
  </si>
  <si>
    <t>Revize</t>
  </si>
  <si>
    <t>209</t>
  </si>
  <si>
    <t>900      R23</t>
  </si>
  <si>
    <t>HZS</t>
  </si>
  <si>
    <t>elektromontér v tarifní třídě 6</t>
  </si>
  <si>
    <t>ostatní práce a podružné dodávky</t>
  </si>
  <si>
    <t>210</t>
  </si>
  <si>
    <t>904      R01</t>
  </si>
  <si>
    <t>Komplexni vyzkouseni</t>
  </si>
  <si>
    <t>211</t>
  </si>
  <si>
    <t>spolupráce s rev. technikem</t>
  </si>
  <si>
    <t>212</t>
  </si>
  <si>
    <t>974082821R00</t>
  </si>
  <si>
    <t>Vysekání rýh pro vodiče podhled beton. 3x3 cm</t>
  </si>
  <si>
    <t>10+10+3+3+5</t>
  </si>
  <si>
    <t>ŠATNY</t>
  </si>
  <si>
    <t>3+3+3*2</t>
  </si>
  <si>
    <t>UMÝVÁRNA</t>
  </si>
  <si>
    <t>213</t>
  </si>
  <si>
    <t>974082112R00</t>
  </si>
  <si>
    <t>Vysekání rýh pro vodiče omítka stěn MVC šířka 3 cm</t>
  </si>
  <si>
    <t>214</t>
  </si>
  <si>
    <t>974049221R00</t>
  </si>
  <si>
    <t>Vysekání rýh zeď betonová u stropu 3x3 cm</t>
  </si>
  <si>
    <t>NO</t>
  </si>
  <si>
    <t>215</t>
  </si>
  <si>
    <t>974082212R00</t>
  </si>
  <si>
    <t>Vysekání rýh pro vodiče omítka stěn MC šířka 3 cm</t>
  </si>
  <si>
    <t>10+10+2</t>
  </si>
  <si>
    <t>216</t>
  </si>
  <si>
    <t>210190041RT2</t>
  </si>
  <si>
    <t>Osazení plast.rozvodnic,výklenek, plocha do 0,2 m2</t>
  </si>
  <si>
    <t>M21_</t>
  </si>
  <si>
    <t>včetně dodávky montážní pěny</t>
  </si>
  <si>
    <t>217</t>
  </si>
  <si>
    <t>357161658</t>
  </si>
  <si>
    <t>Rozvodnice plastová 2x12 modulů s výzbrojí</t>
  </si>
  <si>
    <t>218</t>
  </si>
  <si>
    <t>21019000VL</t>
  </si>
  <si>
    <t>Demontáž plast.rozvodnic přisazených</t>
  </si>
  <si>
    <t>bez montážní pěny</t>
  </si>
  <si>
    <t>219</t>
  </si>
  <si>
    <t>210800285RT2</t>
  </si>
  <si>
    <t>Kabel bezhalogenový  3x1,5 pevně uložený</t>
  </si>
  <si>
    <t>včetně dodávky kabelu</t>
  </si>
  <si>
    <t>220</t>
  </si>
  <si>
    <t>210800286RT2</t>
  </si>
  <si>
    <t>Kabel bezhalogenový 3 x 2,5 mm2 pevně uložený</t>
  </si>
  <si>
    <t>221</t>
  </si>
  <si>
    <t>210100001R00</t>
  </si>
  <si>
    <t>Ukončení vodičů v rozvaděči + zapojení do 2,5 mm2</t>
  </si>
  <si>
    <t>222</t>
  </si>
  <si>
    <t>650801113R00</t>
  </si>
  <si>
    <t>Demontáž svítidla stropního přisazeného</t>
  </si>
  <si>
    <t>M65_</t>
  </si>
  <si>
    <t>2+2+5</t>
  </si>
  <si>
    <t>všechna svítidla pro opět. použití pouze v šatnách</t>
  </si>
  <si>
    <t>223</t>
  </si>
  <si>
    <t>650801153R00</t>
  </si>
  <si>
    <t>Demontáž svítidla nástěnného přisazeného</t>
  </si>
  <si>
    <t>nouzová svítidla</t>
  </si>
  <si>
    <t>224</t>
  </si>
  <si>
    <t>650051711VL</t>
  </si>
  <si>
    <t>Demontáž spínače sporákového zapuštěného</t>
  </si>
  <si>
    <t>bývalá pec</t>
  </si>
  <si>
    <t>225</t>
  </si>
  <si>
    <t>650051311VL</t>
  </si>
  <si>
    <t>Demontáž spínače zapuštěného</t>
  </si>
  <si>
    <t>3+1</t>
  </si>
  <si>
    <t>světla + ventilátor</t>
  </si>
  <si>
    <t>226</t>
  </si>
  <si>
    <t>650710191R00</t>
  </si>
  <si>
    <t>Odvíčkování elektroinstalační lišty nebo kanálu</t>
  </si>
  <si>
    <t>21,17</t>
  </si>
  <si>
    <t>vedení k term. ventilům</t>
  </si>
  <si>
    <t>227</t>
  </si>
  <si>
    <t>650710111R00</t>
  </si>
  <si>
    <t>Demontáž elektroinstalační lišty š. do 120 mm</t>
  </si>
  <si>
    <t>228</t>
  </si>
  <si>
    <t>650101321R00</t>
  </si>
  <si>
    <t>Montáž zářivkového svítidla stropního přisazeného</t>
  </si>
  <si>
    <t>šatny z původních svítidel</t>
  </si>
  <si>
    <t>229</t>
  </si>
  <si>
    <t>230</t>
  </si>
  <si>
    <t>3483000VL</t>
  </si>
  <si>
    <t>LED prachotěsné trubicové svítidlo pro 2 x LED trubice 120 cm IP65, G13, T8</t>
  </si>
  <si>
    <t>VČ. ZDROJŮ</t>
  </si>
  <si>
    <t>231</t>
  </si>
  <si>
    <t>650101571R00</t>
  </si>
  <si>
    <t>Montáž LED svítidla nástěnného přisazeného</t>
  </si>
  <si>
    <t>wc kabiny</t>
  </si>
  <si>
    <t>232</t>
  </si>
  <si>
    <t>34828000VL</t>
  </si>
  <si>
    <t>Svítidlo  nástěnné LED příkon 20 W, světelný tok 1650 lm, kulaté s čidlem pohybu</t>
  </si>
  <si>
    <t>233</t>
  </si>
  <si>
    <t>650101921R00</t>
  </si>
  <si>
    <t>Montáž nouzového svítidla stropního přisazeného</t>
  </si>
  <si>
    <t>234</t>
  </si>
  <si>
    <t>Nouzové 16xLED svítidlo 2W, 160lm, přisazené, 6000K, rozpt. paprsek</t>
  </si>
  <si>
    <t>235</t>
  </si>
  <si>
    <t>650051331RT4</t>
  </si>
  <si>
    <t>Montáž spínače zapuštěného</t>
  </si>
  <si>
    <t>vč. dodávky strojku, krytu a rámečku</t>
  </si>
  <si>
    <t>236</t>
  </si>
  <si>
    <t>35814011.A</t>
  </si>
  <si>
    <t>Jednotka spínací standard ZEN-L 1121</t>
  </si>
  <si>
    <t>237</t>
  </si>
  <si>
    <t>238</t>
  </si>
  <si>
    <t>37501000VL</t>
  </si>
  <si>
    <t>Spínač časový</t>
  </si>
  <si>
    <t>239</t>
  </si>
  <si>
    <t>650052711RT3</t>
  </si>
  <si>
    <t>Montáž zásuvky zapuštěné 2P+PE</t>
  </si>
  <si>
    <t>včetně dodávky zásuvky a rámečku</t>
  </si>
  <si>
    <t>240</t>
  </si>
  <si>
    <t>610991111R00</t>
  </si>
  <si>
    <t>Zakrývání výplní vnitřních otvorů</t>
  </si>
  <si>
    <t>06_6_</t>
  </si>
  <si>
    <t>06_</t>
  </si>
  <si>
    <t>OCHRANA  MAJETKU</t>
  </si>
  <si>
    <t>0,9*2+0,9*2+0,6*2*2*2+1,5*0,4*3</t>
  </si>
  <si>
    <t>241</t>
  </si>
  <si>
    <t>909      R00</t>
  </si>
  <si>
    <t>Hzs-nezmeritelne stavebni prace</t>
  </si>
  <si>
    <t>06_9_</t>
  </si>
  <si>
    <t>2*8</t>
  </si>
  <si>
    <t>242</t>
  </si>
  <si>
    <t>900      R11</t>
  </si>
  <si>
    <t>SONDY PRO NAPOJENÍ KANALIZACE A VODY</t>
  </si>
  <si>
    <t>243</t>
  </si>
  <si>
    <t>952901411R00</t>
  </si>
  <si>
    <t>Vyčištění ostatních objektů</t>
  </si>
  <si>
    <t>14,36*4</t>
  </si>
  <si>
    <t>PROSTOR STAVBY</t>
  </si>
  <si>
    <t>+40</t>
  </si>
  <si>
    <t>PROSTORY PŘESUNU</t>
  </si>
  <si>
    <t>244</t>
  </si>
  <si>
    <t>100001VL</t>
  </si>
  <si>
    <t>ZRN + VRN + NUS</t>
  </si>
  <si>
    <t>100VD_</t>
  </si>
  <si>
    <t>06_1_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</si>
</sst>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FFFF"/>
      <name val="Arial"/>
      <family val="2"/>
      <charset val="238"/>
    </font>
    <font>
      <i/>
      <sz val="10"/>
      <color rgb="FF008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0C0C0"/>
      </patternFill>
    </fill>
  </fills>
  <borders count="7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0" fontId="3" fillId="0" borderId="5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left" vertical="center"/>
    </xf>
    <xf numFmtId="4" fontId="2" fillId="0" borderId="40" xfId="0" applyNumberFormat="1" applyFont="1" applyBorder="1" applyAlignment="1">
      <alignment horizontal="right" vertical="center"/>
    </xf>
    <xf numFmtId="4" fontId="2" fillId="0" borderId="62" xfId="0" applyNumberFormat="1" applyFont="1" applyBorder="1" applyAlignment="1">
      <alignment horizontal="right" vertical="center"/>
    </xf>
    <xf numFmtId="0" fontId="2" fillId="0" borderId="63" xfId="0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2" fillId="0" borderId="65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4" fontId="10" fillId="3" borderId="0" xfId="0" applyNumberFormat="1" applyFont="1" applyFill="1" applyAlignment="1">
      <alignment horizontal="right" vertical="center"/>
    </xf>
    <xf numFmtId="0" fontId="3" fillId="0" borderId="69" xfId="0" applyFont="1" applyBorder="1" applyAlignment="1">
      <alignment horizontal="left" vertical="center"/>
    </xf>
    <xf numFmtId="0" fontId="3" fillId="0" borderId="70" xfId="0" applyFont="1" applyBorder="1" applyAlignment="1">
      <alignment horizontal="left" vertical="center"/>
    </xf>
    <xf numFmtId="0" fontId="3" fillId="0" borderId="70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10" fillId="3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74" xfId="0" applyFont="1" applyBorder="1" applyAlignment="1">
      <alignment horizontal="left" vertical="center"/>
    </xf>
    <xf numFmtId="0" fontId="2" fillId="0" borderId="75" xfId="0" applyFont="1" applyBorder="1" applyAlignment="1">
      <alignment horizontal="left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11" fillId="4" borderId="61" xfId="0" applyFont="1" applyFill="1" applyBorder="1" applyAlignment="1">
      <alignment horizontal="left" vertical="center"/>
    </xf>
    <xf numFmtId="0" fontId="12" fillId="4" borderId="40" xfId="0" applyFont="1" applyFill="1" applyBorder="1" applyAlignment="1">
      <alignment horizontal="left" vertical="center"/>
    </xf>
    <xf numFmtId="0" fontId="11" fillId="4" borderId="40" xfId="0" applyFont="1" applyFill="1" applyBorder="1" applyAlignment="1">
      <alignment horizontal="left" vertical="center"/>
    </xf>
    <xf numFmtId="4" fontId="12" fillId="4" borderId="40" xfId="0" applyNumberFormat="1" applyFont="1" applyFill="1" applyBorder="1" applyAlignment="1">
      <alignment horizontal="right" vertical="center"/>
    </xf>
    <xf numFmtId="0" fontId="12" fillId="4" borderId="62" xfId="0" applyFont="1" applyFill="1" applyBorder="1" applyAlignment="1">
      <alignment horizontal="right" vertical="center"/>
    </xf>
    <xf numFmtId="0" fontId="13" fillId="3" borderId="5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0" fillId="3" borderId="6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" fontId="10" fillId="3" borderId="0" xfId="0" applyNumberFormat="1" applyFont="1" applyFill="1" applyAlignment="1">
      <alignment horizontal="righ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0" xfId="0" applyNumberFormat="1" applyFont="1" applyAlignment="1">
      <alignment horizontal="right" vertical="center"/>
    </xf>
    <xf numFmtId="0" fontId="0" fillId="0" borderId="6" xfId="0" applyBorder="1"/>
    <xf numFmtId="0" fontId="11" fillId="4" borderId="5" xfId="0" applyFont="1" applyFill="1" applyBorder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4" fontId="12" fillId="4" borderId="0" xfId="0" applyNumberFormat="1" applyFont="1" applyFill="1" applyAlignment="1">
      <alignment horizontal="right" vertical="center"/>
    </xf>
    <xf numFmtId="0" fontId="12" fillId="4" borderId="6" xfId="0" applyFont="1" applyFill="1" applyBorder="1" applyAlignment="1">
      <alignment horizontal="right" vertical="center"/>
    </xf>
    <xf numFmtId="0" fontId="16" fillId="0" borderId="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4" fontId="7" fillId="6" borderId="13" xfId="0" applyNumberFormat="1" applyFont="1" applyFill="1" applyBorder="1" applyAlignment="1">
      <alignment horizontal="right" vertical="center"/>
    </xf>
    <xf numFmtId="4" fontId="7" fillId="6" borderId="18" xfId="0" applyNumberFormat="1" applyFont="1" applyFill="1" applyBorder="1" applyAlignment="1">
      <alignment horizontal="right" vertical="center"/>
    </xf>
    <xf numFmtId="4" fontId="3" fillId="5" borderId="6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5" borderId="64" xfId="0" applyFont="1" applyFill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" fillId="0" borderId="61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57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68" xfId="0" applyFont="1" applyBorder="1" applyAlignment="1">
      <alignment horizontal="left" vertical="center"/>
    </xf>
    <xf numFmtId="0" fontId="2" fillId="0" borderId="66" xfId="0" applyFont="1" applyBorder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2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12" fillId="4" borderId="40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37"/>
  <sheetViews>
    <sheetView tabSelected="1" workbookViewId="0">
      <selection activeCell="I28" sqref="I28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0" t="s">
        <v>0</v>
      </c>
      <c r="B1" s="131"/>
      <c r="C1" s="131"/>
      <c r="D1" s="131"/>
      <c r="E1" s="131"/>
      <c r="F1" s="131"/>
      <c r="G1" s="131"/>
      <c r="H1" s="131"/>
      <c r="I1" s="131"/>
    </row>
    <row r="2" spans="1:9" x14ac:dyDescent="0.25">
      <c r="A2" s="132" t="s">
        <v>1</v>
      </c>
      <c r="B2" s="133"/>
      <c r="C2" s="127" t="str">
        <f>'Stavební rozpočet'!C2</f>
        <v>NOVÝ DOMOV p.o. - ŠATNA ZAMĚSTNANCŮ</v>
      </c>
      <c r="D2" s="128"/>
      <c r="E2" s="124" t="s">
        <v>2</v>
      </c>
      <c r="F2" s="124" t="str">
        <f>'Stavební rozpočet'!I2</f>
        <v>NOVÝ DOMOV p.o., U Bažantnice 1564/15, Karviná</v>
      </c>
      <c r="G2" s="133"/>
      <c r="H2" s="124" t="s">
        <v>3</v>
      </c>
      <c r="I2" s="135" t="s">
        <v>4</v>
      </c>
    </row>
    <row r="3" spans="1:9" ht="15" customHeight="1" x14ac:dyDescent="0.25">
      <c r="A3" s="134"/>
      <c r="B3" s="87"/>
      <c r="C3" s="129"/>
      <c r="D3" s="129"/>
      <c r="E3" s="87"/>
      <c r="F3" s="87"/>
      <c r="G3" s="87"/>
      <c r="H3" s="87"/>
      <c r="I3" s="136"/>
    </row>
    <row r="4" spans="1:9" x14ac:dyDescent="0.25">
      <c r="A4" s="125" t="s">
        <v>5</v>
      </c>
      <c r="B4" s="87"/>
      <c r="C4" s="86" t="str">
        <f>'Stavební rozpočet'!C4</f>
        <v>ZMĚNA ÚČELU UŽÍVÁNÍ</v>
      </c>
      <c r="D4" s="87"/>
      <c r="E4" s="86" t="s">
        <v>6</v>
      </c>
      <c r="F4" s="86" t="str">
        <f>'Stavební rozpočet'!I4</f>
        <v>FR. ŠEBELA, I. VRÁTNÍK, Krásná 137, 739 04, Krásná</v>
      </c>
      <c r="G4" s="87"/>
      <c r="H4" s="86" t="s">
        <v>3</v>
      </c>
      <c r="I4" s="136" t="s">
        <v>7</v>
      </c>
    </row>
    <row r="5" spans="1:9" ht="15" customHeight="1" x14ac:dyDescent="0.25">
      <c r="A5" s="134"/>
      <c r="B5" s="87"/>
      <c r="C5" s="87"/>
      <c r="D5" s="87"/>
      <c r="E5" s="87"/>
      <c r="F5" s="87"/>
      <c r="G5" s="87"/>
      <c r="H5" s="87"/>
      <c r="I5" s="136"/>
    </row>
    <row r="6" spans="1:9" x14ac:dyDescent="0.25">
      <c r="A6" s="125" t="s">
        <v>8</v>
      </c>
      <c r="B6" s="87"/>
      <c r="C6" s="86" t="str">
        <f>'Stavební rozpočet'!C6</f>
        <v>KARVINÁ-NOVÉ MĚSTO</v>
      </c>
      <c r="D6" s="87"/>
      <c r="E6" s="86" t="s">
        <v>9</v>
      </c>
      <c r="F6" s="86" t="str">
        <f>'Stavební rozpočet'!I6</f>
        <v>DLE VÝSLEDKŮ VÝBĚROVÉHO ŘÍZENÍ</v>
      </c>
      <c r="G6" s="87"/>
      <c r="H6" s="86" t="s">
        <v>3</v>
      </c>
      <c r="I6" s="136" t="s">
        <v>10</v>
      </c>
    </row>
    <row r="7" spans="1:9" ht="15" customHeight="1" x14ac:dyDescent="0.25">
      <c r="A7" s="134"/>
      <c r="B7" s="87"/>
      <c r="C7" s="87"/>
      <c r="D7" s="87"/>
      <c r="E7" s="87"/>
      <c r="F7" s="87"/>
      <c r="G7" s="87"/>
      <c r="H7" s="87"/>
      <c r="I7" s="136"/>
    </row>
    <row r="8" spans="1:9" x14ac:dyDescent="0.25">
      <c r="A8" s="125" t="s">
        <v>11</v>
      </c>
      <c r="B8" s="87"/>
      <c r="C8" s="86" t="str">
        <f>'Stavební rozpočet'!G4</f>
        <v xml:space="preserve"> </v>
      </c>
      <c r="D8" s="87"/>
      <c r="E8" s="86" t="s">
        <v>12</v>
      </c>
      <c r="F8" s="86" t="str">
        <f>'Stavební rozpočet'!G6</f>
        <v xml:space="preserve"> </v>
      </c>
      <c r="G8" s="87"/>
      <c r="H8" s="87" t="s">
        <v>13</v>
      </c>
      <c r="I8" s="137">
        <v>244</v>
      </c>
    </row>
    <row r="9" spans="1:9" x14ac:dyDescent="0.25">
      <c r="A9" s="134"/>
      <c r="B9" s="87"/>
      <c r="C9" s="87"/>
      <c r="D9" s="87"/>
      <c r="E9" s="87"/>
      <c r="F9" s="87"/>
      <c r="G9" s="87"/>
      <c r="H9" s="87"/>
      <c r="I9" s="136"/>
    </row>
    <row r="10" spans="1:9" x14ac:dyDescent="0.25">
      <c r="A10" s="125" t="s">
        <v>14</v>
      </c>
      <c r="B10" s="87"/>
      <c r="C10" s="86" t="str">
        <f>'Stavební rozpočet'!C8</f>
        <v>8019119</v>
      </c>
      <c r="D10" s="87"/>
      <c r="E10" s="86" t="s">
        <v>15</v>
      </c>
      <c r="F10" s="86" t="str">
        <f>'Stavební rozpočet'!I8</f>
        <v>I. Vrátník</v>
      </c>
      <c r="G10" s="87"/>
      <c r="H10" s="87" t="s">
        <v>16</v>
      </c>
      <c r="I10" s="118" t="str">
        <f>'Stavební rozpočet'!G8</f>
        <v>26.02.2025</v>
      </c>
    </row>
    <row r="11" spans="1:9" x14ac:dyDescent="0.25">
      <c r="A11" s="126"/>
      <c r="B11" s="123"/>
      <c r="C11" s="123"/>
      <c r="D11" s="123"/>
      <c r="E11" s="123"/>
      <c r="F11" s="123"/>
      <c r="G11" s="123"/>
      <c r="H11" s="123"/>
      <c r="I11" s="119"/>
    </row>
    <row r="12" spans="1:9" ht="23.25" x14ac:dyDescent="0.25">
      <c r="A12" s="120" t="s">
        <v>17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 x14ac:dyDescent="0.25">
      <c r="A13" s="6" t="s">
        <v>18</v>
      </c>
      <c r="B13" s="121" t="s">
        <v>19</v>
      </c>
      <c r="C13" s="122"/>
      <c r="D13" s="7" t="s">
        <v>20</v>
      </c>
      <c r="E13" s="121" t="s">
        <v>21</v>
      </c>
      <c r="F13" s="122"/>
      <c r="G13" s="7" t="s">
        <v>22</v>
      </c>
      <c r="H13" s="121" t="s">
        <v>23</v>
      </c>
      <c r="I13" s="122"/>
    </row>
    <row r="14" spans="1:9" ht="15.75" x14ac:dyDescent="0.25">
      <c r="A14" s="8" t="s">
        <v>24</v>
      </c>
      <c r="B14" s="9" t="s">
        <v>25</v>
      </c>
      <c r="C14" s="10">
        <f>SUM('Stavební rozpočet'!AB12:AB1186)</f>
        <v>0</v>
      </c>
      <c r="D14" s="108" t="s">
        <v>26</v>
      </c>
      <c r="E14" s="109"/>
      <c r="F14" s="10">
        <f>VORN!I15</f>
        <v>0</v>
      </c>
      <c r="G14" s="108" t="s">
        <v>27</v>
      </c>
      <c r="H14" s="109"/>
      <c r="I14" s="11">
        <f>VORN!I21</f>
        <v>0</v>
      </c>
    </row>
    <row r="15" spans="1:9" ht="15.75" x14ac:dyDescent="0.25">
      <c r="A15" s="12" t="s">
        <v>10</v>
      </c>
      <c r="B15" s="9" t="s">
        <v>28</v>
      </c>
      <c r="C15" s="10">
        <f>SUM('Stavební rozpočet'!AC12:AC1186)</f>
        <v>0</v>
      </c>
      <c r="D15" s="108" t="s">
        <v>29</v>
      </c>
      <c r="E15" s="109"/>
      <c r="F15" s="10">
        <f>VORN!I16</f>
        <v>0</v>
      </c>
      <c r="G15" s="108" t="s">
        <v>30</v>
      </c>
      <c r="H15" s="109"/>
      <c r="I15" s="11">
        <f>VORN!I22</f>
        <v>0</v>
      </c>
    </row>
    <row r="16" spans="1:9" ht="15.75" x14ac:dyDescent="0.25">
      <c r="A16" s="8" t="s">
        <v>31</v>
      </c>
      <c r="B16" s="9" t="s">
        <v>25</v>
      </c>
      <c r="C16" s="10">
        <f>SUM('Stavební rozpočet'!AD12:AD1186)</f>
        <v>0</v>
      </c>
      <c r="D16" s="108" t="s">
        <v>32</v>
      </c>
      <c r="E16" s="109"/>
      <c r="F16" s="10">
        <f>VORN!I17</f>
        <v>0</v>
      </c>
      <c r="G16" s="108" t="s">
        <v>33</v>
      </c>
      <c r="H16" s="109"/>
      <c r="I16" s="11">
        <f>VORN!I23</f>
        <v>0</v>
      </c>
    </row>
    <row r="17" spans="1:9" ht="15.75" x14ac:dyDescent="0.25">
      <c r="A17" s="12" t="s">
        <v>10</v>
      </c>
      <c r="B17" s="9" t="s">
        <v>28</v>
      </c>
      <c r="C17" s="10">
        <f>SUM('Stavební rozpočet'!AE12:AE1186)</f>
        <v>0</v>
      </c>
      <c r="D17" s="108" t="s">
        <v>10</v>
      </c>
      <c r="E17" s="109"/>
      <c r="F17" s="11" t="s">
        <v>10</v>
      </c>
      <c r="G17" s="108" t="s">
        <v>34</v>
      </c>
      <c r="H17" s="109"/>
      <c r="I17" s="11">
        <f>VORN!I24</f>
        <v>0</v>
      </c>
    </row>
    <row r="18" spans="1:9" ht="15.75" x14ac:dyDescent="0.25">
      <c r="A18" s="8" t="s">
        <v>35</v>
      </c>
      <c r="B18" s="9" t="s">
        <v>25</v>
      </c>
      <c r="C18" s="10">
        <f>SUM('Stavební rozpočet'!AF12:AF1186)</f>
        <v>0</v>
      </c>
      <c r="D18" s="108" t="s">
        <v>10</v>
      </c>
      <c r="E18" s="109"/>
      <c r="F18" s="11" t="s">
        <v>10</v>
      </c>
      <c r="G18" s="108" t="s">
        <v>36</v>
      </c>
      <c r="H18" s="109"/>
      <c r="I18" s="11">
        <f>VORN!I25</f>
        <v>0</v>
      </c>
    </row>
    <row r="19" spans="1:9" ht="15.75" x14ac:dyDescent="0.25">
      <c r="A19" s="12" t="s">
        <v>10</v>
      </c>
      <c r="B19" s="9" t="s">
        <v>28</v>
      </c>
      <c r="C19" s="10">
        <f>SUM('Stavební rozpočet'!AG12:AG1186)</f>
        <v>0</v>
      </c>
      <c r="D19" s="108" t="s">
        <v>10</v>
      </c>
      <c r="E19" s="109"/>
      <c r="F19" s="11" t="s">
        <v>10</v>
      </c>
      <c r="G19" s="108" t="s">
        <v>37</v>
      </c>
      <c r="H19" s="109"/>
      <c r="I19" s="11">
        <f>VORN!I26</f>
        <v>0</v>
      </c>
    </row>
    <row r="20" spans="1:9" ht="15.75" x14ac:dyDescent="0.25">
      <c r="A20" s="100" t="s">
        <v>38</v>
      </c>
      <c r="B20" s="101"/>
      <c r="C20" s="10">
        <f>SUM('Stavební rozpočet'!AH12:AH1186)</f>
        <v>0</v>
      </c>
      <c r="D20" s="108" t="s">
        <v>10</v>
      </c>
      <c r="E20" s="109"/>
      <c r="F20" s="11" t="s">
        <v>10</v>
      </c>
      <c r="G20" s="108" t="s">
        <v>10</v>
      </c>
      <c r="H20" s="109"/>
      <c r="I20" s="11" t="s">
        <v>10</v>
      </c>
    </row>
    <row r="21" spans="1:9" ht="15.75" x14ac:dyDescent="0.25">
      <c r="A21" s="115" t="s">
        <v>39</v>
      </c>
      <c r="B21" s="116"/>
      <c r="C21" s="13">
        <f>SUM('Stavební rozpočet'!Z12:Z1186)</f>
        <v>0</v>
      </c>
      <c r="D21" s="110" t="s">
        <v>10</v>
      </c>
      <c r="E21" s="111"/>
      <c r="F21" s="14" t="s">
        <v>10</v>
      </c>
      <c r="G21" s="110" t="s">
        <v>10</v>
      </c>
      <c r="H21" s="111"/>
      <c r="I21" s="14" t="s">
        <v>10</v>
      </c>
    </row>
    <row r="22" spans="1:9" ht="16.5" customHeight="1" x14ac:dyDescent="0.25">
      <c r="A22" s="117" t="s">
        <v>40</v>
      </c>
      <c r="B22" s="113"/>
      <c r="C22" s="15">
        <f>ROUND(SUM(C14:C21),0)</f>
        <v>0</v>
      </c>
      <c r="D22" s="112" t="s">
        <v>41</v>
      </c>
      <c r="E22" s="113"/>
      <c r="F22" s="15">
        <f>SUM(F14:F21)</f>
        <v>0</v>
      </c>
      <c r="G22" s="112" t="s">
        <v>42</v>
      </c>
      <c r="H22" s="113"/>
      <c r="I22" s="15">
        <f>SUM(I14:I21)</f>
        <v>0</v>
      </c>
    </row>
    <row r="23" spans="1:9" ht="15.75" x14ac:dyDescent="0.25">
      <c r="D23" s="100" t="s">
        <v>43</v>
      </c>
      <c r="E23" s="101"/>
      <c r="F23" s="16">
        <v>0</v>
      </c>
      <c r="G23" s="114" t="s">
        <v>44</v>
      </c>
      <c r="H23" s="101"/>
      <c r="I23" s="10">
        <v>0</v>
      </c>
    </row>
    <row r="24" spans="1:9" ht="15.75" x14ac:dyDescent="0.25">
      <c r="G24" s="100" t="s">
        <v>45</v>
      </c>
      <c r="H24" s="101"/>
      <c r="I24" s="13">
        <f>vorn_sum</f>
        <v>0</v>
      </c>
    </row>
    <row r="25" spans="1:9" ht="15.75" x14ac:dyDescent="0.25">
      <c r="G25" s="100" t="s">
        <v>46</v>
      </c>
      <c r="H25" s="101"/>
      <c r="I25" s="15">
        <v>0</v>
      </c>
    </row>
    <row r="27" spans="1:9" ht="15.75" x14ac:dyDescent="0.25">
      <c r="A27" s="102" t="s">
        <v>47</v>
      </c>
      <c r="B27" s="103"/>
      <c r="C27" s="17">
        <f>ROUND(SUM('Stavební rozpočet'!AJ12:AJ1186),0)</f>
        <v>0</v>
      </c>
    </row>
    <row r="28" spans="1:9" ht="15.75" x14ac:dyDescent="0.25">
      <c r="A28" s="104" t="s">
        <v>48</v>
      </c>
      <c r="B28" s="105"/>
      <c r="C28" s="18">
        <f>ROUND(SUM('Stavební rozpočet'!AK12:AK1186)+(F22+I22+F23+I23+I24+I25),0)</f>
        <v>0</v>
      </c>
      <c r="D28" s="106" t="s">
        <v>49</v>
      </c>
      <c r="E28" s="103"/>
      <c r="F28" s="17">
        <f>ROUND(C28*(12/100),2)</f>
        <v>0</v>
      </c>
      <c r="G28" s="106" t="s">
        <v>50</v>
      </c>
      <c r="H28" s="103"/>
      <c r="I28" s="83">
        <f>ROUND(SUM(C27:C29),0)</f>
        <v>0</v>
      </c>
    </row>
    <row r="29" spans="1:9" ht="15.75" x14ac:dyDescent="0.25">
      <c r="A29" s="104" t="s">
        <v>51</v>
      </c>
      <c r="B29" s="105"/>
      <c r="C29" s="18">
        <f>ROUND(SUM('Stavební rozpočet'!AL12:AL1186),0)</f>
        <v>0</v>
      </c>
      <c r="D29" s="107" t="s">
        <v>52</v>
      </c>
      <c r="E29" s="105"/>
      <c r="F29" s="18">
        <f>ROUND(C29*(21/100),2)</f>
        <v>0</v>
      </c>
      <c r="G29" s="107" t="s">
        <v>53</v>
      </c>
      <c r="H29" s="105"/>
      <c r="I29" s="84">
        <f>ROUND(SUM(F28:F29)+I28,0)</f>
        <v>0</v>
      </c>
    </row>
    <row r="31" spans="1:9" x14ac:dyDescent="0.25">
      <c r="A31" s="97" t="s">
        <v>54</v>
      </c>
      <c r="B31" s="89"/>
      <c r="C31" s="90"/>
      <c r="D31" s="88" t="s">
        <v>55</v>
      </c>
      <c r="E31" s="89"/>
      <c r="F31" s="90"/>
      <c r="G31" s="88" t="s">
        <v>56</v>
      </c>
      <c r="H31" s="89"/>
      <c r="I31" s="90"/>
    </row>
    <row r="32" spans="1:9" x14ac:dyDescent="0.25">
      <c r="A32" s="98" t="s">
        <v>10</v>
      </c>
      <c r="B32" s="92"/>
      <c r="C32" s="93"/>
      <c r="D32" s="91" t="s">
        <v>10</v>
      </c>
      <c r="E32" s="92"/>
      <c r="F32" s="93"/>
      <c r="G32" s="91" t="s">
        <v>10</v>
      </c>
      <c r="H32" s="92"/>
      <c r="I32" s="93"/>
    </row>
    <row r="33" spans="1:9" x14ac:dyDescent="0.25">
      <c r="A33" s="98" t="s">
        <v>10</v>
      </c>
      <c r="B33" s="92"/>
      <c r="C33" s="93"/>
      <c r="D33" s="91" t="s">
        <v>10</v>
      </c>
      <c r="E33" s="92"/>
      <c r="F33" s="93"/>
      <c r="G33" s="91" t="s">
        <v>10</v>
      </c>
      <c r="H33" s="92"/>
      <c r="I33" s="93"/>
    </row>
    <row r="34" spans="1:9" x14ac:dyDescent="0.25">
      <c r="A34" s="98" t="s">
        <v>10</v>
      </c>
      <c r="B34" s="92"/>
      <c r="C34" s="93"/>
      <c r="D34" s="91" t="s">
        <v>10</v>
      </c>
      <c r="E34" s="92"/>
      <c r="F34" s="93"/>
      <c r="G34" s="91" t="s">
        <v>10</v>
      </c>
      <c r="H34" s="92"/>
      <c r="I34" s="93"/>
    </row>
    <row r="35" spans="1:9" x14ac:dyDescent="0.25">
      <c r="A35" s="99" t="s">
        <v>57</v>
      </c>
      <c r="B35" s="95"/>
      <c r="C35" s="96"/>
      <c r="D35" s="94" t="s">
        <v>57</v>
      </c>
      <c r="E35" s="95"/>
      <c r="F35" s="96"/>
      <c r="G35" s="94" t="s">
        <v>57</v>
      </c>
      <c r="H35" s="95"/>
      <c r="I35" s="96"/>
    </row>
    <row r="36" spans="1:9" x14ac:dyDescent="0.25">
      <c r="A36" s="19" t="s">
        <v>58</v>
      </c>
    </row>
    <row r="37" spans="1:9" ht="12.75" customHeight="1" x14ac:dyDescent="0.25">
      <c r="A37" s="86" t="s">
        <v>10</v>
      </c>
      <c r="B37" s="87"/>
      <c r="C37" s="87"/>
      <c r="D37" s="87"/>
      <c r="E37" s="87"/>
      <c r="F37" s="87"/>
      <c r="G37" s="87"/>
      <c r="H37" s="87"/>
      <c r="I37" s="8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0" t="s">
        <v>59</v>
      </c>
      <c r="B1" s="131"/>
      <c r="C1" s="131"/>
      <c r="D1" s="131"/>
      <c r="E1" s="131"/>
      <c r="F1" s="131"/>
      <c r="G1" s="131"/>
      <c r="H1" s="131"/>
      <c r="I1" s="131"/>
    </row>
    <row r="2" spans="1:9" x14ac:dyDescent="0.25">
      <c r="A2" s="132" t="s">
        <v>1</v>
      </c>
      <c r="B2" s="133"/>
      <c r="C2" s="157" t="str">
        <f>'Stavební rozpočet'!C2</f>
        <v>NOVÝ DOMOV p.o. - ŠATNA ZAMĚSTNANCŮ</v>
      </c>
      <c r="D2" s="158"/>
      <c r="E2" s="124" t="s">
        <v>2</v>
      </c>
      <c r="F2" s="124" t="str">
        <f>'Stavební rozpočet'!I2</f>
        <v>NOVÝ DOMOV p.o., U Bažantnice 1564/15, Karviná</v>
      </c>
      <c r="G2" s="133"/>
      <c r="H2" s="124" t="s">
        <v>3</v>
      </c>
      <c r="I2" s="135" t="s">
        <v>4</v>
      </c>
    </row>
    <row r="3" spans="1:9" ht="15" customHeight="1" x14ac:dyDescent="0.25">
      <c r="A3" s="134"/>
      <c r="B3" s="87"/>
      <c r="C3" s="159"/>
      <c r="D3" s="159"/>
      <c r="E3" s="87"/>
      <c r="F3" s="87"/>
      <c r="G3" s="87"/>
      <c r="H3" s="87"/>
      <c r="I3" s="136"/>
    </row>
    <row r="4" spans="1:9" x14ac:dyDescent="0.25">
      <c r="A4" s="125" t="s">
        <v>5</v>
      </c>
      <c r="B4" s="87"/>
      <c r="C4" s="86" t="str">
        <f>'Stavební rozpočet'!C4</f>
        <v>ZMĚNA ÚČELU UŽÍVÁNÍ</v>
      </c>
      <c r="D4" s="87"/>
      <c r="E4" s="86" t="s">
        <v>6</v>
      </c>
      <c r="F4" s="86" t="str">
        <f>'Stavební rozpočet'!I4</f>
        <v>FR. ŠEBELA, I. VRÁTNÍK, Krásná 137, 739 04, Krásná</v>
      </c>
      <c r="G4" s="87"/>
      <c r="H4" s="86" t="s">
        <v>3</v>
      </c>
      <c r="I4" s="136" t="s">
        <v>7</v>
      </c>
    </row>
    <row r="5" spans="1:9" ht="15" customHeight="1" x14ac:dyDescent="0.25">
      <c r="A5" s="134"/>
      <c r="B5" s="87"/>
      <c r="C5" s="87"/>
      <c r="D5" s="87"/>
      <c r="E5" s="87"/>
      <c r="F5" s="87"/>
      <c r="G5" s="87"/>
      <c r="H5" s="87"/>
      <c r="I5" s="136"/>
    </row>
    <row r="6" spans="1:9" x14ac:dyDescent="0.25">
      <c r="A6" s="125" t="s">
        <v>8</v>
      </c>
      <c r="B6" s="87"/>
      <c r="C6" s="86" t="str">
        <f>'Stavební rozpočet'!C6</f>
        <v>KARVINÁ-NOVÉ MĚSTO</v>
      </c>
      <c r="D6" s="87"/>
      <c r="E6" s="86" t="s">
        <v>9</v>
      </c>
      <c r="F6" s="86" t="str">
        <f>'Stavební rozpočet'!I6</f>
        <v>DLE VÝSLEDKŮ VÝBĚROVÉHO ŘÍZENÍ</v>
      </c>
      <c r="G6" s="87"/>
      <c r="H6" s="86" t="s">
        <v>3</v>
      </c>
      <c r="I6" s="136" t="s">
        <v>10</v>
      </c>
    </row>
    <row r="7" spans="1:9" ht="15" customHeight="1" x14ac:dyDescent="0.25">
      <c r="A7" s="134"/>
      <c r="B7" s="87"/>
      <c r="C7" s="87"/>
      <c r="D7" s="87"/>
      <c r="E7" s="87"/>
      <c r="F7" s="87"/>
      <c r="G7" s="87"/>
      <c r="H7" s="87"/>
      <c r="I7" s="136"/>
    </row>
    <row r="8" spans="1:9" x14ac:dyDescent="0.25">
      <c r="A8" s="125" t="s">
        <v>11</v>
      </c>
      <c r="B8" s="87"/>
      <c r="C8" s="86" t="str">
        <f>'Stavební rozpočet'!G4</f>
        <v xml:space="preserve"> </v>
      </c>
      <c r="D8" s="87"/>
      <c r="E8" s="86" t="s">
        <v>12</v>
      </c>
      <c r="F8" s="86" t="str">
        <f>'Stavební rozpočet'!G6</f>
        <v xml:space="preserve"> </v>
      </c>
      <c r="G8" s="87"/>
      <c r="H8" s="87" t="s">
        <v>13</v>
      </c>
      <c r="I8" s="137">
        <v>244</v>
      </c>
    </row>
    <row r="9" spans="1:9" x14ac:dyDescent="0.25">
      <c r="A9" s="134"/>
      <c r="B9" s="87"/>
      <c r="C9" s="87"/>
      <c r="D9" s="87"/>
      <c r="E9" s="87"/>
      <c r="F9" s="87"/>
      <c r="G9" s="87"/>
      <c r="H9" s="87"/>
      <c r="I9" s="136"/>
    </row>
    <row r="10" spans="1:9" x14ac:dyDescent="0.25">
      <c r="A10" s="125" t="s">
        <v>14</v>
      </c>
      <c r="B10" s="87"/>
      <c r="C10" s="86" t="str">
        <f>'Stavební rozpočet'!C8</f>
        <v>8019119</v>
      </c>
      <c r="D10" s="87"/>
      <c r="E10" s="86" t="s">
        <v>15</v>
      </c>
      <c r="F10" s="86" t="str">
        <f>'Stavební rozpočet'!I8</f>
        <v>I. Vrátník</v>
      </c>
      <c r="G10" s="87"/>
      <c r="H10" s="87" t="s">
        <v>16</v>
      </c>
      <c r="I10" s="118" t="str">
        <f>'Stavební rozpočet'!G8</f>
        <v>26.02.2025</v>
      </c>
    </row>
    <row r="11" spans="1:9" x14ac:dyDescent="0.25">
      <c r="A11" s="126"/>
      <c r="B11" s="123"/>
      <c r="C11" s="123"/>
      <c r="D11" s="123"/>
      <c r="E11" s="123"/>
      <c r="F11" s="123"/>
      <c r="G11" s="123"/>
      <c r="H11" s="123"/>
      <c r="I11" s="119"/>
    </row>
    <row r="13" spans="1:9" ht="15.75" x14ac:dyDescent="0.25">
      <c r="A13" s="147" t="s">
        <v>60</v>
      </c>
      <c r="B13" s="147"/>
      <c r="C13" s="147"/>
      <c r="D13" s="147"/>
      <c r="E13" s="147"/>
    </row>
    <row r="14" spans="1:9" x14ac:dyDescent="0.25">
      <c r="A14" s="148" t="s">
        <v>61</v>
      </c>
      <c r="B14" s="149"/>
      <c r="C14" s="149"/>
      <c r="D14" s="149"/>
      <c r="E14" s="150"/>
      <c r="F14" s="20" t="s">
        <v>62</v>
      </c>
      <c r="G14" s="20" t="s">
        <v>63</v>
      </c>
      <c r="H14" s="20" t="s">
        <v>64</v>
      </c>
      <c r="I14" s="20" t="s">
        <v>62</v>
      </c>
    </row>
    <row r="15" spans="1:9" x14ac:dyDescent="0.25">
      <c r="A15" s="154" t="s">
        <v>26</v>
      </c>
      <c r="B15" s="155"/>
      <c r="C15" s="155"/>
      <c r="D15" s="155"/>
      <c r="E15" s="156"/>
      <c r="F15" s="21">
        <v>0</v>
      </c>
      <c r="G15" s="22" t="s">
        <v>10</v>
      </c>
      <c r="H15" s="22" t="s">
        <v>10</v>
      </c>
      <c r="I15" s="21">
        <f>F15</f>
        <v>0</v>
      </c>
    </row>
    <row r="16" spans="1:9" x14ac:dyDescent="0.25">
      <c r="A16" s="154" t="s">
        <v>29</v>
      </c>
      <c r="B16" s="155"/>
      <c r="C16" s="155"/>
      <c r="D16" s="155"/>
      <c r="E16" s="156"/>
      <c r="F16" s="21">
        <v>0</v>
      </c>
      <c r="G16" s="22" t="s">
        <v>10</v>
      </c>
      <c r="H16" s="22" t="s">
        <v>10</v>
      </c>
      <c r="I16" s="21">
        <f>F16</f>
        <v>0</v>
      </c>
    </row>
    <row r="17" spans="1:9" x14ac:dyDescent="0.25">
      <c r="A17" s="151" t="s">
        <v>32</v>
      </c>
      <c r="B17" s="152"/>
      <c r="C17" s="152"/>
      <c r="D17" s="152"/>
      <c r="E17" s="153"/>
      <c r="F17" s="23">
        <v>0</v>
      </c>
      <c r="G17" s="24" t="s">
        <v>10</v>
      </c>
      <c r="H17" s="24" t="s">
        <v>10</v>
      </c>
      <c r="I17" s="23">
        <f>F17</f>
        <v>0</v>
      </c>
    </row>
    <row r="18" spans="1:9" x14ac:dyDescent="0.25">
      <c r="A18" s="138" t="s">
        <v>65</v>
      </c>
      <c r="B18" s="139"/>
      <c r="C18" s="139"/>
      <c r="D18" s="139"/>
      <c r="E18" s="140"/>
      <c r="F18" s="25" t="s">
        <v>10</v>
      </c>
      <c r="G18" s="26" t="s">
        <v>10</v>
      </c>
      <c r="H18" s="26" t="s">
        <v>10</v>
      </c>
      <c r="I18" s="27">
        <f>SUM(I15:I17)</f>
        <v>0</v>
      </c>
    </row>
    <row r="20" spans="1:9" x14ac:dyDescent="0.25">
      <c r="A20" s="148" t="s">
        <v>23</v>
      </c>
      <c r="B20" s="149"/>
      <c r="C20" s="149"/>
      <c r="D20" s="149"/>
      <c r="E20" s="150"/>
      <c r="F20" s="20" t="s">
        <v>62</v>
      </c>
      <c r="G20" s="20" t="s">
        <v>63</v>
      </c>
      <c r="H20" s="20" t="s">
        <v>64</v>
      </c>
      <c r="I20" s="20" t="s">
        <v>62</v>
      </c>
    </row>
    <row r="21" spans="1:9" x14ac:dyDescent="0.25">
      <c r="A21" s="154" t="s">
        <v>27</v>
      </c>
      <c r="B21" s="155"/>
      <c r="C21" s="155"/>
      <c r="D21" s="155"/>
      <c r="E21" s="156"/>
      <c r="F21" s="21">
        <v>0</v>
      </c>
      <c r="G21" s="22" t="s">
        <v>10</v>
      </c>
      <c r="H21" s="22" t="s">
        <v>10</v>
      </c>
      <c r="I21" s="21">
        <f t="shared" ref="I21:I26" si="0">F21</f>
        <v>0</v>
      </c>
    </row>
    <row r="22" spans="1:9" x14ac:dyDescent="0.25">
      <c r="A22" s="154" t="s">
        <v>30</v>
      </c>
      <c r="B22" s="155"/>
      <c r="C22" s="155"/>
      <c r="D22" s="155"/>
      <c r="E22" s="156"/>
      <c r="F22" s="21">
        <v>0</v>
      </c>
      <c r="G22" s="22" t="s">
        <v>10</v>
      </c>
      <c r="H22" s="22" t="s">
        <v>10</v>
      </c>
      <c r="I22" s="21">
        <f t="shared" si="0"/>
        <v>0</v>
      </c>
    </row>
    <row r="23" spans="1:9" x14ac:dyDescent="0.25">
      <c r="A23" s="154" t="s">
        <v>33</v>
      </c>
      <c r="B23" s="155"/>
      <c r="C23" s="155"/>
      <c r="D23" s="155"/>
      <c r="E23" s="156"/>
      <c r="F23" s="21">
        <v>0</v>
      </c>
      <c r="G23" s="22" t="s">
        <v>10</v>
      </c>
      <c r="H23" s="22" t="s">
        <v>10</v>
      </c>
      <c r="I23" s="21">
        <f t="shared" si="0"/>
        <v>0</v>
      </c>
    </row>
    <row r="24" spans="1:9" x14ac:dyDescent="0.25">
      <c r="A24" s="154" t="s">
        <v>34</v>
      </c>
      <c r="B24" s="155"/>
      <c r="C24" s="155"/>
      <c r="D24" s="155"/>
      <c r="E24" s="156"/>
      <c r="F24" s="21">
        <v>0</v>
      </c>
      <c r="G24" s="22" t="s">
        <v>10</v>
      </c>
      <c r="H24" s="22" t="s">
        <v>10</v>
      </c>
      <c r="I24" s="21">
        <f t="shared" si="0"/>
        <v>0</v>
      </c>
    </row>
    <row r="25" spans="1:9" x14ac:dyDescent="0.25">
      <c r="A25" s="154" t="s">
        <v>36</v>
      </c>
      <c r="B25" s="155"/>
      <c r="C25" s="155"/>
      <c r="D25" s="155"/>
      <c r="E25" s="156"/>
      <c r="F25" s="21">
        <v>0</v>
      </c>
      <c r="G25" s="22" t="s">
        <v>10</v>
      </c>
      <c r="H25" s="22" t="s">
        <v>10</v>
      </c>
      <c r="I25" s="21">
        <f t="shared" si="0"/>
        <v>0</v>
      </c>
    </row>
    <row r="26" spans="1:9" x14ac:dyDescent="0.25">
      <c r="A26" s="151" t="s">
        <v>37</v>
      </c>
      <c r="B26" s="152"/>
      <c r="C26" s="152"/>
      <c r="D26" s="152"/>
      <c r="E26" s="153"/>
      <c r="F26" s="23">
        <v>0</v>
      </c>
      <c r="G26" s="24" t="s">
        <v>10</v>
      </c>
      <c r="H26" s="24" t="s">
        <v>10</v>
      </c>
      <c r="I26" s="23">
        <f t="shared" si="0"/>
        <v>0</v>
      </c>
    </row>
    <row r="27" spans="1:9" x14ac:dyDescent="0.25">
      <c r="A27" s="138" t="s">
        <v>66</v>
      </c>
      <c r="B27" s="139"/>
      <c r="C27" s="139"/>
      <c r="D27" s="139"/>
      <c r="E27" s="140"/>
      <c r="F27" s="25" t="s">
        <v>10</v>
      </c>
      <c r="G27" s="26" t="s">
        <v>10</v>
      </c>
      <c r="H27" s="26" t="s">
        <v>10</v>
      </c>
      <c r="I27" s="27">
        <f>SUM(I21:I26)</f>
        <v>0</v>
      </c>
    </row>
    <row r="29" spans="1:9" ht="15.75" x14ac:dyDescent="0.25">
      <c r="A29" s="141" t="s">
        <v>67</v>
      </c>
      <c r="B29" s="142"/>
      <c r="C29" s="142"/>
      <c r="D29" s="142"/>
      <c r="E29" s="143"/>
      <c r="F29" s="144">
        <f>I18+I27</f>
        <v>0</v>
      </c>
      <c r="G29" s="145"/>
      <c r="H29" s="145"/>
      <c r="I29" s="146"/>
    </row>
    <row r="33" spans="1:9" ht="15.75" x14ac:dyDescent="0.25">
      <c r="A33" s="147" t="s">
        <v>68</v>
      </c>
      <c r="B33" s="147"/>
      <c r="C33" s="147"/>
      <c r="D33" s="147"/>
      <c r="E33" s="147"/>
    </row>
    <row r="34" spans="1:9" x14ac:dyDescent="0.25">
      <c r="A34" s="148" t="s">
        <v>69</v>
      </c>
      <c r="B34" s="149"/>
      <c r="C34" s="149"/>
      <c r="D34" s="149"/>
      <c r="E34" s="150"/>
      <c r="F34" s="20" t="s">
        <v>62</v>
      </c>
      <c r="G34" s="20" t="s">
        <v>63</v>
      </c>
      <c r="H34" s="20" t="s">
        <v>64</v>
      </c>
      <c r="I34" s="20" t="s">
        <v>62</v>
      </c>
    </row>
    <row r="35" spans="1:9" x14ac:dyDescent="0.25">
      <c r="A35" s="151" t="s">
        <v>10</v>
      </c>
      <c r="B35" s="152"/>
      <c r="C35" s="152"/>
      <c r="D35" s="152"/>
      <c r="E35" s="153"/>
      <c r="F35" s="23">
        <v>0</v>
      </c>
      <c r="G35" s="24" t="s">
        <v>10</v>
      </c>
      <c r="H35" s="24" t="s">
        <v>10</v>
      </c>
      <c r="I35" s="23">
        <f>F35</f>
        <v>0</v>
      </c>
    </row>
    <row r="36" spans="1:9" x14ac:dyDescent="0.25">
      <c r="A36" s="138" t="s">
        <v>70</v>
      </c>
      <c r="B36" s="139"/>
      <c r="C36" s="139"/>
      <c r="D36" s="139"/>
      <c r="E36" s="140"/>
      <c r="F36" s="25" t="s">
        <v>10</v>
      </c>
      <c r="G36" s="26" t="s">
        <v>10</v>
      </c>
      <c r="H36" s="26" t="s">
        <v>10</v>
      </c>
      <c r="I36" s="27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20"/>
  <sheetViews>
    <sheetView workbookViewId="0">
      <pane ySplit="11" topLeftCell="A12" activePane="bottomLeft" state="frozen"/>
      <selection pane="bottomLeft" activeCell="J18" sqref="J18:L18"/>
    </sheetView>
  </sheetViews>
  <sheetFormatPr defaultColWidth="12.140625" defaultRowHeight="15" customHeight="1" x14ac:dyDescent="0.25"/>
  <cols>
    <col min="1" max="9" width="15.7109375" customWidth="1"/>
    <col min="10" max="12" width="14.28515625" customWidth="1"/>
    <col min="13" max="16" width="12.140625" hidden="1"/>
  </cols>
  <sheetData>
    <row r="1" spans="1:16" ht="54.75" customHeight="1" x14ac:dyDescent="0.25">
      <c r="A1" s="131" t="s">
        <v>71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6" x14ac:dyDescent="0.25">
      <c r="A2" s="132" t="s">
        <v>1</v>
      </c>
      <c r="B2" s="133"/>
      <c r="C2" s="133"/>
      <c r="D2" s="127" t="str">
        <f>'Stavební rozpočet'!C2</f>
        <v>NOVÝ DOMOV p.o. - ŠATNA ZAMĚSTNANCŮ</v>
      </c>
      <c r="E2" s="128"/>
      <c r="F2" s="128"/>
      <c r="G2" s="124" t="s">
        <v>72</v>
      </c>
      <c r="H2" s="124" t="str">
        <f>'Stavební rozpočet'!G2</f>
        <v xml:space="preserve"> </v>
      </c>
      <c r="I2" s="124" t="s">
        <v>2</v>
      </c>
      <c r="J2" s="124" t="str">
        <f>'Stavební rozpočet'!I2</f>
        <v>NOVÝ DOMOV p.o., U Bažantnice 1564/15, Karviná</v>
      </c>
      <c r="K2" s="133"/>
      <c r="L2" s="135"/>
    </row>
    <row r="3" spans="1:16" ht="15" customHeight="1" x14ac:dyDescent="0.25">
      <c r="A3" s="134"/>
      <c r="B3" s="87"/>
      <c r="C3" s="87"/>
      <c r="D3" s="129"/>
      <c r="E3" s="129"/>
      <c r="F3" s="129"/>
      <c r="G3" s="87"/>
      <c r="H3" s="87"/>
      <c r="I3" s="87"/>
      <c r="J3" s="87"/>
      <c r="K3" s="87"/>
      <c r="L3" s="136"/>
    </row>
    <row r="4" spans="1:16" x14ac:dyDescent="0.25">
      <c r="A4" s="125" t="s">
        <v>5</v>
      </c>
      <c r="B4" s="87"/>
      <c r="C4" s="87"/>
      <c r="D4" s="86" t="str">
        <f>'Stavební rozpočet'!C4</f>
        <v>ZMĚNA ÚČELU UŽÍVÁNÍ</v>
      </c>
      <c r="E4" s="87"/>
      <c r="F4" s="87"/>
      <c r="G4" s="86" t="s">
        <v>11</v>
      </c>
      <c r="H4" s="86" t="str">
        <f>'Stavební rozpočet'!G4</f>
        <v xml:space="preserve"> </v>
      </c>
      <c r="I4" s="86" t="s">
        <v>6</v>
      </c>
      <c r="J4" s="86" t="str">
        <f>'Stavební rozpočet'!I4</f>
        <v>FR. ŠEBELA, I. VRÁTNÍK, Krásná 137, 739 04, Krásná</v>
      </c>
      <c r="K4" s="87"/>
      <c r="L4" s="136"/>
    </row>
    <row r="5" spans="1:16" ht="15" customHeight="1" x14ac:dyDescent="0.25">
      <c r="A5" s="134"/>
      <c r="B5" s="87"/>
      <c r="C5" s="87"/>
      <c r="D5" s="87"/>
      <c r="E5" s="87"/>
      <c r="F5" s="87"/>
      <c r="G5" s="87"/>
      <c r="H5" s="87"/>
      <c r="I5" s="87"/>
      <c r="J5" s="87"/>
      <c r="K5" s="87"/>
      <c r="L5" s="136"/>
    </row>
    <row r="6" spans="1:16" x14ac:dyDescent="0.25">
      <c r="A6" s="125" t="s">
        <v>8</v>
      </c>
      <c r="B6" s="87"/>
      <c r="C6" s="87"/>
      <c r="D6" s="86" t="str">
        <f>'Stavební rozpočet'!C6</f>
        <v>KARVINÁ-NOVÉ MĚSTO</v>
      </c>
      <c r="E6" s="87"/>
      <c r="F6" s="87"/>
      <c r="G6" s="86" t="s">
        <v>12</v>
      </c>
      <c r="H6" s="86" t="str">
        <f>'Stavební rozpočet'!G6</f>
        <v xml:space="preserve"> </v>
      </c>
      <c r="I6" s="86" t="s">
        <v>9</v>
      </c>
      <c r="J6" s="86" t="str">
        <f>'Stavební rozpočet'!I6</f>
        <v>DLE VÝSLEDKŮ VÝBĚROVÉHO ŘÍZENÍ</v>
      </c>
      <c r="K6" s="87"/>
      <c r="L6" s="136"/>
    </row>
    <row r="7" spans="1:16" ht="15" customHeight="1" x14ac:dyDescent="0.25">
      <c r="A7" s="134"/>
      <c r="B7" s="87"/>
      <c r="C7" s="87"/>
      <c r="D7" s="87"/>
      <c r="E7" s="87"/>
      <c r="F7" s="87"/>
      <c r="G7" s="87"/>
      <c r="H7" s="87"/>
      <c r="I7" s="87"/>
      <c r="J7" s="87"/>
      <c r="K7" s="87"/>
      <c r="L7" s="136"/>
    </row>
    <row r="8" spans="1:16" x14ac:dyDescent="0.25">
      <c r="A8" s="125" t="s">
        <v>14</v>
      </c>
      <c r="B8" s="87"/>
      <c r="C8" s="87"/>
      <c r="D8" s="86" t="str">
        <f>'Stavební rozpočet'!C8</f>
        <v>8019119</v>
      </c>
      <c r="E8" s="87"/>
      <c r="F8" s="87"/>
      <c r="G8" s="86" t="s">
        <v>73</v>
      </c>
      <c r="H8" s="86" t="str">
        <f>'Stavební rozpočet'!G8</f>
        <v>26.02.2025</v>
      </c>
      <c r="I8" s="86" t="s">
        <v>15</v>
      </c>
      <c r="J8" s="86" t="str">
        <f>'Stavební rozpočet'!I8</f>
        <v>I. Vrátník</v>
      </c>
      <c r="K8" s="87"/>
      <c r="L8" s="136"/>
    </row>
    <row r="9" spans="1:16" x14ac:dyDescent="0.25">
      <c r="A9" s="174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70"/>
    </row>
    <row r="10" spans="1:16" x14ac:dyDescent="0.25">
      <c r="A10" s="171" t="s">
        <v>74</v>
      </c>
      <c r="B10" s="172"/>
      <c r="C10" s="172"/>
      <c r="D10" s="172"/>
      <c r="E10" s="172"/>
      <c r="F10" s="172"/>
      <c r="G10" s="172"/>
      <c r="H10" s="172"/>
      <c r="I10" s="173"/>
      <c r="J10" s="164" t="s">
        <v>75</v>
      </c>
      <c r="K10" s="165"/>
      <c r="L10" s="166"/>
    </row>
    <row r="11" spans="1:16" x14ac:dyDescent="0.25">
      <c r="A11" s="161" t="s">
        <v>76</v>
      </c>
      <c r="B11" s="162"/>
      <c r="C11" s="162"/>
      <c r="D11" s="162"/>
      <c r="E11" s="162"/>
      <c r="F11" s="162"/>
      <c r="G11" s="162"/>
      <c r="H11" s="162"/>
      <c r="I11" s="163"/>
      <c r="J11" s="28" t="s">
        <v>77</v>
      </c>
      <c r="K11" s="29" t="s">
        <v>28</v>
      </c>
      <c r="L11" s="30" t="s">
        <v>78</v>
      </c>
    </row>
    <row r="12" spans="1:16" x14ac:dyDescent="0.25">
      <c r="A12" s="167" t="s">
        <v>79</v>
      </c>
      <c r="B12" s="168"/>
      <c r="C12" s="168"/>
      <c r="D12" s="168"/>
      <c r="E12" s="168"/>
      <c r="F12" s="168"/>
      <c r="G12" s="168"/>
      <c r="H12" s="168"/>
      <c r="I12" s="168"/>
      <c r="J12" s="32">
        <f>ROUND('Stavební rozpočet'!H12,2)</f>
        <v>0</v>
      </c>
      <c r="K12" s="32">
        <f>ROUND('Stavební rozpočet'!I12,2)</f>
        <v>0</v>
      </c>
      <c r="L12" s="33">
        <f>ROUND('Stavební rozpočet'!J12,2)</f>
        <v>0</v>
      </c>
      <c r="M12" s="34" t="s">
        <v>80</v>
      </c>
      <c r="N12" s="35">
        <f t="shared" ref="N12:N17" si="0">IF(M12="F",0,L12)</f>
        <v>0</v>
      </c>
      <c r="O12" s="2" t="s">
        <v>81</v>
      </c>
      <c r="P12" s="35">
        <f t="shared" ref="P12:P17" si="1">IF(M12="T",0,L12)</f>
        <v>0</v>
      </c>
    </row>
    <row r="13" spans="1:16" x14ac:dyDescent="0.25">
      <c r="A13" s="134" t="s">
        <v>82</v>
      </c>
      <c r="B13" s="87"/>
      <c r="C13" s="87"/>
      <c r="D13" s="87"/>
      <c r="E13" s="87"/>
      <c r="F13" s="87"/>
      <c r="G13" s="87"/>
      <c r="H13" s="87"/>
      <c r="I13" s="87"/>
      <c r="J13" s="35">
        <f>ROUND('Stavební rozpočet'!H71,2)</f>
        <v>0</v>
      </c>
      <c r="K13" s="35">
        <f>ROUND('Stavební rozpočet'!I71,2)</f>
        <v>0</v>
      </c>
      <c r="L13" s="36">
        <f>ROUND('Stavební rozpočet'!J71,2)</f>
        <v>0</v>
      </c>
      <c r="M13" s="34" t="s">
        <v>80</v>
      </c>
      <c r="N13" s="35">
        <f t="shared" si="0"/>
        <v>0</v>
      </c>
      <c r="O13" s="2" t="s">
        <v>83</v>
      </c>
      <c r="P13" s="35">
        <f t="shared" si="1"/>
        <v>0</v>
      </c>
    </row>
    <row r="14" spans="1:16" x14ac:dyDescent="0.25">
      <c r="A14" s="134" t="s">
        <v>84</v>
      </c>
      <c r="B14" s="87"/>
      <c r="C14" s="87"/>
      <c r="D14" s="87"/>
      <c r="E14" s="87"/>
      <c r="F14" s="87"/>
      <c r="G14" s="87"/>
      <c r="H14" s="87"/>
      <c r="I14" s="87"/>
      <c r="J14" s="35">
        <f>ROUND('Stavební rozpočet'!H272,2)</f>
        <v>0</v>
      </c>
      <c r="K14" s="35">
        <f>ROUND('Stavební rozpočet'!I272,2)</f>
        <v>0</v>
      </c>
      <c r="L14" s="36">
        <f>ROUND('Stavební rozpočet'!J272,2)</f>
        <v>0</v>
      </c>
      <c r="M14" s="34" t="s">
        <v>80</v>
      </c>
      <c r="N14" s="35">
        <f t="shared" si="0"/>
        <v>0</v>
      </c>
      <c r="O14" s="2" t="s">
        <v>85</v>
      </c>
      <c r="P14" s="35">
        <f t="shared" si="1"/>
        <v>0</v>
      </c>
    </row>
    <row r="15" spans="1:16" x14ac:dyDescent="0.25">
      <c r="A15" s="134" t="s">
        <v>86</v>
      </c>
      <c r="B15" s="87"/>
      <c r="C15" s="87"/>
      <c r="D15" s="87"/>
      <c r="E15" s="87"/>
      <c r="F15" s="87"/>
      <c r="G15" s="87"/>
      <c r="H15" s="87"/>
      <c r="I15" s="87"/>
      <c r="J15" s="35">
        <f>ROUND('Stavební rozpočet'!H451,2)</f>
        <v>0</v>
      </c>
      <c r="K15" s="35">
        <f>ROUND('Stavební rozpočet'!I451,2)</f>
        <v>0</v>
      </c>
      <c r="L15" s="36">
        <f>ROUND('Stavební rozpočet'!J451,2)</f>
        <v>0</v>
      </c>
      <c r="M15" s="34" t="s">
        <v>80</v>
      </c>
      <c r="N15" s="35">
        <f t="shared" si="0"/>
        <v>0</v>
      </c>
      <c r="O15" s="2" t="s">
        <v>87</v>
      </c>
      <c r="P15" s="35">
        <f t="shared" si="1"/>
        <v>0</v>
      </c>
    </row>
    <row r="16" spans="1:16" x14ac:dyDescent="0.25">
      <c r="A16" s="134" t="s">
        <v>88</v>
      </c>
      <c r="B16" s="87"/>
      <c r="C16" s="87"/>
      <c r="D16" s="87"/>
      <c r="E16" s="87"/>
      <c r="F16" s="87"/>
      <c r="G16" s="87"/>
      <c r="H16" s="87"/>
      <c r="I16" s="87"/>
      <c r="J16" s="35">
        <f>ROUND('Stavební rozpočet'!H498,2)</f>
        <v>0</v>
      </c>
      <c r="K16" s="35">
        <f>ROUND('Stavební rozpočet'!I498,2)</f>
        <v>0</v>
      </c>
      <c r="L16" s="36">
        <f>ROUND('Stavební rozpočet'!J498,2)</f>
        <v>0</v>
      </c>
      <c r="M16" s="34" t="s">
        <v>80</v>
      </c>
      <c r="N16" s="35">
        <f t="shared" si="0"/>
        <v>0</v>
      </c>
      <c r="O16" s="2" t="s">
        <v>89</v>
      </c>
      <c r="P16" s="35">
        <f t="shared" si="1"/>
        <v>0</v>
      </c>
    </row>
    <row r="17" spans="1:16" x14ac:dyDescent="0.25">
      <c r="A17" s="126" t="s">
        <v>90</v>
      </c>
      <c r="B17" s="123"/>
      <c r="C17" s="123"/>
      <c r="D17" s="123"/>
      <c r="E17" s="123"/>
      <c r="F17" s="123"/>
      <c r="G17" s="123"/>
      <c r="H17" s="123"/>
      <c r="I17" s="123"/>
      <c r="J17" s="37">
        <f>ROUND('Stavební rozpočet'!H577,2)</f>
        <v>0</v>
      </c>
      <c r="K17" s="37">
        <f>ROUND('Stavební rozpočet'!I577,2)</f>
        <v>0</v>
      </c>
      <c r="L17" s="38">
        <f>ROUND('Stavební rozpočet'!J577,2)</f>
        <v>0</v>
      </c>
      <c r="M17" s="34" t="s">
        <v>80</v>
      </c>
      <c r="N17" s="35">
        <f t="shared" si="0"/>
        <v>0</v>
      </c>
      <c r="O17" s="2" t="s">
        <v>91</v>
      </c>
      <c r="P17" s="35">
        <f t="shared" si="1"/>
        <v>0</v>
      </c>
    </row>
    <row r="18" spans="1:16" x14ac:dyDescent="0.25">
      <c r="J18" s="160" t="s">
        <v>92</v>
      </c>
      <c r="K18" s="160"/>
      <c r="L18" s="85">
        <f>ROUND(SUM(P12:P17),0)</f>
        <v>0</v>
      </c>
    </row>
    <row r="19" spans="1:16" x14ac:dyDescent="0.25">
      <c r="A19" s="39" t="s">
        <v>58</v>
      </c>
    </row>
    <row r="20" spans="1:16" ht="12.75" customHeight="1" x14ac:dyDescent="0.25">
      <c r="A20" s="86" t="s">
        <v>10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</row>
  </sheetData>
  <mergeCells count="36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A10:I10"/>
    <mergeCell ref="H8:H9"/>
    <mergeCell ref="I2:I3"/>
    <mergeCell ref="I4:I5"/>
    <mergeCell ref="I6:I7"/>
    <mergeCell ref="I8:I9"/>
    <mergeCell ref="A11:I11"/>
    <mergeCell ref="J10:L10"/>
    <mergeCell ref="A12:I12"/>
    <mergeCell ref="A13:I13"/>
    <mergeCell ref="A14:I14"/>
    <mergeCell ref="A15:I15"/>
    <mergeCell ref="A16:I16"/>
    <mergeCell ref="A17:I17"/>
    <mergeCell ref="J18:K18"/>
    <mergeCell ref="A20:L20"/>
  </mergeCells>
  <pageMargins left="0.393999993801117" right="0.393999993801117" top="0.59100002050399802" bottom="0.59100002050399802" header="0" footer="0"/>
  <pageSetup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P68"/>
  <sheetViews>
    <sheetView workbookViewId="0">
      <pane ySplit="11" topLeftCell="A12" activePane="bottomLeft" state="frozen"/>
      <selection pane="bottomLeft" sqref="A1:L1"/>
    </sheetView>
  </sheetViews>
  <sheetFormatPr defaultColWidth="12.140625" defaultRowHeight="15" customHeight="1" x14ac:dyDescent="0.25"/>
  <cols>
    <col min="1" max="1" width="5.7109375" customWidth="1"/>
    <col min="2" max="9" width="15.7109375" customWidth="1"/>
    <col min="10" max="12" width="14.28515625" customWidth="1"/>
    <col min="13" max="16" width="12.140625" hidden="1"/>
  </cols>
  <sheetData>
    <row r="1" spans="1:16" ht="54.75" customHeight="1" x14ac:dyDescent="0.25">
      <c r="A1" s="131" t="s">
        <v>93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6" x14ac:dyDescent="0.25">
      <c r="A2" s="132" t="s">
        <v>1</v>
      </c>
      <c r="B2" s="133"/>
      <c r="C2" s="133"/>
      <c r="D2" s="127" t="str">
        <f>'Stavební rozpočet'!C2</f>
        <v>NOVÝ DOMOV p.o. - ŠATNA ZAMĚSTNANCŮ</v>
      </c>
      <c r="E2" s="128"/>
      <c r="F2" s="128"/>
      <c r="G2" s="124" t="s">
        <v>72</v>
      </c>
      <c r="H2" s="124" t="str">
        <f>'Stavební rozpočet'!G2</f>
        <v xml:space="preserve"> </v>
      </c>
      <c r="I2" s="124" t="s">
        <v>2</v>
      </c>
      <c r="J2" s="124" t="str">
        <f>'Stavební rozpočet'!I2</f>
        <v>NOVÝ DOMOV p.o., U Bažantnice 1564/15, Karviná</v>
      </c>
      <c r="K2" s="133"/>
      <c r="L2" s="135"/>
    </row>
    <row r="3" spans="1:16" ht="15" customHeight="1" x14ac:dyDescent="0.25">
      <c r="A3" s="134"/>
      <c r="B3" s="87"/>
      <c r="C3" s="87"/>
      <c r="D3" s="129"/>
      <c r="E3" s="129"/>
      <c r="F3" s="129"/>
      <c r="G3" s="87"/>
      <c r="H3" s="87"/>
      <c r="I3" s="87"/>
      <c r="J3" s="87"/>
      <c r="K3" s="87"/>
      <c r="L3" s="136"/>
    </row>
    <row r="4" spans="1:16" x14ac:dyDescent="0.25">
      <c r="A4" s="125" t="s">
        <v>5</v>
      </c>
      <c r="B4" s="87"/>
      <c r="C4" s="87"/>
      <c r="D4" s="86" t="str">
        <f>'Stavební rozpočet'!C4</f>
        <v>ZMĚNA ÚČELU UŽÍVÁNÍ</v>
      </c>
      <c r="E4" s="87"/>
      <c r="F4" s="87"/>
      <c r="G4" s="86" t="s">
        <v>11</v>
      </c>
      <c r="H4" s="86" t="str">
        <f>'Stavební rozpočet'!G4</f>
        <v xml:space="preserve"> </v>
      </c>
      <c r="I4" s="86" t="s">
        <v>6</v>
      </c>
      <c r="J4" s="86" t="str">
        <f>'Stavební rozpočet'!I4</f>
        <v>FR. ŠEBELA, I. VRÁTNÍK, Krásná 137, 739 04, Krásná</v>
      </c>
      <c r="K4" s="87"/>
      <c r="L4" s="136"/>
    </row>
    <row r="5" spans="1:16" ht="15" customHeight="1" x14ac:dyDescent="0.25">
      <c r="A5" s="134"/>
      <c r="B5" s="87"/>
      <c r="C5" s="87"/>
      <c r="D5" s="87"/>
      <c r="E5" s="87"/>
      <c r="F5" s="87"/>
      <c r="G5" s="87"/>
      <c r="H5" s="87"/>
      <c r="I5" s="87"/>
      <c r="J5" s="87"/>
      <c r="K5" s="87"/>
      <c r="L5" s="136"/>
    </row>
    <row r="6" spans="1:16" x14ac:dyDescent="0.25">
      <c r="A6" s="125" t="s">
        <v>8</v>
      </c>
      <c r="B6" s="87"/>
      <c r="C6" s="87"/>
      <c r="D6" s="86" t="str">
        <f>'Stavební rozpočet'!C6</f>
        <v>KARVINÁ-NOVÉ MĚSTO</v>
      </c>
      <c r="E6" s="87"/>
      <c r="F6" s="87"/>
      <c r="G6" s="86" t="s">
        <v>12</v>
      </c>
      <c r="H6" s="86" t="str">
        <f>'Stavební rozpočet'!G6</f>
        <v xml:space="preserve"> </v>
      </c>
      <c r="I6" s="86" t="s">
        <v>9</v>
      </c>
      <c r="J6" s="86" t="str">
        <f>'Stavební rozpočet'!I6</f>
        <v>DLE VÝSLEDKŮ VÝBĚROVÉHO ŘÍZENÍ</v>
      </c>
      <c r="K6" s="87"/>
      <c r="L6" s="136"/>
    </row>
    <row r="7" spans="1:16" ht="15" customHeight="1" x14ac:dyDescent="0.25">
      <c r="A7" s="134"/>
      <c r="B7" s="87"/>
      <c r="C7" s="87"/>
      <c r="D7" s="87"/>
      <c r="E7" s="87"/>
      <c r="F7" s="87"/>
      <c r="G7" s="87"/>
      <c r="H7" s="87"/>
      <c r="I7" s="87"/>
      <c r="J7" s="87"/>
      <c r="K7" s="87"/>
      <c r="L7" s="136"/>
    </row>
    <row r="8" spans="1:16" x14ac:dyDescent="0.25">
      <c r="A8" s="125" t="s">
        <v>14</v>
      </c>
      <c r="B8" s="87"/>
      <c r="C8" s="87"/>
      <c r="D8" s="86" t="str">
        <f>'Stavební rozpočet'!C8</f>
        <v>8019119</v>
      </c>
      <c r="E8" s="87"/>
      <c r="F8" s="87"/>
      <c r="G8" s="86" t="s">
        <v>73</v>
      </c>
      <c r="H8" s="86" t="str">
        <f>'Stavební rozpočet'!G8</f>
        <v>26.02.2025</v>
      </c>
      <c r="I8" s="86" t="s">
        <v>15</v>
      </c>
      <c r="J8" s="86" t="str">
        <f>'Stavební rozpočet'!I8</f>
        <v>I. Vrátník</v>
      </c>
      <c r="K8" s="87"/>
      <c r="L8" s="136"/>
    </row>
    <row r="9" spans="1:16" x14ac:dyDescent="0.25">
      <c r="A9" s="174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70"/>
    </row>
    <row r="10" spans="1:16" x14ac:dyDescent="0.25">
      <c r="A10" s="40" t="s">
        <v>74</v>
      </c>
      <c r="B10" s="176" t="s">
        <v>74</v>
      </c>
      <c r="C10" s="172"/>
      <c r="D10" s="172"/>
      <c r="E10" s="172"/>
      <c r="F10" s="172"/>
      <c r="G10" s="172"/>
      <c r="H10" s="172"/>
      <c r="I10" s="173"/>
      <c r="J10" s="164" t="s">
        <v>75</v>
      </c>
      <c r="K10" s="165"/>
      <c r="L10" s="166"/>
    </row>
    <row r="11" spans="1:16" x14ac:dyDescent="0.25">
      <c r="A11" s="41" t="s">
        <v>94</v>
      </c>
      <c r="B11" s="175" t="s">
        <v>76</v>
      </c>
      <c r="C11" s="162"/>
      <c r="D11" s="162"/>
      <c r="E11" s="162"/>
      <c r="F11" s="162"/>
      <c r="G11" s="162"/>
      <c r="H11" s="162"/>
      <c r="I11" s="163"/>
      <c r="J11" s="28" t="s">
        <v>77</v>
      </c>
      <c r="K11" s="29" t="s">
        <v>28</v>
      </c>
      <c r="L11" s="30" t="s">
        <v>78</v>
      </c>
    </row>
    <row r="12" spans="1:16" x14ac:dyDescent="0.25">
      <c r="A12" s="31" t="s">
        <v>10</v>
      </c>
      <c r="B12" s="168" t="s">
        <v>79</v>
      </c>
      <c r="C12" s="168"/>
      <c r="D12" s="168"/>
      <c r="E12" s="168"/>
      <c r="F12" s="168"/>
      <c r="G12" s="168"/>
      <c r="H12" s="168"/>
      <c r="I12" s="168"/>
      <c r="J12" s="32">
        <f>ROUND('Stavební rozpočet'!H12,2)</f>
        <v>0</v>
      </c>
      <c r="K12" s="32">
        <f>ROUND('Stavební rozpočet'!I12,2)</f>
        <v>0</v>
      </c>
      <c r="L12" s="33">
        <f>ROUND('Stavební rozpočet'!J12,2)</f>
        <v>0</v>
      </c>
      <c r="M12" s="34" t="s">
        <v>80</v>
      </c>
      <c r="N12" s="35">
        <f t="shared" ref="N12:N43" si="0">IF(M12="F",0,L12)</f>
        <v>0</v>
      </c>
      <c r="O12" s="2" t="s">
        <v>81</v>
      </c>
      <c r="P12" s="35">
        <f t="shared" ref="P12:P43" si="1">IF(M12="T",0,L12)</f>
        <v>0</v>
      </c>
    </row>
    <row r="13" spans="1:16" x14ac:dyDescent="0.25">
      <c r="A13" s="1" t="s">
        <v>95</v>
      </c>
      <c r="B13" s="87" t="s">
        <v>96</v>
      </c>
      <c r="C13" s="87"/>
      <c r="D13" s="87"/>
      <c r="E13" s="87"/>
      <c r="F13" s="87"/>
      <c r="G13" s="87"/>
      <c r="H13" s="87"/>
      <c r="I13" s="87"/>
      <c r="J13" s="35">
        <f>ROUND('Stavební rozpočet'!H13,2)</f>
        <v>0</v>
      </c>
      <c r="K13" s="35">
        <f>ROUND('Stavební rozpočet'!I13,2)</f>
        <v>0</v>
      </c>
      <c r="L13" s="36">
        <f>ROUND('Stavební rozpočet'!J13,2)</f>
        <v>0</v>
      </c>
      <c r="M13" s="34" t="s">
        <v>97</v>
      </c>
      <c r="N13" s="35">
        <f t="shared" si="0"/>
        <v>0</v>
      </c>
      <c r="O13" s="2" t="s">
        <v>81</v>
      </c>
      <c r="P13" s="35">
        <f t="shared" si="1"/>
        <v>0</v>
      </c>
    </row>
    <row r="14" spans="1:16" x14ac:dyDescent="0.25">
      <c r="A14" s="1" t="s">
        <v>98</v>
      </c>
      <c r="B14" s="87" t="s">
        <v>99</v>
      </c>
      <c r="C14" s="87"/>
      <c r="D14" s="87"/>
      <c r="E14" s="87"/>
      <c r="F14" s="87"/>
      <c r="G14" s="87"/>
      <c r="H14" s="87"/>
      <c r="I14" s="87"/>
      <c r="J14" s="35">
        <f>ROUND('Stavební rozpočet'!H16,2)</f>
        <v>0</v>
      </c>
      <c r="K14" s="35">
        <f>ROUND('Stavební rozpočet'!I16,2)</f>
        <v>0</v>
      </c>
      <c r="L14" s="36">
        <f>ROUND('Stavební rozpočet'!J16,2)</f>
        <v>0</v>
      </c>
      <c r="M14" s="34" t="s">
        <v>97</v>
      </c>
      <c r="N14" s="35">
        <f t="shared" si="0"/>
        <v>0</v>
      </c>
      <c r="O14" s="2" t="s">
        <v>81</v>
      </c>
      <c r="P14" s="35">
        <f t="shared" si="1"/>
        <v>0</v>
      </c>
    </row>
    <row r="15" spans="1:16" x14ac:dyDescent="0.25">
      <c r="A15" s="1" t="s">
        <v>100</v>
      </c>
      <c r="B15" s="87" t="s">
        <v>101</v>
      </c>
      <c r="C15" s="87"/>
      <c r="D15" s="87"/>
      <c r="E15" s="87"/>
      <c r="F15" s="87"/>
      <c r="G15" s="87"/>
      <c r="H15" s="87"/>
      <c r="I15" s="87"/>
      <c r="J15" s="35">
        <f>ROUND('Stavební rozpočet'!H38,2)</f>
        <v>0</v>
      </c>
      <c r="K15" s="35">
        <f>ROUND('Stavební rozpočet'!I38,2)</f>
        <v>0</v>
      </c>
      <c r="L15" s="36">
        <f>ROUND('Stavební rozpočet'!J38,2)</f>
        <v>0</v>
      </c>
      <c r="M15" s="34" t="s">
        <v>97</v>
      </c>
      <c r="N15" s="35">
        <f t="shared" si="0"/>
        <v>0</v>
      </c>
      <c r="O15" s="2" t="s">
        <v>81</v>
      </c>
      <c r="P15" s="35">
        <f t="shared" si="1"/>
        <v>0</v>
      </c>
    </row>
    <row r="16" spans="1:16" x14ac:dyDescent="0.25">
      <c r="A16" s="1" t="s">
        <v>102</v>
      </c>
      <c r="B16" s="87" t="s">
        <v>103</v>
      </c>
      <c r="C16" s="87"/>
      <c r="D16" s="87"/>
      <c r="E16" s="87"/>
      <c r="F16" s="87"/>
      <c r="G16" s="87"/>
      <c r="H16" s="87"/>
      <c r="I16" s="87"/>
      <c r="J16" s="35">
        <f>ROUND('Stavební rozpočet'!H53,2)</f>
        <v>0</v>
      </c>
      <c r="K16" s="35">
        <f>ROUND('Stavební rozpočet'!I53,2)</f>
        <v>0</v>
      </c>
      <c r="L16" s="36">
        <f>ROUND('Stavební rozpočet'!J53,2)</f>
        <v>0</v>
      </c>
      <c r="M16" s="34" t="s">
        <v>97</v>
      </c>
      <c r="N16" s="35">
        <f t="shared" si="0"/>
        <v>0</v>
      </c>
      <c r="O16" s="2" t="s">
        <v>81</v>
      </c>
      <c r="P16" s="35">
        <f t="shared" si="1"/>
        <v>0</v>
      </c>
    </row>
    <row r="17" spans="1:16" x14ac:dyDescent="0.25">
      <c r="A17" s="1" t="s">
        <v>104</v>
      </c>
      <c r="B17" s="87" t="s">
        <v>105</v>
      </c>
      <c r="C17" s="87"/>
      <c r="D17" s="87"/>
      <c r="E17" s="87"/>
      <c r="F17" s="87"/>
      <c r="G17" s="87"/>
      <c r="H17" s="87"/>
      <c r="I17" s="87"/>
      <c r="J17" s="35">
        <f>ROUND('Stavební rozpočet'!H56,2)</f>
        <v>0</v>
      </c>
      <c r="K17" s="35">
        <f>ROUND('Stavební rozpočet'!I56,2)</f>
        <v>0</v>
      </c>
      <c r="L17" s="36">
        <f>ROUND('Stavební rozpočet'!J56,2)</f>
        <v>0</v>
      </c>
      <c r="M17" s="34" t="s">
        <v>97</v>
      </c>
      <c r="N17" s="35">
        <f t="shared" si="0"/>
        <v>0</v>
      </c>
      <c r="O17" s="2" t="s">
        <v>81</v>
      </c>
      <c r="P17" s="35">
        <f t="shared" si="1"/>
        <v>0</v>
      </c>
    </row>
    <row r="18" spans="1:16" x14ac:dyDescent="0.25">
      <c r="A18" s="1" t="s">
        <v>10</v>
      </c>
      <c r="B18" s="87" t="s">
        <v>82</v>
      </c>
      <c r="C18" s="87"/>
      <c r="D18" s="87"/>
      <c r="E18" s="87"/>
      <c r="F18" s="87"/>
      <c r="G18" s="87"/>
      <c r="H18" s="87"/>
      <c r="I18" s="87"/>
      <c r="J18" s="35">
        <f>ROUND('Stavební rozpočet'!H71,2)</f>
        <v>0</v>
      </c>
      <c r="K18" s="35">
        <f>ROUND('Stavební rozpočet'!I71,2)</f>
        <v>0</v>
      </c>
      <c r="L18" s="36">
        <f>ROUND('Stavební rozpočet'!J71,2)</f>
        <v>0</v>
      </c>
      <c r="M18" s="34" t="s">
        <v>80</v>
      </c>
      <c r="N18" s="35">
        <f t="shared" si="0"/>
        <v>0</v>
      </c>
      <c r="O18" s="2" t="s">
        <v>83</v>
      </c>
      <c r="P18" s="35">
        <f t="shared" si="1"/>
        <v>0</v>
      </c>
    </row>
    <row r="19" spans="1:16" x14ac:dyDescent="0.25">
      <c r="A19" s="1" t="s">
        <v>106</v>
      </c>
      <c r="B19" s="87" t="s">
        <v>107</v>
      </c>
      <c r="C19" s="87"/>
      <c r="D19" s="87"/>
      <c r="E19" s="87"/>
      <c r="F19" s="87"/>
      <c r="G19" s="87"/>
      <c r="H19" s="87"/>
      <c r="I19" s="87"/>
      <c r="J19" s="35">
        <f>ROUND('Stavební rozpočet'!H72,2)</f>
        <v>0</v>
      </c>
      <c r="K19" s="35">
        <f>ROUND('Stavební rozpočet'!I72,2)</f>
        <v>0</v>
      </c>
      <c r="L19" s="36">
        <f>ROUND('Stavební rozpočet'!J72,2)</f>
        <v>0</v>
      </c>
      <c r="M19" s="34" t="s">
        <v>97</v>
      </c>
      <c r="N19" s="35">
        <f t="shared" si="0"/>
        <v>0</v>
      </c>
      <c r="O19" s="2" t="s">
        <v>83</v>
      </c>
      <c r="P19" s="35">
        <f t="shared" si="1"/>
        <v>0</v>
      </c>
    </row>
    <row r="20" spans="1:16" x14ac:dyDescent="0.25">
      <c r="A20" s="1" t="s">
        <v>108</v>
      </c>
      <c r="B20" s="87" t="s">
        <v>109</v>
      </c>
      <c r="C20" s="87"/>
      <c r="D20" s="87"/>
      <c r="E20" s="87"/>
      <c r="F20" s="87"/>
      <c r="G20" s="87"/>
      <c r="H20" s="87"/>
      <c r="I20" s="87"/>
      <c r="J20" s="35">
        <f>ROUND('Stavební rozpočet'!H92,2)</f>
        <v>0</v>
      </c>
      <c r="K20" s="35">
        <f>ROUND('Stavební rozpočet'!I92,2)</f>
        <v>0</v>
      </c>
      <c r="L20" s="36">
        <f>ROUND('Stavební rozpočet'!J92,2)</f>
        <v>0</v>
      </c>
      <c r="M20" s="34" t="s">
        <v>97</v>
      </c>
      <c r="N20" s="35">
        <f t="shared" si="0"/>
        <v>0</v>
      </c>
      <c r="O20" s="2" t="s">
        <v>83</v>
      </c>
      <c r="P20" s="35">
        <f t="shared" si="1"/>
        <v>0</v>
      </c>
    </row>
    <row r="21" spans="1:16" x14ac:dyDescent="0.25">
      <c r="A21" s="1" t="s">
        <v>110</v>
      </c>
      <c r="B21" s="87" t="s">
        <v>111</v>
      </c>
      <c r="C21" s="87"/>
      <c r="D21" s="87"/>
      <c r="E21" s="87"/>
      <c r="F21" s="87"/>
      <c r="G21" s="87"/>
      <c r="H21" s="87"/>
      <c r="I21" s="87"/>
      <c r="J21" s="35">
        <f>ROUND('Stavební rozpočet'!H107,2)</f>
        <v>0</v>
      </c>
      <c r="K21" s="35">
        <f>ROUND('Stavební rozpočet'!I107,2)</f>
        <v>0</v>
      </c>
      <c r="L21" s="36">
        <f>ROUND('Stavební rozpočet'!J107,2)</f>
        <v>0</v>
      </c>
      <c r="M21" s="34" t="s">
        <v>97</v>
      </c>
      <c r="N21" s="35">
        <f t="shared" si="0"/>
        <v>0</v>
      </c>
      <c r="O21" s="2" t="s">
        <v>83</v>
      </c>
      <c r="P21" s="35">
        <f t="shared" si="1"/>
        <v>0</v>
      </c>
    </row>
    <row r="22" spans="1:16" x14ac:dyDescent="0.25">
      <c r="A22" s="1" t="s">
        <v>112</v>
      </c>
      <c r="B22" s="87" t="s">
        <v>113</v>
      </c>
      <c r="C22" s="87"/>
      <c r="D22" s="87"/>
      <c r="E22" s="87"/>
      <c r="F22" s="87"/>
      <c r="G22" s="87"/>
      <c r="H22" s="87"/>
      <c r="I22" s="87"/>
      <c r="J22" s="35">
        <f>ROUND('Stavební rozpočet'!H119,2)</f>
        <v>0</v>
      </c>
      <c r="K22" s="35">
        <f>ROUND('Stavební rozpočet'!I119,2)</f>
        <v>0</v>
      </c>
      <c r="L22" s="36">
        <f>ROUND('Stavební rozpočet'!J119,2)</f>
        <v>0</v>
      </c>
      <c r="M22" s="34" t="s">
        <v>97</v>
      </c>
      <c r="N22" s="35">
        <f t="shared" si="0"/>
        <v>0</v>
      </c>
      <c r="O22" s="2" t="s">
        <v>83</v>
      </c>
      <c r="P22" s="35">
        <f t="shared" si="1"/>
        <v>0</v>
      </c>
    </row>
    <row r="23" spans="1:16" x14ac:dyDescent="0.25">
      <c r="A23" s="1" t="s">
        <v>114</v>
      </c>
      <c r="B23" s="87" t="s">
        <v>115</v>
      </c>
      <c r="C23" s="87"/>
      <c r="D23" s="87"/>
      <c r="E23" s="87"/>
      <c r="F23" s="87"/>
      <c r="G23" s="87"/>
      <c r="H23" s="87"/>
      <c r="I23" s="87"/>
      <c r="J23" s="35">
        <f>ROUND('Stavební rozpočet'!H129,2)</f>
        <v>0</v>
      </c>
      <c r="K23" s="35">
        <f>ROUND('Stavební rozpočet'!I129,2)</f>
        <v>0</v>
      </c>
      <c r="L23" s="36">
        <f>ROUND('Stavební rozpočet'!J129,2)</f>
        <v>0</v>
      </c>
      <c r="M23" s="34" t="s">
        <v>97</v>
      </c>
      <c r="N23" s="35">
        <f t="shared" si="0"/>
        <v>0</v>
      </c>
      <c r="O23" s="2" t="s">
        <v>83</v>
      </c>
      <c r="P23" s="35">
        <f t="shared" si="1"/>
        <v>0</v>
      </c>
    </row>
    <row r="24" spans="1:16" x14ac:dyDescent="0.25">
      <c r="A24" s="1" t="s">
        <v>116</v>
      </c>
      <c r="B24" s="87" t="s">
        <v>117</v>
      </c>
      <c r="C24" s="87"/>
      <c r="D24" s="87"/>
      <c r="E24" s="87"/>
      <c r="F24" s="87"/>
      <c r="G24" s="87"/>
      <c r="H24" s="87"/>
      <c r="I24" s="87"/>
      <c r="J24" s="35">
        <f>ROUND('Stavební rozpočet'!H148,2)</f>
        <v>0</v>
      </c>
      <c r="K24" s="35">
        <f>ROUND('Stavební rozpočet'!I148,2)</f>
        <v>0</v>
      </c>
      <c r="L24" s="36">
        <f>ROUND('Stavební rozpočet'!J148,2)</f>
        <v>0</v>
      </c>
      <c r="M24" s="34" t="s">
        <v>97</v>
      </c>
      <c r="N24" s="35">
        <f t="shared" si="0"/>
        <v>0</v>
      </c>
      <c r="O24" s="2" t="s">
        <v>83</v>
      </c>
      <c r="P24" s="35">
        <f t="shared" si="1"/>
        <v>0</v>
      </c>
    </row>
    <row r="25" spans="1:16" x14ac:dyDescent="0.25">
      <c r="A25" s="1" t="s">
        <v>118</v>
      </c>
      <c r="B25" s="87" t="s">
        <v>119</v>
      </c>
      <c r="C25" s="87"/>
      <c r="D25" s="87"/>
      <c r="E25" s="87"/>
      <c r="F25" s="87"/>
      <c r="G25" s="87"/>
      <c r="H25" s="87"/>
      <c r="I25" s="87"/>
      <c r="J25" s="35">
        <f>ROUND('Stavební rozpočet'!H178,2)</f>
        <v>0</v>
      </c>
      <c r="K25" s="35">
        <f>ROUND('Stavební rozpočet'!I178,2)</f>
        <v>0</v>
      </c>
      <c r="L25" s="36">
        <f>ROUND('Stavební rozpočet'!J178,2)</f>
        <v>0</v>
      </c>
      <c r="M25" s="34" t="s">
        <v>97</v>
      </c>
      <c r="N25" s="35">
        <f t="shared" si="0"/>
        <v>0</v>
      </c>
      <c r="O25" s="2" t="s">
        <v>83</v>
      </c>
      <c r="P25" s="35">
        <f t="shared" si="1"/>
        <v>0</v>
      </c>
    </row>
    <row r="26" spans="1:16" x14ac:dyDescent="0.25">
      <c r="A26" s="1" t="s">
        <v>120</v>
      </c>
      <c r="B26" s="87" t="s">
        <v>121</v>
      </c>
      <c r="C26" s="87"/>
      <c r="D26" s="87"/>
      <c r="E26" s="87"/>
      <c r="F26" s="87"/>
      <c r="G26" s="87"/>
      <c r="H26" s="87"/>
      <c r="I26" s="87"/>
      <c r="J26" s="35">
        <f>ROUND('Stavební rozpočet'!H183,2)</f>
        <v>0</v>
      </c>
      <c r="K26" s="35">
        <f>ROUND('Stavební rozpočet'!I183,2)</f>
        <v>0</v>
      </c>
      <c r="L26" s="36">
        <f>ROUND('Stavební rozpočet'!J183,2)</f>
        <v>0</v>
      </c>
      <c r="M26" s="34" t="s">
        <v>97</v>
      </c>
      <c r="N26" s="35">
        <f t="shared" si="0"/>
        <v>0</v>
      </c>
      <c r="O26" s="2" t="s">
        <v>83</v>
      </c>
      <c r="P26" s="35">
        <f t="shared" si="1"/>
        <v>0</v>
      </c>
    </row>
    <row r="27" spans="1:16" x14ac:dyDescent="0.25">
      <c r="A27" s="1" t="s">
        <v>122</v>
      </c>
      <c r="B27" s="87" t="s">
        <v>123</v>
      </c>
      <c r="C27" s="87"/>
      <c r="D27" s="87"/>
      <c r="E27" s="87"/>
      <c r="F27" s="87"/>
      <c r="G27" s="87"/>
      <c r="H27" s="87"/>
      <c r="I27" s="87"/>
      <c r="J27" s="35">
        <f>ROUND('Stavební rozpočet'!H215,2)</f>
        <v>0</v>
      </c>
      <c r="K27" s="35">
        <f>ROUND('Stavební rozpočet'!I215,2)</f>
        <v>0</v>
      </c>
      <c r="L27" s="36">
        <f>ROUND('Stavební rozpočet'!J215,2)</f>
        <v>0</v>
      </c>
      <c r="M27" s="34" t="s">
        <v>97</v>
      </c>
      <c r="N27" s="35">
        <f t="shared" si="0"/>
        <v>0</v>
      </c>
      <c r="O27" s="2" t="s">
        <v>83</v>
      </c>
      <c r="P27" s="35">
        <f t="shared" si="1"/>
        <v>0</v>
      </c>
    </row>
    <row r="28" spans="1:16" x14ac:dyDescent="0.25">
      <c r="A28" s="1" t="s">
        <v>124</v>
      </c>
      <c r="B28" s="87" t="s">
        <v>125</v>
      </c>
      <c r="C28" s="87"/>
      <c r="D28" s="87"/>
      <c r="E28" s="87"/>
      <c r="F28" s="87"/>
      <c r="G28" s="87"/>
      <c r="H28" s="87"/>
      <c r="I28" s="87"/>
      <c r="J28" s="35">
        <f>ROUND('Stavební rozpočet'!H243,2)</f>
        <v>0</v>
      </c>
      <c r="K28" s="35">
        <f>ROUND('Stavební rozpočet'!I243,2)</f>
        <v>0</v>
      </c>
      <c r="L28" s="36">
        <f>ROUND('Stavební rozpočet'!J243,2)</f>
        <v>0</v>
      </c>
      <c r="M28" s="34" t="s">
        <v>97</v>
      </c>
      <c r="N28" s="35">
        <f t="shared" si="0"/>
        <v>0</v>
      </c>
      <c r="O28" s="2" t="s">
        <v>83</v>
      </c>
      <c r="P28" s="35">
        <f t="shared" si="1"/>
        <v>0</v>
      </c>
    </row>
    <row r="29" spans="1:16" x14ac:dyDescent="0.25">
      <c r="A29" s="1" t="s">
        <v>95</v>
      </c>
      <c r="B29" s="87" t="s">
        <v>96</v>
      </c>
      <c r="C29" s="87"/>
      <c r="D29" s="87"/>
      <c r="E29" s="87"/>
      <c r="F29" s="87"/>
      <c r="G29" s="87"/>
      <c r="H29" s="87"/>
      <c r="I29" s="87"/>
      <c r="J29" s="35">
        <f>ROUND('Stavební rozpočet'!H246,2)</f>
        <v>0</v>
      </c>
      <c r="K29" s="35">
        <f>ROUND('Stavební rozpočet'!I246,2)</f>
        <v>0</v>
      </c>
      <c r="L29" s="36">
        <f>ROUND('Stavební rozpočet'!J246,2)</f>
        <v>0</v>
      </c>
      <c r="M29" s="34" t="s">
        <v>97</v>
      </c>
      <c r="N29" s="35">
        <f t="shared" si="0"/>
        <v>0</v>
      </c>
      <c r="O29" s="2" t="s">
        <v>83</v>
      </c>
      <c r="P29" s="35">
        <f t="shared" si="1"/>
        <v>0</v>
      </c>
    </row>
    <row r="30" spans="1:16" x14ac:dyDescent="0.25">
      <c r="A30" s="1" t="s">
        <v>126</v>
      </c>
      <c r="B30" s="87" t="s">
        <v>127</v>
      </c>
      <c r="C30" s="87"/>
      <c r="D30" s="87"/>
      <c r="E30" s="87"/>
      <c r="F30" s="87"/>
      <c r="G30" s="87"/>
      <c r="H30" s="87"/>
      <c r="I30" s="87"/>
      <c r="J30" s="35">
        <f>ROUND('Stavební rozpočet'!H255,2)</f>
        <v>0</v>
      </c>
      <c r="K30" s="35">
        <f>ROUND('Stavební rozpočet'!I255,2)</f>
        <v>0</v>
      </c>
      <c r="L30" s="36">
        <f>ROUND('Stavební rozpočet'!J255,2)</f>
        <v>0</v>
      </c>
      <c r="M30" s="34" t="s">
        <v>97</v>
      </c>
      <c r="N30" s="35">
        <f t="shared" si="0"/>
        <v>0</v>
      </c>
      <c r="O30" s="2" t="s">
        <v>83</v>
      </c>
      <c r="P30" s="35">
        <f t="shared" si="1"/>
        <v>0</v>
      </c>
    </row>
    <row r="31" spans="1:16" x14ac:dyDescent="0.25">
      <c r="A31" s="1" t="s">
        <v>98</v>
      </c>
      <c r="B31" s="87" t="s">
        <v>99</v>
      </c>
      <c r="C31" s="87"/>
      <c r="D31" s="87"/>
      <c r="E31" s="87"/>
      <c r="F31" s="87"/>
      <c r="G31" s="87"/>
      <c r="H31" s="87"/>
      <c r="I31" s="87"/>
      <c r="J31" s="35">
        <f>ROUND('Stavební rozpočet'!H258,2)</f>
        <v>0</v>
      </c>
      <c r="K31" s="35">
        <f>ROUND('Stavební rozpočet'!I258,2)</f>
        <v>0</v>
      </c>
      <c r="L31" s="36">
        <f>ROUND('Stavební rozpočet'!J258,2)</f>
        <v>0</v>
      </c>
      <c r="M31" s="34" t="s">
        <v>97</v>
      </c>
      <c r="N31" s="35">
        <f t="shared" si="0"/>
        <v>0</v>
      </c>
      <c r="O31" s="2" t="s">
        <v>83</v>
      </c>
      <c r="P31" s="35">
        <f t="shared" si="1"/>
        <v>0</v>
      </c>
    </row>
    <row r="32" spans="1:16" x14ac:dyDescent="0.25">
      <c r="A32" s="1" t="s">
        <v>128</v>
      </c>
      <c r="B32" s="87" t="s">
        <v>115</v>
      </c>
      <c r="C32" s="87"/>
      <c r="D32" s="87"/>
      <c r="E32" s="87"/>
      <c r="F32" s="87"/>
      <c r="G32" s="87"/>
      <c r="H32" s="87"/>
      <c r="I32" s="87"/>
      <c r="J32" s="35">
        <f>ROUND('Stavební rozpočet'!H261,2)</f>
        <v>0</v>
      </c>
      <c r="K32" s="35">
        <f>ROUND('Stavební rozpočet'!I261,2)</f>
        <v>0</v>
      </c>
      <c r="L32" s="36">
        <f>ROUND('Stavební rozpočet'!J261,2)</f>
        <v>0</v>
      </c>
      <c r="M32" s="34" t="s">
        <v>97</v>
      </c>
      <c r="N32" s="35">
        <f t="shared" si="0"/>
        <v>0</v>
      </c>
      <c r="O32" s="2" t="s">
        <v>83</v>
      </c>
      <c r="P32" s="35">
        <f t="shared" si="1"/>
        <v>0</v>
      </c>
    </row>
    <row r="33" spans="1:16" x14ac:dyDescent="0.25">
      <c r="A33" s="1" t="s">
        <v>129</v>
      </c>
      <c r="B33" s="87" t="s">
        <v>121</v>
      </c>
      <c r="C33" s="87"/>
      <c r="D33" s="87"/>
      <c r="E33" s="87"/>
      <c r="F33" s="87"/>
      <c r="G33" s="87"/>
      <c r="H33" s="87"/>
      <c r="I33" s="87"/>
      <c r="J33" s="35">
        <f>ROUND('Stavební rozpočet'!H264,2)</f>
        <v>0</v>
      </c>
      <c r="K33" s="35">
        <f>ROUND('Stavební rozpočet'!I264,2)</f>
        <v>0</v>
      </c>
      <c r="L33" s="36">
        <f>ROUND('Stavební rozpočet'!J264,2)</f>
        <v>0</v>
      </c>
      <c r="M33" s="34" t="s">
        <v>97</v>
      </c>
      <c r="N33" s="35">
        <f t="shared" si="0"/>
        <v>0</v>
      </c>
      <c r="O33" s="2" t="s">
        <v>83</v>
      </c>
      <c r="P33" s="35">
        <f t="shared" si="1"/>
        <v>0</v>
      </c>
    </row>
    <row r="34" spans="1:16" x14ac:dyDescent="0.25">
      <c r="A34" s="1" t="s">
        <v>130</v>
      </c>
      <c r="B34" s="87" t="s">
        <v>123</v>
      </c>
      <c r="C34" s="87"/>
      <c r="D34" s="87"/>
      <c r="E34" s="87"/>
      <c r="F34" s="87"/>
      <c r="G34" s="87"/>
      <c r="H34" s="87"/>
      <c r="I34" s="87"/>
      <c r="J34" s="35">
        <f>ROUND('Stavební rozpočet'!H266,2)</f>
        <v>0</v>
      </c>
      <c r="K34" s="35">
        <f>ROUND('Stavební rozpočet'!I266,2)</f>
        <v>0</v>
      </c>
      <c r="L34" s="36">
        <f>ROUND('Stavební rozpočet'!J266,2)</f>
        <v>0</v>
      </c>
      <c r="M34" s="34" t="s">
        <v>97</v>
      </c>
      <c r="N34" s="35">
        <f t="shared" si="0"/>
        <v>0</v>
      </c>
      <c r="O34" s="2" t="s">
        <v>83</v>
      </c>
      <c r="P34" s="35">
        <f t="shared" si="1"/>
        <v>0</v>
      </c>
    </row>
    <row r="35" spans="1:16" x14ac:dyDescent="0.25">
      <c r="A35" s="1" t="s">
        <v>131</v>
      </c>
      <c r="B35" s="87" t="s">
        <v>132</v>
      </c>
      <c r="C35" s="87"/>
      <c r="D35" s="87"/>
      <c r="E35" s="87"/>
      <c r="F35" s="87"/>
      <c r="G35" s="87"/>
      <c r="H35" s="87"/>
      <c r="I35" s="87"/>
      <c r="J35" s="35">
        <f>ROUND('Stavební rozpočet'!H269,2)</f>
        <v>0</v>
      </c>
      <c r="K35" s="35">
        <f>ROUND('Stavební rozpočet'!I269,2)</f>
        <v>0</v>
      </c>
      <c r="L35" s="36">
        <f>ROUND('Stavební rozpočet'!J269,2)</f>
        <v>0</v>
      </c>
      <c r="M35" s="34" t="s">
        <v>97</v>
      </c>
      <c r="N35" s="35">
        <f t="shared" si="0"/>
        <v>0</v>
      </c>
      <c r="O35" s="2" t="s">
        <v>83</v>
      </c>
      <c r="P35" s="35">
        <f t="shared" si="1"/>
        <v>0</v>
      </c>
    </row>
    <row r="36" spans="1:16" x14ac:dyDescent="0.25">
      <c r="A36" s="1" t="s">
        <v>10</v>
      </c>
      <c r="B36" s="87" t="s">
        <v>84</v>
      </c>
      <c r="C36" s="87"/>
      <c r="D36" s="87"/>
      <c r="E36" s="87"/>
      <c r="F36" s="87"/>
      <c r="G36" s="87"/>
      <c r="H36" s="87"/>
      <c r="I36" s="87"/>
      <c r="J36" s="35">
        <f>ROUND('Stavební rozpočet'!H272,2)</f>
        <v>0</v>
      </c>
      <c r="K36" s="35">
        <f>ROUND('Stavební rozpočet'!I272,2)</f>
        <v>0</v>
      </c>
      <c r="L36" s="36">
        <f>ROUND('Stavební rozpočet'!J272,2)</f>
        <v>0</v>
      </c>
      <c r="M36" s="34" t="s">
        <v>80</v>
      </c>
      <c r="N36" s="35">
        <f t="shared" si="0"/>
        <v>0</v>
      </c>
      <c r="O36" s="2" t="s">
        <v>85</v>
      </c>
      <c r="P36" s="35">
        <f t="shared" si="1"/>
        <v>0</v>
      </c>
    </row>
    <row r="37" spans="1:16" x14ac:dyDescent="0.25">
      <c r="A37" s="1" t="s">
        <v>133</v>
      </c>
      <c r="B37" s="87" t="s">
        <v>134</v>
      </c>
      <c r="C37" s="87"/>
      <c r="D37" s="87"/>
      <c r="E37" s="87"/>
      <c r="F37" s="87"/>
      <c r="G37" s="87"/>
      <c r="H37" s="87"/>
      <c r="I37" s="87"/>
      <c r="J37" s="35">
        <f>ROUND('Stavební rozpočet'!H273,2)</f>
        <v>0</v>
      </c>
      <c r="K37" s="35">
        <f>ROUND('Stavební rozpočet'!I273,2)</f>
        <v>0</v>
      </c>
      <c r="L37" s="36">
        <f>ROUND('Stavební rozpočet'!J273,2)</f>
        <v>0</v>
      </c>
      <c r="M37" s="34" t="s">
        <v>97</v>
      </c>
      <c r="N37" s="35">
        <f t="shared" si="0"/>
        <v>0</v>
      </c>
      <c r="O37" s="2" t="s">
        <v>85</v>
      </c>
      <c r="P37" s="35">
        <f t="shared" si="1"/>
        <v>0</v>
      </c>
    </row>
    <row r="38" spans="1:16" x14ac:dyDescent="0.25">
      <c r="A38" s="1" t="s">
        <v>135</v>
      </c>
      <c r="B38" s="87" t="s">
        <v>136</v>
      </c>
      <c r="C38" s="87"/>
      <c r="D38" s="87"/>
      <c r="E38" s="87"/>
      <c r="F38" s="87"/>
      <c r="G38" s="87"/>
      <c r="H38" s="87"/>
      <c r="I38" s="87"/>
      <c r="J38" s="35">
        <f>ROUND('Stavební rozpočet'!H278,2)</f>
        <v>0</v>
      </c>
      <c r="K38" s="35">
        <f>ROUND('Stavební rozpočet'!I278,2)</f>
        <v>0</v>
      </c>
      <c r="L38" s="36">
        <f>ROUND('Stavební rozpočet'!J278,2)</f>
        <v>0</v>
      </c>
      <c r="M38" s="34" t="s">
        <v>97</v>
      </c>
      <c r="N38" s="35">
        <f t="shared" si="0"/>
        <v>0</v>
      </c>
      <c r="O38" s="2" t="s">
        <v>85</v>
      </c>
      <c r="P38" s="35">
        <f t="shared" si="1"/>
        <v>0</v>
      </c>
    </row>
    <row r="39" spans="1:16" x14ac:dyDescent="0.25">
      <c r="A39" s="1" t="s">
        <v>137</v>
      </c>
      <c r="B39" s="87" t="s">
        <v>138</v>
      </c>
      <c r="C39" s="87"/>
      <c r="D39" s="87"/>
      <c r="E39" s="87"/>
      <c r="F39" s="87"/>
      <c r="G39" s="87"/>
      <c r="H39" s="87"/>
      <c r="I39" s="87"/>
      <c r="J39" s="35">
        <f>ROUND('Stavební rozpočet'!H282,2)</f>
        <v>0</v>
      </c>
      <c r="K39" s="35">
        <f>ROUND('Stavební rozpočet'!I282,2)</f>
        <v>0</v>
      </c>
      <c r="L39" s="36">
        <f>ROUND('Stavební rozpočet'!J282,2)</f>
        <v>0</v>
      </c>
      <c r="M39" s="34" t="s">
        <v>97</v>
      </c>
      <c r="N39" s="35">
        <f t="shared" si="0"/>
        <v>0</v>
      </c>
      <c r="O39" s="2" t="s">
        <v>85</v>
      </c>
      <c r="P39" s="35">
        <f t="shared" si="1"/>
        <v>0</v>
      </c>
    </row>
    <row r="40" spans="1:16" x14ac:dyDescent="0.25">
      <c r="A40" s="1" t="s">
        <v>139</v>
      </c>
      <c r="B40" s="87" t="s">
        <v>140</v>
      </c>
      <c r="C40" s="87"/>
      <c r="D40" s="87"/>
      <c r="E40" s="87"/>
      <c r="F40" s="87"/>
      <c r="G40" s="87"/>
      <c r="H40" s="87"/>
      <c r="I40" s="87"/>
      <c r="J40" s="35">
        <f>ROUND('Stavební rozpočet'!H310,2)</f>
        <v>0</v>
      </c>
      <c r="K40" s="35">
        <f>ROUND('Stavební rozpočet'!I310,2)</f>
        <v>0</v>
      </c>
      <c r="L40" s="36">
        <f>ROUND('Stavební rozpočet'!J310,2)</f>
        <v>0</v>
      </c>
      <c r="M40" s="34" t="s">
        <v>97</v>
      </c>
      <c r="N40" s="35">
        <f t="shared" si="0"/>
        <v>0</v>
      </c>
      <c r="O40" s="2" t="s">
        <v>85</v>
      </c>
      <c r="P40" s="35">
        <f t="shared" si="1"/>
        <v>0</v>
      </c>
    </row>
    <row r="41" spans="1:16" x14ac:dyDescent="0.25">
      <c r="A41" s="1" t="s">
        <v>141</v>
      </c>
      <c r="B41" s="87" t="s">
        <v>142</v>
      </c>
      <c r="C41" s="87"/>
      <c r="D41" s="87"/>
      <c r="E41" s="87"/>
      <c r="F41" s="87"/>
      <c r="G41" s="87"/>
      <c r="H41" s="87"/>
      <c r="I41" s="87"/>
      <c r="J41" s="35">
        <f>ROUND('Stavební rozpočet'!H339,2)</f>
        <v>0</v>
      </c>
      <c r="K41" s="35">
        <f>ROUND('Stavební rozpočet'!I339,2)</f>
        <v>0</v>
      </c>
      <c r="L41" s="36">
        <f>ROUND('Stavební rozpočet'!J339,2)</f>
        <v>0</v>
      </c>
      <c r="M41" s="34" t="s">
        <v>97</v>
      </c>
      <c r="N41" s="35">
        <f t="shared" si="0"/>
        <v>0</v>
      </c>
      <c r="O41" s="2" t="s">
        <v>85</v>
      </c>
      <c r="P41" s="35">
        <f t="shared" si="1"/>
        <v>0</v>
      </c>
    </row>
    <row r="42" spans="1:16" x14ac:dyDescent="0.25">
      <c r="A42" s="1" t="s">
        <v>143</v>
      </c>
      <c r="B42" s="87" t="s">
        <v>144</v>
      </c>
      <c r="C42" s="87"/>
      <c r="D42" s="87"/>
      <c r="E42" s="87"/>
      <c r="F42" s="87"/>
      <c r="G42" s="87"/>
      <c r="H42" s="87"/>
      <c r="I42" s="87"/>
      <c r="J42" s="35">
        <f>ROUND('Stavební rozpočet'!H393,2)</f>
        <v>0</v>
      </c>
      <c r="K42" s="35">
        <f>ROUND('Stavební rozpočet'!I393,2)</f>
        <v>0</v>
      </c>
      <c r="L42" s="36">
        <f>ROUND('Stavební rozpočet'!J393,2)</f>
        <v>0</v>
      </c>
      <c r="M42" s="34" t="s">
        <v>97</v>
      </c>
      <c r="N42" s="35">
        <f t="shared" si="0"/>
        <v>0</v>
      </c>
      <c r="O42" s="2" t="s">
        <v>85</v>
      </c>
      <c r="P42" s="35">
        <f t="shared" si="1"/>
        <v>0</v>
      </c>
    </row>
    <row r="43" spans="1:16" x14ac:dyDescent="0.25">
      <c r="A43" s="1" t="s">
        <v>145</v>
      </c>
      <c r="B43" s="87" t="s">
        <v>146</v>
      </c>
      <c r="C43" s="87"/>
      <c r="D43" s="87"/>
      <c r="E43" s="87"/>
      <c r="F43" s="87"/>
      <c r="G43" s="87"/>
      <c r="H43" s="87"/>
      <c r="I43" s="87"/>
      <c r="J43" s="35">
        <f>ROUND('Stavební rozpočet'!H423,2)</f>
        <v>0</v>
      </c>
      <c r="K43" s="35">
        <f>ROUND('Stavební rozpočet'!I423,2)</f>
        <v>0</v>
      </c>
      <c r="L43" s="36">
        <f>ROUND('Stavební rozpočet'!J423,2)</f>
        <v>0</v>
      </c>
      <c r="M43" s="34" t="s">
        <v>97</v>
      </c>
      <c r="N43" s="35">
        <f t="shared" si="0"/>
        <v>0</v>
      </c>
      <c r="O43" s="2" t="s">
        <v>85</v>
      </c>
      <c r="P43" s="35">
        <f t="shared" si="1"/>
        <v>0</v>
      </c>
    </row>
    <row r="44" spans="1:16" x14ac:dyDescent="0.25">
      <c r="A44" s="1" t="s">
        <v>147</v>
      </c>
      <c r="B44" s="87" t="s">
        <v>148</v>
      </c>
      <c r="C44" s="87"/>
      <c r="D44" s="87"/>
      <c r="E44" s="87"/>
      <c r="F44" s="87"/>
      <c r="G44" s="87"/>
      <c r="H44" s="87"/>
      <c r="I44" s="87"/>
      <c r="J44" s="35">
        <f>ROUND('Stavební rozpočet'!H428,2)</f>
        <v>0</v>
      </c>
      <c r="K44" s="35">
        <f>ROUND('Stavební rozpočet'!I428,2)</f>
        <v>0</v>
      </c>
      <c r="L44" s="36">
        <f>ROUND('Stavební rozpočet'!J428,2)</f>
        <v>0</v>
      </c>
      <c r="M44" s="34" t="s">
        <v>97</v>
      </c>
      <c r="N44" s="35">
        <f t="shared" ref="N44:N65" si="2">IF(M44="F",0,L44)</f>
        <v>0</v>
      </c>
      <c r="O44" s="2" t="s">
        <v>85</v>
      </c>
      <c r="P44" s="35">
        <f t="shared" ref="P44:P65" si="3">IF(M44="T",0,L44)</f>
        <v>0</v>
      </c>
    </row>
    <row r="45" spans="1:16" x14ac:dyDescent="0.25">
      <c r="A45" s="1" t="s">
        <v>149</v>
      </c>
      <c r="B45" s="87" t="s">
        <v>138</v>
      </c>
      <c r="C45" s="87"/>
      <c r="D45" s="87"/>
      <c r="E45" s="87"/>
      <c r="F45" s="87"/>
      <c r="G45" s="87"/>
      <c r="H45" s="87"/>
      <c r="I45" s="87"/>
      <c r="J45" s="35">
        <f>ROUND('Stavební rozpočet'!H430,2)</f>
        <v>0</v>
      </c>
      <c r="K45" s="35">
        <f>ROUND('Stavební rozpočet'!I430,2)</f>
        <v>0</v>
      </c>
      <c r="L45" s="36">
        <f>ROUND('Stavební rozpočet'!J430,2)</f>
        <v>0</v>
      </c>
      <c r="M45" s="34" t="s">
        <v>97</v>
      </c>
      <c r="N45" s="35">
        <f t="shared" si="2"/>
        <v>0</v>
      </c>
      <c r="O45" s="2" t="s">
        <v>85</v>
      </c>
      <c r="P45" s="35">
        <f t="shared" si="3"/>
        <v>0</v>
      </c>
    </row>
    <row r="46" spans="1:16" x14ac:dyDescent="0.25">
      <c r="A46" s="1" t="s">
        <v>150</v>
      </c>
      <c r="B46" s="87" t="s">
        <v>140</v>
      </c>
      <c r="C46" s="87"/>
      <c r="D46" s="87"/>
      <c r="E46" s="87"/>
      <c r="F46" s="87"/>
      <c r="G46" s="87"/>
      <c r="H46" s="87"/>
      <c r="I46" s="87"/>
      <c r="J46" s="35">
        <f>ROUND('Stavební rozpočet'!H435,2)</f>
        <v>0</v>
      </c>
      <c r="K46" s="35">
        <f>ROUND('Stavební rozpočet'!I435,2)</f>
        <v>0</v>
      </c>
      <c r="L46" s="36">
        <f>ROUND('Stavební rozpočet'!J435,2)</f>
        <v>0</v>
      </c>
      <c r="M46" s="34" t="s">
        <v>97</v>
      </c>
      <c r="N46" s="35">
        <f t="shared" si="2"/>
        <v>0</v>
      </c>
      <c r="O46" s="2" t="s">
        <v>85</v>
      </c>
      <c r="P46" s="35">
        <f t="shared" si="3"/>
        <v>0</v>
      </c>
    </row>
    <row r="47" spans="1:16" x14ac:dyDescent="0.25">
      <c r="A47" s="1" t="s">
        <v>151</v>
      </c>
      <c r="B47" s="87" t="s">
        <v>142</v>
      </c>
      <c r="C47" s="87"/>
      <c r="D47" s="87"/>
      <c r="E47" s="87"/>
      <c r="F47" s="87"/>
      <c r="G47" s="87"/>
      <c r="H47" s="87"/>
      <c r="I47" s="87"/>
      <c r="J47" s="35">
        <f>ROUND('Stavební rozpočet'!H440,2)</f>
        <v>0</v>
      </c>
      <c r="K47" s="35">
        <f>ROUND('Stavební rozpočet'!I440,2)</f>
        <v>0</v>
      </c>
      <c r="L47" s="36">
        <f>ROUND('Stavební rozpočet'!J440,2)</f>
        <v>0</v>
      </c>
      <c r="M47" s="34" t="s">
        <v>97</v>
      </c>
      <c r="N47" s="35">
        <f t="shared" si="2"/>
        <v>0</v>
      </c>
      <c r="O47" s="2" t="s">
        <v>85</v>
      </c>
      <c r="P47" s="35">
        <f t="shared" si="3"/>
        <v>0</v>
      </c>
    </row>
    <row r="48" spans="1:16" x14ac:dyDescent="0.25">
      <c r="A48" s="1" t="s">
        <v>152</v>
      </c>
      <c r="B48" s="87" t="s">
        <v>153</v>
      </c>
      <c r="C48" s="87"/>
      <c r="D48" s="87"/>
      <c r="E48" s="87"/>
      <c r="F48" s="87"/>
      <c r="G48" s="87"/>
      <c r="H48" s="87"/>
      <c r="I48" s="87"/>
      <c r="J48" s="35">
        <f>ROUND('Stavební rozpočet'!H445,2)</f>
        <v>0</v>
      </c>
      <c r="K48" s="35">
        <f>ROUND('Stavební rozpočet'!I445,2)</f>
        <v>0</v>
      </c>
      <c r="L48" s="36">
        <f>ROUND('Stavební rozpočet'!J445,2)</f>
        <v>0</v>
      </c>
      <c r="M48" s="34" t="s">
        <v>97</v>
      </c>
      <c r="N48" s="35">
        <f t="shared" si="2"/>
        <v>0</v>
      </c>
      <c r="O48" s="2" t="s">
        <v>85</v>
      </c>
      <c r="P48" s="35">
        <f t="shared" si="3"/>
        <v>0</v>
      </c>
    </row>
    <row r="49" spans="1:16" x14ac:dyDescent="0.25">
      <c r="A49" s="1" t="s">
        <v>131</v>
      </c>
      <c r="B49" s="87" t="s">
        <v>132</v>
      </c>
      <c r="C49" s="87"/>
      <c r="D49" s="87"/>
      <c r="E49" s="87"/>
      <c r="F49" s="87"/>
      <c r="G49" s="87"/>
      <c r="H49" s="87"/>
      <c r="I49" s="87"/>
      <c r="J49" s="35">
        <f>ROUND('Stavební rozpočet'!H448,2)</f>
        <v>0</v>
      </c>
      <c r="K49" s="35">
        <f>ROUND('Stavební rozpočet'!I448,2)</f>
        <v>0</v>
      </c>
      <c r="L49" s="36">
        <f>ROUND('Stavební rozpočet'!J448,2)</f>
        <v>0</v>
      </c>
      <c r="M49" s="34" t="s">
        <v>97</v>
      </c>
      <c r="N49" s="35">
        <f t="shared" si="2"/>
        <v>0</v>
      </c>
      <c r="O49" s="2" t="s">
        <v>85</v>
      </c>
      <c r="P49" s="35">
        <f t="shared" si="3"/>
        <v>0</v>
      </c>
    </row>
    <row r="50" spans="1:16" x14ac:dyDescent="0.25">
      <c r="A50" s="1" t="s">
        <v>10</v>
      </c>
      <c r="B50" s="87" t="s">
        <v>86</v>
      </c>
      <c r="C50" s="87"/>
      <c r="D50" s="87"/>
      <c r="E50" s="87"/>
      <c r="F50" s="87"/>
      <c r="G50" s="87"/>
      <c r="H50" s="87"/>
      <c r="I50" s="87"/>
      <c r="J50" s="35">
        <f>ROUND('Stavební rozpočet'!H451,2)</f>
        <v>0</v>
      </c>
      <c r="K50" s="35">
        <f>ROUND('Stavební rozpočet'!I451,2)</f>
        <v>0</v>
      </c>
      <c r="L50" s="36">
        <f>ROUND('Stavební rozpočet'!J451,2)</f>
        <v>0</v>
      </c>
      <c r="M50" s="34" t="s">
        <v>80</v>
      </c>
      <c r="N50" s="35">
        <f t="shared" si="2"/>
        <v>0</v>
      </c>
      <c r="O50" s="2" t="s">
        <v>87</v>
      </c>
      <c r="P50" s="35">
        <f t="shared" si="3"/>
        <v>0</v>
      </c>
    </row>
    <row r="51" spans="1:16" x14ac:dyDescent="0.25">
      <c r="A51" s="1" t="s">
        <v>145</v>
      </c>
      <c r="B51" s="87" t="s">
        <v>146</v>
      </c>
      <c r="C51" s="87"/>
      <c r="D51" s="87"/>
      <c r="E51" s="87"/>
      <c r="F51" s="87"/>
      <c r="G51" s="87"/>
      <c r="H51" s="87"/>
      <c r="I51" s="87"/>
      <c r="J51" s="35">
        <f>ROUND('Stavební rozpočet'!H452,2)</f>
        <v>0</v>
      </c>
      <c r="K51" s="35">
        <f>ROUND('Stavební rozpočet'!I452,2)</f>
        <v>0</v>
      </c>
      <c r="L51" s="36">
        <f>ROUND('Stavební rozpočet'!J452,2)</f>
        <v>0</v>
      </c>
      <c r="M51" s="34" t="s">
        <v>97</v>
      </c>
      <c r="N51" s="35">
        <f t="shared" si="2"/>
        <v>0</v>
      </c>
      <c r="O51" s="2" t="s">
        <v>87</v>
      </c>
      <c r="P51" s="35">
        <f t="shared" si="3"/>
        <v>0</v>
      </c>
    </row>
    <row r="52" spans="1:16" x14ac:dyDescent="0.25">
      <c r="A52" s="1" t="s">
        <v>154</v>
      </c>
      <c r="B52" s="87" t="s">
        <v>155</v>
      </c>
      <c r="C52" s="87"/>
      <c r="D52" s="87"/>
      <c r="E52" s="87"/>
      <c r="F52" s="87"/>
      <c r="G52" s="87"/>
      <c r="H52" s="87"/>
      <c r="I52" s="87"/>
      <c r="J52" s="35">
        <f>ROUND('Stavební rozpočet'!H464,2)</f>
        <v>0</v>
      </c>
      <c r="K52" s="35">
        <f>ROUND('Stavební rozpočet'!I464,2)</f>
        <v>0</v>
      </c>
      <c r="L52" s="36">
        <f>ROUND('Stavební rozpočet'!J464,2)</f>
        <v>0</v>
      </c>
      <c r="M52" s="34" t="s">
        <v>97</v>
      </c>
      <c r="N52" s="35">
        <f t="shared" si="2"/>
        <v>0</v>
      </c>
      <c r="O52" s="2" t="s">
        <v>87</v>
      </c>
      <c r="P52" s="35">
        <f t="shared" si="3"/>
        <v>0</v>
      </c>
    </row>
    <row r="53" spans="1:16" x14ac:dyDescent="0.25">
      <c r="A53" s="1" t="s">
        <v>156</v>
      </c>
      <c r="B53" s="87" t="s">
        <v>157</v>
      </c>
      <c r="C53" s="87"/>
      <c r="D53" s="87"/>
      <c r="E53" s="87"/>
      <c r="F53" s="87"/>
      <c r="G53" s="87"/>
      <c r="H53" s="87"/>
      <c r="I53" s="87"/>
      <c r="J53" s="35">
        <f>ROUND('Stavební rozpočet'!H479,2)</f>
        <v>0</v>
      </c>
      <c r="K53" s="35">
        <f>ROUND('Stavební rozpočet'!I479,2)</f>
        <v>0</v>
      </c>
      <c r="L53" s="36">
        <f>ROUND('Stavební rozpočet'!J479,2)</f>
        <v>0</v>
      </c>
      <c r="M53" s="34" t="s">
        <v>97</v>
      </c>
      <c r="N53" s="35">
        <f t="shared" si="2"/>
        <v>0</v>
      </c>
      <c r="O53" s="2" t="s">
        <v>87</v>
      </c>
      <c r="P53" s="35">
        <f t="shared" si="3"/>
        <v>0</v>
      </c>
    </row>
    <row r="54" spans="1:16" x14ac:dyDescent="0.25">
      <c r="A54" s="1" t="s">
        <v>158</v>
      </c>
      <c r="B54" s="87" t="s">
        <v>159</v>
      </c>
      <c r="C54" s="87"/>
      <c r="D54" s="87"/>
      <c r="E54" s="87"/>
      <c r="F54" s="87"/>
      <c r="G54" s="87"/>
      <c r="H54" s="87"/>
      <c r="I54" s="87"/>
      <c r="J54" s="35">
        <f>ROUND('Stavební rozpočet'!H494,2)</f>
        <v>0</v>
      </c>
      <c r="K54" s="35">
        <f>ROUND('Stavební rozpočet'!I494,2)</f>
        <v>0</v>
      </c>
      <c r="L54" s="36">
        <f>ROUND('Stavební rozpočet'!J494,2)</f>
        <v>0</v>
      </c>
      <c r="M54" s="34" t="s">
        <v>97</v>
      </c>
      <c r="N54" s="35">
        <f t="shared" si="2"/>
        <v>0</v>
      </c>
      <c r="O54" s="2" t="s">
        <v>87</v>
      </c>
      <c r="P54" s="35">
        <f t="shared" si="3"/>
        <v>0</v>
      </c>
    </row>
    <row r="55" spans="1:16" x14ac:dyDescent="0.25">
      <c r="A55" s="1" t="s">
        <v>10</v>
      </c>
      <c r="B55" s="87" t="s">
        <v>88</v>
      </c>
      <c r="C55" s="87"/>
      <c r="D55" s="87"/>
      <c r="E55" s="87"/>
      <c r="F55" s="87"/>
      <c r="G55" s="87"/>
      <c r="H55" s="87"/>
      <c r="I55" s="87"/>
      <c r="J55" s="35">
        <f>ROUND('Stavební rozpočet'!H498,2)</f>
        <v>0</v>
      </c>
      <c r="K55" s="35">
        <f>ROUND('Stavební rozpočet'!I498,2)</f>
        <v>0</v>
      </c>
      <c r="L55" s="36">
        <f>ROUND('Stavební rozpočet'!J498,2)</f>
        <v>0</v>
      </c>
      <c r="M55" s="34" t="s">
        <v>80</v>
      </c>
      <c r="N55" s="35">
        <f t="shared" si="2"/>
        <v>0</v>
      </c>
      <c r="O55" s="2" t="s">
        <v>89</v>
      </c>
      <c r="P55" s="35">
        <f t="shared" si="3"/>
        <v>0</v>
      </c>
    </row>
    <row r="56" spans="1:16" x14ac:dyDescent="0.25">
      <c r="A56" s="1" t="s">
        <v>110</v>
      </c>
      <c r="B56" s="87" t="s">
        <v>111</v>
      </c>
      <c r="C56" s="87"/>
      <c r="D56" s="87"/>
      <c r="E56" s="87"/>
      <c r="F56" s="87"/>
      <c r="G56" s="87"/>
      <c r="H56" s="87"/>
      <c r="I56" s="87"/>
      <c r="J56" s="35">
        <f>ROUND('Stavební rozpočet'!H499,2)</f>
        <v>0</v>
      </c>
      <c r="K56" s="35">
        <f>ROUND('Stavební rozpočet'!I499,2)</f>
        <v>0</v>
      </c>
      <c r="L56" s="36">
        <f>ROUND('Stavební rozpočet'!J499,2)</f>
        <v>0</v>
      </c>
      <c r="M56" s="34" t="s">
        <v>97</v>
      </c>
      <c r="N56" s="35">
        <f t="shared" si="2"/>
        <v>0</v>
      </c>
      <c r="O56" s="2" t="s">
        <v>89</v>
      </c>
      <c r="P56" s="35">
        <f t="shared" si="3"/>
        <v>0</v>
      </c>
    </row>
    <row r="57" spans="1:16" x14ac:dyDescent="0.25">
      <c r="A57" s="1" t="s">
        <v>158</v>
      </c>
      <c r="B57" s="87" t="s">
        <v>159</v>
      </c>
      <c r="C57" s="87"/>
      <c r="D57" s="87"/>
      <c r="E57" s="87"/>
      <c r="F57" s="87"/>
      <c r="G57" s="87"/>
      <c r="H57" s="87"/>
      <c r="I57" s="87"/>
      <c r="J57" s="35">
        <f>ROUND('Stavební rozpočet'!H506,2)</f>
        <v>0</v>
      </c>
      <c r="K57" s="35">
        <f>ROUND('Stavební rozpočet'!I506,2)</f>
        <v>0</v>
      </c>
      <c r="L57" s="36">
        <f>ROUND('Stavební rozpočet'!J506,2)</f>
        <v>0</v>
      </c>
      <c r="M57" s="34" t="s">
        <v>97</v>
      </c>
      <c r="N57" s="35">
        <f t="shared" si="2"/>
        <v>0</v>
      </c>
      <c r="O57" s="2" t="s">
        <v>89</v>
      </c>
      <c r="P57" s="35">
        <f t="shared" si="3"/>
        <v>0</v>
      </c>
    </row>
    <row r="58" spans="1:16" x14ac:dyDescent="0.25">
      <c r="A58" s="1" t="s">
        <v>100</v>
      </c>
      <c r="B58" s="87" t="s">
        <v>101</v>
      </c>
      <c r="C58" s="87"/>
      <c r="D58" s="87"/>
      <c r="E58" s="87"/>
      <c r="F58" s="87"/>
      <c r="G58" s="87"/>
      <c r="H58" s="87"/>
      <c r="I58" s="87"/>
      <c r="J58" s="35">
        <f>ROUND('Stavební rozpočet'!H518,2)</f>
        <v>0</v>
      </c>
      <c r="K58" s="35">
        <f>ROUND('Stavební rozpočet'!I518,2)</f>
        <v>0</v>
      </c>
      <c r="L58" s="36">
        <f>ROUND('Stavební rozpočet'!J518,2)</f>
        <v>0</v>
      </c>
      <c r="M58" s="34" t="s">
        <v>97</v>
      </c>
      <c r="N58" s="35">
        <f t="shared" si="2"/>
        <v>0</v>
      </c>
      <c r="O58" s="2" t="s">
        <v>89</v>
      </c>
      <c r="P58" s="35">
        <f t="shared" si="3"/>
        <v>0</v>
      </c>
    </row>
    <row r="59" spans="1:16" x14ac:dyDescent="0.25">
      <c r="A59" s="1" t="s">
        <v>160</v>
      </c>
      <c r="B59" s="87" t="s">
        <v>161</v>
      </c>
      <c r="C59" s="87"/>
      <c r="D59" s="87"/>
      <c r="E59" s="87"/>
      <c r="F59" s="87"/>
      <c r="G59" s="87"/>
      <c r="H59" s="87"/>
      <c r="I59" s="87"/>
      <c r="J59" s="35">
        <f>ROUND('Stavební rozpočet'!H528,2)</f>
        <v>0</v>
      </c>
      <c r="K59" s="35">
        <f>ROUND('Stavební rozpočet'!I528,2)</f>
        <v>0</v>
      </c>
      <c r="L59" s="36">
        <f>ROUND('Stavební rozpočet'!J528,2)</f>
        <v>0</v>
      </c>
      <c r="M59" s="34" t="s">
        <v>97</v>
      </c>
      <c r="N59" s="35">
        <f t="shared" si="2"/>
        <v>0</v>
      </c>
      <c r="O59" s="2" t="s">
        <v>89</v>
      </c>
      <c r="P59" s="35">
        <f t="shared" si="3"/>
        <v>0</v>
      </c>
    </row>
    <row r="60" spans="1:16" x14ac:dyDescent="0.25">
      <c r="A60" s="1" t="s">
        <v>162</v>
      </c>
      <c r="B60" s="87" t="s">
        <v>163</v>
      </c>
      <c r="C60" s="87"/>
      <c r="D60" s="87"/>
      <c r="E60" s="87"/>
      <c r="F60" s="87"/>
      <c r="G60" s="87"/>
      <c r="H60" s="87"/>
      <c r="I60" s="87"/>
      <c r="J60" s="35">
        <f>ROUND('Stavební rozpočet'!H542,2)</f>
        <v>0</v>
      </c>
      <c r="K60" s="35">
        <f>ROUND('Stavební rozpočet'!I542,2)</f>
        <v>0</v>
      </c>
      <c r="L60" s="36">
        <f>ROUND('Stavební rozpočet'!J542,2)</f>
        <v>0</v>
      </c>
      <c r="M60" s="34" t="s">
        <v>97</v>
      </c>
      <c r="N60" s="35">
        <f t="shared" si="2"/>
        <v>0</v>
      </c>
      <c r="O60" s="2" t="s">
        <v>89</v>
      </c>
      <c r="P60" s="35">
        <f t="shared" si="3"/>
        <v>0</v>
      </c>
    </row>
    <row r="61" spans="1:16" x14ac:dyDescent="0.25">
      <c r="A61" s="1" t="s">
        <v>10</v>
      </c>
      <c r="B61" s="87" t="s">
        <v>90</v>
      </c>
      <c r="C61" s="87"/>
      <c r="D61" s="87"/>
      <c r="E61" s="87"/>
      <c r="F61" s="87"/>
      <c r="G61" s="87"/>
      <c r="H61" s="87"/>
      <c r="I61" s="87"/>
      <c r="J61" s="35">
        <f>ROUND('Stavební rozpočet'!H577,2)</f>
        <v>0</v>
      </c>
      <c r="K61" s="35">
        <f>ROUND('Stavební rozpočet'!I577,2)</f>
        <v>0</v>
      </c>
      <c r="L61" s="36">
        <f>ROUND('Stavební rozpočet'!J577,2)</f>
        <v>0</v>
      </c>
      <c r="M61" s="34" t="s">
        <v>80</v>
      </c>
      <c r="N61" s="35">
        <f t="shared" si="2"/>
        <v>0</v>
      </c>
      <c r="O61" s="2" t="s">
        <v>91</v>
      </c>
      <c r="P61" s="35">
        <f t="shared" si="3"/>
        <v>0</v>
      </c>
    </row>
    <row r="62" spans="1:16" x14ac:dyDescent="0.25">
      <c r="A62" s="1" t="s">
        <v>110</v>
      </c>
      <c r="B62" s="87" t="s">
        <v>111</v>
      </c>
      <c r="C62" s="87"/>
      <c r="D62" s="87"/>
      <c r="E62" s="87"/>
      <c r="F62" s="87"/>
      <c r="G62" s="87"/>
      <c r="H62" s="87"/>
      <c r="I62" s="87"/>
      <c r="J62" s="35">
        <f>ROUND('Stavební rozpočet'!H578,2)</f>
        <v>0</v>
      </c>
      <c r="K62" s="35">
        <f>ROUND('Stavební rozpočet'!I578,2)</f>
        <v>0</v>
      </c>
      <c r="L62" s="36">
        <f>ROUND('Stavební rozpočet'!J578,2)</f>
        <v>0</v>
      </c>
      <c r="M62" s="34" t="s">
        <v>97</v>
      </c>
      <c r="N62" s="35">
        <f t="shared" si="2"/>
        <v>0</v>
      </c>
      <c r="O62" s="2" t="s">
        <v>91</v>
      </c>
      <c r="P62" s="35">
        <f t="shared" si="3"/>
        <v>0</v>
      </c>
    </row>
    <row r="63" spans="1:16" x14ac:dyDescent="0.25">
      <c r="A63" s="1" t="s">
        <v>158</v>
      </c>
      <c r="B63" s="87" t="s">
        <v>159</v>
      </c>
      <c r="C63" s="87"/>
      <c r="D63" s="87"/>
      <c r="E63" s="87"/>
      <c r="F63" s="87"/>
      <c r="G63" s="87"/>
      <c r="H63" s="87"/>
      <c r="I63" s="87"/>
      <c r="J63" s="35">
        <f>ROUND('Stavební rozpočet'!H582,2)</f>
        <v>0</v>
      </c>
      <c r="K63" s="35">
        <f>ROUND('Stavební rozpočet'!I582,2)</f>
        <v>0</v>
      </c>
      <c r="L63" s="36">
        <f>ROUND('Stavební rozpočet'!J582,2)</f>
        <v>0</v>
      </c>
      <c r="M63" s="34" t="s">
        <v>97</v>
      </c>
      <c r="N63" s="35">
        <f t="shared" si="2"/>
        <v>0</v>
      </c>
      <c r="O63" s="2" t="s">
        <v>91</v>
      </c>
      <c r="P63" s="35">
        <f t="shared" si="3"/>
        <v>0</v>
      </c>
    </row>
    <row r="64" spans="1:16" x14ac:dyDescent="0.25">
      <c r="A64" s="1" t="s">
        <v>126</v>
      </c>
      <c r="B64" s="87" t="s">
        <v>127</v>
      </c>
      <c r="C64" s="87"/>
      <c r="D64" s="87"/>
      <c r="E64" s="87"/>
      <c r="F64" s="87"/>
      <c r="G64" s="87"/>
      <c r="H64" s="87"/>
      <c r="I64" s="87"/>
      <c r="J64" s="35">
        <f>ROUND('Stavební rozpočet'!H588,2)</f>
        <v>0</v>
      </c>
      <c r="K64" s="35">
        <f>ROUND('Stavební rozpočet'!I588,2)</f>
        <v>0</v>
      </c>
      <c r="L64" s="36">
        <f>ROUND('Stavební rozpočet'!J588,2)</f>
        <v>0</v>
      </c>
      <c r="M64" s="34" t="s">
        <v>97</v>
      </c>
      <c r="N64" s="35">
        <f t="shared" si="2"/>
        <v>0</v>
      </c>
      <c r="O64" s="2" t="s">
        <v>91</v>
      </c>
      <c r="P64" s="35">
        <f t="shared" si="3"/>
        <v>0</v>
      </c>
    </row>
    <row r="65" spans="1:16" x14ac:dyDescent="0.25">
      <c r="A65" s="4" t="s">
        <v>164</v>
      </c>
      <c r="B65" s="123" t="s">
        <v>165</v>
      </c>
      <c r="C65" s="123"/>
      <c r="D65" s="123"/>
      <c r="E65" s="123"/>
      <c r="F65" s="123"/>
      <c r="G65" s="123"/>
      <c r="H65" s="123"/>
      <c r="I65" s="123"/>
      <c r="J65" s="37">
        <f>ROUND('Stavební rozpočet'!H592,2)</f>
        <v>0</v>
      </c>
      <c r="K65" s="37">
        <f>ROUND('Stavební rozpočet'!I592,2)</f>
        <v>0</v>
      </c>
      <c r="L65" s="38">
        <f>ROUND('Stavební rozpočet'!J592,2)</f>
        <v>0</v>
      </c>
      <c r="M65" s="34" t="s">
        <v>97</v>
      </c>
      <c r="N65" s="35">
        <f t="shared" si="2"/>
        <v>0</v>
      </c>
      <c r="O65" s="2" t="s">
        <v>91</v>
      </c>
      <c r="P65" s="35">
        <f t="shared" si="3"/>
        <v>0</v>
      </c>
    </row>
    <row r="66" spans="1:16" x14ac:dyDescent="0.25">
      <c r="J66" s="160" t="s">
        <v>92</v>
      </c>
      <c r="K66" s="160"/>
      <c r="L66" s="85">
        <f>ROUND(SUM(N12:N65),0)</f>
        <v>0</v>
      </c>
    </row>
    <row r="67" spans="1:16" x14ac:dyDescent="0.25">
      <c r="A67" s="39" t="s">
        <v>58</v>
      </c>
    </row>
    <row r="68" spans="1:16" ht="12.75" customHeight="1" x14ac:dyDescent="0.25">
      <c r="A68" s="86" t="s">
        <v>10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</row>
  </sheetData>
  <mergeCells count="84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B10:I10"/>
    <mergeCell ref="H8:H9"/>
    <mergeCell ref="I2:I3"/>
    <mergeCell ref="I4:I5"/>
    <mergeCell ref="I6:I7"/>
    <mergeCell ref="I8:I9"/>
    <mergeCell ref="B11:I11"/>
    <mergeCell ref="J10:L10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5:I65"/>
    <mergeCell ref="J66:K66"/>
    <mergeCell ref="A68:L68"/>
    <mergeCell ref="B60:I60"/>
    <mergeCell ref="B61:I61"/>
    <mergeCell ref="B62:I62"/>
    <mergeCell ref="B63:I63"/>
    <mergeCell ref="B64:I64"/>
  </mergeCells>
  <pageMargins left="0.393999993801117" right="0.393999993801117" top="0.59100002050399802" bottom="0.59100002050399802" header="0" footer="0"/>
  <pageSetup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BZ596"/>
  <sheetViews>
    <sheetView workbookViewId="0">
      <pane ySplit="11" topLeftCell="A12" activePane="bottomLeft" state="frozen"/>
      <selection pane="bottomLeft" activeCell="D597" sqref="D597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31" t="s">
        <v>166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AS1" s="42">
        <f>SUM(AJ1:AJ2)</f>
        <v>0</v>
      </c>
      <c r="AT1" s="42">
        <f>SUM(AK1:AK2)</f>
        <v>0</v>
      </c>
      <c r="AU1" s="42">
        <f>SUM(AL1:AL2)</f>
        <v>0</v>
      </c>
    </row>
    <row r="2" spans="1:76" x14ac:dyDescent="0.25">
      <c r="A2" s="132" t="s">
        <v>1</v>
      </c>
      <c r="B2" s="133"/>
      <c r="C2" s="127" t="s">
        <v>167</v>
      </c>
      <c r="D2" s="128"/>
      <c r="E2" s="133" t="s">
        <v>72</v>
      </c>
      <c r="F2" s="133"/>
      <c r="G2" s="133" t="s">
        <v>74</v>
      </c>
      <c r="H2" s="124" t="s">
        <v>2</v>
      </c>
      <c r="I2" s="124" t="s">
        <v>168</v>
      </c>
      <c r="J2" s="133"/>
      <c r="K2" s="135"/>
    </row>
    <row r="3" spans="1:76" x14ac:dyDescent="0.25">
      <c r="A3" s="134"/>
      <c r="B3" s="87"/>
      <c r="C3" s="129"/>
      <c r="D3" s="129"/>
      <c r="E3" s="87"/>
      <c r="F3" s="87"/>
      <c r="G3" s="87"/>
      <c r="H3" s="87"/>
      <c r="I3" s="87"/>
      <c r="J3" s="87"/>
      <c r="K3" s="136"/>
    </row>
    <row r="4" spans="1:76" x14ac:dyDescent="0.25">
      <c r="A4" s="125" t="s">
        <v>5</v>
      </c>
      <c r="B4" s="87"/>
      <c r="C4" s="86" t="s">
        <v>169</v>
      </c>
      <c r="D4" s="87"/>
      <c r="E4" s="87" t="s">
        <v>11</v>
      </c>
      <c r="F4" s="87"/>
      <c r="G4" s="87" t="s">
        <v>74</v>
      </c>
      <c r="H4" s="86" t="s">
        <v>6</v>
      </c>
      <c r="I4" s="86" t="s">
        <v>170</v>
      </c>
      <c r="J4" s="87"/>
      <c r="K4" s="136"/>
    </row>
    <row r="5" spans="1:76" x14ac:dyDescent="0.25">
      <c r="A5" s="134"/>
      <c r="B5" s="87"/>
      <c r="C5" s="87"/>
      <c r="D5" s="87"/>
      <c r="E5" s="87"/>
      <c r="F5" s="87"/>
      <c r="G5" s="87"/>
      <c r="H5" s="87"/>
      <c r="I5" s="87"/>
      <c r="J5" s="87"/>
      <c r="K5" s="136"/>
    </row>
    <row r="6" spans="1:76" x14ac:dyDescent="0.25">
      <c r="A6" s="125" t="s">
        <v>8</v>
      </c>
      <c r="B6" s="87"/>
      <c r="C6" s="86" t="s">
        <v>171</v>
      </c>
      <c r="D6" s="87"/>
      <c r="E6" s="87" t="s">
        <v>12</v>
      </c>
      <c r="F6" s="87"/>
      <c r="G6" s="87" t="s">
        <v>74</v>
      </c>
      <c r="H6" s="86" t="s">
        <v>9</v>
      </c>
      <c r="I6" s="86" t="s">
        <v>172</v>
      </c>
      <c r="J6" s="87"/>
      <c r="K6" s="136"/>
    </row>
    <row r="7" spans="1:76" x14ac:dyDescent="0.25">
      <c r="A7" s="134"/>
      <c r="B7" s="87"/>
      <c r="C7" s="87"/>
      <c r="D7" s="87"/>
      <c r="E7" s="87"/>
      <c r="F7" s="87"/>
      <c r="G7" s="87"/>
      <c r="H7" s="87"/>
      <c r="I7" s="87"/>
      <c r="J7" s="87"/>
      <c r="K7" s="136"/>
    </row>
    <row r="8" spans="1:76" x14ac:dyDescent="0.25">
      <c r="A8" s="125" t="s">
        <v>14</v>
      </c>
      <c r="B8" s="87"/>
      <c r="C8" s="86" t="s">
        <v>173</v>
      </c>
      <c r="D8" s="87"/>
      <c r="E8" s="87" t="s">
        <v>73</v>
      </c>
      <c r="F8" s="87"/>
      <c r="G8" s="87" t="s">
        <v>174</v>
      </c>
      <c r="H8" s="86" t="s">
        <v>15</v>
      </c>
      <c r="I8" s="86" t="s">
        <v>175</v>
      </c>
      <c r="J8" s="87"/>
      <c r="K8" s="136"/>
    </row>
    <row r="9" spans="1:76" x14ac:dyDescent="0.25">
      <c r="A9" s="174"/>
      <c r="B9" s="169"/>
      <c r="C9" s="169"/>
      <c r="D9" s="169"/>
      <c r="E9" s="169"/>
      <c r="F9" s="169"/>
      <c r="G9" s="169"/>
      <c r="H9" s="169"/>
      <c r="I9" s="169"/>
      <c r="J9" s="169"/>
      <c r="K9" s="170"/>
    </row>
    <row r="10" spans="1:76" x14ac:dyDescent="0.25">
      <c r="A10" s="43" t="s">
        <v>176</v>
      </c>
      <c r="B10" s="44" t="s">
        <v>94</v>
      </c>
      <c r="C10" s="190" t="s">
        <v>76</v>
      </c>
      <c r="D10" s="191"/>
      <c r="E10" s="44" t="s">
        <v>177</v>
      </c>
      <c r="F10" s="45" t="s">
        <v>178</v>
      </c>
      <c r="G10" s="46" t="s">
        <v>179</v>
      </c>
      <c r="H10" s="164" t="s">
        <v>75</v>
      </c>
      <c r="I10" s="165"/>
      <c r="J10" s="166"/>
      <c r="K10" s="47" t="s">
        <v>180</v>
      </c>
      <c r="BK10" s="48" t="s">
        <v>181</v>
      </c>
      <c r="BL10" s="49" t="s">
        <v>182</v>
      </c>
      <c r="BW10" s="49" t="s">
        <v>183</v>
      </c>
    </row>
    <row r="11" spans="1:76" x14ac:dyDescent="0.25">
      <c r="A11" s="50" t="s">
        <v>74</v>
      </c>
      <c r="B11" s="51" t="s">
        <v>74</v>
      </c>
      <c r="C11" s="175" t="s">
        <v>184</v>
      </c>
      <c r="D11" s="187"/>
      <c r="E11" s="51" t="s">
        <v>74</v>
      </c>
      <c r="F11" s="51" t="s">
        <v>74</v>
      </c>
      <c r="G11" s="52" t="s">
        <v>185</v>
      </c>
      <c r="H11" s="28" t="s">
        <v>77</v>
      </c>
      <c r="I11" s="29" t="s">
        <v>28</v>
      </c>
      <c r="J11" s="30" t="s">
        <v>78</v>
      </c>
      <c r="K11" s="53" t="s">
        <v>186</v>
      </c>
      <c r="Z11" s="48" t="s">
        <v>187</v>
      </c>
      <c r="AA11" s="48" t="s">
        <v>188</v>
      </c>
      <c r="AB11" s="48" t="s">
        <v>189</v>
      </c>
      <c r="AC11" s="48" t="s">
        <v>190</v>
      </c>
      <c r="AD11" s="48" t="s">
        <v>191</v>
      </c>
      <c r="AE11" s="48" t="s">
        <v>192</v>
      </c>
      <c r="AF11" s="48" t="s">
        <v>193</v>
      </c>
      <c r="AG11" s="48" t="s">
        <v>194</v>
      </c>
      <c r="AH11" s="48" t="s">
        <v>195</v>
      </c>
      <c r="BH11" s="48" t="s">
        <v>196</v>
      </c>
      <c r="BI11" s="48" t="s">
        <v>197</v>
      </c>
      <c r="BJ11" s="48" t="s">
        <v>198</v>
      </c>
    </row>
    <row r="12" spans="1:76" x14ac:dyDescent="0.25">
      <c r="A12" s="54" t="s">
        <v>10</v>
      </c>
      <c r="B12" s="55" t="s">
        <v>10</v>
      </c>
      <c r="C12" s="188" t="s">
        <v>79</v>
      </c>
      <c r="D12" s="189"/>
      <c r="E12" s="56" t="s">
        <v>74</v>
      </c>
      <c r="F12" s="56" t="s">
        <v>74</v>
      </c>
      <c r="G12" s="56" t="s">
        <v>74</v>
      </c>
      <c r="H12" s="57">
        <f>H13+H16+H38+H53+H56</f>
        <v>0</v>
      </c>
      <c r="I12" s="57">
        <f>I13+I16+I38+I53+I56</f>
        <v>0</v>
      </c>
      <c r="J12" s="57">
        <f>J13+J16+J38+J53+J56</f>
        <v>0</v>
      </c>
      <c r="K12" s="58" t="s">
        <v>10</v>
      </c>
    </row>
    <row r="13" spans="1:76" x14ac:dyDescent="0.25">
      <c r="A13" s="59" t="s">
        <v>10</v>
      </c>
      <c r="B13" s="60" t="s">
        <v>95</v>
      </c>
      <c r="C13" s="177" t="s">
        <v>96</v>
      </c>
      <c r="D13" s="178"/>
      <c r="E13" s="61" t="s">
        <v>74</v>
      </c>
      <c r="F13" s="61" t="s">
        <v>74</v>
      </c>
      <c r="G13" s="61" t="s">
        <v>74</v>
      </c>
      <c r="H13" s="42">
        <f>SUM(H14:H14)</f>
        <v>0</v>
      </c>
      <c r="I13" s="42">
        <f>SUM(I14:I14)</f>
        <v>0</v>
      </c>
      <c r="J13" s="42">
        <f>SUM(J14:J14)</f>
        <v>0</v>
      </c>
      <c r="K13" s="62" t="s">
        <v>10</v>
      </c>
      <c r="AI13" s="48" t="s">
        <v>81</v>
      </c>
      <c r="AS13" s="42">
        <f>SUM(AJ14:AJ14)</f>
        <v>0</v>
      </c>
      <c r="AT13" s="42">
        <f>SUM(AK14:AK14)</f>
        <v>0</v>
      </c>
      <c r="AU13" s="42">
        <f>SUM(AL14:AL14)</f>
        <v>0</v>
      </c>
    </row>
    <row r="14" spans="1:76" x14ac:dyDescent="0.25">
      <c r="A14" s="1" t="s">
        <v>199</v>
      </c>
      <c r="B14" s="2" t="s">
        <v>200</v>
      </c>
      <c r="C14" s="86" t="s">
        <v>201</v>
      </c>
      <c r="D14" s="87"/>
      <c r="E14" s="2" t="s">
        <v>202</v>
      </c>
      <c r="F14" s="35">
        <v>25.207599999999999</v>
      </c>
      <c r="G14" s="35">
        <v>0</v>
      </c>
      <c r="H14" s="35">
        <f>ROUND(F14*AO14,2)</f>
        <v>0</v>
      </c>
      <c r="I14" s="35">
        <f>ROUND(F14*AP14,2)</f>
        <v>0</v>
      </c>
      <c r="J14" s="35">
        <f>ROUND(F14*G14,2)</f>
        <v>0</v>
      </c>
      <c r="K14" s="63" t="s">
        <v>203</v>
      </c>
      <c r="Z14" s="35">
        <f>ROUND(IF(AQ14="5",BJ14,0),2)</f>
        <v>0</v>
      </c>
      <c r="AB14" s="35">
        <f>ROUND(IF(AQ14="1",BH14,0),2)</f>
        <v>0</v>
      </c>
      <c r="AC14" s="35">
        <f>ROUND(IF(AQ14="1",BI14,0),2)</f>
        <v>0</v>
      </c>
      <c r="AD14" s="35">
        <f>ROUND(IF(AQ14="7",BH14,0),2)</f>
        <v>0</v>
      </c>
      <c r="AE14" s="35">
        <f>ROUND(IF(AQ14="7",BI14,0),2)</f>
        <v>0</v>
      </c>
      <c r="AF14" s="35">
        <f>ROUND(IF(AQ14="2",BH14,0),2)</f>
        <v>0</v>
      </c>
      <c r="AG14" s="35">
        <f>ROUND(IF(AQ14="2",BI14,0),2)</f>
        <v>0</v>
      </c>
      <c r="AH14" s="35">
        <f>ROUND(IF(AQ14="0",BJ14,0),2)</f>
        <v>0</v>
      </c>
      <c r="AI14" s="48" t="s">
        <v>81</v>
      </c>
      <c r="AJ14" s="35">
        <f>IF(AN14=0,J14,0)</f>
        <v>0</v>
      </c>
      <c r="AK14" s="35">
        <f>IF(AN14=12,J14,0)</f>
        <v>0</v>
      </c>
      <c r="AL14" s="35">
        <f>IF(AN14=21,J14,0)</f>
        <v>0</v>
      </c>
      <c r="AN14" s="35">
        <v>12</v>
      </c>
      <c r="AO14" s="35">
        <f>G14*0.002097087</f>
        <v>0</v>
      </c>
      <c r="AP14" s="35">
        <f>G14*(1-0.002097087)</f>
        <v>0</v>
      </c>
      <c r="AQ14" s="64" t="s">
        <v>204</v>
      </c>
      <c r="AV14" s="35">
        <f>ROUND(AW14+AX14,2)</f>
        <v>0</v>
      </c>
      <c r="AW14" s="35">
        <f>ROUND(F14*AO14,2)</f>
        <v>0</v>
      </c>
      <c r="AX14" s="35">
        <f>ROUND(F14*AP14,2)</f>
        <v>0</v>
      </c>
      <c r="AY14" s="64" t="s">
        <v>205</v>
      </c>
      <c r="AZ14" s="64" t="s">
        <v>206</v>
      </c>
      <c r="BA14" s="48" t="s">
        <v>207</v>
      </c>
      <c r="BB14" s="65">
        <v>100003</v>
      </c>
      <c r="BC14" s="35">
        <f>AW14+AX14</f>
        <v>0</v>
      </c>
      <c r="BD14" s="35">
        <f>G14/(100-BE14)*100</f>
        <v>0</v>
      </c>
      <c r="BE14" s="35">
        <v>0</v>
      </c>
      <c r="BF14" s="35">
        <f>14</f>
        <v>14</v>
      </c>
      <c r="BH14" s="35">
        <f>F14*AO14</f>
        <v>0</v>
      </c>
      <c r="BI14" s="35">
        <f>F14*AP14</f>
        <v>0</v>
      </c>
      <c r="BJ14" s="35">
        <f>F14*G14</f>
        <v>0</v>
      </c>
      <c r="BK14" s="64" t="s">
        <v>208</v>
      </c>
      <c r="BL14" s="35">
        <v>784</v>
      </c>
      <c r="BW14" s="35">
        <v>12</v>
      </c>
      <c r="BX14" s="3" t="s">
        <v>201</v>
      </c>
    </row>
    <row r="15" spans="1:76" x14ac:dyDescent="0.25">
      <c r="A15" s="66"/>
      <c r="C15" s="67" t="s">
        <v>209</v>
      </c>
      <c r="D15" s="68" t="s">
        <v>210</v>
      </c>
      <c r="F15" s="69">
        <v>25.207599999999999</v>
      </c>
      <c r="K15" s="70"/>
    </row>
    <row r="16" spans="1:76" x14ac:dyDescent="0.25">
      <c r="A16" s="59" t="s">
        <v>10</v>
      </c>
      <c r="B16" s="60" t="s">
        <v>98</v>
      </c>
      <c r="C16" s="177" t="s">
        <v>99</v>
      </c>
      <c r="D16" s="178"/>
      <c r="E16" s="61" t="s">
        <v>74</v>
      </c>
      <c r="F16" s="61" t="s">
        <v>74</v>
      </c>
      <c r="G16" s="61" t="s">
        <v>74</v>
      </c>
      <c r="H16" s="42">
        <f>SUM(H17:H36)</f>
        <v>0</v>
      </c>
      <c r="I16" s="42">
        <f>SUM(I17:I36)</f>
        <v>0</v>
      </c>
      <c r="J16" s="42">
        <f>SUM(J17:J36)</f>
        <v>0</v>
      </c>
      <c r="K16" s="62" t="s">
        <v>10</v>
      </c>
      <c r="AI16" s="48" t="s">
        <v>81</v>
      </c>
      <c r="AS16" s="42">
        <f>SUM(AJ17:AJ36)</f>
        <v>0</v>
      </c>
      <c r="AT16" s="42">
        <f>SUM(AK17:AK36)</f>
        <v>0</v>
      </c>
      <c r="AU16" s="42">
        <f>SUM(AL17:AL36)</f>
        <v>0</v>
      </c>
    </row>
    <row r="17" spans="1:76" x14ac:dyDescent="0.25">
      <c r="A17" s="1" t="s">
        <v>211</v>
      </c>
      <c r="B17" s="2" t="s">
        <v>212</v>
      </c>
      <c r="C17" s="86" t="s">
        <v>213</v>
      </c>
      <c r="D17" s="87"/>
      <c r="E17" s="2" t="s">
        <v>202</v>
      </c>
      <c r="F17" s="35">
        <v>26.592700000000001</v>
      </c>
      <c r="G17" s="35">
        <v>0</v>
      </c>
      <c r="H17" s="35">
        <f>ROUND(F17*AO17,2)</f>
        <v>0</v>
      </c>
      <c r="I17" s="35">
        <f>ROUND(F17*AP17,2)</f>
        <v>0</v>
      </c>
      <c r="J17" s="35">
        <f>ROUND(F17*G17,2)</f>
        <v>0</v>
      </c>
      <c r="K17" s="63" t="s">
        <v>203</v>
      </c>
      <c r="Z17" s="35">
        <f>ROUND(IF(AQ17="5",BJ17,0),2)</f>
        <v>0</v>
      </c>
      <c r="AB17" s="35">
        <f>ROUND(IF(AQ17="1",BH17,0),2)</f>
        <v>0</v>
      </c>
      <c r="AC17" s="35">
        <f>ROUND(IF(AQ17="1",BI17,0),2)</f>
        <v>0</v>
      </c>
      <c r="AD17" s="35">
        <f>ROUND(IF(AQ17="7",BH17,0),2)</f>
        <v>0</v>
      </c>
      <c r="AE17" s="35">
        <f>ROUND(IF(AQ17="7",BI17,0),2)</f>
        <v>0</v>
      </c>
      <c r="AF17" s="35">
        <f>ROUND(IF(AQ17="2",BH17,0),2)</f>
        <v>0</v>
      </c>
      <c r="AG17" s="35">
        <f>ROUND(IF(AQ17="2",BI17,0),2)</f>
        <v>0</v>
      </c>
      <c r="AH17" s="35">
        <f>ROUND(IF(AQ17="0",BJ17,0),2)</f>
        <v>0</v>
      </c>
      <c r="AI17" s="48" t="s">
        <v>81</v>
      </c>
      <c r="AJ17" s="35">
        <f>IF(AN17=0,J17,0)</f>
        <v>0</v>
      </c>
      <c r="AK17" s="35">
        <f>IF(AN17=12,J17,0)</f>
        <v>0</v>
      </c>
      <c r="AL17" s="35">
        <f>IF(AN17=21,J17,0)</f>
        <v>0</v>
      </c>
      <c r="AN17" s="35">
        <v>12</v>
      </c>
      <c r="AO17" s="35">
        <f>G17*0</f>
        <v>0</v>
      </c>
      <c r="AP17" s="35">
        <f>G17*(1-0)</f>
        <v>0</v>
      </c>
      <c r="AQ17" s="64" t="s">
        <v>199</v>
      </c>
      <c r="AV17" s="35">
        <f>ROUND(AW17+AX17,2)</f>
        <v>0</v>
      </c>
      <c r="AW17" s="35">
        <f>ROUND(F17*AO17,2)</f>
        <v>0</v>
      </c>
      <c r="AX17" s="35">
        <f>ROUND(F17*AP17,2)</f>
        <v>0</v>
      </c>
      <c r="AY17" s="64" t="s">
        <v>214</v>
      </c>
      <c r="AZ17" s="64" t="s">
        <v>215</v>
      </c>
      <c r="BA17" s="48" t="s">
        <v>207</v>
      </c>
      <c r="BB17" s="65">
        <v>100002</v>
      </c>
      <c r="BC17" s="35">
        <f>AW17+AX17</f>
        <v>0</v>
      </c>
      <c r="BD17" s="35">
        <f>G17/(100-BE17)*100</f>
        <v>0</v>
      </c>
      <c r="BE17" s="35">
        <v>0</v>
      </c>
      <c r="BF17" s="35">
        <f>17</f>
        <v>17</v>
      </c>
      <c r="BH17" s="35">
        <f>F17*AO17</f>
        <v>0</v>
      </c>
      <c r="BI17" s="35">
        <f>F17*AP17</f>
        <v>0</v>
      </c>
      <c r="BJ17" s="35">
        <f>F17*G17</f>
        <v>0</v>
      </c>
      <c r="BK17" s="64" t="s">
        <v>208</v>
      </c>
      <c r="BL17" s="35">
        <v>96</v>
      </c>
      <c r="BW17" s="35">
        <v>12</v>
      </c>
      <c r="BX17" s="3" t="s">
        <v>213</v>
      </c>
    </row>
    <row r="18" spans="1:76" ht="13.5" customHeight="1" x14ac:dyDescent="0.25">
      <c r="A18" s="66"/>
      <c r="C18" s="180" t="s">
        <v>216</v>
      </c>
      <c r="D18" s="181"/>
      <c r="E18" s="181"/>
      <c r="F18" s="181"/>
      <c r="G18" s="181"/>
      <c r="H18" s="181"/>
      <c r="I18" s="181"/>
      <c r="J18" s="181"/>
      <c r="K18" s="182"/>
    </row>
    <row r="19" spans="1:76" x14ac:dyDescent="0.25">
      <c r="A19" s="66"/>
      <c r="C19" s="67" t="s">
        <v>217</v>
      </c>
      <c r="D19" s="68" t="s">
        <v>218</v>
      </c>
      <c r="F19" s="69">
        <v>13.480700000000001</v>
      </c>
      <c r="K19" s="70"/>
    </row>
    <row r="20" spans="1:76" x14ac:dyDescent="0.25">
      <c r="A20" s="66"/>
      <c r="C20" s="67" t="s">
        <v>219</v>
      </c>
      <c r="D20" s="68" t="s">
        <v>220</v>
      </c>
      <c r="F20" s="69">
        <v>13.112</v>
      </c>
      <c r="K20" s="70"/>
    </row>
    <row r="21" spans="1:76" x14ac:dyDescent="0.25">
      <c r="A21" s="1" t="s">
        <v>221</v>
      </c>
      <c r="B21" s="2" t="s">
        <v>222</v>
      </c>
      <c r="C21" s="86" t="s">
        <v>223</v>
      </c>
      <c r="D21" s="87"/>
      <c r="E21" s="2" t="s">
        <v>224</v>
      </c>
      <c r="F21" s="35">
        <v>15.87</v>
      </c>
      <c r="G21" s="35">
        <v>0</v>
      </c>
      <c r="H21" s="35">
        <f>ROUND(F21*AO21,2)</f>
        <v>0</v>
      </c>
      <c r="I21" s="35">
        <f>ROUND(F21*AP21,2)</f>
        <v>0</v>
      </c>
      <c r="J21" s="35">
        <f>ROUND(F21*G21,2)</f>
        <v>0</v>
      </c>
      <c r="K21" s="63" t="s">
        <v>203</v>
      </c>
      <c r="Z21" s="35">
        <f>ROUND(IF(AQ21="5",BJ21,0),2)</f>
        <v>0</v>
      </c>
      <c r="AB21" s="35">
        <f>ROUND(IF(AQ21="1",BH21,0),2)</f>
        <v>0</v>
      </c>
      <c r="AC21" s="35">
        <f>ROUND(IF(AQ21="1",BI21,0),2)</f>
        <v>0</v>
      </c>
      <c r="AD21" s="35">
        <f>ROUND(IF(AQ21="7",BH21,0),2)</f>
        <v>0</v>
      </c>
      <c r="AE21" s="35">
        <f>ROUND(IF(AQ21="7",BI21,0),2)</f>
        <v>0</v>
      </c>
      <c r="AF21" s="35">
        <f>ROUND(IF(AQ21="2",BH21,0),2)</f>
        <v>0</v>
      </c>
      <c r="AG21" s="35">
        <f>ROUND(IF(AQ21="2",BI21,0),2)</f>
        <v>0</v>
      </c>
      <c r="AH21" s="35">
        <f>ROUND(IF(AQ21="0",BJ21,0),2)</f>
        <v>0</v>
      </c>
      <c r="AI21" s="48" t="s">
        <v>81</v>
      </c>
      <c r="AJ21" s="35">
        <f>IF(AN21=0,J21,0)</f>
        <v>0</v>
      </c>
      <c r="AK21" s="35">
        <f>IF(AN21=12,J21,0)</f>
        <v>0</v>
      </c>
      <c r="AL21" s="35">
        <f>IF(AN21=21,J21,0)</f>
        <v>0</v>
      </c>
      <c r="AN21" s="35">
        <v>12</v>
      </c>
      <c r="AO21" s="35">
        <f>G21*0</f>
        <v>0</v>
      </c>
      <c r="AP21" s="35">
        <f>G21*(1-0)</f>
        <v>0</v>
      </c>
      <c r="AQ21" s="64" t="s">
        <v>199</v>
      </c>
      <c r="AV21" s="35">
        <f>ROUND(AW21+AX21,2)</f>
        <v>0</v>
      </c>
      <c r="AW21" s="35">
        <f>ROUND(F21*AO21,2)</f>
        <v>0</v>
      </c>
      <c r="AX21" s="35">
        <f>ROUND(F21*AP21,2)</f>
        <v>0</v>
      </c>
      <c r="AY21" s="64" t="s">
        <v>214</v>
      </c>
      <c r="AZ21" s="64" t="s">
        <v>215</v>
      </c>
      <c r="BA21" s="48" t="s">
        <v>207</v>
      </c>
      <c r="BB21" s="65">
        <v>100002</v>
      </c>
      <c r="BC21" s="35">
        <f>AW21+AX21</f>
        <v>0</v>
      </c>
      <c r="BD21" s="35">
        <f>G21/(100-BE21)*100</f>
        <v>0</v>
      </c>
      <c r="BE21" s="35">
        <v>0</v>
      </c>
      <c r="BF21" s="35">
        <f>21</f>
        <v>21</v>
      </c>
      <c r="BH21" s="35">
        <f>F21*AO21</f>
        <v>0</v>
      </c>
      <c r="BI21" s="35">
        <f>F21*AP21</f>
        <v>0</v>
      </c>
      <c r="BJ21" s="35">
        <f>F21*G21</f>
        <v>0</v>
      </c>
      <c r="BK21" s="64" t="s">
        <v>208</v>
      </c>
      <c r="BL21" s="35">
        <v>96</v>
      </c>
      <c r="BW21" s="35">
        <v>12</v>
      </c>
      <c r="BX21" s="3" t="s">
        <v>223</v>
      </c>
    </row>
    <row r="22" spans="1:76" x14ac:dyDescent="0.25">
      <c r="A22" s="66"/>
      <c r="C22" s="67" t="s">
        <v>225</v>
      </c>
      <c r="D22" s="68" t="s">
        <v>226</v>
      </c>
      <c r="F22" s="69">
        <v>15.87</v>
      </c>
      <c r="K22" s="70"/>
    </row>
    <row r="23" spans="1:76" x14ac:dyDescent="0.25">
      <c r="A23" s="1" t="s">
        <v>227</v>
      </c>
      <c r="B23" s="2" t="s">
        <v>228</v>
      </c>
      <c r="C23" s="86" t="s">
        <v>229</v>
      </c>
      <c r="D23" s="87"/>
      <c r="E23" s="2" t="s">
        <v>230</v>
      </c>
      <c r="F23" s="35">
        <v>0.3</v>
      </c>
      <c r="G23" s="35">
        <v>0</v>
      </c>
      <c r="H23" s="35">
        <f>ROUND(F23*AO23,2)</f>
        <v>0</v>
      </c>
      <c r="I23" s="35">
        <f>ROUND(F23*AP23,2)</f>
        <v>0</v>
      </c>
      <c r="J23" s="35">
        <f>ROUND(F23*G23,2)</f>
        <v>0</v>
      </c>
      <c r="K23" s="63" t="s">
        <v>203</v>
      </c>
      <c r="Z23" s="35">
        <f>ROUND(IF(AQ23="5",BJ23,0),2)</f>
        <v>0</v>
      </c>
      <c r="AB23" s="35">
        <f>ROUND(IF(AQ23="1",BH23,0),2)</f>
        <v>0</v>
      </c>
      <c r="AC23" s="35">
        <f>ROUND(IF(AQ23="1",BI23,0),2)</f>
        <v>0</v>
      </c>
      <c r="AD23" s="35">
        <f>ROUND(IF(AQ23="7",BH23,0),2)</f>
        <v>0</v>
      </c>
      <c r="AE23" s="35">
        <f>ROUND(IF(AQ23="7",BI23,0),2)</f>
        <v>0</v>
      </c>
      <c r="AF23" s="35">
        <f>ROUND(IF(AQ23="2",BH23,0),2)</f>
        <v>0</v>
      </c>
      <c r="AG23" s="35">
        <f>ROUND(IF(AQ23="2",BI23,0),2)</f>
        <v>0</v>
      </c>
      <c r="AH23" s="35">
        <f>ROUND(IF(AQ23="0",BJ23,0),2)</f>
        <v>0</v>
      </c>
      <c r="AI23" s="48" t="s">
        <v>81</v>
      </c>
      <c r="AJ23" s="35">
        <f>IF(AN23=0,J23,0)</f>
        <v>0</v>
      </c>
      <c r="AK23" s="35">
        <f>IF(AN23=12,J23,0)</f>
        <v>0</v>
      </c>
      <c r="AL23" s="35">
        <f>IF(AN23=21,J23,0)</f>
        <v>0</v>
      </c>
      <c r="AN23" s="35">
        <v>12</v>
      </c>
      <c r="AO23" s="35">
        <f>G23*0</f>
        <v>0</v>
      </c>
      <c r="AP23" s="35">
        <f>G23*(1-0)</f>
        <v>0</v>
      </c>
      <c r="AQ23" s="64" t="s">
        <v>199</v>
      </c>
      <c r="AV23" s="35">
        <f>ROUND(AW23+AX23,2)</f>
        <v>0</v>
      </c>
      <c r="AW23" s="35">
        <f>ROUND(F23*AO23,2)</f>
        <v>0</v>
      </c>
      <c r="AX23" s="35">
        <f>ROUND(F23*AP23,2)</f>
        <v>0</v>
      </c>
      <c r="AY23" s="64" t="s">
        <v>214</v>
      </c>
      <c r="AZ23" s="64" t="s">
        <v>215</v>
      </c>
      <c r="BA23" s="48" t="s">
        <v>207</v>
      </c>
      <c r="BB23" s="65">
        <v>100002</v>
      </c>
      <c r="BC23" s="35">
        <f>AW23+AX23</f>
        <v>0</v>
      </c>
      <c r="BD23" s="35">
        <f>G23/(100-BE23)*100</f>
        <v>0</v>
      </c>
      <c r="BE23" s="35">
        <v>0</v>
      </c>
      <c r="BF23" s="35">
        <f>23</f>
        <v>23</v>
      </c>
      <c r="BH23" s="35">
        <f>F23*AO23</f>
        <v>0</v>
      </c>
      <c r="BI23" s="35">
        <f>F23*AP23</f>
        <v>0</v>
      </c>
      <c r="BJ23" s="35">
        <f>F23*G23</f>
        <v>0</v>
      </c>
      <c r="BK23" s="64" t="s">
        <v>208</v>
      </c>
      <c r="BL23" s="35">
        <v>96</v>
      </c>
      <c r="BW23" s="35">
        <v>12</v>
      </c>
      <c r="BX23" s="3" t="s">
        <v>229</v>
      </c>
    </row>
    <row r="24" spans="1:76" x14ac:dyDescent="0.25">
      <c r="A24" s="66"/>
      <c r="C24" s="67" t="s">
        <v>231</v>
      </c>
      <c r="D24" s="68" t="s">
        <v>232</v>
      </c>
      <c r="F24" s="69">
        <v>0.3</v>
      </c>
      <c r="K24" s="70"/>
    </row>
    <row r="25" spans="1:76" x14ac:dyDescent="0.25">
      <c r="A25" s="1" t="s">
        <v>233</v>
      </c>
      <c r="B25" s="2" t="s">
        <v>234</v>
      </c>
      <c r="C25" s="86" t="s">
        <v>235</v>
      </c>
      <c r="D25" s="87"/>
      <c r="E25" s="2" t="s">
        <v>230</v>
      </c>
      <c r="F25" s="35">
        <v>1.33</v>
      </c>
      <c r="G25" s="35">
        <v>0</v>
      </c>
      <c r="H25" s="35">
        <f>ROUND(F25*AO25,2)</f>
        <v>0</v>
      </c>
      <c r="I25" s="35">
        <f>ROUND(F25*AP25,2)</f>
        <v>0</v>
      </c>
      <c r="J25" s="35">
        <f>ROUND(F25*G25,2)</f>
        <v>0</v>
      </c>
      <c r="K25" s="63" t="s">
        <v>203</v>
      </c>
      <c r="Z25" s="35">
        <f>ROUND(IF(AQ25="5",BJ25,0),2)</f>
        <v>0</v>
      </c>
      <c r="AB25" s="35">
        <f>ROUND(IF(AQ25="1",BH25,0),2)</f>
        <v>0</v>
      </c>
      <c r="AC25" s="35">
        <f>ROUND(IF(AQ25="1",BI25,0),2)</f>
        <v>0</v>
      </c>
      <c r="AD25" s="35">
        <f>ROUND(IF(AQ25="7",BH25,0),2)</f>
        <v>0</v>
      </c>
      <c r="AE25" s="35">
        <f>ROUND(IF(AQ25="7",BI25,0),2)</f>
        <v>0</v>
      </c>
      <c r="AF25" s="35">
        <f>ROUND(IF(AQ25="2",BH25,0),2)</f>
        <v>0</v>
      </c>
      <c r="AG25" s="35">
        <f>ROUND(IF(AQ25="2",BI25,0),2)</f>
        <v>0</v>
      </c>
      <c r="AH25" s="35">
        <f>ROUND(IF(AQ25="0",BJ25,0),2)</f>
        <v>0</v>
      </c>
      <c r="AI25" s="48" t="s">
        <v>81</v>
      </c>
      <c r="AJ25" s="35">
        <f>IF(AN25=0,J25,0)</f>
        <v>0</v>
      </c>
      <c r="AK25" s="35">
        <f>IF(AN25=12,J25,0)</f>
        <v>0</v>
      </c>
      <c r="AL25" s="35">
        <f>IF(AN25=21,J25,0)</f>
        <v>0</v>
      </c>
      <c r="AN25" s="35">
        <v>12</v>
      </c>
      <c r="AO25" s="35">
        <f>G25*0</f>
        <v>0</v>
      </c>
      <c r="AP25" s="35">
        <f>G25*(1-0)</f>
        <v>0</v>
      </c>
      <c r="AQ25" s="64" t="s">
        <v>199</v>
      </c>
      <c r="AV25" s="35">
        <f>ROUND(AW25+AX25,2)</f>
        <v>0</v>
      </c>
      <c r="AW25" s="35">
        <f>ROUND(F25*AO25,2)</f>
        <v>0</v>
      </c>
      <c r="AX25" s="35">
        <f>ROUND(F25*AP25,2)</f>
        <v>0</v>
      </c>
      <c r="AY25" s="64" t="s">
        <v>214</v>
      </c>
      <c r="AZ25" s="64" t="s">
        <v>215</v>
      </c>
      <c r="BA25" s="48" t="s">
        <v>207</v>
      </c>
      <c r="BB25" s="65">
        <v>100002</v>
      </c>
      <c r="BC25" s="35">
        <f>AW25+AX25</f>
        <v>0</v>
      </c>
      <c r="BD25" s="35">
        <f>G25/(100-BE25)*100</f>
        <v>0</v>
      </c>
      <c r="BE25" s="35">
        <v>0</v>
      </c>
      <c r="BF25" s="35">
        <f>25</f>
        <v>25</v>
      </c>
      <c r="BH25" s="35">
        <f>F25*AO25</f>
        <v>0</v>
      </c>
      <c r="BI25" s="35">
        <f>F25*AP25</f>
        <v>0</v>
      </c>
      <c r="BJ25" s="35">
        <f>F25*G25</f>
        <v>0</v>
      </c>
      <c r="BK25" s="64" t="s">
        <v>208</v>
      </c>
      <c r="BL25" s="35">
        <v>96</v>
      </c>
      <c r="BW25" s="35">
        <v>12</v>
      </c>
      <c r="BX25" s="3" t="s">
        <v>235</v>
      </c>
    </row>
    <row r="26" spans="1:76" ht="13.5" customHeight="1" x14ac:dyDescent="0.25">
      <c r="A26" s="66"/>
      <c r="C26" s="180" t="s">
        <v>236</v>
      </c>
      <c r="D26" s="181"/>
      <c r="E26" s="181"/>
      <c r="F26" s="181"/>
      <c r="G26" s="181"/>
      <c r="H26" s="181"/>
      <c r="I26" s="181"/>
      <c r="J26" s="181"/>
      <c r="K26" s="182"/>
    </row>
    <row r="27" spans="1:76" x14ac:dyDescent="0.25">
      <c r="A27" s="66"/>
      <c r="C27" s="67" t="s">
        <v>237</v>
      </c>
      <c r="D27" s="68" t="s">
        <v>238</v>
      </c>
      <c r="F27" s="69">
        <v>1.33</v>
      </c>
      <c r="K27" s="70"/>
    </row>
    <row r="28" spans="1:76" x14ac:dyDescent="0.25">
      <c r="A28" s="1" t="s">
        <v>239</v>
      </c>
      <c r="B28" s="2" t="s">
        <v>240</v>
      </c>
      <c r="C28" s="86" t="s">
        <v>241</v>
      </c>
      <c r="D28" s="87"/>
      <c r="E28" s="2" t="s">
        <v>230</v>
      </c>
      <c r="F28" s="35">
        <v>2</v>
      </c>
      <c r="G28" s="35">
        <v>0</v>
      </c>
      <c r="H28" s="35">
        <f>ROUND(F28*AO28,2)</f>
        <v>0</v>
      </c>
      <c r="I28" s="35">
        <f>ROUND(F28*AP28,2)</f>
        <v>0</v>
      </c>
      <c r="J28" s="35">
        <f>ROUND(F28*G28,2)</f>
        <v>0</v>
      </c>
      <c r="K28" s="63" t="s">
        <v>203</v>
      </c>
      <c r="Z28" s="35">
        <f>ROUND(IF(AQ28="5",BJ28,0),2)</f>
        <v>0</v>
      </c>
      <c r="AB28" s="35">
        <f>ROUND(IF(AQ28="1",BH28,0),2)</f>
        <v>0</v>
      </c>
      <c r="AC28" s="35">
        <f>ROUND(IF(AQ28="1",BI28,0),2)</f>
        <v>0</v>
      </c>
      <c r="AD28" s="35">
        <f>ROUND(IF(AQ28="7",BH28,0),2)</f>
        <v>0</v>
      </c>
      <c r="AE28" s="35">
        <f>ROUND(IF(AQ28="7",BI28,0),2)</f>
        <v>0</v>
      </c>
      <c r="AF28" s="35">
        <f>ROUND(IF(AQ28="2",BH28,0),2)</f>
        <v>0</v>
      </c>
      <c r="AG28" s="35">
        <f>ROUND(IF(AQ28="2",BI28,0),2)</f>
        <v>0</v>
      </c>
      <c r="AH28" s="35">
        <f>ROUND(IF(AQ28="0",BJ28,0),2)</f>
        <v>0</v>
      </c>
      <c r="AI28" s="48" t="s">
        <v>81</v>
      </c>
      <c r="AJ28" s="35">
        <f>IF(AN28=0,J28,0)</f>
        <v>0</v>
      </c>
      <c r="AK28" s="35">
        <f>IF(AN28=12,J28,0)</f>
        <v>0</v>
      </c>
      <c r="AL28" s="35">
        <f>IF(AN28=21,J28,0)</f>
        <v>0</v>
      </c>
      <c r="AN28" s="35">
        <v>12</v>
      </c>
      <c r="AO28" s="35">
        <f>G28*0</f>
        <v>0</v>
      </c>
      <c r="AP28" s="35">
        <f>G28*(1-0)</f>
        <v>0</v>
      </c>
      <c r="AQ28" s="64" t="s">
        <v>199</v>
      </c>
      <c r="AV28" s="35">
        <f>ROUND(AW28+AX28,2)</f>
        <v>0</v>
      </c>
      <c r="AW28" s="35">
        <f>ROUND(F28*AO28,2)</f>
        <v>0</v>
      </c>
      <c r="AX28" s="35">
        <f>ROUND(F28*AP28,2)</f>
        <v>0</v>
      </c>
      <c r="AY28" s="64" t="s">
        <v>214</v>
      </c>
      <c r="AZ28" s="64" t="s">
        <v>215</v>
      </c>
      <c r="BA28" s="48" t="s">
        <v>207</v>
      </c>
      <c r="BB28" s="65">
        <v>100002</v>
      </c>
      <c r="BC28" s="35">
        <f>AW28+AX28</f>
        <v>0</v>
      </c>
      <c r="BD28" s="35">
        <f>G28/(100-BE28)*100</f>
        <v>0</v>
      </c>
      <c r="BE28" s="35">
        <v>0</v>
      </c>
      <c r="BF28" s="35">
        <f>28</f>
        <v>28</v>
      </c>
      <c r="BH28" s="35">
        <f>F28*AO28</f>
        <v>0</v>
      </c>
      <c r="BI28" s="35">
        <f>F28*AP28</f>
        <v>0</v>
      </c>
      <c r="BJ28" s="35">
        <f>F28*G28</f>
        <v>0</v>
      </c>
      <c r="BK28" s="64" t="s">
        <v>208</v>
      </c>
      <c r="BL28" s="35">
        <v>96</v>
      </c>
      <c r="BW28" s="35">
        <v>12</v>
      </c>
      <c r="BX28" s="3" t="s">
        <v>241</v>
      </c>
    </row>
    <row r="29" spans="1:76" ht="13.5" customHeight="1" x14ac:dyDescent="0.25">
      <c r="A29" s="66"/>
      <c r="C29" s="180" t="s">
        <v>242</v>
      </c>
      <c r="D29" s="181"/>
      <c r="E29" s="181"/>
      <c r="F29" s="181"/>
      <c r="G29" s="181"/>
      <c r="H29" s="181"/>
      <c r="I29" s="181"/>
      <c r="J29" s="181"/>
      <c r="K29" s="182"/>
    </row>
    <row r="30" spans="1:76" x14ac:dyDescent="0.25">
      <c r="A30" s="66"/>
      <c r="C30" s="67" t="s">
        <v>243</v>
      </c>
      <c r="D30" s="68" t="s">
        <v>244</v>
      </c>
      <c r="F30" s="69">
        <v>2</v>
      </c>
      <c r="K30" s="70"/>
    </row>
    <row r="31" spans="1:76" x14ac:dyDescent="0.25">
      <c r="A31" s="1" t="s">
        <v>204</v>
      </c>
      <c r="B31" s="2" t="s">
        <v>245</v>
      </c>
      <c r="C31" s="86" t="s">
        <v>246</v>
      </c>
      <c r="D31" s="87"/>
      <c r="E31" s="2" t="s">
        <v>202</v>
      </c>
      <c r="F31" s="35">
        <v>0.86450000000000005</v>
      </c>
      <c r="G31" s="35">
        <v>0</v>
      </c>
      <c r="H31" s="35">
        <f>ROUND(F31*AO31,2)</f>
        <v>0</v>
      </c>
      <c r="I31" s="35">
        <f>ROUND(F31*AP31,2)</f>
        <v>0</v>
      </c>
      <c r="J31" s="35">
        <f>ROUND(F31*G31,2)</f>
        <v>0</v>
      </c>
      <c r="K31" s="63" t="s">
        <v>203</v>
      </c>
      <c r="Z31" s="35">
        <f>ROUND(IF(AQ31="5",BJ31,0),2)</f>
        <v>0</v>
      </c>
      <c r="AB31" s="35">
        <f>ROUND(IF(AQ31="1",BH31,0),2)</f>
        <v>0</v>
      </c>
      <c r="AC31" s="35">
        <f>ROUND(IF(AQ31="1",BI31,0),2)</f>
        <v>0</v>
      </c>
      <c r="AD31" s="35">
        <f>ROUND(IF(AQ31="7",BH31,0),2)</f>
        <v>0</v>
      </c>
      <c r="AE31" s="35">
        <f>ROUND(IF(AQ31="7",BI31,0),2)</f>
        <v>0</v>
      </c>
      <c r="AF31" s="35">
        <f>ROUND(IF(AQ31="2",BH31,0),2)</f>
        <v>0</v>
      </c>
      <c r="AG31" s="35">
        <f>ROUND(IF(AQ31="2",BI31,0),2)</f>
        <v>0</v>
      </c>
      <c r="AH31" s="35">
        <f>ROUND(IF(AQ31="0",BJ31,0),2)</f>
        <v>0</v>
      </c>
      <c r="AI31" s="48" t="s">
        <v>81</v>
      </c>
      <c r="AJ31" s="35">
        <f>IF(AN31=0,J31,0)</f>
        <v>0</v>
      </c>
      <c r="AK31" s="35">
        <f>IF(AN31=12,J31,0)</f>
        <v>0</v>
      </c>
      <c r="AL31" s="35">
        <f>IF(AN31=21,J31,0)</f>
        <v>0</v>
      </c>
      <c r="AN31" s="35">
        <v>12</v>
      </c>
      <c r="AO31" s="35">
        <f>G31*0.141318977</f>
        <v>0</v>
      </c>
      <c r="AP31" s="35">
        <f>G31*(1-0.141318977)</f>
        <v>0</v>
      </c>
      <c r="AQ31" s="64" t="s">
        <v>199</v>
      </c>
      <c r="AV31" s="35">
        <f>ROUND(AW31+AX31,2)</f>
        <v>0</v>
      </c>
      <c r="AW31" s="35">
        <f>ROUND(F31*AO31,2)</f>
        <v>0</v>
      </c>
      <c r="AX31" s="35">
        <f>ROUND(F31*AP31,2)</f>
        <v>0</v>
      </c>
      <c r="AY31" s="64" t="s">
        <v>214</v>
      </c>
      <c r="AZ31" s="64" t="s">
        <v>215</v>
      </c>
      <c r="BA31" s="48" t="s">
        <v>207</v>
      </c>
      <c r="BB31" s="65">
        <v>100002</v>
      </c>
      <c r="BC31" s="35">
        <f>AW31+AX31</f>
        <v>0</v>
      </c>
      <c r="BD31" s="35">
        <f>G31/(100-BE31)*100</f>
        <v>0</v>
      </c>
      <c r="BE31" s="35">
        <v>0</v>
      </c>
      <c r="BF31" s="35">
        <f>31</f>
        <v>31</v>
      </c>
      <c r="BH31" s="35">
        <f>F31*AO31</f>
        <v>0</v>
      </c>
      <c r="BI31" s="35">
        <f>F31*AP31</f>
        <v>0</v>
      </c>
      <c r="BJ31" s="35">
        <f>F31*G31</f>
        <v>0</v>
      </c>
      <c r="BK31" s="64" t="s">
        <v>208</v>
      </c>
      <c r="BL31" s="35">
        <v>96</v>
      </c>
      <c r="BW31" s="35">
        <v>12</v>
      </c>
      <c r="BX31" s="3" t="s">
        <v>246</v>
      </c>
    </row>
    <row r="32" spans="1:76" x14ac:dyDescent="0.25">
      <c r="A32" s="66"/>
      <c r="C32" s="67" t="s">
        <v>247</v>
      </c>
      <c r="D32" s="68" t="s">
        <v>248</v>
      </c>
      <c r="F32" s="69">
        <v>0.86450000000000005</v>
      </c>
      <c r="K32" s="70"/>
    </row>
    <row r="33" spans="1:76" x14ac:dyDescent="0.25">
      <c r="A33" s="1" t="s">
        <v>249</v>
      </c>
      <c r="B33" s="2" t="s">
        <v>250</v>
      </c>
      <c r="C33" s="86" t="s">
        <v>251</v>
      </c>
      <c r="D33" s="87"/>
      <c r="E33" s="2" t="s">
        <v>252</v>
      </c>
      <c r="F33" s="35">
        <v>2</v>
      </c>
      <c r="G33" s="35">
        <v>0</v>
      </c>
      <c r="H33" s="35">
        <f>ROUND(F33*AO33,2)</f>
        <v>0</v>
      </c>
      <c r="I33" s="35">
        <f>ROUND(F33*AP33,2)</f>
        <v>0</v>
      </c>
      <c r="J33" s="35">
        <f>ROUND(F33*G33,2)</f>
        <v>0</v>
      </c>
      <c r="K33" s="63" t="s">
        <v>203</v>
      </c>
      <c r="Z33" s="35">
        <f>ROUND(IF(AQ33="5",BJ33,0),2)</f>
        <v>0</v>
      </c>
      <c r="AB33" s="35">
        <f>ROUND(IF(AQ33="1",BH33,0),2)</f>
        <v>0</v>
      </c>
      <c r="AC33" s="35">
        <f>ROUND(IF(AQ33="1",BI33,0),2)</f>
        <v>0</v>
      </c>
      <c r="AD33" s="35">
        <f>ROUND(IF(AQ33="7",BH33,0),2)</f>
        <v>0</v>
      </c>
      <c r="AE33" s="35">
        <f>ROUND(IF(AQ33="7",BI33,0),2)</f>
        <v>0</v>
      </c>
      <c r="AF33" s="35">
        <f>ROUND(IF(AQ33="2",BH33,0),2)</f>
        <v>0</v>
      </c>
      <c r="AG33" s="35">
        <f>ROUND(IF(AQ33="2",BI33,0),2)</f>
        <v>0</v>
      </c>
      <c r="AH33" s="35">
        <f>ROUND(IF(AQ33="0",BJ33,0),2)</f>
        <v>0</v>
      </c>
      <c r="AI33" s="48" t="s">
        <v>81</v>
      </c>
      <c r="AJ33" s="35">
        <f>IF(AN33=0,J33,0)</f>
        <v>0</v>
      </c>
      <c r="AK33" s="35">
        <f>IF(AN33=12,J33,0)</f>
        <v>0</v>
      </c>
      <c r="AL33" s="35">
        <f>IF(AN33=21,J33,0)</f>
        <v>0</v>
      </c>
      <c r="AN33" s="35">
        <v>12</v>
      </c>
      <c r="AO33" s="35">
        <f>G33*0</f>
        <v>0</v>
      </c>
      <c r="AP33" s="35">
        <f>G33*(1-0)</f>
        <v>0</v>
      </c>
      <c r="AQ33" s="64" t="s">
        <v>199</v>
      </c>
      <c r="AV33" s="35">
        <f>ROUND(AW33+AX33,2)</f>
        <v>0</v>
      </c>
      <c r="AW33" s="35">
        <f>ROUND(F33*AO33,2)</f>
        <v>0</v>
      </c>
      <c r="AX33" s="35">
        <f>ROUND(F33*AP33,2)</f>
        <v>0</v>
      </c>
      <c r="AY33" s="64" t="s">
        <v>214</v>
      </c>
      <c r="AZ33" s="64" t="s">
        <v>215</v>
      </c>
      <c r="BA33" s="48" t="s">
        <v>207</v>
      </c>
      <c r="BB33" s="65">
        <v>100002</v>
      </c>
      <c r="BC33" s="35">
        <f>AW33+AX33</f>
        <v>0</v>
      </c>
      <c r="BD33" s="35">
        <f>G33/(100-BE33)*100</f>
        <v>0</v>
      </c>
      <c r="BE33" s="35">
        <v>0</v>
      </c>
      <c r="BF33" s="35">
        <f>33</f>
        <v>33</v>
      </c>
      <c r="BH33" s="35">
        <f>F33*AO33</f>
        <v>0</v>
      </c>
      <c r="BI33" s="35">
        <f>F33*AP33</f>
        <v>0</v>
      </c>
      <c r="BJ33" s="35">
        <f>F33*G33</f>
        <v>0</v>
      </c>
      <c r="BK33" s="64" t="s">
        <v>208</v>
      </c>
      <c r="BL33" s="35">
        <v>96</v>
      </c>
      <c r="BW33" s="35">
        <v>12</v>
      </c>
      <c r="BX33" s="3" t="s">
        <v>251</v>
      </c>
    </row>
    <row r="34" spans="1:76" x14ac:dyDescent="0.25">
      <c r="A34" s="66"/>
      <c r="C34" s="67" t="s">
        <v>199</v>
      </c>
      <c r="D34" s="68" t="s">
        <v>253</v>
      </c>
      <c r="F34" s="69">
        <v>1</v>
      </c>
      <c r="K34" s="70"/>
    </row>
    <row r="35" spans="1:76" x14ac:dyDescent="0.25">
      <c r="A35" s="66"/>
      <c r="C35" s="67" t="s">
        <v>199</v>
      </c>
      <c r="D35" s="68" t="s">
        <v>254</v>
      </c>
      <c r="F35" s="69">
        <v>1</v>
      </c>
      <c r="K35" s="70"/>
    </row>
    <row r="36" spans="1:76" x14ac:dyDescent="0.25">
      <c r="A36" s="1" t="s">
        <v>255</v>
      </c>
      <c r="B36" s="2" t="s">
        <v>256</v>
      </c>
      <c r="C36" s="86" t="s">
        <v>257</v>
      </c>
      <c r="D36" s="87"/>
      <c r="E36" s="2" t="s">
        <v>202</v>
      </c>
      <c r="F36" s="35">
        <v>1.8</v>
      </c>
      <c r="G36" s="35">
        <v>0</v>
      </c>
      <c r="H36" s="35">
        <f>ROUND(F36*AO36,2)</f>
        <v>0</v>
      </c>
      <c r="I36" s="35">
        <f>ROUND(F36*AP36,2)</f>
        <v>0</v>
      </c>
      <c r="J36" s="35">
        <f>ROUND(F36*G36,2)</f>
        <v>0</v>
      </c>
      <c r="K36" s="63" t="s">
        <v>203</v>
      </c>
      <c r="Z36" s="35">
        <f>ROUND(IF(AQ36="5",BJ36,0),2)</f>
        <v>0</v>
      </c>
      <c r="AB36" s="35">
        <f>ROUND(IF(AQ36="1",BH36,0),2)</f>
        <v>0</v>
      </c>
      <c r="AC36" s="35">
        <f>ROUND(IF(AQ36="1",BI36,0),2)</f>
        <v>0</v>
      </c>
      <c r="AD36" s="35">
        <f>ROUND(IF(AQ36="7",BH36,0),2)</f>
        <v>0</v>
      </c>
      <c r="AE36" s="35">
        <f>ROUND(IF(AQ36="7",BI36,0),2)</f>
        <v>0</v>
      </c>
      <c r="AF36" s="35">
        <f>ROUND(IF(AQ36="2",BH36,0),2)</f>
        <v>0</v>
      </c>
      <c r="AG36" s="35">
        <f>ROUND(IF(AQ36="2",BI36,0),2)</f>
        <v>0</v>
      </c>
      <c r="AH36" s="35">
        <f>ROUND(IF(AQ36="0",BJ36,0),2)</f>
        <v>0</v>
      </c>
      <c r="AI36" s="48" t="s">
        <v>81</v>
      </c>
      <c r="AJ36" s="35">
        <f>IF(AN36=0,J36,0)</f>
        <v>0</v>
      </c>
      <c r="AK36" s="35">
        <f>IF(AN36=12,J36,0)</f>
        <v>0</v>
      </c>
      <c r="AL36" s="35">
        <f>IF(AN36=21,J36,0)</f>
        <v>0</v>
      </c>
      <c r="AN36" s="35">
        <v>12</v>
      </c>
      <c r="AO36" s="35">
        <f>G36*0.060911846</f>
        <v>0</v>
      </c>
      <c r="AP36" s="35">
        <f>G36*(1-0.060911846)</f>
        <v>0</v>
      </c>
      <c r="AQ36" s="64" t="s">
        <v>199</v>
      </c>
      <c r="AV36" s="35">
        <f>ROUND(AW36+AX36,2)</f>
        <v>0</v>
      </c>
      <c r="AW36" s="35">
        <f>ROUND(F36*AO36,2)</f>
        <v>0</v>
      </c>
      <c r="AX36" s="35">
        <f>ROUND(F36*AP36,2)</f>
        <v>0</v>
      </c>
      <c r="AY36" s="64" t="s">
        <v>214</v>
      </c>
      <c r="AZ36" s="64" t="s">
        <v>215</v>
      </c>
      <c r="BA36" s="48" t="s">
        <v>207</v>
      </c>
      <c r="BB36" s="65">
        <v>100002</v>
      </c>
      <c r="BC36" s="35">
        <f>AW36+AX36</f>
        <v>0</v>
      </c>
      <c r="BD36" s="35">
        <f>G36/(100-BE36)*100</f>
        <v>0</v>
      </c>
      <c r="BE36" s="35">
        <v>0</v>
      </c>
      <c r="BF36" s="35">
        <f>36</f>
        <v>36</v>
      </c>
      <c r="BH36" s="35">
        <f>F36*AO36</f>
        <v>0</v>
      </c>
      <c r="BI36" s="35">
        <f>F36*AP36</f>
        <v>0</v>
      </c>
      <c r="BJ36" s="35">
        <f>F36*G36</f>
        <v>0</v>
      </c>
      <c r="BK36" s="64" t="s">
        <v>208</v>
      </c>
      <c r="BL36" s="35">
        <v>96</v>
      </c>
      <c r="BW36" s="35">
        <v>12</v>
      </c>
      <c r="BX36" s="3" t="s">
        <v>257</v>
      </c>
    </row>
    <row r="37" spans="1:76" x14ac:dyDescent="0.25">
      <c r="A37" s="66"/>
      <c r="C37" s="67" t="s">
        <v>258</v>
      </c>
      <c r="D37" s="68" t="s">
        <v>259</v>
      </c>
      <c r="F37" s="69">
        <v>1.8</v>
      </c>
      <c r="K37" s="70"/>
    </row>
    <row r="38" spans="1:76" x14ac:dyDescent="0.25">
      <c r="A38" s="59" t="s">
        <v>10</v>
      </c>
      <c r="B38" s="60" t="s">
        <v>100</v>
      </c>
      <c r="C38" s="177" t="s">
        <v>101</v>
      </c>
      <c r="D38" s="178"/>
      <c r="E38" s="61" t="s">
        <v>74</v>
      </c>
      <c r="F38" s="61" t="s">
        <v>74</v>
      </c>
      <c r="G38" s="61" t="s">
        <v>74</v>
      </c>
      <c r="H38" s="42">
        <f>SUM(H39:H51)</f>
        <v>0</v>
      </c>
      <c r="I38" s="42">
        <f>SUM(I39:I51)</f>
        <v>0</v>
      </c>
      <c r="J38" s="42">
        <f>SUM(J39:J51)</f>
        <v>0</v>
      </c>
      <c r="K38" s="62" t="s">
        <v>10</v>
      </c>
      <c r="AI38" s="48" t="s">
        <v>81</v>
      </c>
      <c r="AS38" s="42">
        <f>SUM(AJ39:AJ51)</f>
        <v>0</v>
      </c>
      <c r="AT38" s="42">
        <f>SUM(AK39:AK51)</f>
        <v>0</v>
      </c>
      <c r="AU38" s="42">
        <f>SUM(AL39:AL51)</f>
        <v>0</v>
      </c>
    </row>
    <row r="39" spans="1:76" x14ac:dyDescent="0.25">
      <c r="A39" s="1" t="s">
        <v>260</v>
      </c>
      <c r="B39" s="2" t="s">
        <v>261</v>
      </c>
      <c r="C39" s="86" t="s">
        <v>262</v>
      </c>
      <c r="D39" s="87"/>
      <c r="E39" s="2" t="s">
        <v>202</v>
      </c>
      <c r="F39" s="35">
        <v>12.544499999999999</v>
      </c>
      <c r="G39" s="35">
        <v>0</v>
      </c>
      <c r="H39" s="35">
        <f>ROUND(F39*AO39,2)</f>
        <v>0</v>
      </c>
      <c r="I39" s="35">
        <f>ROUND(F39*AP39,2)</f>
        <v>0</v>
      </c>
      <c r="J39" s="35">
        <f>ROUND(F39*G39,2)</f>
        <v>0</v>
      </c>
      <c r="K39" s="63" t="s">
        <v>203</v>
      </c>
      <c r="Z39" s="35">
        <f>ROUND(IF(AQ39="5",BJ39,0),2)</f>
        <v>0</v>
      </c>
      <c r="AB39" s="35">
        <f>ROUND(IF(AQ39="1",BH39,0),2)</f>
        <v>0</v>
      </c>
      <c r="AC39" s="35">
        <f>ROUND(IF(AQ39="1",BI39,0),2)</f>
        <v>0</v>
      </c>
      <c r="AD39" s="35">
        <f>ROUND(IF(AQ39="7",BH39,0),2)</f>
        <v>0</v>
      </c>
      <c r="AE39" s="35">
        <f>ROUND(IF(AQ39="7",BI39,0),2)</f>
        <v>0</v>
      </c>
      <c r="AF39" s="35">
        <f>ROUND(IF(AQ39="2",BH39,0),2)</f>
        <v>0</v>
      </c>
      <c r="AG39" s="35">
        <f>ROUND(IF(AQ39="2",BI39,0),2)</f>
        <v>0</v>
      </c>
      <c r="AH39" s="35">
        <f>ROUND(IF(AQ39="0",BJ39,0),2)</f>
        <v>0</v>
      </c>
      <c r="AI39" s="48" t="s">
        <v>81</v>
      </c>
      <c r="AJ39" s="35">
        <f>IF(AN39=0,J39,0)</f>
        <v>0</v>
      </c>
      <c r="AK39" s="35">
        <f>IF(AN39=12,J39,0)</f>
        <v>0</v>
      </c>
      <c r="AL39" s="35">
        <f>IF(AN39=21,J39,0)</f>
        <v>0</v>
      </c>
      <c r="AN39" s="35">
        <v>12</v>
      </c>
      <c r="AO39" s="35">
        <f>G39*0</f>
        <v>0</v>
      </c>
      <c r="AP39" s="35">
        <f>G39*(1-0)</f>
        <v>0</v>
      </c>
      <c r="AQ39" s="64" t="s">
        <v>199</v>
      </c>
      <c r="AV39" s="35">
        <f>ROUND(AW39+AX39,2)</f>
        <v>0</v>
      </c>
      <c r="AW39" s="35">
        <f>ROUND(F39*AO39,2)</f>
        <v>0</v>
      </c>
      <c r="AX39" s="35">
        <f>ROUND(F39*AP39,2)</f>
        <v>0</v>
      </c>
      <c r="AY39" s="64" t="s">
        <v>263</v>
      </c>
      <c r="AZ39" s="64" t="s">
        <v>215</v>
      </c>
      <c r="BA39" s="48" t="s">
        <v>207</v>
      </c>
      <c r="BB39" s="65">
        <v>100001</v>
      </c>
      <c r="BC39" s="35">
        <f>AW39+AX39</f>
        <v>0</v>
      </c>
      <c r="BD39" s="35">
        <f>G39/(100-BE39)*100</f>
        <v>0</v>
      </c>
      <c r="BE39" s="35">
        <v>0</v>
      </c>
      <c r="BF39" s="35">
        <f>39</f>
        <v>39</v>
      </c>
      <c r="BH39" s="35">
        <f>F39*AO39</f>
        <v>0</v>
      </c>
      <c r="BI39" s="35">
        <f>F39*AP39</f>
        <v>0</v>
      </c>
      <c r="BJ39" s="35">
        <f>F39*G39</f>
        <v>0</v>
      </c>
      <c r="BK39" s="64" t="s">
        <v>208</v>
      </c>
      <c r="BL39" s="35">
        <v>97</v>
      </c>
      <c r="BW39" s="35">
        <v>12</v>
      </c>
      <c r="BX39" s="3" t="s">
        <v>262</v>
      </c>
    </row>
    <row r="40" spans="1:76" x14ac:dyDescent="0.25">
      <c r="A40" s="66"/>
      <c r="C40" s="67" t="s">
        <v>264</v>
      </c>
      <c r="D40" s="68" t="s">
        <v>265</v>
      </c>
      <c r="F40" s="69">
        <v>12.544499999999999</v>
      </c>
      <c r="K40" s="70"/>
    </row>
    <row r="41" spans="1:76" x14ac:dyDescent="0.25">
      <c r="A41" s="1" t="s">
        <v>266</v>
      </c>
      <c r="B41" s="2" t="s">
        <v>267</v>
      </c>
      <c r="C41" s="86" t="s">
        <v>268</v>
      </c>
      <c r="D41" s="87"/>
      <c r="E41" s="2" t="s">
        <v>224</v>
      </c>
      <c r="F41" s="35">
        <v>13.8</v>
      </c>
      <c r="G41" s="35">
        <v>0</v>
      </c>
      <c r="H41" s="35">
        <f>ROUND(F41*AO41,2)</f>
        <v>0</v>
      </c>
      <c r="I41" s="35">
        <f>ROUND(F41*AP41,2)</f>
        <v>0</v>
      </c>
      <c r="J41" s="35">
        <f>ROUND(F41*G41,2)</f>
        <v>0</v>
      </c>
      <c r="K41" s="63" t="s">
        <v>203</v>
      </c>
      <c r="Z41" s="35">
        <f>ROUND(IF(AQ41="5",BJ41,0),2)</f>
        <v>0</v>
      </c>
      <c r="AB41" s="35">
        <f>ROUND(IF(AQ41="1",BH41,0),2)</f>
        <v>0</v>
      </c>
      <c r="AC41" s="35">
        <f>ROUND(IF(AQ41="1",BI41,0),2)</f>
        <v>0</v>
      </c>
      <c r="AD41" s="35">
        <f>ROUND(IF(AQ41="7",BH41,0),2)</f>
        <v>0</v>
      </c>
      <c r="AE41" s="35">
        <f>ROUND(IF(AQ41="7",BI41,0),2)</f>
        <v>0</v>
      </c>
      <c r="AF41" s="35">
        <f>ROUND(IF(AQ41="2",BH41,0),2)</f>
        <v>0</v>
      </c>
      <c r="AG41" s="35">
        <f>ROUND(IF(AQ41="2",BI41,0),2)</f>
        <v>0</v>
      </c>
      <c r="AH41" s="35">
        <f>ROUND(IF(AQ41="0",BJ41,0),2)</f>
        <v>0</v>
      </c>
      <c r="AI41" s="48" t="s">
        <v>81</v>
      </c>
      <c r="AJ41" s="35">
        <f>IF(AN41=0,J41,0)</f>
        <v>0</v>
      </c>
      <c r="AK41" s="35">
        <f>IF(AN41=12,J41,0)</f>
        <v>0</v>
      </c>
      <c r="AL41" s="35">
        <f>IF(AN41=21,J41,0)</f>
        <v>0</v>
      </c>
      <c r="AN41" s="35">
        <v>12</v>
      </c>
      <c r="AO41" s="35">
        <f>G41*0</f>
        <v>0</v>
      </c>
      <c r="AP41" s="35">
        <f>G41*(1-0)</f>
        <v>0</v>
      </c>
      <c r="AQ41" s="64" t="s">
        <v>199</v>
      </c>
      <c r="AV41" s="35">
        <f>ROUND(AW41+AX41,2)</f>
        <v>0</v>
      </c>
      <c r="AW41" s="35">
        <f>ROUND(F41*AO41,2)</f>
        <v>0</v>
      </c>
      <c r="AX41" s="35">
        <f>ROUND(F41*AP41,2)</f>
        <v>0</v>
      </c>
      <c r="AY41" s="64" t="s">
        <v>263</v>
      </c>
      <c r="AZ41" s="64" t="s">
        <v>215</v>
      </c>
      <c r="BA41" s="48" t="s">
        <v>207</v>
      </c>
      <c r="BB41" s="65">
        <v>100001</v>
      </c>
      <c r="BC41" s="35">
        <f>AW41+AX41</f>
        <v>0</v>
      </c>
      <c r="BD41" s="35">
        <f>G41/(100-BE41)*100</f>
        <v>0</v>
      </c>
      <c r="BE41" s="35">
        <v>0</v>
      </c>
      <c r="BF41" s="35">
        <f>41</f>
        <v>41</v>
      </c>
      <c r="BH41" s="35">
        <f>F41*AO41</f>
        <v>0</v>
      </c>
      <c r="BI41" s="35">
        <f>F41*AP41</f>
        <v>0</v>
      </c>
      <c r="BJ41" s="35">
        <f>F41*G41</f>
        <v>0</v>
      </c>
      <c r="BK41" s="64" t="s">
        <v>208</v>
      </c>
      <c r="BL41" s="35">
        <v>97</v>
      </c>
      <c r="BW41" s="35">
        <v>12</v>
      </c>
      <c r="BX41" s="3" t="s">
        <v>268</v>
      </c>
    </row>
    <row r="42" spans="1:76" x14ac:dyDescent="0.25">
      <c r="A42" s="66"/>
      <c r="C42" s="67" t="s">
        <v>269</v>
      </c>
      <c r="D42" s="68" t="s">
        <v>10</v>
      </c>
      <c r="F42" s="69">
        <v>13.8</v>
      </c>
      <c r="K42" s="70"/>
    </row>
    <row r="43" spans="1:76" x14ac:dyDescent="0.25">
      <c r="A43" s="1" t="s">
        <v>270</v>
      </c>
      <c r="B43" s="2" t="s">
        <v>271</v>
      </c>
      <c r="C43" s="86" t="s">
        <v>272</v>
      </c>
      <c r="D43" s="87"/>
      <c r="E43" s="2" t="s">
        <v>252</v>
      </c>
      <c r="F43" s="35">
        <v>1</v>
      </c>
      <c r="G43" s="35">
        <v>0</v>
      </c>
      <c r="H43" s="35">
        <f>ROUND(F43*AO43,2)</f>
        <v>0</v>
      </c>
      <c r="I43" s="35">
        <f>ROUND(F43*AP43,2)</f>
        <v>0</v>
      </c>
      <c r="J43" s="35">
        <f>ROUND(F43*G43,2)</f>
        <v>0</v>
      </c>
      <c r="K43" s="63" t="s">
        <v>203</v>
      </c>
      <c r="Z43" s="35">
        <f>ROUND(IF(AQ43="5",BJ43,0),2)</f>
        <v>0</v>
      </c>
      <c r="AB43" s="35">
        <f>ROUND(IF(AQ43="1",BH43,0),2)</f>
        <v>0</v>
      </c>
      <c r="AC43" s="35">
        <f>ROUND(IF(AQ43="1",BI43,0),2)</f>
        <v>0</v>
      </c>
      <c r="AD43" s="35">
        <f>ROUND(IF(AQ43="7",BH43,0),2)</f>
        <v>0</v>
      </c>
      <c r="AE43" s="35">
        <f>ROUND(IF(AQ43="7",BI43,0),2)</f>
        <v>0</v>
      </c>
      <c r="AF43" s="35">
        <f>ROUND(IF(AQ43="2",BH43,0),2)</f>
        <v>0</v>
      </c>
      <c r="AG43" s="35">
        <f>ROUND(IF(AQ43="2",BI43,0),2)</f>
        <v>0</v>
      </c>
      <c r="AH43" s="35">
        <f>ROUND(IF(AQ43="0",BJ43,0),2)</f>
        <v>0</v>
      </c>
      <c r="AI43" s="48" t="s">
        <v>81</v>
      </c>
      <c r="AJ43" s="35">
        <f>IF(AN43=0,J43,0)</f>
        <v>0</v>
      </c>
      <c r="AK43" s="35">
        <f>IF(AN43=12,J43,0)</f>
        <v>0</v>
      </c>
      <c r="AL43" s="35">
        <f>IF(AN43=21,J43,0)</f>
        <v>0</v>
      </c>
      <c r="AN43" s="35">
        <v>12</v>
      </c>
      <c r="AO43" s="35">
        <f>G43*0</f>
        <v>0</v>
      </c>
      <c r="AP43" s="35">
        <f>G43*(1-0)</f>
        <v>0</v>
      </c>
      <c r="AQ43" s="64" t="s">
        <v>199</v>
      </c>
      <c r="AV43" s="35">
        <f>ROUND(AW43+AX43,2)</f>
        <v>0</v>
      </c>
      <c r="AW43" s="35">
        <f>ROUND(F43*AO43,2)</f>
        <v>0</v>
      </c>
      <c r="AX43" s="35">
        <f>ROUND(F43*AP43,2)</f>
        <v>0</v>
      </c>
      <c r="AY43" s="64" t="s">
        <v>263</v>
      </c>
      <c r="AZ43" s="64" t="s">
        <v>215</v>
      </c>
      <c r="BA43" s="48" t="s">
        <v>207</v>
      </c>
      <c r="BB43" s="65">
        <v>100001</v>
      </c>
      <c r="BC43" s="35">
        <f>AW43+AX43</f>
        <v>0</v>
      </c>
      <c r="BD43" s="35">
        <f>G43/(100-BE43)*100</f>
        <v>0</v>
      </c>
      <c r="BE43" s="35">
        <v>0</v>
      </c>
      <c r="BF43" s="35">
        <f>43</f>
        <v>43</v>
      </c>
      <c r="BH43" s="35">
        <f>F43*AO43</f>
        <v>0</v>
      </c>
      <c r="BI43" s="35">
        <f>F43*AP43</f>
        <v>0</v>
      </c>
      <c r="BJ43" s="35">
        <f>F43*G43</f>
        <v>0</v>
      </c>
      <c r="BK43" s="64" t="s">
        <v>208</v>
      </c>
      <c r="BL43" s="35">
        <v>97</v>
      </c>
      <c r="BW43" s="35">
        <v>12</v>
      </c>
      <c r="BX43" s="3" t="s">
        <v>272</v>
      </c>
    </row>
    <row r="44" spans="1:76" x14ac:dyDescent="0.25">
      <c r="A44" s="66"/>
      <c r="C44" s="67" t="s">
        <v>199</v>
      </c>
      <c r="D44" s="68" t="s">
        <v>273</v>
      </c>
      <c r="F44" s="69">
        <v>1</v>
      </c>
      <c r="K44" s="70"/>
    </row>
    <row r="45" spans="1:76" x14ac:dyDescent="0.25">
      <c r="A45" s="1" t="s">
        <v>274</v>
      </c>
      <c r="B45" s="2" t="s">
        <v>275</v>
      </c>
      <c r="C45" s="86" t="s">
        <v>276</v>
      </c>
      <c r="D45" s="87"/>
      <c r="E45" s="2" t="s">
        <v>252</v>
      </c>
      <c r="F45" s="35">
        <v>3</v>
      </c>
      <c r="G45" s="35">
        <v>0</v>
      </c>
      <c r="H45" s="35">
        <f>ROUND(F45*AO45,2)</f>
        <v>0</v>
      </c>
      <c r="I45" s="35">
        <f>ROUND(F45*AP45,2)</f>
        <v>0</v>
      </c>
      <c r="J45" s="35">
        <f>ROUND(F45*G45,2)</f>
        <v>0</v>
      </c>
      <c r="K45" s="63" t="s">
        <v>203</v>
      </c>
      <c r="Z45" s="35">
        <f>ROUND(IF(AQ45="5",BJ45,0),2)</f>
        <v>0</v>
      </c>
      <c r="AB45" s="35">
        <f>ROUND(IF(AQ45="1",BH45,0),2)</f>
        <v>0</v>
      </c>
      <c r="AC45" s="35">
        <f>ROUND(IF(AQ45="1",BI45,0),2)</f>
        <v>0</v>
      </c>
      <c r="AD45" s="35">
        <f>ROUND(IF(AQ45="7",BH45,0),2)</f>
        <v>0</v>
      </c>
      <c r="AE45" s="35">
        <f>ROUND(IF(AQ45="7",BI45,0),2)</f>
        <v>0</v>
      </c>
      <c r="AF45" s="35">
        <f>ROUND(IF(AQ45="2",BH45,0),2)</f>
        <v>0</v>
      </c>
      <c r="AG45" s="35">
        <f>ROUND(IF(AQ45="2",BI45,0),2)</f>
        <v>0</v>
      </c>
      <c r="AH45" s="35">
        <f>ROUND(IF(AQ45="0",BJ45,0),2)</f>
        <v>0</v>
      </c>
      <c r="AI45" s="48" t="s">
        <v>81</v>
      </c>
      <c r="AJ45" s="35">
        <f>IF(AN45=0,J45,0)</f>
        <v>0</v>
      </c>
      <c r="AK45" s="35">
        <f>IF(AN45=12,J45,0)</f>
        <v>0</v>
      </c>
      <c r="AL45" s="35">
        <f>IF(AN45=21,J45,0)</f>
        <v>0</v>
      </c>
      <c r="AN45" s="35">
        <v>12</v>
      </c>
      <c r="AO45" s="35">
        <f>G45*0</f>
        <v>0</v>
      </c>
      <c r="AP45" s="35">
        <f>G45*(1-0)</f>
        <v>0</v>
      </c>
      <c r="AQ45" s="64" t="s">
        <v>199</v>
      </c>
      <c r="AV45" s="35">
        <f>ROUND(AW45+AX45,2)</f>
        <v>0</v>
      </c>
      <c r="AW45" s="35">
        <f>ROUND(F45*AO45,2)</f>
        <v>0</v>
      </c>
      <c r="AX45" s="35">
        <f>ROUND(F45*AP45,2)</f>
        <v>0</v>
      </c>
      <c r="AY45" s="64" t="s">
        <v>263</v>
      </c>
      <c r="AZ45" s="64" t="s">
        <v>215</v>
      </c>
      <c r="BA45" s="48" t="s">
        <v>207</v>
      </c>
      <c r="BB45" s="65">
        <v>100001</v>
      </c>
      <c r="BC45" s="35">
        <f>AW45+AX45</f>
        <v>0</v>
      </c>
      <c r="BD45" s="35">
        <f>G45/(100-BE45)*100</f>
        <v>0</v>
      </c>
      <c r="BE45" s="35">
        <v>0</v>
      </c>
      <c r="BF45" s="35">
        <f>45</f>
        <v>45</v>
      </c>
      <c r="BH45" s="35">
        <f>F45*AO45</f>
        <v>0</v>
      </c>
      <c r="BI45" s="35">
        <f>F45*AP45</f>
        <v>0</v>
      </c>
      <c r="BJ45" s="35">
        <f>F45*G45</f>
        <v>0</v>
      </c>
      <c r="BK45" s="64" t="s">
        <v>208</v>
      </c>
      <c r="BL45" s="35">
        <v>97</v>
      </c>
      <c r="BW45" s="35">
        <v>12</v>
      </c>
      <c r="BX45" s="3" t="s">
        <v>276</v>
      </c>
    </row>
    <row r="46" spans="1:76" x14ac:dyDescent="0.25">
      <c r="A46" s="66"/>
      <c r="C46" s="67" t="s">
        <v>199</v>
      </c>
      <c r="D46" s="68" t="s">
        <v>277</v>
      </c>
      <c r="F46" s="69">
        <v>1</v>
      </c>
      <c r="K46" s="70"/>
    </row>
    <row r="47" spans="1:76" x14ac:dyDescent="0.25">
      <c r="A47" s="66"/>
      <c r="C47" s="67" t="s">
        <v>199</v>
      </c>
      <c r="D47" s="68" t="s">
        <v>278</v>
      </c>
      <c r="F47" s="69">
        <v>1</v>
      </c>
      <c r="K47" s="70"/>
    </row>
    <row r="48" spans="1:76" x14ac:dyDescent="0.25">
      <c r="A48" s="66"/>
      <c r="C48" s="67" t="s">
        <v>199</v>
      </c>
      <c r="D48" s="68" t="s">
        <v>273</v>
      </c>
      <c r="F48" s="69">
        <v>1</v>
      </c>
      <c r="K48" s="70"/>
    </row>
    <row r="49" spans="1:76" x14ac:dyDescent="0.25">
      <c r="A49" s="1" t="s">
        <v>279</v>
      </c>
      <c r="B49" s="2" t="s">
        <v>280</v>
      </c>
      <c r="C49" s="86" t="s">
        <v>281</v>
      </c>
      <c r="D49" s="87"/>
      <c r="E49" s="2" t="s">
        <v>202</v>
      </c>
      <c r="F49" s="35">
        <v>12.55</v>
      </c>
      <c r="G49" s="35">
        <v>0</v>
      </c>
      <c r="H49" s="35">
        <f>ROUND(F49*AO49,2)</f>
        <v>0</v>
      </c>
      <c r="I49" s="35">
        <f>ROUND(F49*AP49,2)</f>
        <v>0</v>
      </c>
      <c r="J49" s="35">
        <f>ROUND(F49*G49,2)</f>
        <v>0</v>
      </c>
      <c r="K49" s="63" t="s">
        <v>203</v>
      </c>
      <c r="Z49" s="35">
        <f>ROUND(IF(AQ49="5",BJ49,0),2)</f>
        <v>0</v>
      </c>
      <c r="AB49" s="35">
        <f>ROUND(IF(AQ49="1",BH49,0),2)</f>
        <v>0</v>
      </c>
      <c r="AC49" s="35">
        <f>ROUND(IF(AQ49="1",BI49,0),2)</f>
        <v>0</v>
      </c>
      <c r="AD49" s="35">
        <f>ROUND(IF(AQ49="7",BH49,0),2)</f>
        <v>0</v>
      </c>
      <c r="AE49" s="35">
        <f>ROUND(IF(AQ49="7",BI49,0),2)</f>
        <v>0</v>
      </c>
      <c r="AF49" s="35">
        <f>ROUND(IF(AQ49="2",BH49,0),2)</f>
        <v>0</v>
      </c>
      <c r="AG49" s="35">
        <f>ROUND(IF(AQ49="2",BI49,0),2)</f>
        <v>0</v>
      </c>
      <c r="AH49" s="35">
        <f>ROUND(IF(AQ49="0",BJ49,0),2)</f>
        <v>0</v>
      </c>
      <c r="AI49" s="48" t="s">
        <v>81</v>
      </c>
      <c r="AJ49" s="35">
        <f>IF(AN49=0,J49,0)</f>
        <v>0</v>
      </c>
      <c r="AK49" s="35">
        <f>IF(AN49=12,J49,0)</f>
        <v>0</v>
      </c>
      <c r="AL49" s="35">
        <f>IF(AN49=21,J49,0)</f>
        <v>0</v>
      </c>
      <c r="AN49" s="35">
        <v>12</v>
      </c>
      <c r="AO49" s="35">
        <f>G49*0</f>
        <v>0</v>
      </c>
      <c r="AP49" s="35">
        <f>G49*(1-0)</f>
        <v>0</v>
      </c>
      <c r="AQ49" s="64" t="s">
        <v>199</v>
      </c>
      <c r="AV49" s="35">
        <f>ROUND(AW49+AX49,2)</f>
        <v>0</v>
      </c>
      <c r="AW49" s="35">
        <f>ROUND(F49*AO49,2)</f>
        <v>0</v>
      </c>
      <c r="AX49" s="35">
        <f>ROUND(F49*AP49,2)</f>
        <v>0</v>
      </c>
      <c r="AY49" s="64" t="s">
        <v>263</v>
      </c>
      <c r="AZ49" s="64" t="s">
        <v>215</v>
      </c>
      <c r="BA49" s="48" t="s">
        <v>207</v>
      </c>
      <c r="BB49" s="65">
        <v>100001</v>
      </c>
      <c r="BC49" s="35">
        <f>AW49+AX49</f>
        <v>0</v>
      </c>
      <c r="BD49" s="35">
        <f>G49/(100-BE49)*100</f>
        <v>0</v>
      </c>
      <c r="BE49" s="35">
        <v>0</v>
      </c>
      <c r="BF49" s="35">
        <f>49</f>
        <v>49</v>
      </c>
      <c r="BH49" s="35">
        <f>F49*AO49</f>
        <v>0</v>
      </c>
      <c r="BI49" s="35">
        <f>F49*AP49</f>
        <v>0</v>
      </c>
      <c r="BJ49" s="35">
        <f>F49*G49</f>
        <v>0</v>
      </c>
      <c r="BK49" s="64" t="s">
        <v>208</v>
      </c>
      <c r="BL49" s="35">
        <v>97</v>
      </c>
      <c r="BW49" s="35">
        <v>12</v>
      </c>
      <c r="BX49" s="3" t="s">
        <v>281</v>
      </c>
    </row>
    <row r="50" spans="1:76" x14ac:dyDescent="0.25">
      <c r="A50" s="66"/>
      <c r="C50" s="67" t="s">
        <v>282</v>
      </c>
      <c r="D50" s="68" t="s">
        <v>283</v>
      </c>
      <c r="F50" s="69">
        <v>12.55</v>
      </c>
      <c r="K50" s="70"/>
    </row>
    <row r="51" spans="1:76" x14ac:dyDescent="0.25">
      <c r="A51" s="1" t="s">
        <v>284</v>
      </c>
      <c r="B51" s="2" t="s">
        <v>285</v>
      </c>
      <c r="C51" s="86" t="s">
        <v>286</v>
      </c>
      <c r="D51" s="87"/>
      <c r="E51" s="2" t="s">
        <v>230</v>
      </c>
      <c r="F51" s="35">
        <v>0.216</v>
      </c>
      <c r="G51" s="35">
        <v>0</v>
      </c>
      <c r="H51" s="35">
        <f>ROUND(F51*AO51,2)</f>
        <v>0</v>
      </c>
      <c r="I51" s="35">
        <f>ROUND(F51*AP51,2)</f>
        <v>0</v>
      </c>
      <c r="J51" s="35">
        <f>ROUND(F51*G51,2)</f>
        <v>0</v>
      </c>
      <c r="K51" s="63" t="s">
        <v>203</v>
      </c>
      <c r="Z51" s="35">
        <f>ROUND(IF(AQ51="5",BJ51,0),2)</f>
        <v>0</v>
      </c>
      <c r="AB51" s="35">
        <f>ROUND(IF(AQ51="1",BH51,0),2)</f>
        <v>0</v>
      </c>
      <c r="AC51" s="35">
        <f>ROUND(IF(AQ51="1",BI51,0),2)</f>
        <v>0</v>
      </c>
      <c r="AD51" s="35">
        <f>ROUND(IF(AQ51="7",BH51,0),2)</f>
        <v>0</v>
      </c>
      <c r="AE51" s="35">
        <f>ROUND(IF(AQ51="7",BI51,0),2)</f>
        <v>0</v>
      </c>
      <c r="AF51" s="35">
        <f>ROUND(IF(AQ51="2",BH51,0),2)</f>
        <v>0</v>
      </c>
      <c r="AG51" s="35">
        <f>ROUND(IF(AQ51="2",BI51,0),2)</f>
        <v>0</v>
      </c>
      <c r="AH51" s="35">
        <f>ROUND(IF(AQ51="0",BJ51,0),2)</f>
        <v>0</v>
      </c>
      <c r="AI51" s="48" t="s">
        <v>81</v>
      </c>
      <c r="AJ51" s="35">
        <f>IF(AN51=0,J51,0)</f>
        <v>0</v>
      </c>
      <c r="AK51" s="35">
        <f>IF(AN51=12,J51,0)</f>
        <v>0</v>
      </c>
      <c r="AL51" s="35">
        <f>IF(AN51=21,J51,0)</f>
        <v>0</v>
      </c>
      <c r="AN51" s="35">
        <v>12</v>
      </c>
      <c r="AO51" s="35">
        <f>G51*0</f>
        <v>0</v>
      </c>
      <c r="AP51" s="35">
        <f>G51*(1-0)</f>
        <v>0</v>
      </c>
      <c r="AQ51" s="64" t="s">
        <v>199</v>
      </c>
      <c r="AV51" s="35">
        <f>ROUND(AW51+AX51,2)</f>
        <v>0</v>
      </c>
      <c r="AW51" s="35">
        <f>ROUND(F51*AO51,2)</f>
        <v>0</v>
      </c>
      <c r="AX51" s="35">
        <f>ROUND(F51*AP51,2)</f>
        <v>0</v>
      </c>
      <c r="AY51" s="64" t="s">
        <v>263</v>
      </c>
      <c r="AZ51" s="64" t="s">
        <v>215</v>
      </c>
      <c r="BA51" s="48" t="s">
        <v>207</v>
      </c>
      <c r="BB51" s="65">
        <v>100001</v>
      </c>
      <c r="BC51" s="35">
        <f>AW51+AX51</f>
        <v>0</v>
      </c>
      <c r="BD51" s="35">
        <f>G51/(100-BE51)*100</f>
        <v>0</v>
      </c>
      <c r="BE51" s="35">
        <v>0</v>
      </c>
      <c r="BF51" s="35">
        <f>51</f>
        <v>51</v>
      </c>
      <c r="BH51" s="35">
        <f>F51*AO51</f>
        <v>0</v>
      </c>
      <c r="BI51" s="35">
        <f>F51*AP51</f>
        <v>0</v>
      </c>
      <c r="BJ51" s="35">
        <f>F51*G51</f>
        <v>0</v>
      </c>
      <c r="BK51" s="64" t="s">
        <v>208</v>
      </c>
      <c r="BL51" s="35">
        <v>97</v>
      </c>
      <c r="BW51" s="35">
        <v>12</v>
      </c>
      <c r="BX51" s="3" t="s">
        <v>286</v>
      </c>
    </row>
    <row r="52" spans="1:76" x14ac:dyDescent="0.25">
      <c r="A52" s="66"/>
      <c r="C52" s="67" t="s">
        <v>287</v>
      </c>
      <c r="D52" s="68" t="s">
        <v>288</v>
      </c>
      <c r="F52" s="69">
        <v>0.216</v>
      </c>
      <c r="K52" s="70"/>
    </row>
    <row r="53" spans="1:76" x14ac:dyDescent="0.25">
      <c r="A53" s="59" t="s">
        <v>10</v>
      </c>
      <c r="B53" s="60" t="s">
        <v>102</v>
      </c>
      <c r="C53" s="177" t="s">
        <v>103</v>
      </c>
      <c r="D53" s="178"/>
      <c r="E53" s="61" t="s">
        <v>74</v>
      </c>
      <c r="F53" s="61" t="s">
        <v>74</v>
      </c>
      <c r="G53" s="61" t="s">
        <v>74</v>
      </c>
      <c r="H53" s="42">
        <f>SUM(H54:H54)</f>
        <v>0</v>
      </c>
      <c r="I53" s="42">
        <f>SUM(I54:I54)</f>
        <v>0</v>
      </c>
      <c r="J53" s="42">
        <f>SUM(J54:J54)</f>
        <v>0</v>
      </c>
      <c r="K53" s="62" t="s">
        <v>10</v>
      </c>
      <c r="AI53" s="48" t="s">
        <v>81</v>
      </c>
      <c r="AS53" s="42">
        <f>SUM(AJ54:AJ54)</f>
        <v>0</v>
      </c>
      <c r="AT53" s="42">
        <f>SUM(AK54:AK54)</f>
        <v>0</v>
      </c>
      <c r="AU53" s="42">
        <f>SUM(AL54:AL54)</f>
        <v>0</v>
      </c>
    </row>
    <row r="54" spans="1:76" x14ac:dyDescent="0.25">
      <c r="A54" s="1" t="s">
        <v>289</v>
      </c>
      <c r="B54" s="2" t="s">
        <v>290</v>
      </c>
      <c r="C54" s="86" t="s">
        <v>291</v>
      </c>
      <c r="D54" s="87"/>
      <c r="E54" s="2" t="s">
        <v>224</v>
      </c>
      <c r="F54" s="35">
        <v>21.17</v>
      </c>
      <c r="G54" s="35">
        <v>0</v>
      </c>
      <c r="H54" s="35">
        <f>ROUND(F54*AO54,2)</f>
        <v>0</v>
      </c>
      <c r="I54" s="35">
        <f>ROUND(F54*AP54,2)</f>
        <v>0</v>
      </c>
      <c r="J54" s="35">
        <f>ROUND(F54*G54,2)</f>
        <v>0</v>
      </c>
      <c r="K54" s="63" t="s">
        <v>292</v>
      </c>
      <c r="Z54" s="35">
        <f>ROUND(IF(AQ54="5",BJ54,0),2)</f>
        <v>0</v>
      </c>
      <c r="AB54" s="35">
        <f>ROUND(IF(AQ54="1",BH54,0),2)</f>
        <v>0</v>
      </c>
      <c r="AC54" s="35">
        <f>ROUND(IF(AQ54="1",BI54,0),2)</f>
        <v>0</v>
      </c>
      <c r="AD54" s="35">
        <f>ROUND(IF(AQ54="7",BH54,0),2)</f>
        <v>0</v>
      </c>
      <c r="AE54" s="35">
        <f>ROUND(IF(AQ54="7",BI54,0),2)</f>
        <v>0</v>
      </c>
      <c r="AF54" s="35">
        <f>ROUND(IF(AQ54="2",BH54,0),2)</f>
        <v>0</v>
      </c>
      <c r="AG54" s="35">
        <f>ROUND(IF(AQ54="2",BI54,0),2)</f>
        <v>0</v>
      </c>
      <c r="AH54" s="35">
        <f>ROUND(IF(AQ54="0",BJ54,0),2)</f>
        <v>0</v>
      </c>
      <c r="AI54" s="48" t="s">
        <v>81</v>
      </c>
      <c r="AJ54" s="35">
        <f>IF(AN54=0,J54,0)</f>
        <v>0</v>
      </c>
      <c r="AK54" s="35">
        <f>IF(AN54=12,J54,0)</f>
        <v>0</v>
      </c>
      <c r="AL54" s="35">
        <f>IF(AN54=21,J54,0)</f>
        <v>0</v>
      </c>
      <c r="AN54" s="35">
        <v>12</v>
      </c>
      <c r="AO54" s="35">
        <f>G54*0</f>
        <v>0</v>
      </c>
      <c r="AP54" s="35">
        <f>G54*(1-0)</f>
        <v>0</v>
      </c>
      <c r="AQ54" s="64" t="s">
        <v>211</v>
      </c>
      <c r="AV54" s="35">
        <f>ROUND(AW54+AX54,2)</f>
        <v>0</v>
      </c>
      <c r="AW54" s="35">
        <f>ROUND(F54*AO54,2)</f>
        <v>0</v>
      </c>
      <c r="AX54" s="35">
        <f>ROUND(F54*AP54,2)</f>
        <v>0</v>
      </c>
      <c r="AY54" s="64" t="s">
        <v>293</v>
      </c>
      <c r="AZ54" s="64" t="s">
        <v>215</v>
      </c>
      <c r="BA54" s="48" t="s">
        <v>207</v>
      </c>
      <c r="BB54" s="65">
        <v>100018</v>
      </c>
      <c r="BC54" s="35">
        <f>AW54+AX54</f>
        <v>0</v>
      </c>
      <c r="BD54" s="35">
        <f>G54/(100-BE54)*100</f>
        <v>0</v>
      </c>
      <c r="BE54" s="35">
        <v>0</v>
      </c>
      <c r="BF54" s="35">
        <f>54</f>
        <v>54</v>
      </c>
      <c r="BH54" s="35">
        <f>F54*AO54</f>
        <v>0</v>
      </c>
      <c r="BI54" s="35">
        <f>F54*AP54</f>
        <v>0</v>
      </c>
      <c r="BJ54" s="35">
        <f>F54*G54</f>
        <v>0</v>
      </c>
      <c r="BK54" s="64" t="s">
        <v>208</v>
      </c>
      <c r="BL54" s="35"/>
      <c r="BW54" s="35">
        <v>12</v>
      </c>
      <c r="BX54" s="3" t="s">
        <v>291</v>
      </c>
    </row>
    <row r="55" spans="1:76" x14ac:dyDescent="0.25">
      <c r="A55" s="66"/>
      <c r="C55" s="67" t="s">
        <v>294</v>
      </c>
      <c r="D55" s="68" t="s">
        <v>10</v>
      </c>
      <c r="F55" s="69">
        <v>21.17</v>
      </c>
      <c r="K55" s="70"/>
    </row>
    <row r="56" spans="1:76" x14ac:dyDescent="0.25">
      <c r="A56" s="59" t="s">
        <v>10</v>
      </c>
      <c r="B56" s="60" t="s">
        <v>104</v>
      </c>
      <c r="C56" s="177" t="s">
        <v>105</v>
      </c>
      <c r="D56" s="178"/>
      <c r="E56" s="61" t="s">
        <v>74</v>
      </c>
      <c r="F56" s="61" t="s">
        <v>74</v>
      </c>
      <c r="G56" s="61" t="s">
        <v>74</v>
      </c>
      <c r="H56" s="42">
        <f>SUM(H57:H69)</f>
        <v>0</v>
      </c>
      <c r="I56" s="42">
        <f>SUM(I57:I69)</f>
        <v>0</v>
      </c>
      <c r="J56" s="42">
        <f>SUM(J57:J69)</f>
        <v>0</v>
      </c>
      <c r="K56" s="62" t="s">
        <v>10</v>
      </c>
      <c r="AI56" s="48" t="s">
        <v>81</v>
      </c>
      <c r="AS56" s="42">
        <f>SUM(AJ57:AJ69)</f>
        <v>0</v>
      </c>
      <c r="AT56" s="42">
        <f>SUM(AK57:AK69)</f>
        <v>0</v>
      </c>
      <c r="AU56" s="42">
        <f>SUM(AL57:AL69)</f>
        <v>0</v>
      </c>
    </row>
    <row r="57" spans="1:76" x14ac:dyDescent="0.25">
      <c r="A57" s="1" t="s">
        <v>133</v>
      </c>
      <c r="B57" s="2" t="s">
        <v>295</v>
      </c>
      <c r="C57" s="86" t="s">
        <v>296</v>
      </c>
      <c r="D57" s="87"/>
      <c r="E57" s="2" t="s">
        <v>297</v>
      </c>
      <c r="F57" s="35">
        <v>12.63</v>
      </c>
      <c r="G57" s="35">
        <v>0</v>
      </c>
      <c r="H57" s="35">
        <f>ROUND(F57*AO57,2)</f>
        <v>0</v>
      </c>
      <c r="I57" s="35">
        <f>ROUND(F57*AP57,2)</f>
        <v>0</v>
      </c>
      <c r="J57" s="35">
        <f>ROUND(F57*G57,2)</f>
        <v>0</v>
      </c>
      <c r="K57" s="63" t="s">
        <v>203</v>
      </c>
      <c r="Z57" s="35">
        <f>ROUND(IF(AQ57="5",BJ57,0),2)</f>
        <v>0</v>
      </c>
      <c r="AB57" s="35">
        <f>ROUND(IF(AQ57="1",BH57,0),2)</f>
        <v>0</v>
      </c>
      <c r="AC57" s="35">
        <f>ROUND(IF(AQ57="1",BI57,0),2)</f>
        <v>0</v>
      </c>
      <c r="AD57" s="35">
        <f>ROUND(IF(AQ57="7",BH57,0),2)</f>
        <v>0</v>
      </c>
      <c r="AE57" s="35">
        <f>ROUND(IF(AQ57="7",BI57,0),2)</f>
        <v>0</v>
      </c>
      <c r="AF57" s="35">
        <f>ROUND(IF(AQ57="2",BH57,0),2)</f>
        <v>0</v>
      </c>
      <c r="AG57" s="35">
        <f>ROUND(IF(AQ57="2",BI57,0),2)</f>
        <v>0</v>
      </c>
      <c r="AH57" s="35">
        <f>ROUND(IF(AQ57="0",BJ57,0),2)</f>
        <v>0</v>
      </c>
      <c r="AI57" s="48" t="s">
        <v>81</v>
      </c>
      <c r="AJ57" s="35">
        <f>IF(AN57=0,J57,0)</f>
        <v>0</v>
      </c>
      <c r="AK57" s="35">
        <f>IF(AN57=12,J57,0)</f>
        <v>0</v>
      </c>
      <c r="AL57" s="35">
        <f>IF(AN57=21,J57,0)</f>
        <v>0</v>
      </c>
      <c r="AN57" s="35">
        <v>12</v>
      </c>
      <c r="AO57" s="35">
        <f>G57*0</f>
        <v>0</v>
      </c>
      <c r="AP57" s="35">
        <f>G57*(1-0)</f>
        <v>0</v>
      </c>
      <c r="AQ57" s="64" t="s">
        <v>233</v>
      </c>
      <c r="AV57" s="35">
        <f>ROUND(AW57+AX57,2)</f>
        <v>0</v>
      </c>
      <c r="AW57" s="35">
        <f>ROUND(F57*AO57,2)</f>
        <v>0</v>
      </c>
      <c r="AX57" s="35">
        <f>ROUND(F57*AP57,2)</f>
        <v>0</v>
      </c>
      <c r="AY57" s="64" t="s">
        <v>298</v>
      </c>
      <c r="AZ57" s="64" t="s">
        <v>215</v>
      </c>
      <c r="BA57" s="48" t="s">
        <v>207</v>
      </c>
      <c r="BB57" s="65">
        <v>100019</v>
      </c>
      <c r="BC57" s="35">
        <f>AW57+AX57</f>
        <v>0</v>
      </c>
      <c r="BD57" s="35">
        <f>G57/(100-BE57)*100</f>
        <v>0</v>
      </c>
      <c r="BE57" s="35">
        <v>0</v>
      </c>
      <c r="BF57" s="35">
        <f>57</f>
        <v>57</v>
      </c>
      <c r="BH57" s="35">
        <f>F57*AO57</f>
        <v>0</v>
      </c>
      <c r="BI57" s="35">
        <f>F57*AP57</f>
        <v>0</v>
      </c>
      <c r="BJ57" s="35">
        <f>F57*G57</f>
        <v>0</v>
      </c>
      <c r="BK57" s="64" t="s">
        <v>208</v>
      </c>
      <c r="BL57" s="35"/>
      <c r="BW57" s="35">
        <v>12</v>
      </c>
      <c r="BX57" s="3" t="s">
        <v>296</v>
      </c>
    </row>
    <row r="58" spans="1:76" x14ac:dyDescent="0.25">
      <c r="A58" s="66"/>
      <c r="C58" s="67" t="s">
        <v>299</v>
      </c>
      <c r="D58" s="68" t="s">
        <v>10</v>
      </c>
      <c r="F58" s="69">
        <v>12.63</v>
      </c>
      <c r="K58" s="70"/>
    </row>
    <row r="59" spans="1:76" x14ac:dyDescent="0.25">
      <c r="A59" s="1" t="s">
        <v>300</v>
      </c>
      <c r="B59" s="2" t="s">
        <v>301</v>
      </c>
      <c r="C59" s="86" t="s">
        <v>302</v>
      </c>
      <c r="D59" s="87"/>
      <c r="E59" s="2" t="s">
        <v>297</v>
      </c>
      <c r="F59" s="35">
        <v>126.3</v>
      </c>
      <c r="G59" s="35">
        <v>0</v>
      </c>
      <c r="H59" s="35">
        <f>ROUND(F59*AO59,2)</f>
        <v>0</v>
      </c>
      <c r="I59" s="35">
        <f>ROUND(F59*AP59,2)</f>
        <v>0</v>
      </c>
      <c r="J59" s="35">
        <f>ROUND(F59*G59,2)</f>
        <v>0</v>
      </c>
      <c r="K59" s="63" t="s">
        <v>203</v>
      </c>
      <c r="Z59" s="35">
        <f>ROUND(IF(AQ59="5",BJ59,0),2)</f>
        <v>0</v>
      </c>
      <c r="AB59" s="35">
        <f>ROUND(IF(AQ59="1",BH59,0),2)</f>
        <v>0</v>
      </c>
      <c r="AC59" s="35">
        <f>ROUND(IF(AQ59="1",BI59,0),2)</f>
        <v>0</v>
      </c>
      <c r="AD59" s="35">
        <f>ROUND(IF(AQ59="7",BH59,0),2)</f>
        <v>0</v>
      </c>
      <c r="AE59" s="35">
        <f>ROUND(IF(AQ59="7",BI59,0),2)</f>
        <v>0</v>
      </c>
      <c r="AF59" s="35">
        <f>ROUND(IF(AQ59="2",BH59,0),2)</f>
        <v>0</v>
      </c>
      <c r="AG59" s="35">
        <f>ROUND(IF(AQ59="2",BI59,0),2)</f>
        <v>0</v>
      </c>
      <c r="AH59" s="35">
        <f>ROUND(IF(AQ59="0",BJ59,0),2)</f>
        <v>0</v>
      </c>
      <c r="AI59" s="48" t="s">
        <v>81</v>
      </c>
      <c r="AJ59" s="35">
        <f>IF(AN59=0,J59,0)</f>
        <v>0</v>
      </c>
      <c r="AK59" s="35">
        <f>IF(AN59=12,J59,0)</f>
        <v>0</v>
      </c>
      <c r="AL59" s="35">
        <f>IF(AN59=21,J59,0)</f>
        <v>0</v>
      </c>
      <c r="AN59" s="35">
        <v>12</v>
      </c>
      <c r="AO59" s="35">
        <f>G59*0</f>
        <v>0</v>
      </c>
      <c r="AP59" s="35">
        <f>G59*(1-0)</f>
        <v>0</v>
      </c>
      <c r="AQ59" s="64" t="s">
        <v>233</v>
      </c>
      <c r="AV59" s="35">
        <f>ROUND(AW59+AX59,2)</f>
        <v>0</v>
      </c>
      <c r="AW59" s="35">
        <f>ROUND(F59*AO59,2)</f>
        <v>0</v>
      </c>
      <c r="AX59" s="35">
        <f>ROUND(F59*AP59,2)</f>
        <v>0</v>
      </c>
      <c r="AY59" s="64" t="s">
        <v>298</v>
      </c>
      <c r="AZ59" s="64" t="s">
        <v>215</v>
      </c>
      <c r="BA59" s="48" t="s">
        <v>207</v>
      </c>
      <c r="BB59" s="65">
        <v>100019</v>
      </c>
      <c r="BC59" s="35">
        <f>AW59+AX59</f>
        <v>0</v>
      </c>
      <c r="BD59" s="35">
        <f>G59/(100-BE59)*100</f>
        <v>0</v>
      </c>
      <c r="BE59" s="35">
        <v>0</v>
      </c>
      <c r="BF59" s="35">
        <f>59</f>
        <v>59</v>
      </c>
      <c r="BH59" s="35">
        <f>F59*AO59</f>
        <v>0</v>
      </c>
      <c r="BI59" s="35">
        <f>F59*AP59</f>
        <v>0</v>
      </c>
      <c r="BJ59" s="35">
        <f>F59*G59</f>
        <v>0</v>
      </c>
      <c r="BK59" s="64" t="s">
        <v>208</v>
      </c>
      <c r="BL59" s="35"/>
      <c r="BW59" s="35">
        <v>12</v>
      </c>
      <c r="BX59" s="3" t="s">
        <v>302</v>
      </c>
    </row>
    <row r="60" spans="1:76" x14ac:dyDescent="0.25">
      <c r="A60" s="66"/>
      <c r="C60" s="67" t="s">
        <v>303</v>
      </c>
      <c r="D60" s="68" t="s">
        <v>10</v>
      </c>
      <c r="F60" s="69">
        <v>126.3</v>
      </c>
      <c r="K60" s="70"/>
    </row>
    <row r="61" spans="1:76" x14ac:dyDescent="0.25">
      <c r="A61" s="1" t="s">
        <v>304</v>
      </c>
      <c r="B61" s="2" t="s">
        <v>305</v>
      </c>
      <c r="C61" s="86" t="s">
        <v>306</v>
      </c>
      <c r="D61" s="87"/>
      <c r="E61" s="2" t="s">
        <v>297</v>
      </c>
      <c r="F61" s="35">
        <v>12.63</v>
      </c>
      <c r="G61" s="35">
        <v>0</v>
      </c>
      <c r="H61" s="35">
        <f>ROUND(F61*AO61,2)</f>
        <v>0</v>
      </c>
      <c r="I61" s="35">
        <f>ROUND(F61*AP61,2)</f>
        <v>0</v>
      </c>
      <c r="J61" s="35">
        <f>ROUND(F61*G61,2)</f>
        <v>0</v>
      </c>
      <c r="K61" s="63" t="s">
        <v>203</v>
      </c>
      <c r="Z61" s="35">
        <f>ROUND(IF(AQ61="5",BJ61,0),2)</f>
        <v>0</v>
      </c>
      <c r="AB61" s="35">
        <f>ROUND(IF(AQ61="1",BH61,0),2)</f>
        <v>0</v>
      </c>
      <c r="AC61" s="35">
        <f>ROUND(IF(AQ61="1",BI61,0),2)</f>
        <v>0</v>
      </c>
      <c r="AD61" s="35">
        <f>ROUND(IF(AQ61="7",BH61,0),2)</f>
        <v>0</v>
      </c>
      <c r="AE61" s="35">
        <f>ROUND(IF(AQ61="7",BI61,0),2)</f>
        <v>0</v>
      </c>
      <c r="AF61" s="35">
        <f>ROUND(IF(AQ61="2",BH61,0),2)</f>
        <v>0</v>
      </c>
      <c r="AG61" s="35">
        <f>ROUND(IF(AQ61="2",BI61,0),2)</f>
        <v>0</v>
      </c>
      <c r="AH61" s="35">
        <f>ROUND(IF(AQ61="0",BJ61,0),2)</f>
        <v>0</v>
      </c>
      <c r="AI61" s="48" t="s">
        <v>81</v>
      </c>
      <c r="AJ61" s="35">
        <f>IF(AN61=0,J61,0)</f>
        <v>0</v>
      </c>
      <c r="AK61" s="35">
        <f>IF(AN61=12,J61,0)</f>
        <v>0</v>
      </c>
      <c r="AL61" s="35">
        <f>IF(AN61=21,J61,0)</f>
        <v>0</v>
      </c>
      <c r="AN61" s="35">
        <v>12</v>
      </c>
      <c r="AO61" s="35">
        <f>G61*0</f>
        <v>0</v>
      </c>
      <c r="AP61" s="35">
        <f>G61*(1-0)</f>
        <v>0</v>
      </c>
      <c r="AQ61" s="64" t="s">
        <v>233</v>
      </c>
      <c r="AV61" s="35">
        <f>ROUND(AW61+AX61,2)</f>
        <v>0</v>
      </c>
      <c r="AW61" s="35">
        <f>ROUND(F61*AO61,2)</f>
        <v>0</v>
      </c>
      <c r="AX61" s="35">
        <f>ROUND(F61*AP61,2)</f>
        <v>0</v>
      </c>
      <c r="AY61" s="64" t="s">
        <v>298</v>
      </c>
      <c r="AZ61" s="64" t="s">
        <v>215</v>
      </c>
      <c r="BA61" s="48" t="s">
        <v>207</v>
      </c>
      <c r="BB61" s="65">
        <v>100019</v>
      </c>
      <c r="BC61" s="35">
        <f>AW61+AX61</f>
        <v>0</v>
      </c>
      <c r="BD61" s="35">
        <f>G61/(100-BE61)*100</f>
        <v>0</v>
      </c>
      <c r="BE61" s="35">
        <v>0</v>
      </c>
      <c r="BF61" s="35">
        <f>61</f>
        <v>61</v>
      </c>
      <c r="BH61" s="35">
        <f>F61*AO61</f>
        <v>0</v>
      </c>
      <c r="BI61" s="35">
        <f>F61*AP61</f>
        <v>0</v>
      </c>
      <c r="BJ61" s="35">
        <f>F61*G61</f>
        <v>0</v>
      </c>
      <c r="BK61" s="64" t="s">
        <v>208</v>
      </c>
      <c r="BL61" s="35"/>
      <c r="BW61" s="35">
        <v>12</v>
      </c>
      <c r="BX61" s="3" t="s">
        <v>306</v>
      </c>
    </row>
    <row r="62" spans="1:76" x14ac:dyDescent="0.25">
      <c r="A62" s="1" t="s">
        <v>307</v>
      </c>
      <c r="B62" s="2" t="s">
        <v>308</v>
      </c>
      <c r="C62" s="86" t="s">
        <v>309</v>
      </c>
      <c r="D62" s="87"/>
      <c r="E62" s="2" t="s">
        <v>297</v>
      </c>
      <c r="F62" s="35">
        <v>12.63</v>
      </c>
      <c r="G62" s="35">
        <v>0</v>
      </c>
      <c r="H62" s="35">
        <f>ROUND(F62*AO62,2)</f>
        <v>0</v>
      </c>
      <c r="I62" s="35">
        <f>ROUND(F62*AP62,2)</f>
        <v>0</v>
      </c>
      <c r="J62" s="35">
        <f>ROUND(F62*G62,2)</f>
        <v>0</v>
      </c>
      <c r="K62" s="63" t="s">
        <v>203</v>
      </c>
      <c r="Z62" s="35">
        <f>ROUND(IF(AQ62="5",BJ62,0),2)</f>
        <v>0</v>
      </c>
      <c r="AB62" s="35">
        <f>ROUND(IF(AQ62="1",BH62,0),2)</f>
        <v>0</v>
      </c>
      <c r="AC62" s="35">
        <f>ROUND(IF(AQ62="1",BI62,0),2)</f>
        <v>0</v>
      </c>
      <c r="AD62" s="35">
        <f>ROUND(IF(AQ62="7",BH62,0),2)</f>
        <v>0</v>
      </c>
      <c r="AE62" s="35">
        <f>ROUND(IF(AQ62="7",BI62,0),2)</f>
        <v>0</v>
      </c>
      <c r="AF62" s="35">
        <f>ROUND(IF(AQ62="2",BH62,0),2)</f>
        <v>0</v>
      </c>
      <c r="AG62" s="35">
        <f>ROUND(IF(AQ62="2",BI62,0),2)</f>
        <v>0</v>
      </c>
      <c r="AH62" s="35">
        <f>ROUND(IF(AQ62="0",BJ62,0),2)</f>
        <v>0</v>
      </c>
      <c r="AI62" s="48" t="s">
        <v>81</v>
      </c>
      <c r="AJ62" s="35">
        <f>IF(AN62=0,J62,0)</f>
        <v>0</v>
      </c>
      <c r="AK62" s="35">
        <f>IF(AN62=12,J62,0)</f>
        <v>0</v>
      </c>
      <c r="AL62" s="35">
        <f>IF(AN62=21,J62,0)</f>
        <v>0</v>
      </c>
      <c r="AN62" s="35">
        <v>12</v>
      </c>
      <c r="AO62" s="35">
        <f>G62*0</f>
        <v>0</v>
      </c>
      <c r="AP62" s="35">
        <f>G62*(1-0)</f>
        <v>0</v>
      </c>
      <c r="AQ62" s="64" t="s">
        <v>233</v>
      </c>
      <c r="AV62" s="35">
        <f>ROUND(AW62+AX62,2)</f>
        <v>0</v>
      </c>
      <c r="AW62" s="35">
        <f>ROUND(F62*AO62,2)</f>
        <v>0</v>
      </c>
      <c r="AX62" s="35">
        <f>ROUND(F62*AP62,2)</f>
        <v>0</v>
      </c>
      <c r="AY62" s="64" t="s">
        <v>298</v>
      </c>
      <c r="AZ62" s="64" t="s">
        <v>215</v>
      </c>
      <c r="BA62" s="48" t="s">
        <v>207</v>
      </c>
      <c r="BB62" s="65">
        <v>100019</v>
      </c>
      <c r="BC62" s="35">
        <f>AW62+AX62</f>
        <v>0</v>
      </c>
      <c r="BD62" s="35">
        <f>G62/(100-BE62)*100</f>
        <v>0</v>
      </c>
      <c r="BE62" s="35">
        <v>0</v>
      </c>
      <c r="BF62" s="35">
        <f>62</f>
        <v>62</v>
      </c>
      <c r="BH62" s="35">
        <f>F62*AO62</f>
        <v>0</v>
      </c>
      <c r="BI62" s="35">
        <f>F62*AP62</f>
        <v>0</v>
      </c>
      <c r="BJ62" s="35">
        <f>F62*G62</f>
        <v>0</v>
      </c>
      <c r="BK62" s="64" t="s">
        <v>208</v>
      </c>
      <c r="BL62" s="35"/>
      <c r="BW62" s="35">
        <v>12</v>
      </c>
      <c r="BX62" s="3" t="s">
        <v>309</v>
      </c>
    </row>
    <row r="63" spans="1:76" x14ac:dyDescent="0.25">
      <c r="A63" s="1" t="s">
        <v>310</v>
      </c>
      <c r="B63" s="2" t="s">
        <v>311</v>
      </c>
      <c r="C63" s="86" t="s">
        <v>312</v>
      </c>
      <c r="D63" s="87"/>
      <c r="E63" s="2" t="s">
        <v>297</v>
      </c>
      <c r="F63" s="35">
        <v>252.6</v>
      </c>
      <c r="G63" s="35">
        <v>0</v>
      </c>
      <c r="H63" s="35">
        <f>ROUND(F63*AO63,2)</f>
        <v>0</v>
      </c>
      <c r="I63" s="35">
        <f>ROUND(F63*AP63,2)</f>
        <v>0</v>
      </c>
      <c r="J63" s="35">
        <f>ROUND(F63*G63,2)</f>
        <v>0</v>
      </c>
      <c r="K63" s="63" t="s">
        <v>203</v>
      </c>
      <c r="Z63" s="35">
        <f>ROUND(IF(AQ63="5",BJ63,0),2)</f>
        <v>0</v>
      </c>
      <c r="AB63" s="35">
        <f>ROUND(IF(AQ63="1",BH63,0),2)</f>
        <v>0</v>
      </c>
      <c r="AC63" s="35">
        <f>ROUND(IF(AQ63="1",BI63,0),2)</f>
        <v>0</v>
      </c>
      <c r="AD63" s="35">
        <f>ROUND(IF(AQ63="7",BH63,0),2)</f>
        <v>0</v>
      </c>
      <c r="AE63" s="35">
        <f>ROUND(IF(AQ63="7",BI63,0),2)</f>
        <v>0</v>
      </c>
      <c r="AF63" s="35">
        <f>ROUND(IF(AQ63="2",BH63,0),2)</f>
        <v>0</v>
      </c>
      <c r="AG63" s="35">
        <f>ROUND(IF(AQ63="2",BI63,0),2)</f>
        <v>0</v>
      </c>
      <c r="AH63" s="35">
        <f>ROUND(IF(AQ63="0",BJ63,0),2)</f>
        <v>0</v>
      </c>
      <c r="AI63" s="48" t="s">
        <v>81</v>
      </c>
      <c r="AJ63" s="35">
        <f>IF(AN63=0,J63,0)</f>
        <v>0</v>
      </c>
      <c r="AK63" s="35">
        <f>IF(AN63=12,J63,0)</f>
        <v>0</v>
      </c>
      <c r="AL63" s="35">
        <f>IF(AN63=21,J63,0)</f>
        <v>0</v>
      </c>
      <c r="AN63" s="35">
        <v>12</v>
      </c>
      <c r="AO63" s="35">
        <f>G63*0</f>
        <v>0</v>
      </c>
      <c r="AP63" s="35">
        <f>G63*(1-0)</f>
        <v>0</v>
      </c>
      <c r="AQ63" s="64" t="s">
        <v>233</v>
      </c>
      <c r="AV63" s="35">
        <f>ROUND(AW63+AX63,2)</f>
        <v>0</v>
      </c>
      <c r="AW63" s="35">
        <f>ROUND(F63*AO63,2)</f>
        <v>0</v>
      </c>
      <c r="AX63" s="35">
        <f>ROUND(F63*AP63,2)</f>
        <v>0</v>
      </c>
      <c r="AY63" s="64" t="s">
        <v>298</v>
      </c>
      <c r="AZ63" s="64" t="s">
        <v>215</v>
      </c>
      <c r="BA63" s="48" t="s">
        <v>207</v>
      </c>
      <c r="BB63" s="65">
        <v>100019</v>
      </c>
      <c r="BC63" s="35">
        <f>AW63+AX63</f>
        <v>0</v>
      </c>
      <c r="BD63" s="35">
        <f>G63/(100-BE63)*100</f>
        <v>0</v>
      </c>
      <c r="BE63" s="35">
        <v>0</v>
      </c>
      <c r="BF63" s="35">
        <f>63</f>
        <v>63</v>
      </c>
      <c r="BH63" s="35">
        <f>F63*AO63</f>
        <v>0</v>
      </c>
      <c r="BI63" s="35">
        <f>F63*AP63</f>
        <v>0</v>
      </c>
      <c r="BJ63" s="35">
        <f>F63*G63</f>
        <v>0</v>
      </c>
      <c r="BK63" s="64" t="s">
        <v>208</v>
      </c>
      <c r="BL63" s="35"/>
      <c r="BW63" s="35">
        <v>12</v>
      </c>
      <c r="BX63" s="3" t="s">
        <v>312</v>
      </c>
    </row>
    <row r="64" spans="1:76" x14ac:dyDescent="0.25">
      <c r="A64" s="66"/>
      <c r="C64" s="67" t="s">
        <v>313</v>
      </c>
      <c r="D64" s="68" t="s">
        <v>10</v>
      </c>
      <c r="F64" s="69">
        <v>252.6</v>
      </c>
      <c r="K64" s="70"/>
    </row>
    <row r="65" spans="1:76" ht="25.5" x14ac:dyDescent="0.25">
      <c r="A65" s="1" t="s">
        <v>314</v>
      </c>
      <c r="B65" s="2" t="s">
        <v>315</v>
      </c>
      <c r="C65" s="86" t="s">
        <v>316</v>
      </c>
      <c r="D65" s="87"/>
      <c r="E65" s="2" t="s">
        <v>297</v>
      </c>
      <c r="F65" s="35">
        <v>12.635999999999999</v>
      </c>
      <c r="G65" s="35">
        <v>0</v>
      </c>
      <c r="H65" s="35">
        <f>ROUND(F65*AO65,2)</f>
        <v>0</v>
      </c>
      <c r="I65" s="35">
        <f>ROUND(F65*AP65,2)</f>
        <v>0</v>
      </c>
      <c r="J65" s="35">
        <f>ROUND(F65*G65,2)</f>
        <v>0</v>
      </c>
      <c r="K65" s="63" t="s">
        <v>203</v>
      </c>
      <c r="Z65" s="35">
        <f>ROUND(IF(AQ65="5",BJ65,0),2)</f>
        <v>0</v>
      </c>
      <c r="AB65" s="35">
        <f>ROUND(IF(AQ65="1",BH65,0),2)</f>
        <v>0</v>
      </c>
      <c r="AC65" s="35">
        <f>ROUND(IF(AQ65="1",BI65,0),2)</f>
        <v>0</v>
      </c>
      <c r="AD65" s="35">
        <f>ROUND(IF(AQ65="7",BH65,0),2)</f>
        <v>0</v>
      </c>
      <c r="AE65" s="35">
        <f>ROUND(IF(AQ65="7",BI65,0),2)</f>
        <v>0</v>
      </c>
      <c r="AF65" s="35">
        <f>ROUND(IF(AQ65="2",BH65,0),2)</f>
        <v>0</v>
      </c>
      <c r="AG65" s="35">
        <f>ROUND(IF(AQ65="2",BI65,0),2)</f>
        <v>0</v>
      </c>
      <c r="AH65" s="35">
        <f>ROUND(IF(AQ65="0",BJ65,0),2)</f>
        <v>0</v>
      </c>
      <c r="AI65" s="48" t="s">
        <v>81</v>
      </c>
      <c r="AJ65" s="35">
        <f>IF(AN65=0,J65,0)</f>
        <v>0</v>
      </c>
      <c r="AK65" s="35">
        <f>IF(AN65=12,J65,0)</f>
        <v>0</v>
      </c>
      <c r="AL65" s="35">
        <f>IF(AN65=21,J65,0)</f>
        <v>0</v>
      </c>
      <c r="AN65" s="35">
        <v>12</v>
      </c>
      <c r="AO65" s="35">
        <f>G65*0</f>
        <v>0</v>
      </c>
      <c r="AP65" s="35">
        <f>G65*(1-0)</f>
        <v>0</v>
      </c>
      <c r="AQ65" s="64" t="s">
        <v>233</v>
      </c>
      <c r="AV65" s="35">
        <f>ROUND(AW65+AX65,2)</f>
        <v>0</v>
      </c>
      <c r="AW65" s="35">
        <f>ROUND(F65*AO65,2)</f>
        <v>0</v>
      </c>
      <c r="AX65" s="35">
        <f>ROUND(F65*AP65,2)</f>
        <v>0</v>
      </c>
      <c r="AY65" s="64" t="s">
        <v>298</v>
      </c>
      <c r="AZ65" s="64" t="s">
        <v>215</v>
      </c>
      <c r="BA65" s="48" t="s">
        <v>207</v>
      </c>
      <c r="BB65" s="65">
        <v>100019</v>
      </c>
      <c r="BC65" s="35">
        <f>AW65+AX65</f>
        <v>0</v>
      </c>
      <c r="BD65" s="35">
        <f>G65/(100-BE65)*100</f>
        <v>0</v>
      </c>
      <c r="BE65" s="35">
        <v>0</v>
      </c>
      <c r="BF65" s="35">
        <f>65</f>
        <v>65</v>
      </c>
      <c r="BH65" s="35">
        <f>F65*AO65</f>
        <v>0</v>
      </c>
      <c r="BI65" s="35">
        <f>F65*AP65</f>
        <v>0</v>
      </c>
      <c r="BJ65" s="35">
        <f>F65*G65</f>
        <v>0</v>
      </c>
      <c r="BK65" s="64" t="s">
        <v>208</v>
      </c>
      <c r="BL65" s="35"/>
      <c r="BW65" s="35">
        <v>12</v>
      </c>
      <c r="BX65" s="3" t="s">
        <v>316</v>
      </c>
    </row>
    <row r="66" spans="1:76" x14ac:dyDescent="0.25">
      <c r="A66" s="66"/>
      <c r="C66" s="67" t="s">
        <v>317</v>
      </c>
      <c r="D66" s="68" t="s">
        <v>10</v>
      </c>
      <c r="F66" s="69">
        <v>12.635999999999999</v>
      </c>
      <c r="K66" s="70"/>
    </row>
    <row r="67" spans="1:76" x14ac:dyDescent="0.25">
      <c r="A67" s="1" t="s">
        <v>318</v>
      </c>
      <c r="B67" s="2" t="s">
        <v>319</v>
      </c>
      <c r="C67" s="86" t="s">
        <v>320</v>
      </c>
      <c r="D67" s="87"/>
      <c r="E67" s="2" t="s">
        <v>297</v>
      </c>
      <c r="F67" s="35">
        <v>0.5</v>
      </c>
      <c r="G67" s="35">
        <v>0</v>
      </c>
      <c r="H67" s="35">
        <f>ROUND(F67*AO67,2)</f>
        <v>0</v>
      </c>
      <c r="I67" s="35">
        <f>ROUND(F67*AP67,2)</f>
        <v>0</v>
      </c>
      <c r="J67" s="35">
        <f>ROUND(F67*G67,2)</f>
        <v>0</v>
      </c>
      <c r="K67" s="63" t="s">
        <v>203</v>
      </c>
      <c r="Z67" s="35">
        <f>ROUND(IF(AQ67="5",BJ67,0),2)</f>
        <v>0</v>
      </c>
      <c r="AB67" s="35">
        <f>ROUND(IF(AQ67="1",BH67,0),2)</f>
        <v>0</v>
      </c>
      <c r="AC67" s="35">
        <f>ROUND(IF(AQ67="1",BI67,0),2)</f>
        <v>0</v>
      </c>
      <c r="AD67" s="35">
        <f>ROUND(IF(AQ67="7",BH67,0),2)</f>
        <v>0</v>
      </c>
      <c r="AE67" s="35">
        <f>ROUND(IF(AQ67="7",BI67,0),2)</f>
        <v>0</v>
      </c>
      <c r="AF67" s="35">
        <f>ROUND(IF(AQ67="2",BH67,0),2)</f>
        <v>0</v>
      </c>
      <c r="AG67" s="35">
        <f>ROUND(IF(AQ67="2",BI67,0),2)</f>
        <v>0</v>
      </c>
      <c r="AH67" s="35">
        <f>ROUND(IF(AQ67="0",BJ67,0),2)</f>
        <v>0</v>
      </c>
      <c r="AI67" s="48" t="s">
        <v>81</v>
      </c>
      <c r="AJ67" s="35">
        <f>IF(AN67=0,J67,0)</f>
        <v>0</v>
      </c>
      <c r="AK67" s="35">
        <f>IF(AN67=12,J67,0)</f>
        <v>0</v>
      </c>
      <c r="AL67" s="35">
        <f>IF(AN67=21,J67,0)</f>
        <v>0</v>
      </c>
      <c r="AN67" s="35">
        <v>12</v>
      </c>
      <c r="AO67" s="35">
        <f>G67*0</f>
        <v>0</v>
      </c>
      <c r="AP67" s="35">
        <f>G67*(1-0)</f>
        <v>0</v>
      </c>
      <c r="AQ67" s="64" t="s">
        <v>233</v>
      </c>
      <c r="AV67" s="35">
        <f>ROUND(AW67+AX67,2)</f>
        <v>0</v>
      </c>
      <c r="AW67" s="35">
        <f>ROUND(F67*AO67,2)</f>
        <v>0</v>
      </c>
      <c r="AX67" s="35">
        <f>ROUND(F67*AP67,2)</f>
        <v>0</v>
      </c>
      <c r="AY67" s="64" t="s">
        <v>298</v>
      </c>
      <c r="AZ67" s="64" t="s">
        <v>215</v>
      </c>
      <c r="BA67" s="48" t="s">
        <v>207</v>
      </c>
      <c r="BB67" s="65">
        <v>100019</v>
      </c>
      <c r="BC67" s="35">
        <f>AW67+AX67</f>
        <v>0</v>
      </c>
      <c r="BD67" s="35">
        <f>G67/(100-BE67)*100</f>
        <v>0</v>
      </c>
      <c r="BE67" s="35">
        <v>0</v>
      </c>
      <c r="BF67" s="35">
        <f>67</f>
        <v>67</v>
      </c>
      <c r="BH67" s="35">
        <f>F67*AO67</f>
        <v>0</v>
      </c>
      <c r="BI67" s="35">
        <f>F67*AP67</f>
        <v>0</v>
      </c>
      <c r="BJ67" s="35">
        <f>F67*G67</f>
        <v>0</v>
      </c>
      <c r="BK67" s="64" t="s">
        <v>208</v>
      </c>
      <c r="BL67" s="35"/>
      <c r="BW67" s="35">
        <v>12</v>
      </c>
      <c r="BX67" s="3" t="s">
        <v>320</v>
      </c>
    </row>
    <row r="68" spans="1:76" x14ac:dyDescent="0.25">
      <c r="A68" s="66"/>
      <c r="C68" s="67" t="s">
        <v>321</v>
      </c>
      <c r="D68" s="68" t="s">
        <v>10</v>
      </c>
      <c r="F68" s="69">
        <v>0.5</v>
      </c>
      <c r="K68" s="70"/>
    </row>
    <row r="69" spans="1:76" x14ac:dyDescent="0.25">
      <c r="A69" s="1" t="s">
        <v>322</v>
      </c>
      <c r="B69" s="2" t="s">
        <v>323</v>
      </c>
      <c r="C69" s="86" t="s">
        <v>324</v>
      </c>
      <c r="D69" s="87"/>
      <c r="E69" s="2" t="s">
        <v>297</v>
      </c>
      <c r="F69" s="35">
        <v>0.5</v>
      </c>
      <c r="G69" s="35">
        <v>0</v>
      </c>
      <c r="H69" s="35">
        <f>ROUND(F69*AO69,2)</f>
        <v>0</v>
      </c>
      <c r="I69" s="35">
        <f>ROUND(F69*AP69,2)</f>
        <v>0</v>
      </c>
      <c r="J69" s="35">
        <f>ROUND(F69*G69,2)</f>
        <v>0</v>
      </c>
      <c r="K69" s="63" t="s">
        <v>203</v>
      </c>
      <c r="Z69" s="35">
        <f>ROUND(IF(AQ69="5",BJ69,0),2)</f>
        <v>0</v>
      </c>
      <c r="AB69" s="35">
        <f>ROUND(IF(AQ69="1",BH69,0),2)</f>
        <v>0</v>
      </c>
      <c r="AC69" s="35">
        <f>ROUND(IF(AQ69="1",BI69,0),2)</f>
        <v>0</v>
      </c>
      <c r="AD69" s="35">
        <f>ROUND(IF(AQ69="7",BH69,0),2)</f>
        <v>0</v>
      </c>
      <c r="AE69" s="35">
        <f>ROUND(IF(AQ69="7",BI69,0),2)</f>
        <v>0</v>
      </c>
      <c r="AF69" s="35">
        <f>ROUND(IF(AQ69="2",BH69,0),2)</f>
        <v>0</v>
      </c>
      <c r="AG69" s="35">
        <f>ROUND(IF(AQ69="2",BI69,0),2)</f>
        <v>0</v>
      </c>
      <c r="AH69" s="35">
        <f>ROUND(IF(AQ69="0",BJ69,0),2)</f>
        <v>0</v>
      </c>
      <c r="AI69" s="48" t="s">
        <v>81</v>
      </c>
      <c r="AJ69" s="35">
        <f>IF(AN69=0,J69,0)</f>
        <v>0</v>
      </c>
      <c r="AK69" s="35">
        <f>IF(AN69=12,J69,0)</f>
        <v>0</v>
      </c>
      <c r="AL69" s="35">
        <f>IF(AN69=21,J69,0)</f>
        <v>0</v>
      </c>
      <c r="AN69" s="35">
        <v>12</v>
      </c>
      <c r="AO69" s="35">
        <f>G69*0</f>
        <v>0</v>
      </c>
      <c r="AP69" s="35">
        <f>G69*(1-0)</f>
        <v>0</v>
      </c>
      <c r="AQ69" s="64" t="s">
        <v>233</v>
      </c>
      <c r="AV69" s="35">
        <f>ROUND(AW69+AX69,2)</f>
        <v>0</v>
      </c>
      <c r="AW69" s="35">
        <f>ROUND(F69*AO69,2)</f>
        <v>0</v>
      </c>
      <c r="AX69" s="35">
        <f>ROUND(F69*AP69,2)</f>
        <v>0</v>
      </c>
      <c r="AY69" s="64" t="s">
        <v>298</v>
      </c>
      <c r="AZ69" s="64" t="s">
        <v>215</v>
      </c>
      <c r="BA69" s="48" t="s">
        <v>207</v>
      </c>
      <c r="BB69" s="65">
        <v>100019</v>
      </c>
      <c r="BC69" s="35">
        <f>AW69+AX69</f>
        <v>0</v>
      </c>
      <c r="BD69" s="35">
        <f>G69/(100-BE69)*100</f>
        <v>0</v>
      </c>
      <c r="BE69" s="35">
        <v>0</v>
      </c>
      <c r="BF69" s="35">
        <f>69</f>
        <v>69</v>
      </c>
      <c r="BH69" s="35">
        <f>F69*AO69</f>
        <v>0</v>
      </c>
      <c r="BI69" s="35">
        <f>F69*AP69</f>
        <v>0</v>
      </c>
      <c r="BJ69" s="35">
        <f>F69*G69</f>
        <v>0</v>
      </c>
      <c r="BK69" s="64" t="s">
        <v>208</v>
      </c>
      <c r="BL69" s="35"/>
      <c r="BW69" s="35">
        <v>12</v>
      </c>
      <c r="BX69" s="3" t="s">
        <v>324</v>
      </c>
    </row>
    <row r="70" spans="1:76" x14ac:dyDescent="0.25">
      <c r="A70" s="66"/>
      <c r="C70" s="67" t="s">
        <v>321</v>
      </c>
      <c r="D70" s="68" t="s">
        <v>10</v>
      </c>
      <c r="F70" s="69">
        <v>0.5</v>
      </c>
      <c r="K70" s="70"/>
    </row>
    <row r="71" spans="1:76" x14ac:dyDescent="0.25">
      <c r="A71" s="71" t="s">
        <v>10</v>
      </c>
      <c r="B71" s="72" t="s">
        <v>10</v>
      </c>
      <c r="C71" s="183" t="s">
        <v>82</v>
      </c>
      <c r="D71" s="184"/>
      <c r="E71" s="73" t="s">
        <v>74</v>
      </c>
      <c r="F71" s="73" t="s">
        <v>74</v>
      </c>
      <c r="G71" s="73" t="s">
        <v>74</v>
      </c>
      <c r="H71" s="74">
        <f>H72+H92+H107+H119+H129+H148+H178+H183+H215+H243+H246+H255+H258+H261+H264+H266+H269</f>
        <v>0</v>
      </c>
      <c r="I71" s="74">
        <f>I72+I92+I107+I119+I129+I148+I178+I183+I215+I243+I246+I255+I258+I261+I264+I266+I269</f>
        <v>0</v>
      </c>
      <c r="J71" s="74">
        <f>J72+J92+J107+J119+J129+J148+J178+J183+J215+J243+J246+J255+J258+J261+J264+J266+J269</f>
        <v>0</v>
      </c>
      <c r="K71" s="75" t="s">
        <v>10</v>
      </c>
    </row>
    <row r="72" spans="1:76" x14ac:dyDescent="0.25">
      <c r="A72" s="59" t="s">
        <v>10</v>
      </c>
      <c r="B72" s="60" t="s">
        <v>106</v>
      </c>
      <c r="C72" s="177" t="s">
        <v>107</v>
      </c>
      <c r="D72" s="178"/>
      <c r="E72" s="61" t="s">
        <v>74</v>
      </c>
      <c r="F72" s="61" t="s">
        <v>74</v>
      </c>
      <c r="G72" s="61" t="s">
        <v>74</v>
      </c>
      <c r="H72" s="42">
        <f>SUM(H73:H90)</f>
        <v>0</v>
      </c>
      <c r="I72" s="42">
        <f>SUM(I73:I90)</f>
        <v>0</v>
      </c>
      <c r="J72" s="42">
        <f>SUM(J73:J90)</f>
        <v>0</v>
      </c>
      <c r="K72" s="62" t="s">
        <v>10</v>
      </c>
      <c r="AI72" s="48" t="s">
        <v>83</v>
      </c>
      <c r="AS72" s="42">
        <f>SUM(AJ73:AJ90)</f>
        <v>0</v>
      </c>
      <c r="AT72" s="42">
        <f>SUM(AK73:AK90)</f>
        <v>0</v>
      </c>
      <c r="AU72" s="42">
        <f>SUM(AL73:AL90)</f>
        <v>0</v>
      </c>
    </row>
    <row r="73" spans="1:76" x14ac:dyDescent="0.25">
      <c r="A73" s="1" t="s">
        <v>325</v>
      </c>
      <c r="B73" s="2" t="s">
        <v>326</v>
      </c>
      <c r="C73" s="86" t="s">
        <v>327</v>
      </c>
      <c r="D73" s="87"/>
      <c r="E73" s="2" t="s">
        <v>230</v>
      </c>
      <c r="F73" s="35">
        <v>0.90622999999999998</v>
      </c>
      <c r="G73" s="35">
        <v>0</v>
      </c>
      <c r="H73" s="35">
        <f>ROUND(F73*AO73,2)</f>
        <v>0</v>
      </c>
      <c r="I73" s="35">
        <f>ROUND(F73*AP73,2)</f>
        <v>0</v>
      </c>
      <c r="J73" s="35">
        <f>ROUND(F73*G73,2)</f>
        <v>0</v>
      </c>
      <c r="K73" s="63" t="s">
        <v>203</v>
      </c>
      <c r="Z73" s="35">
        <f>ROUND(IF(AQ73="5",BJ73,0),2)</f>
        <v>0</v>
      </c>
      <c r="AB73" s="35">
        <f>ROUND(IF(AQ73="1",BH73,0),2)</f>
        <v>0</v>
      </c>
      <c r="AC73" s="35">
        <f>ROUND(IF(AQ73="1",BI73,0),2)</f>
        <v>0</v>
      </c>
      <c r="AD73" s="35">
        <f>ROUND(IF(AQ73="7",BH73,0),2)</f>
        <v>0</v>
      </c>
      <c r="AE73" s="35">
        <f>ROUND(IF(AQ73="7",BI73,0),2)</f>
        <v>0</v>
      </c>
      <c r="AF73" s="35">
        <f>ROUND(IF(AQ73="2",BH73,0),2)</f>
        <v>0</v>
      </c>
      <c r="AG73" s="35">
        <f>ROUND(IF(AQ73="2",BI73,0),2)</f>
        <v>0</v>
      </c>
      <c r="AH73" s="35">
        <f>ROUND(IF(AQ73="0",BJ73,0),2)</f>
        <v>0</v>
      </c>
      <c r="AI73" s="48" t="s">
        <v>83</v>
      </c>
      <c r="AJ73" s="35">
        <f>IF(AN73=0,J73,0)</f>
        <v>0</v>
      </c>
      <c r="AK73" s="35">
        <f>IF(AN73=12,J73,0)</f>
        <v>0</v>
      </c>
      <c r="AL73" s="35">
        <f>IF(AN73=21,J73,0)</f>
        <v>0</v>
      </c>
      <c r="AN73" s="35">
        <v>12</v>
      </c>
      <c r="AO73" s="35">
        <f>G73*0.736532548</f>
        <v>0</v>
      </c>
      <c r="AP73" s="35">
        <f>G73*(1-0.736532548)</f>
        <v>0</v>
      </c>
      <c r="AQ73" s="64" t="s">
        <v>199</v>
      </c>
      <c r="AV73" s="35">
        <f>ROUND(AW73+AX73,2)</f>
        <v>0</v>
      </c>
      <c r="AW73" s="35">
        <f>ROUND(F73*AO73,2)</f>
        <v>0</v>
      </c>
      <c r="AX73" s="35">
        <f>ROUND(F73*AP73,2)</f>
        <v>0</v>
      </c>
      <c r="AY73" s="64" t="s">
        <v>328</v>
      </c>
      <c r="AZ73" s="64" t="s">
        <v>329</v>
      </c>
      <c r="BA73" s="48" t="s">
        <v>330</v>
      </c>
      <c r="BB73" s="65">
        <v>100011</v>
      </c>
      <c r="BC73" s="35">
        <f>AW73+AX73</f>
        <v>0</v>
      </c>
      <c r="BD73" s="35">
        <f>G73/(100-BE73)*100</f>
        <v>0</v>
      </c>
      <c r="BE73" s="35">
        <v>0</v>
      </c>
      <c r="BF73" s="35">
        <f>73</f>
        <v>73</v>
      </c>
      <c r="BH73" s="35">
        <f>F73*AO73</f>
        <v>0</v>
      </c>
      <c r="BI73" s="35">
        <f>F73*AP73</f>
        <v>0</v>
      </c>
      <c r="BJ73" s="35">
        <f>F73*G73</f>
        <v>0</v>
      </c>
      <c r="BK73" s="64" t="s">
        <v>208</v>
      </c>
      <c r="BL73" s="35">
        <v>34</v>
      </c>
      <c r="BW73" s="35">
        <v>12</v>
      </c>
      <c r="BX73" s="3" t="s">
        <v>327</v>
      </c>
    </row>
    <row r="74" spans="1:76" x14ac:dyDescent="0.25">
      <c r="A74" s="66"/>
      <c r="C74" s="67" t="s">
        <v>331</v>
      </c>
      <c r="D74" s="68" t="s">
        <v>332</v>
      </c>
      <c r="F74" s="69">
        <v>1.1762300000000001</v>
      </c>
      <c r="K74" s="70"/>
    </row>
    <row r="75" spans="1:76" x14ac:dyDescent="0.25">
      <c r="A75" s="66"/>
      <c r="C75" s="67" t="s">
        <v>333</v>
      </c>
      <c r="D75" s="68" t="s">
        <v>10</v>
      </c>
      <c r="F75" s="69">
        <v>-0.27</v>
      </c>
      <c r="K75" s="70"/>
    </row>
    <row r="76" spans="1:76" x14ac:dyDescent="0.25">
      <c r="A76" s="1" t="s">
        <v>334</v>
      </c>
      <c r="B76" s="2" t="s">
        <v>335</v>
      </c>
      <c r="C76" s="86" t="s">
        <v>336</v>
      </c>
      <c r="D76" s="87"/>
      <c r="E76" s="2" t="s">
        <v>202</v>
      </c>
      <c r="F76" s="35">
        <v>3.6</v>
      </c>
      <c r="G76" s="35">
        <v>0</v>
      </c>
      <c r="H76" s="35">
        <f>ROUND(F76*AO76,2)</f>
        <v>0</v>
      </c>
      <c r="I76" s="35">
        <f>ROUND(F76*AP76,2)</f>
        <v>0</v>
      </c>
      <c r="J76" s="35">
        <f>ROUND(F76*G76,2)</f>
        <v>0</v>
      </c>
      <c r="K76" s="63" t="s">
        <v>203</v>
      </c>
      <c r="Z76" s="35">
        <f>ROUND(IF(AQ76="5",BJ76,0),2)</f>
        <v>0</v>
      </c>
      <c r="AB76" s="35">
        <f>ROUND(IF(AQ76="1",BH76,0),2)</f>
        <v>0</v>
      </c>
      <c r="AC76" s="35">
        <f>ROUND(IF(AQ76="1",BI76,0),2)</f>
        <v>0</v>
      </c>
      <c r="AD76" s="35">
        <f>ROUND(IF(AQ76="7",BH76,0),2)</f>
        <v>0</v>
      </c>
      <c r="AE76" s="35">
        <f>ROUND(IF(AQ76="7",BI76,0),2)</f>
        <v>0</v>
      </c>
      <c r="AF76" s="35">
        <f>ROUND(IF(AQ76="2",BH76,0),2)</f>
        <v>0</v>
      </c>
      <c r="AG76" s="35">
        <f>ROUND(IF(AQ76="2",BI76,0),2)</f>
        <v>0</v>
      </c>
      <c r="AH76" s="35">
        <f>ROUND(IF(AQ76="0",BJ76,0),2)</f>
        <v>0</v>
      </c>
      <c r="AI76" s="48" t="s">
        <v>83</v>
      </c>
      <c r="AJ76" s="35">
        <f>IF(AN76=0,J76,0)</f>
        <v>0</v>
      </c>
      <c r="AK76" s="35">
        <f>IF(AN76=12,J76,0)</f>
        <v>0</v>
      </c>
      <c r="AL76" s="35">
        <f>IF(AN76=21,J76,0)</f>
        <v>0</v>
      </c>
      <c r="AN76" s="35">
        <v>12</v>
      </c>
      <c r="AO76" s="35">
        <f>G76*0.628006843</f>
        <v>0</v>
      </c>
      <c r="AP76" s="35">
        <f>G76*(1-0.628006843)</f>
        <v>0</v>
      </c>
      <c r="AQ76" s="64" t="s">
        <v>199</v>
      </c>
      <c r="AV76" s="35">
        <f>ROUND(AW76+AX76,2)</f>
        <v>0</v>
      </c>
      <c r="AW76" s="35">
        <f>ROUND(F76*AO76,2)</f>
        <v>0</v>
      </c>
      <c r="AX76" s="35">
        <f>ROUND(F76*AP76,2)</f>
        <v>0</v>
      </c>
      <c r="AY76" s="64" t="s">
        <v>328</v>
      </c>
      <c r="AZ76" s="64" t="s">
        <v>329</v>
      </c>
      <c r="BA76" s="48" t="s">
        <v>330</v>
      </c>
      <c r="BB76" s="65">
        <v>100011</v>
      </c>
      <c r="BC76" s="35">
        <f>AW76+AX76</f>
        <v>0</v>
      </c>
      <c r="BD76" s="35">
        <f>G76/(100-BE76)*100</f>
        <v>0</v>
      </c>
      <c r="BE76" s="35">
        <v>0</v>
      </c>
      <c r="BF76" s="35">
        <f>76</f>
        <v>76</v>
      </c>
      <c r="BH76" s="35">
        <f>F76*AO76</f>
        <v>0</v>
      </c>
      <c r="BI76" s="35">
        <f>F76*AP76</f>
        <v>0</v>
      </c>
      <c r="BJ76" s="35">
        <f>F76*G76</f>
        <v>0</v>
      </c>
      <c r="BK76" s="64" t="s">
        <v>208</v>
      </c>
      <c r="BL76" s="35">
        <v>34</v>
      </c>
      <c r="BW76" s="35">
        <v>12</v>
      </c>
      <c r="BX76" s="3" t="s">
        <v>336</v>
      </c>
    </row>
    <row r="77" spans="1:76" ht="13.5" customHeight="1" x14ac:dyDescent="0.25">
      <c r="A77" s="66"/>
      <c r="C77" s="180" t="s">
        <v>337</v>
      </c>
      <c r="D77" s="181"/>
      <c r="E77" s="181"/>
      <c r="F77" s="181"/>
      <c r="G77" s="181"/>
      <c r="H77" s="181"/>
      <c r="I77" s="181"/>
      <c r="J77" s="181"/>
      <c r="K77" s="182"/>
    </row>
    <row r="78" spans="1:76" x14ac:dyDescent="0.25">
      <c r="A78" s="66"/>
      <c r="C78" s="67" t="s">
        <v>338</v>
      </c>
      <c r="D78" s="68" t="s">
        <v>339</v>
      </c>
      <c r="F78" s="69">
        <v>3.6</v>
      </c>
      <c r="K78" s="70"/>
    </row>
    <row r="79" spans="1:76" x14ac:dyDescent="0.25">
      <c r="A79" s="1" t="s">
        <v>340</v>
      </c>
      <c r="B79" s="2" t="s">
        <v>341</v>
      </c>
      <c r="C79" s="86" t="s">
        <v>342</v>
      </c>
      <c r="D79" s="87"/>
      <c r="E79" s="2" t="s">
        <v>202</v>
      </c>
      <c r="F79" s="35">
        <v>1.4025000000000001</v>
      </c>
      <c r="G79" s="35">
        <v>0</v>
      </c>
      <c r="H79" s="35">
        <f>ROUND(F79*AO79,2)</f>
        <v>0</v>
      </c>
      <c r="I79" s="35">
        <f>ROUND(F79*AP79,2)</f>
        <v>0</v>
      </c>
      <c r="J79" s="35">
        <f>ROUND(F79*G79,2)</f>
        <v>0</v>
      </c>
      <c r="K79" s="63" t="s">
        <v>203</v>
      </c>
      <c r="Z79" s="35">
        <f>ROUND(IF(AQ79="5",BJ79,0),2)</f>
        <v>0</v>
      </c>
      <c r="AB79" s="35">
        <f>ROUND(IF(AQ79="1",BH79,0),2)</f>
        <v>0</v>
      </c>
      <c r="AC79" s="35">
        <f>ROUND(IF(AQ79="1",BI79,0),2)</f>
        <v>0</v>
      </c>
      <c r="AD79" s="35">
        <f>ROUND(IF(AQ79="7",BH79,0),2)</f>
        <v>0</v>
      </c>
      <c r="AE79" s="35">
        <f>ROUND(IF(AQ79="7",BI79,0),2)</f>
        <v>0</v>
      </c>
      <c r="AF79" s="35">
        <f>ROUND(IF(AQ79="2",BH79,0),2)</f>
        <v>0</v>
      </c>
      <c r="AG79" s="35">
        <f>ROUND(IF(AQ79="2",BI79,0),2)</f>
        <v>0</v>
      </c>
      <c r="AH79" s="35">
        <f>ROUND(IF(AQ79="0",BJ79,0),2)</f>
        <v>0</v>
      </c>
      <c r="AI79" s="48" t="s">
        <v>83</v>
      </c>
      <c r="AJ79" s="35">
        <f>IF(AN79=0,J79,0)</f>
        <v>0</v>
      </c>
      <c r="AK79" s="35">
        <f>IF(AN79=12,J79,0)</f>
        <v>0</v>
      </c>
      <c r="AL79" s="35">
        <f>IF(AN79=21,J79,0)</f>
        <v>0</v>
      </c>
      <c r="AN79" s="35">
        <v>12</v>
      </c>
      <c r="AO79" s="35">
        <f>G79*0.384035909</f>
        <v>0</v>
      </c>
      <c r="AP79" s="35">
        <f>G79*(1-0.384035909)</f>
        <v>0</v>
      </c>
      <c r="AQ79" s="64" t="s">
        <v>199</v>
      </c>
      <c r="AV79" s="35">
        <f>ROUND(AW79+AX79,2)</f>
        <v>0</v>
      </c>
      <c r="AW79" s="35">
        <f>ROUND(F79*AO79,2)</f>
        <v>0</v>
      </c>
      <c r="AX79" s="35">
        <f>ROUND(F79*AP79,2)</f>
        <v>0</v>
      </c>
      <c r="AY79" s="64" t="s">
        <v>328</v>
      </c>
      <c r="AZ79" s="64" t="s">
        <v>329</v>
      </c>
      <c r="BA79" s="48" t="s">
        <v>330</v>
      </c>
      <c r="BB79" s="65">
        <v>100011</v>
      </c>
      <c r="BC79" s="35">
        <f>AW79+AX79</f>
        <v>0</v>
      </c>
      <c r="BD79" s="35">
        <f>G79/(100-BE79)*100</f>
        <v>0</v>
      </c>
      <c r="BE79" s="35">
        <v>0</v>
      </c>
      <c r="BF79" s="35">
        <f>79</f>
        <v>79</v>
      </c>
      <c r="BH79" s="35">
        <f>F79*AO79</f>
        <v>0</v>
      </c>
      <c r="BI79" s="35">
        <f>F79*AP79</f>
        <v>0</v>
      </c>
      <c r="BJ79" s="35">
        <f>F79*G79</f>
        <v>0</v>
      </c>
      <c r="BK79" s="64" t="s">
        <v>208</v>
      </c>
      <c r="BL79" s="35">
        <v>34</v>
      </c>
      <c r="BW79" s="35">
        <v>12</v>
      </c>
      <c r="BX79" s="3" t="s">
        <v>342</v>
      </c>
    </row>
    <row r="80" spans="1:76" ht="13.5" customHeight="1" x14ac:dyDescent="0.25">
      <c r="A80" s="66"/>
      <c r="C80" s="180" t="s">
        <v>343</v>
      </c>
      <c r="D80" s="181"/>
      <c r="E80" s="181"/>
      <c r="F80" s="181"/>
      <c r="G80" s="181"/>
      <c r="H80" s="181"/>
      <c r="I80" s="181"/>
      <c r="J80" s="181"/>
      <c r="K80" s="182"/>
    </row>
    <row r="81" spans="1:76" x14ac:dyDescent="0.25">
      <c r="A81" s="66"/>
      <c r="C81" s="67" t="s">
        <v>344</v>
      </c>
      <c r="D81" s="68" t="s">
        <v>345</v>
      </c>
      <c r="F81" s="69">
        <v>1.4025000000000001</v>
      </c>
      <c r="K81" s="70"/>
    </row>
    <row r="82" spans="1:76" x14ac:dyDescent="0.25">
      <c r="A82" s="1" t="s">
        <v>346</v>
      </c>
      <c r="B82" s="2" t="s">
        <v>347</v>
      </c>
      <c r="C82" s="86" t="s">
        <v>348</v>
      </c>
      <c r="D82" s="87"/>
      <c r="E82" s="2" t="s">
        <v>252</v>
      </c>
      <c r="F82" s="35">
        <v>1</v>
      </c>
      <c r="G82" s="35">
        <v>0</v>
      </c>
      <c r="H82" s="35">
        <f>ROUND(F82*AO82,2)</f>
        <v>0</v>
      </c>
      <c r="I82" s="35">
        <f>ROUND(F82*AP82,2)</f>
        <v>0</v>
      </c>
      <c r="J82" s="35">
        <f>ROUND(F82*G82,2)</f>
        <v>0</v>
      </c>
      <c r="K82" s="63" t="s">
        <v>203</v>
      </c>
      <c r="Z82" s="35">
        <f>ROUND(IF(AQ82="5",BJ82,0),2)</f>
        <v>0</v>
      </c>
      <c r="AB82" s="35">
        <f>ROUND(IF(AQ82="1",BH82,0),2)</f>
        <v>0</v>
      </c>
      <c r="AC82" s="35">
        <f>ROUND(IF(AQ82="1",BI82,0),2)</f>
        <v>0</v>
      </c>
      <c r="AD82" s="35">
        <f>ROUND(IF(AQ82="7",BH82,0),2)</f>
        <v>0</v>
      </c>
      <c r="AE82" s="35">
        <f>ROUND(IF(AQ82="7",BI82,0),2)</f>
        <v>0</v>
      </c>
      <c r="AF82" s="35">
        <f>ROUND(IF(AQ82="2",BH82,0),2)</f>
        <v>0</v>
      </c>
      <c r="AG82" s="35">
        <f>ROUND(IF(AQ82="2",BI82,0),2)</f>
        <v>0</v>
      </c>
      <c r="AH82" s="35">
        <f>ROUND(IF(AQ82="0",BJ82,0),2)</f>
        <v>0</v>
      </c>
      <c r="AI82" s="48" t="s">
        <v>83</v>
      </c>
      <c r="AJ82" s="35">
        <f>IF(AN82=0,J82,0)</f>
        <v>0</v>
      </c>
      <c r="AK82" s="35">
        <f>IF(AN82=12,J82,0)</f>
        <v>0</v>
      </c>
      <c r="AL82" s="35">
        <f>IF(AN82=21,J82,0)</f>
        <v>0</v>
      </c>
      <c r="AN82" s="35">
        <v>12</v>
      </c>
      <c r="AO82" s="35">
        <f>G82*0.012727273</f>
        <v>0</v>
      </c>
      <c r="AP82" s="35">
        <f>G82*(1-0.012727273)</f>
        <v>0</v>
      </c>
      <c r="AQ82" s="64" t="s">
        <v>199</v>
      </c>
      <c r="AV82" s="35">
        <f>ROUND(AW82+AX82,2)</f>
        <v>0</v>
      </c>
      <c r="AW82" s="35">
        <f>ROUND(F82*AO82,2)</f>
        <v>0</v>
      </c>
      <c r="AX82" s="35">
        <f>ROUND(F82*AP82,2)</f>
        <v>0</v>
      </c>
      <c r="AY82" s="64" t="s">
        <v>328</v>
      </c>
      <c r="AZ82" s="64" t="s">
        <v>329</v>
      </c>
      <c r="BA82" s="48" t="s">
        <v>330</v>
      </c>
      <c r="BB82" s="65">
        <v>100011</v>
      </c>
      <c r="BC82" s="35">
        <f>AW82+AX82</f>
        <v>0</v>
      </c>
      <c r="BD82" s="35">
        <f>G82/(100-BE82)*100</f>
        <v>0</v>
      </c>
      <c r="BE82" s="35">
        <v>0</v>
      </c>
      <c r="BF82" s="35">
        <f>82</f>
        <v>82</v>
      </c>
      <c r="BH82" s="35">
        <f>F82*AO82</f>
        <v>0</v>
      </c>
      <c r="BI82" s="35">
        <f>F82*AP82</f>
        <v>0</v>
      </c>
      <c r="BJ82" s="35">
        <f>F82*G82</f>
        <v>0</v>
      </c>
      <c r="BK82" s="64" t="s">
        <v>208</v>
      </c>
      <c r="BL82" s="35">
        <v>34</v>
      </c>
      <c r="BW82" s="35">
        <v>12</v>
      </c>
      <c r="BX82" s="3" t="s">
        <v>348</v>
      </c>
    </row>
    <row r="83" spans="1:76" x14ac:dyDescent="0.25">
      <c r="A83" s="66"/>
      <c r="C83" s="67" t="s">
        <v>199</v>
      </c>
      <c r="D83" s="68" t="s">
        <v>349</v>
      </c>
      <c r="F83" s="69">
        <v>1</v>
      </c>
      <c r="K83" s="70"/>
    </row>
    <row r="84" spans="1:76" x14ac:dyDescent="0.25">
      <c r="A84" s="1" t="s">
        <v>350</v>
      </c>
      <c r="B84" s="2" t="s">
        <v>351</v>
      </c>
      <c r="C84" s="86" t="s">
        <v>352</v>
      </c>
      <c r="D84" s="87"/>
      <c r="E84" s="2" t="s">
        <v>202</v>
      </c>
      <c r="F84" s="35">
        <v>2.5175000000000001</v>
      </c>
      <c r="G84" s="35">
        <v>0</v>
      </c>
      <c r="H84" s="35">
        <f>ROUND(F84*AO84,2)</f>
        <v>0</v>
      </c>
      <c r="I84" s="35">
        <f>ROUND(F84*AP84,2)</f>
        <v>0</v>
      </c>
      <c r="J84" s="35">
        <f>ROUND(F84*G84,2)</f>
        <v>0</v>
      </c>
      <c r="K84" s="63" t="s">
        <v>203</v>
      </c>
      <c r="Z84" s="35">
        <f>ROUND(IF(AQ84="5",BJ84,0),2)</f>
        <v>0</v>
      </c>
      <c r="AB84" s="35">
        <f>ROUND(IF(AQ84="1",BH84,0),2)</f>
        <v>0</v>
      </c>
      <c r="AC84" s="35">
        <f>ROUND(IF(AQ84="1",BI84,0),2)</f>
        <v>0</v>
      </c>
      <c r="AD84" s="35">
        <f>ROUND(IF(AQ84="7",BH84,0),2)</f>
        <v>0</v>
      </c>
      <c r="AE84" s="35">
        <f>ROUND(IF(AQ84="7",BI84,0),2)</f>
        <v>0</v>
      </c>
      <c r="AF84" s="35">
        <f>ROUND(IF(AQ84="2",BH84,0),2)</f>
        <v>0</v>
      </c>
      <c r="AG84" s="35">
        <f>ROUND(IF(AQ84="2",BI84,0),2)</f>
        <v>0</v>
      </c>
      <c r="AH84" s="35">
        <f>ROUND(IF(AQ84="0",BJ84,0),2)</f>
        <v>0</v>
      </c>
      <c r="AI84" s="48" t="s">
        <v>83</v>
      </c>
      <c r="AJ84" s="35">
        <f>IF(AN84=0,J84,0)</f>
        <v>0</v>
      </c>
      <c r="AK84" s="35">
        <f>IF(AN84=12,J84,0)</f>
        <v>0</v>
      </c>
      <c r="AL84" s="35">
        <f>IF(AN84=21,J84,0)</f>
        <v>0</v>
      </c>
      <c r="AN84" s="35">
        <v>12</v>
      </c>
      <c r="AO84" s="35">
        <f>G84*0.543962692</f>
        <v>0</v>
      </c>
      <c r="AP84" s="35">
        <f>G84*(1-0.543962692)</f>
        <v>0</v>
      </c>
      <c r="AQ84" s="64" t="s">
        <v>199</v>
      </c>
      <c r="AV84" s="35">
        <f>ROUND(AW84+AX84,2)</f>
        <v>0</v>
      </c>
      <c r="AW84" s="35">
        <f>ROUND(F84*AO84,2)</f>
        <v>0</v>
      </c>
      <c r="AX84" s="35">
        <f>ROUND(F84*AP84,2)</f>
        <v>0</v>
      </c>
      <c r="AY84" s="64" t="s">
        <v>328</v>
      </c>
      <c r="AZ84" s="64" t="s">
        <v>329</v>
      </c>
      <c r="BA84" s="48" t="s">
        <v>330</v>
      </c>
      <c r="BB84" s="65">
        <v>100011</v>
      </c>
      <c r="BC84" s="35">
        <f>AW84+AX84</f>
        <v>0</v>
      </c>
      <c r="BD84" s="35">
        <f>G84/(100-BE84)*100</f>
        <v>0</v>
      </c>
      <c r="BE84" s="35">
        <v>0</v>
      </c>
      <c r="BF84" s="35">
        <f>84</f>
        <v>84</v>
      </c>
      <c r="BH84" s="35">
        <f>F84*AO84</f>
        <v>0</v>
      </c>
      <c r="BI84" s="35">
        <f>F84*AP84</f>
        <v>0</v>
      </c>
      <c r="BJ84" s="35">
        <f>F84*G84</f>
        <v>0</v>
      </c>
      <c r="BK84" s="64" t="s">
        <v>208</v>
      </c>
      <c r="BL84" s="35">
        <v>34</v>
      </c>
      <c r="BW84" s="35">
        <v>12</v>
      </c>
      <c r="BX84" s="3" t="s">
        <v>352</v>
      </c>
    </row>
    <row r="85" spans="1:76" ht="13.5" customHeight="1" x14ac:dyDescent="0.25">
      <c r="A85" s="66"/>
      <c r="C85" s="180" t="s">
        <v>353</v>
      </c>
      <c r="D85" s="181"/>
      <c r="E85" s="181"/>
      <c r="F85" s="181"/>
      <c r="G85" s="181"/>
      <c r="H85" s="181"/>
      <c r="I85" s="181"/>
      <c r="J85" s="181"/>
      <c r="K85" s="182"/>
    </row>
    <row r="86" spans="1:76" x14ac:dyDescent="0.25">
      <c r="A86" s="66"/>
      <c r="C86" s="67" t="s">
        <v>354</v>
      </c>
      <c r="D86" s="68" t="s">
        <v>10</v>
      </c>
      <c r="F86" s="69">
        <v>2.5175000000000001</v>
      </c>
      <c r="K86" s="70"/>
    </row>
    <row r="87" spans="1:76" x14ac:dyDescent="0.25">
      <c r="A87" s="1" t="s">
        <v>355</v>
      </c>
      <c r="B87" s="2" t="s">
        <v>356</v>
      </c>
      <c r="C87" s="86" t="s">
        <v>357</v>
      </c>
      <c r="D87" s="87"/>
      <c r="E87" s="2" t="s">
        <v>224</v>
      </c>
      <c r="F87" s="35">
        <v>13.88</v>
      </c>
      <c r="G87" s="35">
        <v>0</v>
      </c>
      <c r="H87" s="35">
        <f>ROUND(F87*AO87,2)</f>
        <v>0</v>
      </c>
      <c r="I87" s="35">
        <f>ROUND(F87*AP87,2)</f>
        <v>0</v>
      </c>
      <c r="J87" s="35">
        <f>ROUND(F87*G87,2)</f>
        <v>0</v>
      </c>
      <c r="K87" s="63" t="s">
        <v>203</v>
      </c>
      <c r="Z87" s="35">
        <f>ROUND(IF(AQ87="5",BJ87,0),2)</f>
        <v>0</v>
      </c>
      <c r="AB87" s="35">
        <f>ROUND(IF(AQ87="1",BH87,0),2)</f>
        <v>0</v>
      </c>
      <c r="AC87" s="35">
        <f>ROUND(IF(AQ87="1",BI87,0),2)</f>
        <v>0</v>
      </c>
      <c r="AD87" s="35">
        <f>ROUND(IF(AQ87="7",BH87,0),2)</f>
        <v>0</v>
      </c>
      <c r="AE87" s="35">
        <f>ROUND(IF(AQ87="7",BI87,0),2)</f>
        <v>0</v>
      </c>
      <c r="AF87" s="35">
        <f>ROUND(IF(AQ87="2",BH87,0),2)</f>
        <v>0</v>
      </c>
      <c r="AG87" s="35">
        <f>ROUND(IF(AQ87="2",BI87,0),2)</f>
        <v>0</v>
      </c>
      <c r="AH87" s="35">
        <f>ROUND(IF(AQ87="0",BJ87,0),2)</f>
        <v>0</v>
      </c>
      <c r="AI87" s="48" t="s">
        <v>83</v>
      </c>
      <c r="AJ87" s="35">
        <f>IF(AN87=0,J87,0)</f>
        <v>0</v>
      </c>
      <c r="AK87" s="35">
        <f>IF(AN87=12,J87,0)</f>
        <v>0</v>
      </c>
      <c r="AL87" s="35">
        <f>IF(AN87=21,J87,0)</f>
        <v>0</v>
      </c>
      <c r="AN87" s="35">
        <v>12</v>
      </c>
      <c r="AO87" s="35">
        <f>G87*0.177740851</f>
        <v>0</v>
      </c>
      <c r="AP87" s="35">
        <f>G87*(1-0.177740851)</f>
        <v>0</v>
      </c>
      <c r="AQ87" s="64" t="s">
        <v>199</v>
      </c>
      <c r="AV87" s="35">
        <f>ROUND(AW87+AX87,2)</f>
        <v>0</v>
      </c>
      <c r="AW87" s="35">
        <f>ROUND(F87*AO87,2)</f>
        <v>0</v>
      </c>
      <c r="AX87" s="35">
        <f>ROUND(F87*AP87,2)</f>
        <v>0</v>
      </c>
      <c r="AY87" s="64" t="s">
        <v>328</v>
      </c>
      <c r="AZ87" s="64" t="s">
        <v>329</v>
      </c>
      <c r="BA87" s="48" t="s">
        <v>330</v>
      </c>
      <c r="BB87" s="65">
        <v>100011</v>
      </c>
      <c r="BC87" s="35">
        <f>AW87+AX87</f>
        <v>0</v>
      </c>
      <c r="BD87" s="35">
        <f>G87/(100-BE87)*100</f>
        <v>0</v>
      </c>
      <c r="BE87" s="35">
        <v>0</v>
      </c>
      <c r="BF87" s="35">
        <f>87</f>
        <v>87</v>
      </c>
      <c r="BH87" s="35">
        <f>F87*AO87</f>
        <v>0</v>
      </c>
      <c r="BI87" s="35">
        <f>F87*AP87</f>
        <v>0</v>
      </c>
      <c r="BJ87" s="35">
        <f>F87*G87</f>
        <v>0</v>
      </c>
      <c r="BK87" s="64" t="s">
        <v>208</v>
      </c>
      <c r="BL87" s="35">
        <v>34</v>
      </c>
      <c r="BW87" s="35">
        <v>12</v>
      </c>
      <c r="BX87" s="3" t="s">
        <v>357</v>
      </c>
    </row>
    <row r="88" spans="1:76" x14ac:dyDescent="0.25">
      <c r="A88" s="66"/>
      <c r="C88" s="67" t="s">
        <v>358</v>
      </c>
      <c r="D88" s="68" t="s">
        <v>359</v>
      </c>
      <c r="F88" s="69">
        <v>9.8800000000000008</v>
      </c>
      <c r="K88" s="70"/>
    </row>
    <row r="89" spans="1:76" x14ac:dyDescent="0.25">
      <c r="A89" s="66"/>
      <c r="C89" s="67" t="s">
        <v>360</v>
      </c>
      <c r="D89" s="68" t="s">
        <v>361</v>
      </c>
      <c r="F89" s="69">
        <v>4</v>
      </c>
      <c r="K89" s="70"/>
    </row>
    <row r="90" spans="1:76" x14ac:dyDescent="0.25">
      <c r="A90" s="1" t="s">
        <v>362</v>
      </c>
      <c r="B90" s="2" t="s">
        <v>363</v>
      </c>
      <c r="C90" s="86" t="s">
        <v>364</v>
      </c>
      <c r="D90" s="87"/>
      <c r="E90" s="2" t="s">
        <v>224</v>
      </c>
      <c r="F90" s="35">
        <v>4.0999999999999996</v>
      </c>
      <c r="G90" s="35">
        <v>0</v>
      </c>
      <c r="H90" s="35">
        <f>ROUND(F90*AO90,2)</f>
        <v>0</v>
      </c>
      <c r="I90" s="35">
        <f>ROUND(F90*AP90,2)</f>
        <v>0</v>
      </c>
      <c r="J90" s="35">
        <f>ROUND(F90*G90,2)</f>
        <v>0</v>
      </c>
      <c r="K90" s="63" t="s">
        <v>203</v>
      </c>
      <c r="Z90" s="35">
        <f>ROUND(IF(AQ90="5",BJ90,0),2)</f>
        <v>0</v>
      </c>
      <c r="AB90" s="35">
        <f>ROUND(IF(AQ90="1",BH90,0),2)</f>
        <v>0</v>
      </c>
      <c r="AC90" s="35">
        <f>ROUND(IF(AQ90="1",BI90,0),2)</f>
        <v>0</v>
      </c>
      <c r="AD90" s="35">
        <f>ROUND(IF(AQ90="7",BH90,0),2)</f>
        <v>0</v>
      </c>
      <c r="AE90" s="35">
        <f>ROUND(IF(AQ90="7",BI90,0),2)</f>
        <v>0</v>
      </c>
      <c r="AF90" s="35">
        <f>ROUND(IF(AQ90="2",BH90,0),2)</f>
        <v>0</v>
      </c>
      <c r="AG90" s="35">
        <f>ROUND(IF(AQ90="2",BI90,0),2)</f>
        <v>0</v>
      </c>
      <c r="AH90" s="35">
        <f>ROUND(IF(AQ90="0",BJ90,0),2)</f>
        <v>0</v>
      </c>
      <c r="AI90" s="48" t="s">
        <v>83</v>
      </c>
      <c r="AJ90" s="35">
        <f>IF(AN90=0,J90,0)</f>
        <v>0</v>
      </c>
      <c r="AK90" s="35">
        <f>IF(AN90=12,J90,0)</f>
        <v>0</v>
      </c>
      <c r="AL90" s="35">
        <f>IF(AN90=21,J90,0)</f>
        <v>0</v>
      </c>
      <c r="AN90" s="35">
        <v>12</v>
      </c>
      <c r="AO90" s="35">
        <f>G90*0.154949785</f>
        <v>0</v>
      </c>
      <c r="AP90" s="35">
        <f>G90*(1-0.154949785)</f>
        <v>0</v>
      </c>
      <c r="AQ90" s="64" t="s">
        <v>199</v>
      </c>
      <c r="AV90" s="35">
        <f>ROUND(AW90+AX90,2)</f>
        <v>0</v>
      </c>
      <c r="AW90" s="35">
        <f>ROUND(F90*AO90,2)</f>
        <v>0</v>
      </c>
      <c r="AX90" s="35">
        <f>ROUND(F90*AP90,2)</f>
        <v>0</v>
      </c>
      <c r="AY90" s="64" t="s">
        <v>328</v>
      </c>
      <c r="AZ90" s="64" t="s">
        <v>329</v>
      </c>
      <c r="BA90" s="48" t="s">
        <v>330</v>
      </c>
      <c r="BB90" s="65">
        <v>100011</v>
      </c>
      <c r="BC90" s="35">
        <f>AW90+AX90</f>
        <v>0</v>
      </c>
      <c r="BD90" s="35">
        <f>G90/(100-BE90)*100</f>
        <v>0</v>
      </c>
      <c r="BE90" s="35">
        <v>0</v>
      </c>
      <c r="BF90" s="35">
        <f>90</f>
        <v>90</v>
      </c>
      <c r="BH90" s="35">
        <f>F90*AO90</f>
        <v>0</v>
      </c>
      <c r="BI90" s="35">
        <f>F90*AP90</f>
        <v>0</v>
      </c>
      <c r="BJ90" s="35">
        <f>F90*G90</f>
        <v>0</v>
      </c>
      <c r="BK90" s="64" t="s">
        <v>208</v>
      </c>
      <c r="BL90" s="35">
        <v>34</v>
      </c>
      <c r="BW90" s="35">
        <v>12</v>
      </c>
      <c r="BX90" s="3" t="s">
        <v>364</v>
      </c>
    </row>
    <row r="91" spans="1:76" x14ac:dyDescent="0.25">
      <c r="A91" s="66"/>
      <c r="C91" s="67" t="s">
        <v>365</v>
      </c>
      <c r="D91" s="68" t="s">
        <v>10</v>
      </c>
      <c r="F91" s="69">
        <v>4.0999999999999996</v>
      </c>
      <c r="K91" s="70"/>
    </row>
    <row r="92" spans="1:76" x14ac:dyDescent="0.25">
      <c r="A92" s="59" t="s">
        <v>10</v>
      </c>
      <c r="B92" s="60" t="s">
        <v>108</v>
      </c>
      <c r="C92" s="177" t="s">
        <v>109</v>
      </c>
      <c r="D92" s="178"/>
      <c r="E92" s="61" t="s">
        <v>74</v>
      </c>
      <c r="F92" s="61" t="s">
        <v>74</v>
      </c>
      <c r="G92" s="61" t="s">
        <v>74</v>
      </c>
      <c r="H92" s="42">
        <f>SUM(H93:H103)</f>
        <v>0</v>
      </c>
      <c r="I92" s="42">
        <f>SUM(I93:I103)</f>
        <v>0</v>
      </c>
      <c r="J92" s="42">
        <f>SUM(J93:J103)</f>
        <v>0</v>
      </c>
      <c r="K92" s="62" t="s">
        <v>10</v>
      </c>
      <c r="AI92" s="48" t="s">
        <v>83</v>
      </c>
      <c r="AS92" s="42">
        <f>SUM(AJ93:AJ103)</f>
        <v>0</v>
      </c>
      <c r="AT92" s="42">
        <f>SUM(AK93:AK103)</f>
        <v>0</v>
      </c>
      <c r="AU92" s="42">
        <f>SUM(AL93:AL103)</f>
        <v>0</v>
      </c>
    </row>
    <row r="93" spans="1:76" x14ac:dyDescent="0.25">
      <c r="A93" s="1" t="s">
        <v>366</v>
      </c>
      <c r="B93" s="2" t="s">
        <v>367</v>
      </c>
      <c r="C93" s="86" t="s">
        <v>368</v>
      </c>
      <c r="D93" s="87"/>
      <c r="E93" s="2" t="s">
        <v>202</v>
      </c>
      <c r="F93" s="35">
        <v>22.106919999999999</v>
      </c>
      <c r="G93" s="35">
        <v>0</v>
      </c>
      <c r="H93" s="35">
        <f>ROUND(F93*AO93,2)</f>
        <v>0</v>
      </c>
      <c r="I93" s="35">
        <f>ROUND(F93*AP93,2)</f>
        <v>0</v>
      </c>
      <c r="J93" s="35">
        <f>ROUND(F93*G93,2)</f>
        <v>0</v>
      </c>
      <c r="K93" s="63" t="s">
        <v>203</v>
      </c>
      <c r="Z93" s="35">
        <f>ROUND(IF(AQ93="5",BJ93,0),2)</f>
        <v>0</v>
      </c>
      <c r="AB93" s="35">
        <f>ROUND(IF(AQ93="1",BH93,0),2)</f>
        <v>0</v>
      </c>
      <c r="AC93" s="35">
        <f>ROUND(IF(AQ93="1",BI93,0),2)</f>
        <v>0</v>
      </c>
      <c r="AD93" s="35">
        <f>ROUND(IF(AQ93="7",BH93,0),2)</f>
        <v>0</v>
      </c>
      <c r="AE93" s="35">
        <f>ROUND(IF(AQ93="7",BI93,0),2)</f>
        <v>0</v>
      </c>
      <c r="AF93" s="35">
        <f>ROUND(IF(AQ93="2",BH93,0),2)</f>
        <v>0</v>
      </c>
      <c r="AG93" s="35">
        <f>ROUND(IF(AQ93="2",BI93,0),2)</f>
        <v>0</v>
      </c>
      <c r="AH93" s="35">
        <f>ROUND(IF(AQ93="0",BJ93,0),2)</f>
        <v>0</v>
      </c>
      <c r="AI93" s="48" t="s">
        <v>83</v>
      </c>
      <c r="AJ93" s="35">
        <f>IF(AN93=0,J93,0)</f>
        <v>0</v>
      </c>
      <c r="AK93" s="35">
        <f>IF(AN93=12,J93,0)</f>
        <v>0</v>
      </c>
      <c r="AL93" s="35">
        <f>IF(AN93=21,J93,0)</f>
        <v>0</v>
      </c>
      <c r="AN93" s="35">
        <v>12</v>
      </c>
      <c r="AO93" s="35">
        <f>G93*0.694529028</f>
        <v>0</v>
      </c>
      <c r="AP93" s="35">
        <f>G93*(1-0.694529028)</f>
        <v>0</v>
      </c>
      <c r="AQ93" s="64" t="s">
        <v>199</v>
      </c>
      <c r="AV93" s="35">
        <f>ROUND(AW93+AX93,2)</f>
        <v>0</v>
      </c>
      <c r="AW93" s="35">
        <f>ROUND(F93*AO93,2)</f>
        <v>0</v>
      </c>
      <c r="AX93" s="35">
        <f>ROUND(F93*AP93,2)</f>
        <v>0</v>
      </c>
      <c r="AY93" s="64" t="s">
        <v>369</v>
      </c>
      <c r="AZ93" s="64" t="s">
        <v>370</v>
      </c>
      <c r="BA93" s="48" t="s">
        <v>330</v>
      </c>
      <c r="BB93" s="65">
        <v>100029</v>
      </c>
      <c r="BC93" s="35">
        <f>AW93+AX93</f>
        <v>0</v>
      </c>
      <c r="BD93" s="35">
        <f>G93/(100-BE93)*100</f>
        <v>0</v>
      </c>
      <c r="BE93" s="35">
        <v>0</v>
      </c>
      <c r="BF93" s="35">
        <f>93</f>
        <v>93</v>
      </c>
      <c r="BH93" s="35">
        <f>F93*AO93</f>
        <v>0</v>
      </c>
      <c r="BI93" s="35">
        <f>F93*AP93</f>
        <v>0</v>
      </c>
      <c r="BJ93" s="35">
        <f>F93*G93</f>
        <v>0</v>
      </c>
      <c r="BK93" s="64" t="s">
        <v>208</v>
      </c>
      <c r="BL93" s="35">
        <v>60</v>
      </c>
      <c r="BW93" s="35">
        <v>12</v>
      </c>
      <c r="BX93" s="3" t="s">
        <v>368</v>
      </c>
    </row>
    <row r="94" spans="1:76" x14ac:dyDescent="0.25">
      <c r="A94" s="66"/>
      <c r="C94" s="67" t="s">
        <v>371</v>
      </c>
      <c r="D94" s="68" t="s">
        <v>372</v>
      </c>
      <c r="F94" s="69">
        <v>21.70692</v>
      </c>
      <c r="K94" s="70"/>
    </row>
    <row r="95" spans="1:76" x14ac:dyDescent="0.25">
      <c r="A95" s="66"/>
      <c r="C95" s="67" t="s">
        <v>373</v>
      </c>
      <c r="D95" s="68" t="s">
        <v>10</v>
      </c>
      <c r="F95" s="69">
        <v>-1.8</v>
      </c>
      <c r="K95" s="70"/>
    </row>
    <row r="96" spans="1:76" x14ac:dyDescent="0.25">
      <c r="A96" s="66"/>
      <c r="C96" s="67" t="s">
        <v>374</v>
      </c>
      <c r="D96" s="68" t="s">
        <v>10</v>
      </c>
      <c r="F96" s="69">
        <v>2.2000000000000002</v>
      </c>
      <c r="K96" s="70"/>
    </row>
    <row r="97" spans="1:76" x14ac:dyDescent="0.25">
      <c r="A97" s="1" t="s">
        <v>375</v>
      </c>
      <c r="B97" s="2" t="s">
        <v>376</v>
      </c>
      <c r="C97" s="86" t="s">
        <v>377</v>
      </c>
      <c r="D97" s="87"/>
      <c r="E97" s="2" t="s">
        <v>202</v>
      </c>
      <c r="F97" s="35">
        <v>54.51332</v>
      </c>
      <c r="G97" s="35">
        <v>0</v>
      </c>
      <c r="H97" s="35">
        <f>ROUND(F97*AO97,2)</f>
        <v>0</v>
      </c>
      <c r="I97" s="35">
        <f>ROUND(F97*AP97,2)</f>
        <v>0</v>
      </c>
      <c r="J97" s="35">
        <f>ROUND(F97*G97,2)</f>
        <v>0</v>
      </c>
      <c r="K97" s="63" t="s">
        <v>203</v>
      </c>
      <c r="Z97" s="35">
        <f>ROUND(IF(AQ97="5",BJ97,0),2)</f>
        <v>0</v>
      </c>
      <c r="AB97" s="35">
        <f>ROUND(IF(AQ97="1",BH97,0),2)</f>
        <v>0</v>
      </c>
      <c r="AC97" s="35">
        <f>ROUND(IF(AQ97="1",BI97,0),2)</f>
        <v>0</v>
      </c>
      <c r="AD97" s="35">
        <f>ROUND(IF(AQ97="7",BH97,0),2)</f>
        <v>0</v>
      </c>
      <c r="AE97" s="35">
        <f>ROUND(IF(AQ97="7",BI97,0),2)</f>
        <v>0</v>
      </c>
      <c r="AF97" s="35">
        <f>ROUND(IF(AQ97="2",BH97,0),2)</f>
        <v>0</v>
      </c>
      <c r="AG97" s="35">
        <f>ROUND(IF(AQ97="2",BI97,0),2)</f>
        <v>0</v>
      </c>
      <c r="AH97" s="35">
        <f>ROUND(IF(AQ97="0",BJ97,0),2)</f>
        <v>0</v>
      </c>
      <c r="AI97" s="48" t="s">
        <v>83</v>
      </c>
      <c r="AJ97" s="35">
        <f>IF(AN97=0,J97,0)</f>
        <v>0</v>
      </c>
      <c r="AK97" s="35">
        <f>IF(AN97=12,J97,0)</f>
        <v>0</v>
      </c>
      <c r="AL97" s="35">
        <f>IF(AN97=21,J97,0)</f>
        <v>0</v>
      </c>
      <c r="AN97" s="35">
        <v>12</v>
      </c>
      <c r="AO97" s="35">
        <f>G97*0.556407244</f>
        <v>0</v>
      </c>
      <c r="AP97" s="35">
        <f>G97*(1-0.556407244)</f>
        <v>0</v>
      </c>
      <c r="AQ97" s="64" t="s">
        <v>199</v>
      </c>
      <c r="AV97" s="35">
        <f>ROUND(AW97+AX97,2)</f>
        <v>0</v>
      </c>
      <c r="AW97" s="35">
        <f>ROUND(F97*AO97,2)</f>
        <v>0</v>
      </c>
      <c r="AX97" s="35">
        <f>ROUND(F97*AP97,2)</f>
        <v>0</v>
      </c>
      <c r="AY97" s="64" t="s">
        <v>369</v>
      </c>
      <c r="AZ97" s="64" t="s">
        <v>370</v>
      </c>
      <c r="BA97" s="48" t="s">
        <v>330</v>
      </c>
      <c r="BB97" s="65">
        <v>100029</v>
      </c>
      <c r="BC97" s="35">
        <f>AW97+AX97</f>
        <v>0</v>
      </c>
      <c r="BD97" s="35">
        <f>G97/(100-BE97)*100</f>
        <v>0</v>
      </c>
      <c r="BE97" s="35">
        <v>0</v>
      </c>
      <c r="BF97" s="35">
        <f>97</f>
        <v>97</v>
      </c>
      <c r="BH97" s="35">
        <f>F97*AO97</f>
        <v>0</v>
      </c>
      <c r="BI97" s="35">
        <f>F97*AP97</f>
        <v>0</v>
      </c>
      <c r="BJ97" s="35">
        <f>F97*G97</f>
        <v>0</v>
      </c>
      <c r="BK97" s="64" t="s">
        <v>208</v>
      </c>
      <c r="BL97" s="35">
        <v>60</v>
      </c>
      <c r="BW97" s="35">
        <v>12</v>
      </c>
      <c r="BX97" s="3" t="s">
        <v>377</v>
      </c>
    </row>
    <row r="98" spans="1:76" ht="27" customHeight="1" x14ac:dyDescent="0.25">
      <c r="A98" s="66"/>
      <c r="C98" s="180" t="s">
        <v>378</v>
      </c>
      <c r="D98" s="181"/>
      <c r="E98" s="181"/>
      <c r="F98" s="181"/>
      <c r="G98" s="181"/>
      <c r="H98" s="181"/>
      <c r="I98" s="181"/>
      <c r="J98" s="181"/>
      <c r="K98" s="182"/>
    </row>
    <row r="99" spans="1:76" x14ac:dyDescent="0.25">
      <c r="A99" s="66"/>
      <c r="C99" s="67" t="s">
        <v>371</v>
      </c>
      <c r="D99" s="68" t="s">
        <v>372</v>
      </c>
      <c r="F99" s="69">
        <v>21.70692</v>
      </c>
      <c r="K99" s="70"/>
    </row>
    <row r="100" spans="1:76" x14ac:dyDescent="0.25">
      <c r="A100" s="66"/>
      <c r="C100" s="67" t="s">
        <v>373</v>
      </c>
      <c r="D100" s="68" t="s">
        <v>10</v>
      </c>
      <c r="F100" s="69">
        <v>-1.8</v>
      </c>
      <c r="K100" s="70"/>
    </row>
    <row r="101" spans="1:76" x14ac:dyDescent="0.25">
      <c r="A101" s="66"/>
      <c r="C101" s="67" t="s">
        <v>374</v>
      </c>
      <c r="D101" s="68" t="s">
        <v>10</v>
      </c>
      <c r="F101" s="69">
        <v>2.2000000000000002</v>
      </c>
      <c r="K101" s="70"/>
    </row>
    <row r="102" spans="1:76" x14ac:dyDescent="0.25">
      <c r="A102" s="66"/>
      <c r="C102" s="67" t="s">
        <v>379</v>
      </c>
      <c r="D102" s="68" t="s">
        <v>10</v>
      </c>
      <c r="F102" s="69">
        <v>32.406399999999998</v>
      </c>
      <c r="K102" s="70"/>
    </row>
    <row r="103" spans="1:76" x14ac:dyDescent="0.25">
      <c r="A103" s="1" t="s">
        <v>106</v>
      </c>
      <c r="B103" s="2" t="s">
        <v>380</v>
      </c>
      <c r="C103" s="86" t="s">
        <v>381</v>
      </c>
      <c r="D103" s="87"/>
      <c r="E103" s="2" t="s">
        <v>202</v>
      </c>
      <c r="F103" s="35">
        <v>56.2224</v>
      </c>
      <c r="G103" s="35">
        <v>0</v>
      </c>
      <c r="H103" s="35">
        <f>ROUND(F103*AO103,2)</f>
        <v>0</v>
      </c>
      <c r="I103" s="35">
        <f>ROUND(F103*AP103,2)</f>
        <v>0</v>
      </c>
      <c r="J103" s="35">
        <f>ROUND(F103*G103,2)</f>
        <v>0</v>
      </c>
      <c r="K103" s="63" t="s">
        <v>203</v>
      </c>
      <c r="Z103" s="35">
        <f>ROUND(IF(AQ103="5",BJ103,0),2)</f>
        <v>0</v>
      </c>
      <c r="AB103" s="35">
        <f>ROUND(IF(AQ103="1",BH103,0),2)</f>
        <v>0</v>
      </c>
      <c r="AC103" s="35">
        <f>ROUND(IF(AQ103="1",BI103,0),2)</f>
        <v>0</v>
      </c>
      <c r="AD103" s="35">
        <f>ROUND(IF(AQ103="7",BH103,0),2)</f>
        <v>0</v>
      </c>
      <c r="AE103" s="35">
        <f>ROUND(IF(AQ103="7",BI103,0),2)</f>
        <v>0</v>
      </c>
      <c r="AF103" s="35">
        <f>ROUND(IF(AQ103="2",BH103,0),2)</f>
        <v>0</v>
      </c>
      <c r="AG103" s="35">
        <f>ROUND(IF(AQ103="2",BI103,0),2)</f>
        <v>0</v>
      </c>
      <c r="AH103" s="35">
        <f>ROUND(IF(AQ103="0",BJ103,0),2)</f>
        <v>0</v>
      </c>
      <c r="AI103" s="48" t="s">
        <v>83</v>
      </c>
      <c r="AJ103" s="35">
        <f>IF(AN103=0,J103,0)</f>
        <v>0</v>
      </c>
      <c r="AK103" s="35">
        <f>IF(AN103=12,J103,0)</f>
        <v>0</v>
      </c>
      <c r="AL103" s="35">
        <f>IF(AN103=21,J103,0)</f>
        <v>0</v>
      </c>
      <c r="AN103" s="35">
        <v>12</v>
      </c>
      <c r="AO103" s="35">
        <f>G103*0.512088429</f>
        <v>0</v>
      </c>
      <c r="AP103" s="35">
        <f>G103*(1-0.512088429)</f>
        <v>0</v>
      </c>
      <c r="AQ103" s="64" t="s">
        <v>199</v>
      </c>
      <c r="AV103" s="35">
        <f>ROUND(AW103+AX103,2)</f>
        <v>0</v>
      </c>
      <c r="AW103" s="35">
        <f>ROUND(F103*AO103,2)</f>
        <v>0</v>
      </c>
      <c r="AX103" s="35">
        <f>ROUND(F103*AP103,2)</f>
        <v>0</v>
      </c>
      <c r="AY103" s="64" t="s">
        <v>369</v>
      </c>
      <c r="AZ103" s="64" t="s">
        <v>370</v>
      </c>
      <c r="BA103" s="48" t="s">
        <v>330</v>
      </c>
      <c r="BB103" s="65">
        <v>100029</v>
      </c>
      <c r="BC103" s="35">
        <f>AW103+AX103</f>
        <v>0</v>
      </c>
      <c r="BD103" s="35">
        <f>G103/(100-BE103)*100</f>
        <v>0</v>
      </c>
      <c r="BE103" s="35">
        <v>0</v>
      </c>
      <c r="BF103" s="35">
        <f>103</f>
        <v>103</v>
      </c>
      <c r="BH103" s="35">
        <f>F103*AO103</f>
        <v>0</v>
      </c>
      <c r="BI103" s="35">
        <f>F103*AP103</f>
        <v>0</v>
      </c>
      <c r="BJ103" s="35">
        <f>F103*G103</f>
        <v>0</v>
      </c>
      <c r="BK103" s="64" t="s">
        <v>208</v>
      </c>
      <c r="BL103" s="35">
        <v>60</v>
      </c>
      <c r="BW103" s="35">
        <v>12</v>
      </c>
      <c r="BX103" s="3" t="s">
        <v>381</v>
      </c>
    </row>
    <row r="104" spans="1:76" ht="13.5" customHeight="1" x14ac:dyDescent="0.25">
      <c r="A104" s="66"/>
      <c r="C104" s="180" t="s">
        <v>382</v>
      </c>
      <c r="D104" s="181"/>
      <c r="E104" s="181"/>
      <c r="F104" s="181"/>
      <c r="G104" s="181"/>
      <c r="H104" s="181"/>
      <c r="I104" s="181"/>
      <c r="J104" s="181"/>
      <c r="K104" s="182"/>
    </row>
    <row r="105" spans="1:76" x14ac:dyDescent="0.25">
      <c r="A105" s="66"/>
      <c r="C105" s="67" t="s">
        <v>383</v>
      </c>
      <c r="D105" s="68" t="s">
        <v>10</v>
      </c>
      <c r="F105" s="69">
        <v>42.944000000000003</v>
      </c>
      <c r="K105" s="70"/>
    </row>
    <row r="106" spans="1:76" x14ac:dyDescent="0.25">
      <c r="A106" s="66"/>
      <c r="C106" s="67" t="s">
        <v>384</v>
      </c>
      <c r="D106" s="68" t="s">
        <v>10</v>
      </c>
      <c r="F106" s="69">
        <v>13.2784</v>
      </c>
      <c r="K106" s="70"/>
    </row>
    <row r="107" spans="1:76" x14ac:dyDescent="0.25">
      <c r="A107" s="59" t="s">
        <v>10</v>
      </c>
      <c r="B107" s="60" t="s">
        <v>110</v>
      </c>
      <c r="C107" s="177" t="s">
        <v>111</v>
      </c>
      <c r="D107" s="178"/>
      <c r="E107" s="61" t="s">
        <v>74</v>
      </c>
      <c r="F107" s="61" t="s">
        <v>74</v>
      </c>
      <c r="G107" s="61" t="s">
        <v>74</v>
      </c>
      <c r="H107" s="42">
        <f>SUM(H108:H115)</f>
        <v>0</v>
      </c>
      <c r="I107" s="42">
        <f>SUM(I108:I115)</f>
        <v>0</v>
      </c>
      <c r="J107" s="42">
        <f>SUM(J108:J115)</f>
        <v>0</v>
      </c>
      <c r="K107" s="62" t="s">
        <v>10</v>
      </c>
      <c r="AI107" s="48" t="s">
        <v>83</v>
      </c>
      <c r="AS107" s="42">
        <f>SUM(AJ108:AJ115)</f>
        <v>0</v>
      </c>
      <c r="AT107" s="42">
        <f>SUM(AK108:AK115)</f>
        <v>0</v>
      </c>
      <c r="AU107" s="42">
        <f>SUM(AL108:AL115)</f>
        <v>0</v>
      </c>
    </row>
    <row r="108" spans="1:76" x14ac:dyDescent="0.25">
      <c r="A108" s="1" t="s">
        <v>385</v>
      </c>
      <c r="B108" s="2" t="s">
        <v>386</v>
      </c>
      <c r="C108" s="86" t="s">
        <v>387</v>
      </c>
      <c r="D108" s="87"/>
      <c r="E108" s="2" t="s">
        <v>202</v>
      </c>
      <c r="F108" s="35">
        <v>24.984000000000002</v>
      </c>
      <c r="G108" s="35">
        <v>0</v>
      </c>
      <c r="H108" s="35">
        <f>ROUND(F108*AO108,2)</f>
        <v>0</v>
      </c>
      <c r="I108" s="35">
        <f>ROUND(F108*AP108,2)</f>
        <v>0</v>
      </c>
      <c r="J108" s="35">
        <f>ROUND(F108*G108,2)</f>
        <v>0</v>
      </c>
      <c r="K108" s="63" t="s">
        <v>203</v>
      </c>
      <c r="Z108" s="35">
        <f>ROUND(IF(AQ108="5",BJ108,0),2)</f>
        <v>0</v>
      </c>
      <c r="AB108" s="35">
        <f>ROUND(IF(AQ108="1",BH108,0),2)</f>
        <v>0</v>
      </c>
      <c r="AC108" s="35">
        <f>ROUND(IF(AQ108="1",BI108,0),2)</f>
        <v>0</v>
      </c>
      <c r="AD108" s="35">
        <f>ROUND(IF(AQ108="7",BH108,0),2)</f>
        <v>0</v>
      </c>
      <c r="AE108" s="35">
        <f>ROUND(IF(AQ108="7",BI108,0),2)</f>
        <v>0</v>
      </c>
      <c r="AF108" s="35">
        <f>ROUND(IF(AQ108="2",BH108,0),2)</f>
        <v>0</v>
      </c>
      <c r="AG108" s="35">
        <f>ROUND(IF(AQ108="2",BI108,0),2)</f>
        <v>0</v>
      </c>
      <c r="AH108" s="35">
        <f>ROUND(IF(AQ108="0",BJ108,0),2)</f>
        <v>0</v>
      </c>
      <c r="AI108" s="48" t="s">
        <v>83</v>
      </c>
      <c r="AJ108" s="35">
        <f>IF(AN108=0,J108,0)</f>
        <v>0</v>
      </c>
      <c r="AK108" s="35">
        <f>IF(AN108=12,J108,0)</f>
        <v>0</v>
      </c>
      <c r="AL108" s="35">
        <f>IF(AN108=21,J108,0)</f>
        <v>0</v>
      </c>
      <c r="AN108" s="35">
        <v>12</v>
      </c>
      <c r="AO108" s="35">
        <f>G108*0.27171751</f>
        <v>0</v>
      </c>
      <c r="AP108" s="35">
        <f>G108*(1-0.27171751)</f>
        <v>0</v>
      </c>
      <c r="AQ108" s="64" t="s">
        <v>199</v>
      </c>
      <c r="AV108" s="35">
        <f>ROUND(AW108+AX108,2)</f>
        <v>0</v>
      </c>
      <c r="AW108" s="35">
        <f>ROUND(F108*AO108,2)</f>
        <v>0</v>
      </c>
      <c r="AX108" s="35">
        <f>ROUND(F108*AP108,2)</f>
        <v>0</v>
      </c>
      <c r="AY108" s="64" t="s">
        <v>388</v>
      </c>
      <c r="AZ108" s="64" t="s">
        <v>370</v>
      </c>
      <c r="BA108" s="48" t="s">
        <v>330</v>
      </c>
      <c r="BB108" s="65">
        <v>100009</v>
      </c>
      <c r="BC108" s="35">
        <f>AW108+AX108</f>
        <v>0</v>
      </c>
      <c r="BD108" s="35">
        <f>G108/(100-BE108)*100</f>
        <v>0</v>
      </c>
      <c r="BE108" s="35">
        <v>0</v>
      </c>
      <c r="BF108" s="35">
        <f>108</f>
        <v>108</v>
      </c>
      <c r="BH108" s="35">
        <f>F108*AO108</f>
        <v>0</v>
      </c>
      <c r="BI108" s="35">
        <f>F108*AP108</f>
        <v>0</v>
      </c>
      <c r="BJ108" s="35">
        <f>F108*G108</f>
        <v>0</v>
      </c>
      <c r="BK108" s="64" t="s">
        <v>208</v>
      </c>
      <c r="BL108" s="35">
        <v>61</v>
      </c>
      <c r="BW108" s="35">
        <v>12</v>
      </c>
      <c r="BX108" s="3" t="s">
        <v>387</v>
      </c>
    </row>
    <row r="109" spans="1:76" ht="13.5" customHeight="1" x14ac:dyDescent="0.25">
      <c r="A109" s="66"/>
      <c r="C109" s="180" t="s">
        <v>389</v>
      </c>
      <c r="D109" s="181"/>
      <c r="E109" s="181"/>
      <c r="F109" s="181"/>
      <c r="G109" s="181"/>
      <c r="H109" s="181"/>
      <c r="I109" s="181"/>
      <c r="J109" s="181"/>
      <c r="K109" s="182"/>
    </row>
    <row r="110" spans="1:76" x14ac:dyDescent="0.25">
      <c r="A110" s="66"/>
      <c r="C110" s="67" t="s">
        <v>390</v>
      </c>
      <c r="D110" s="68" t="s">
        <v>391</v>
      </c>
      <c r="F110" s="69">
        <v>19.265999999999998</v>
      </c>
      <c r="K110" s="70"/>
    </row>
    <row r="111" spans="1:76" x14ac:dyDescent="0.25">
      <c r="A111" s="66"/>
      <c r="C111" s="67" t="s">
        <v>392</v>
      </c>
      <c r="D111" s="68" t="s">
        <v>10</v>
      </c>
      <c r="F111" s="69">
        <v>-5.6</v>
      </c>
      <c r="K111" s="70"/>
    </row>
    <row r="112" spans="1:76" x14ac:dyDescent="0.25">
      <c r="A112" s="66"/>
      <c r="C112" s="67" t="s">
        <v>393</v>
      </c>
      <c r="D112" s="68" t="s">
        <v>394</v>
      </c>
      <c r="F112" s="69">
        <v>2.508</v>
      </c>
      <c r="K112" s="70"/>
    </row>
    <row r="113" spans="1:76" x14ac:dyDescent="0.25">
      <c r="A113" s="66"/>
      <c r="C113" s="67" t="s">
        <v>395</v>
      </c>
      <c r="D113" s="68" t="s">
        <v>361</v>
      </c>
      <c r="F113" s="69">
        <v>7.38</v>
      </c>
      <c r="K113" s="70"/>
    </row>
    <row r="114" spans="1:76" x14ac:dyDescent="0.25">
      <c r="A114" s="66"/>
      <c r="C114" s="67" t="s">
        <v>396</v>
      </c>
      <c r="D114" s="68" t="s">
        <v>397</v>
      </c>
      <c r="F114" s="69">
        <v>1.43</v>
      </c>
      <c r="K114" s="70"/>
    </row>
    <row r="115" spans="1:76" x14ac:dyDescent="0.25">
      <c r="A115" s="1" t="s">
        <v>398</v>
      </c>
      <c r="B115" s="2" t="s">
        <v>399</v>
      </c>
      <c r="C115" s="86" t="s">
        <v>400</v>
      </c>
      <c r="D115" s="87"/>
      <c r="E115" s="2" t="s">
        <v>202</v>
      </c>
      <c r="F115" s="35">
        <v>5.6</v>
      </c>
      <c r="G115" s="35">
        <v>0</v>
      </c>
      <c r="H115" s="35">
        <f>ROUND(F115*AO115,2)</f>
        <v>0</v>
      </c>
      <c r="I115" s="35">
        <f>ROUND(F115*AP115,2)</f>
        <v>0</v>
      </c>
      <c r="J115" s="35">
        <f>ROUND(F115*G115,2)</f>
        <v>0</v>
      </c>
      <c r="K115" s="63" t="s">
        <v>203</v>
      </c>
      <c r="Z115" s="35">
        <f>ROUND(IF(AQ115="5",BJ115,0),2)</f>
        <v>0</v>
      </c>
      <c r="AB115" s="35">
        <f>ROUND(IF(AQ115="1",BH115,0),2)</f>
        <v>0</v>
      </c>
      <c r="AC115" s="35">
        <f>ROUND(IF(AQ115="1",BI115,0),2)</f>
        <v>0</v>
      </c>
      <c r="AD115" s="35">
        <f>ROUND(IF(AQ115="7",BH115,0),2)</f>
        <v>0</v>
      </c>
      <c r="AE115" s="35">
        <f>ROUND(IF(AQ115="7",BI115,0),2)</f>
        <v>0</v>
      </c>
      <c r="AF115" s="35">
        <f>ROUND(IF(AQ115="2",BH115,0),2)</f>
        <v>0</v>
      </c>
      <c r="AG115" s="35">
        <f>ROUND(IF(AQ115="2",BI115,0),2)</f>
        <v>0</v>
      </c>
      <c r="AH115" s="35">
        <f>ROUND(IF(AQ115="0",BJ115,0),2)</f>
        <v>0</v>
      </c>
      <c r="AI115" s="48" t="s">
        <v>83</v>
      </c>
      <c r="AJ115" s="35">
        <f>IF(AN115=0,J115,0)</f>
        <v>0</v>
      </c>
      <c r="AK115" s="35">
        <f>IF(AN115=12,J115,0)</f>
        <v>0</v>
      </c>
      <c r="AL115" s="35">
        <f>IF(AN115=21,J115,0)</f>
        <v>0</v>
      </c>
      <c r="AN115" s="35">
        <v>12</v>
      </c>
      <c r="AO115" s="35">
        <f>G115*0.283683594</f>
        <v>0</v>
      </c>
      <c r="AP115" s="35">
        <f>G115*(1-0.283683594)</f>
        <v>0</v>
      </c>
      <c r="AQ115" s="64" t="s">
        <v>199</v>
      </c>
      <c r="AV115" s="35">
        <f>ROUND(AW115+AX115,2)</f>
        <v>0</v>
      </c>
      <c r="AW115" s="35">
        <f>ROUND(F115*AO115,2)</f>
        <v>0</v>
      </c>
      <c r="AX115" s="35">
        <f>ROUND(F115*AP115,2)</f>
        <v>0</v>
      </c>
      <c r="AY115" s="64" t="s">
        <v>388</v>
      </c>
      <c r="AZ115" s="64" t="s">
        <v>370</v>
      </c>
      <c r="BA115" s="48" t="s">
        <v>330</v>
      </c>
      <c r="BB115" s="65">
        <v>100009</v>
      </c>
      <c r="BC115" s="35">
        <f>AW115+AX115</f>
        <v>0</v>
      </c>
      <c r="BD115" s="35">
        <f>G115/(100-BE115)*100</f>
        <v>0</v>
      </c>
      <c r="BE115" s="35">
        <v>0</v>
      </c>
      <c r="BF115" s="35">
        <f>115</f>
        <v>115</v>
      </c>
      <c r="BH115" s="35">
        <f>F115*AO115</f>
        <v>0</v>
      </c>
      <c r="BI115" s="35">
        <f>F115*AP115</f>
        <v>0</v>
      </c>
      <c r="BJ115" s="35">
        <f>F115*G115</f>
        <v>0</v>
      </c>
      <c r="BK115" s="64" t="s">
        <v>208</v>
      </c>
      <c r="BL115" s="35">
        <v>61</v>
      </c>
      <c r="BW115" s="35">
        <v>12</v>
      </c>
      <c r="BX115" s="3" t="s">
        <v>400</v>
      </c>
    </row>
    <row r="116" spans="1:76" ht="13.5" customHeight="1" x14ac:dyDescent="0.25">
      <c r="A116" s="66"/>
      <c r="C116" s="180" t="s">
        <v>401</v>
      </c>
      <c r="D116" s="181"/>
      <c r="E116" s="181"/>
      <c r="F116" s="181"/>
      <c r="G116" s="181"/>
      <c r="H116" s="181"/>
      <c r="I116" s="181"/>
      <c r="J116" s="181"/>
      <c r="K116" s="182"/>
    </row>
    <row r="117" spans="1:76" x14ac:dyDescent="0.25">
      <c r="A117" s="66"/>
      <c r="C117" s="67" t="s">
        <v>402</v>
      </c>
      <c r="D117" s="68" t="s">
        <v>403</v>
      </c>
      <c r="F117" s="69">
        <v>1.2350000000000001</v>
      </c>
      <c r="K117" s="70"/>
    </row>
    <row r="118" spans="1:76" x14ac:dyDescent="0.25">
      <c r="A118" s="66"/>
      <c r="C118" s="67" t="s">
        <v>404</v>
      </c>
      <c r="D118" s="68" t="s">
        <v>405</v>
      </c>
      <c r="F118" s="69">
        <v>4.3650000000000002</v>
      </c>
      <c r="K118" s="70"/>
    </row>
    <row r="119" spans="1:76" x14ac:dyDescent="0.25">
      <c r="A119" s="59" t="s">
        <v>10</v>
      </c>
      <c r="B119" s="60" t="s">
        <v>112</v>
      </c>
      <c r="C119" s="177" t="s">
        <v>113</v>
      </c>
      <c r="D119" s="178"/>
      <c r="E119" s="61" t="s">
        <v>74</v>
      </c>
      <c r="F119" s="61" t="s">
        <v>74</v>
      </c>
      <c r="G119" s="61" t="s">
        <v>74</v>
      </c>
      <c r="H119" s="42">
        <f>SUM(H120:H126)</f>
        <v>0</v>
      </c>
      <c r="I119" s="42">
        <f>SUM(I120:I126)</f>
        <v>0</v>
      </c>
      <c r="J119" s="42">
        <f>SUM(J120:J126)</f>
        <v>0</v>
      </c>
      <c r="K119" s="62" t="s">
        <v>10</v>
      </c>
      <c r="AI119" s="48" t="s">
        <v>83</v>
      </c>
      <c r="AS119" s="42">
        <f>SUM(AJ120:AJ126)</f>
        <v>0</v>
      </c>
      <c r="AT119" s="42">
        <f>SUM(AK120:AK126)</f>
        <v>0</v>
      </c>
      <c r="AU119" s="42">
        <f>SUM(AL120:AL126)</f>
        <v>0</v>
      </c>
    </row>
    <row r="120" spans="1:76" x14ac:dyDescent="0.25">
      <c r="A120" s="1" t="s">
        <v>406</v>
      </c>
      <c r="B120" s="2" t="s">
        <v>407</v>
      </c>
      <c r="C120" s="86" t="s">
        <v>408</v>
      </c>
      <c r="D120" s="87"/>
      <c r="E120" s="2" t="s">
        <v>252</v>
      </c>
      <c r="F120" s="35">
        <v>2</v>
      </c>
      <c r="G120" s="35">
        <v>0</v>
      </c>
      <c r="H120" s="35">
        <f>ROUND(F120*AO120,2)</f>
        <v>0</v>
      </c>
      <c r="I120" s="35">
        <f>ROUND(F120*AP120,2)</f>
        <v>0</v>
      </c>
      <c r="J120" s="35">
        <f>ROUND(F120*G120,2)</f>
        <v>0</v>
      </c>
      <c r="K120" s="63" t="s">
        <v>203</v>
      </c>
      <c r="Z120" s="35">
        <f>ROUND(IF(AQ120="5",BJ120,0),2)</f>
        <v>0</v>
      </c>
      <c r="AB120" s="35">
        <f>ROUND(IF(AQ120="1",BH120,0),2)</f>
        <v>0</v>
      </c>
      <c r="AC120" s="35">
        <f>ROUND(IF(AQ120="1",BI120,0),2)</f>
        <v>0</v>
      </c>
      <c r="AD120" s="35">
        <f>ROUND(IF(AQ120="7",BH120,0),2)</f>
        <v>0</v>
      </c>
      <c r="AE120" s="35">
        <f>ROUND(IF(AQ120="7",BI120,0),2)</f>
        <v>0</v>
      </c>
      <c r="AF120" s="35">
        <f>ROUND(IF(AQ120="2",BH120,0),2)</f>
        <v>0</v>
      </c>
      <c r="AG120" s="35">
        <f>ROUND(IF(AQ120="2",BI120,0),2)</f>
        <v>0</v>
      </c>
      <c r="AH120" s="35">
        <f>ROUND(IF(AQ120="0",BJ120,0),2)</f>
        <v>0</v>
      </c>
      <c r="AI120" s="48" t="s">
        <v>83</v>
      </c>
      <c r="AJ120" s="35">
        <f>IF(AN120=0,J120,0)</f>
        <v>0</v>
      </c>
      <c r="AK120" s="35">
        <f>IF(AN120=12,J120,0)</f>
        <v>0</v>
      </c>
      <c r="AL120" s="35">
        <f>IF(AN120=21,J120,0)</f>
        <v>0</v>
      </c>
      <c r="AN120" s="35">
        <v>12</v>
      </c>
      <c r="AO120" s="35">
        <f>G120*0.633828184</f>
        <v>0</v>
      </c>
      <c r="AP120" s="35">
        <f>G120*(1-0.633828184)</f>
        <v>0</v>
      </c>
      <c r="AQ120" s="64" t="s">
        <v>199</v>
      </c>
      <c r="AV120" s="35">
        <f>ROUND(AW120+AX120,2)</f>
        <v>0</v>
      </c>
      <c r="AW120" s="35">
        <f>ROUND(F120*AO120,2)</f>
        <v>0</v>
      </c>
      <c r="AX120" s="35">
        <f>ROUND(F120*AP120,2)</f>
        <v>0</v>
      </c>
      <c r="AY120" s="64" t="s">
        <v>409</v>
      </c>
      <c r="AZ120" s="64" t="s">
        <v>370</v>
      </c>
      <c r="BA120" s="48" t="s">
        <v>330</v>
      </c>
      <c r="BB120" s="65">
        <v>100012</v>
      </c>
      <c r="BC120" s="35">
        <f>AW120+AX120</f>
        <v>0</v>
      </c>
      <c r="BD120" s="35">
        <f>G120/(100-BE120)*100</f>
        <v>0</v>
      </c>
      <c r="BE120" s="35">
        <v>0</v>
      </c>
      <c r="BF120" s="35">
        <f>120</f>
        <v>120</v>
      </c>
      <c r="BH120" s="35">
        <f>F120*AO120</f>
        <v>0</v>
      </c>
      <c r="BI120" s="35">
        <f>F120*AP120</f>
        <v>0</v>
      </c>
      <c r="BJ120" s="35">
        <f>F120*G120</f>
        <v>0</v>
      </c>
      <c r="BK120" s="64" t="s">
        <v>208</v>
      </c>
      <c r="BL120" s="35">
        <v>64</v>
      </c>
      <c r="BW120" s="35">
        <v>12</v>
      </c>
      <c r="BX120" s="3" t="s">
        <v>408</v>
      </c>
    </row>
    <row r="121" spans="1:76" ht="13.5" customHeight="1" x14ac:dyDescent="0.25">
      <c r="A121" s="66"/>
      <c r="C121" s="180" t="s">
        <v>410</v>
      </c>
      <c r="D121" s="181"/>
      <c r="E121" s="181"/>
      <c r="F121" s="181"/>
      <c r="G121" s="181"/>
      <c r="H121" s="181"/>
      <c r="I121" s="181"/>
      <c r="J121" s="181"/>
      <c r="K121" s="182"/>
    </row>
    <row r="122" spans="1:76" x14ac:dyDescent="0.25">
      <c r="A122" s="66"/>
      <c r="C122" s="67" t="s">
        <v>411</v>
      </c>
      <c r="D122" s="68" t="s">
        <v>412</v>
      </c>
      <c r="F122" s="69">
        <v>2</v>
      </c>
      <c r="K122" s="70"/>
    </row>
    <row r="123" spans="1:76" x14ac:dyDescent="0.25">
      <c r="A123" s="1" t="s">
        <v>413</v>
      </c>
      <c r="B123" s="2" t="s">
        <v>414</v>
      </c>
      <c r="C123" s="86" t="s">
        <v>408</v>
      </c>
      <c r="D123" s="87"/>
      <c r="E123" s="2" t="s">
        <v>252</v>
      </c>
      <c r="F123" s="35">
        <v>2</v>
      </c>
      <c r="G123" s="35">
        <v>0</v>
      </c>
      <c r="H123" s="35">
        <f>ROUND(F123*AO123,2)</f>
        <v>0</v>
      </c>
      <c r="I123" s="35">
        <f>ROUND(F123*AP123,2)</f>
        <v>0</v>
      </c>
      <c r="J123" s="35">
        <f>ROUND(F123*G123,2)</f>
        <v>0</v>
      </c>
      <c r="K123" s="63" t="s">
        <v>203</v>
      </c>
      <c r="Z123" s="35">
        <f>ROUND(IF(AQ123="5",BJ123,0),2)</f>
        <v>0</v>
      </c>
      <c r="AB123" s="35">
        <f>ROUND(IF(AQ123="1",BH123,0),2)</f>
        <v>0</v>
      </c>
      <c r="AC123" s="35">
        <f>ROUND(IF(AQ123="1",BI123,0),2)</f>
        <v>0</v>
      </c>
      <c r="AD123" s="35">
        <f>ROUND(IF(AQ123="7",BH123,0),2)</f>
        <v>0</v>
      </c>
      <c r="AE123" s="35">
        <f>ROUND(IF(AQ123="7",BI123,0),2)</f>
        <v>0</v>
      </c>
      <c r="AF123" s="35">
        <f>ROUND(IF(AQ123="2",BH123,0),2)</f>
        <v>0</v>
      </c>
      <c r="AG123" s="35">
        <f>ROUND(IF(AQ123="2",BI123,0),2)</f>
        <v>0</v>
      </c>
      <c r="AH123" s="35">
        <f>ROUND(IF(AQ123="0",BJ123,0),2)</f>
        <v>0</v>
      </c>
      <c r="AI123" s="48" t="s">
        <v>83</v>
      </c>
      <c r="AJ123" s="35">
        <f>IF(AN123=0,J123,0)</f>
        <v>0</v>
      </c>
      <c r="AK123" s="35">
        <f>IF(AN123=12,J123,0)</f>
        <v>0</v>
      </c>
      <c r="AL123" s="35">
        <f>IF(AN123=21,J123,0)</f>
        <v>0</v>
      </c>
      <c r="AN123" s="35">
        <v>12</v>
      </c>
      <c r="AO123" s="35">
        <f>G123*0.581204847</f>
        <v>0</v>
      </c>
      <c r="AP123" s="35">
        <f>G123*(1-0.581204847)</f>
        <v>0</v>
      </c>
      <c r="AQ123" s="64" t="s">
        <v>199</v>
      </c>
      <c r="AV123" s="35">
        <f>ROUND(AW123+AX123,2)</f>
        <v>0</v>
      </c>
      <c r="AW123" s="35">
        <f>ROUND(F123*AO123,2)</f>
        <v>0</v>
      </c>
      <c r="AX123" s="35">
        <f>ROUND(F123*AP123,2)</f>
        <v>0</v>
      </c>
      <c r="AY123" s="64" t="s">
        <v>409</v>
      </c>
      <c r="AZ123" s="64" t="s">
        <v>370</v>
      </c>
      <c r="BA123" s="48" t="s">
        <v>330</v>
      </c>
      <c r="BB123" s="65">
        <v>100012</v>
      </c>
      <c r="BC123" s="35">
        <f>AW123+AX123</f>
        <v>0</v>
      </c>
      <c r="BD123" s="35">
        <f>G123/(100-BE123)*100</f>
        <v>0</v>
      </c>
      <c r="BE123" s="35">
        <v>0</v>
      </c>
      <c r="BF123" s="35">
        <f>123</f>
        <v>123</v>
      </c>
      <c r="BH123" s="35">
        <f>F123*AO123</f>
        <v>0</v>
      </c>
      <c r="BI123" s="35">
        <f>F123*AP123</f>
        <v>0</v>
      </c>
      <c r="BJ123" s="35">
        <f>F123*G123</f>
        <v>0</v>
      </c>
      <c r="BK123" s="64" t="s">
        <v>208</v>
      </c>
      <c r="BL123" s="35">
        <v>64</v>
      </c>
      <c r="BW123" s="35">
        <v>12</v>
      </c>
      <c r="BX123" s="3" t="s">
        <v>408</v>
      </c>
    </row>
    <row r="124" spans="1:76" ht="13.5" customHeight="1" x14ac:dyDescent="0.25">
      <c r="A124" s="66"/>
      <c r="C124" s="180" t="s">
        <v>415</v>
      </c>
      <c r="D124" s="181"/>
      <c r="E124" s="181"/>
      <c r="F124" s="181"/>
      <c r="G124" s="181"/>
      <c r="H124" s="181"/>
      <c r="I124" s="181"/>
      <c r="J124" s="181"/>
      <c r="K124" s="182"/>
    </row>
    <row r="125" spans="1:76" x14ac:dyDescent="0.25">
      <c r="A125" s="66"/>
      <c r="C125" s="67" t="s">
        <v>411</v>
      </c>
      <c r="D125" s="68" t="s">
        <v>416</v>
      </c>
      <c r="F125" s="69">
        <v>2</v>
      </c>
      <c r="K125" s="70"/>
    </row>
    <row r="126" spans="1:76" x14ac:dyDescent="0.25">
      <c r="A126" s="1" t="s">
        <v>417</v>
      </c>
      <c r="B126" s="2" t="s">
        <v>418</v>
      </c>
      <c r="C126" s="86" t="s">
        <v>408</v>
      </c>
      <c r="D126" s="87"/>
      <c r="E126" s="2" t="s">
        <v>252</v>
      </c>
      <c r="F126" s="35">
        <v>1</v>
      </c>
      <c r="G126" s="35">
        <v>0</v>
      </c>
      <c r="H126" s="35">
        <f>ROUND(F126*AO126,2)</f>
        <v>0</v>
      </c>
      <c r="I126" s="35">
        <f>ROUND(F126*AP126,2)</f>
        <v>0</v>
      </c>
      <c r="J126" s="35">
        <f>ROUND(F126*G126,2)</f>
        <v>0</v>
      </c>
      <c r="K126" s="63" t="s">
        <v>203</v>
      </c>
      <c r="Z126" s="35">
        <f>ROUND(IF(AQ126="5",BJ126,0),2)</f>
        <v>0</v>
      </c>
      <c r="AB126" s="35">
        <f>ROUND(IF(AQ126="1",BH126,0),2)</f>
        <v>0</v>
      </c>
      <c r="AC126" s="35">
        <f>ROUND(IF(AQ126="1",BI126,0),2)</f>
        <v>0</v>
      </c>
      <c r="AD126" s="35">
        <f>ROUND(IF(AQ126="7",BH126,0),2)</f>
        <v>0</v>
      </c>
      <c r="AE126" s="35">
        <f>ROUND(IF(AQ126="7",BI126,0),2)</f>
        <v>0</v>
      </c>
      <c r="AF126" s="35">
        <f>ROUND(IF(AQ126="2",BH126,0),2)</f>
        <v>0</v>
      </c>
      <c r="AG126" s="35">
        <f>ROUND(IF(AQ126="2",BI126,0),2)</f>
        <v>0</v>
      </c>
      <c r="AH126" s="35">
        <f>ROUND(IF(AQ126="0",BJ126,0),2)</f>
        <v>0</v>
      </c>
      <c r="AI126" s="48" t="s">
        <v>83</v>
      </c>
      <c r="AJ126" s="35">
        <f>IF(AN126=0,J126,0)</f>
        <v>0</v>
      </c>
      <c r="AK126" s="35">
        <f>IF(AN126=12,J126,0)</f>
        <v>0</v>
      </c>
      <c r="AL126" s="35">
        <f>IF(AN126=21,J126,0)</f>
        <v>0</v>
      </c>
      <c r="AN126" s="35">
        <v>12</v>
      </c>
      <c r="AO126" s="35">
        <f>G126*0.629463233</f>
        <v>0</v>
      </c>
      <c r="AP126" s="35">
        <f>G126*(1-0.629463233)</f>
        <v>0</v>
      </c>
      <c r="AQ126" s="64" t="s">
        <v>199</v>
      </c>
      <c r="AV126" s="35">
        <f>ROUND(AW126+AX126,2)</f>
        <v>0</v>
      </c>
      <c r="AW126" s="35">
        <f>ROUND(F126*AO126,2)</f>
        <v>0</v>
      </c>
      <c r="AX126" s="35">
        <f>ROUND(F126*AP126,2)</f>
        <v>0</v>
      </c>
      <c r="AY126" s="64" t="s">
        <v>409</v>
      </c>
      <c r="AZ126" s="64" t="s">
        <v>370</v>
      </c>
      <c r="BA126" s="48" t="s">
        <v>330</v>
      </c>
      <c r="BB126" s="65">
        <v>100012</v>
      </c>
      <c r="BC126" s="35">
        <f>AW126+AX126</f>
        <v>0</v>
      </c>
      <c r="BD126" s="35">
        <f>G126/(100-BE126)*100</f>
        <v>0</v>
      </c>
      <c r="BE126" s="35">
        <v>0</v>
      </c>
      <c r="BF126" s="35">
        <f>126</f>
        <v>126</v>
      </c>
      <c r="BH126" s="35">
        <f>F126*AO126</f>
        <v>0</v>
      </c>
      <c r="BI126" s="35">
        <f>F126*AP126</f>
        <v>0</v>
      </c>
      <c r="BJ126" s="35">
        <f>F126*G126</f>
        <v>0</v>
      </c>
      <c r="BK126" s="64" t="s">
        <v>208</v>
      </c>
      <c r="BL126" s="35">
        <v>64</v>
      </c>
      <c r="BW126" s="35">
        <v>12</v>
      </c>
      <c r="BX126" s="3" t="s">
        <v>408</v>
      </c>
    </row>
    <row r="127" spans="1:76" ht="13.5" customHeight="1" x14ac:dyDescent="0.25">
      <c r="A127" s="66"/>
      <c r="C127" s="180" t="s">
        <v>419</v>
      </c>
      <c r="D127" s="181"/>
      <c r="E127" s="181"/>
      <c r="F127" s="181"/>
      <c r="G127" s="181"/>
      <c r="H127" s="181"/>
      <c r="I127" s="181"/>
      <c r="J127" s="181"/>
      <c r="K127" s="182"/>
    </row>
    <row r="128" spans="1:76" x14ac:dyDescent="0.25">
      <c r="A128" s="66"/>
      <c r="C128" s="67" t="s">
        <v>199</v>
      </c>
      <c r="D128" s="68" t="s">
        <v>420</v>
      </c>
      <c r="F128" s="69">
        <v>1</v>
      </c>
      <c r="K128" s="70"/>
    </row>
    <row r="129" spans="1:76" x14ac:dyDescent="0.25">
      <c r="A129" s="59" t="s">
        <v>10</v>
      </c>
      <c r="B129" s="60" t="s">
        <v>114</v>
      </c>
      <c r="C129" s="177" t="s">
        <v>115</v>
      </c>
      <c r="D129" s="178"/>
      <c r="E129" s="61" t="s">
        <v>74</v>
      </c>
      <c r="F129" s="61" t="s">
        <v>74</v>
      </c>
      <c r="G129" s="61" t="s">
        <v>74</v>
      </c>
      <c r="H129" s="42">
        <f>SUM(H130:H146)</f>
        <v>0</v>
      </c>
      <c r="I129" s="42">
        <f>SUM(I130:I146)</f>
        <v>0</v>
      </c>
      <c r="J129" s="42">
        <f>SUM(J130:J146)</f>
        <v>0</v>
      </c>
      <c r="K129" s="62" t="s">
        <v>10</v>
      </c>
      <c r="AI129" s="48" t="s">
        <v>83</v>
      </c>
      <c r="AS129" s="42">
        <f>SUM(AJ130:AJ146)</f>
        <v>0</v>
      </c>
      <c r="AT129" s="42">
        <f>SUM(AK130:AK146)</f>
        <v>0</v>
      </c>
      <c r="AU129" s="42">
        <f>SUM(AL130:AL146)</f>
        <v>0</v>
      </c>
    </row>
    <row r="130" spans="1:76" x14ac:dyDescent="0.25">
      <c r="A130" s="1" t="s">
        <v>421</v>
      </c>
      <c r="B130" s="2" t="s">
        <v>422</v>
      </c>
      <c r="C130" s="86" t="s">
        <v>423</v>
      </c>
      <c r="D130" s="87"/>
      <c r="E130" s="2" t="s">
        <v>202</v>
      </c>
      <c r="F130" s="35">
        <v>43.93</v>
      </c>
      <c r="G130" s="35">
        <v>0</v>
      </c>
      <c r="H130" s="35">
        <f>ROUND(F130*AO130,2)</f>
        <v>0</v>
      </c>
      <c r="I130" s="35">
        <f>ROUND(F130*AP130,2)</f>
        <v>0</v>
      </c>
      <c r="J130" s="35">
        <f>ROUND(F130*G130,2)</f>
        <v>0</v>
      </c>
      <c r="K130" s="63" t="s">
        <v>203</v>
      </c>
      <c r="Z130" s="35">
        <f>ROUND(IF(AQ130="5",BJ130,0),2)</f>
        <v>0</v>
      </c>
      <c r="AB130" s="35">
        <f>ROUND(IF(AQ130="1",BH130,0),2)</f>
        <v>0</v>
      </c>
      <c r="AC130" s="35">
        <f>ROUND(IF(AQ130="1",BI130,0),2)</f>
        <v>0</v>
      </c>
      <c r="AD130" s="35">
        <f>ROUND(IF(AQ130="7",BH130,0),2)</f>
        <v>0</v>
      </c>
      <c r="AE130" s="35">
        <f>ROUND(IF(AQ130="7",BI130,0),2)</f>
        <v>0</v>
      </c>
      <c r="AF130" s="35">
        <f>ROUND(IF(AQ130="2",BH130,0),2)</f>
        <v>0</v>
      </c>
      <c r="AG130" s="35">
        <f>ROUND(IF(AQ130="2",BI130,0),2)</f>
        <v>0</v>
      </c>
      <c r="AH130" s="35">
        <f>ROUND(IF(AQ130="0",BJ130,0),2)</f>
        <v>0</v>
      </c>
      <c r="AI130" s="48" t="s">
        <v>83</v>
      </c>
      <c r="AJ130" s="35">
        <f>IF(AN130=0,J130,0)</f>
        <v>0</v>
      </c>
      <c r="AK130" s="35">
        <f>IF(AN130=12,J130,0)</f>
        <v>0</v>
      </c>
      <c r="AL130" s="35">
        <f>IF(AN130=21,J130,0)</f>
        <v>0</v>
      </c>
      <c r="AN130" s="35">
        <v>12</v>
      </c>
      <c r="AO130" s="35">
        <f>G130*0.296159006</f>
        <v>0</v>
      </c>
      <c r="AP130" s="35">
        <f>G130*(1-0.296159006)</f>
        <v>0</v>
      </c>
      <c r="AQ130" s="64" t="s">
        <v>204</v>
      </c>
      <c r="AV130" s="35">
        <f>ROUND(AW130+AX130,2)</f>
        <v>0</v>
      </c>
      <c r="AW130" s="35">
        <f>ROUND(F130*AO130,2)</f>
        <v>0</v>
      </c>
      <c r="AX130" s="35">
        <f>ROUND(F130*AP130,2)</f>
        <v>0</v>
      </c>
      <c r="AY130" s="64" t="s">
        <v>424</v>
      </c>
      <c r="AZ130" s="64" t="s">
        <v>425</v>
      </c>
      <c r="BA130" s="48" t="s">
        <v>330</v>
      </c>
      <c r="BB130" s="65">
        <v>100017</v>
      </c>
      <c r="BC130" s="35">
        <f>AW130+AX130</f>
        <v>0</v>
      </c>
      <c r="BD130" s="35">
        <f>G130/(100-BE130)*100</f>
        <v>0</v>
      </c>
      <c r="BE130" s="35">
        <v>0</v>
      </c>
      <c r="BF130" s="35">
        <f>130</f>
        <v>130</v>
      </c>
      <c r="BH130" s="35">
        <f>F130*AO130</f>
        <v>0</v>
      </c>
      <c r="BI130" s="35">
        <f>F130*AP130</f>
        <v>0</v>
      </c>
      <c r="BJ130" s="35">
        <f>F130*G130</f>
        <v>0</v>
      </c>
      <c r="BK130" s="64" t="s">
        <v>208</v>
      </c>
      <c r="BL130" s="35">
        <v>711</v>
      </c>
      <c r="BW130" s="35">
        <v>12</v>
      </c>
      <c r="BX130" s="3" t="s">
        <v>423</v>
      </c>
    </row>
    <row r="131" spans="1:76" x14ac:dyDescent="0.25">
      <c r="A131" s="66"/>
      <c r="C131" s="67" t="s">
        <v>426</v>
      </c>
      <c r="D131" s="68" t="s">
        <v>427</v>
      </c>
      <c r="F131" s="69">
        <v>11.6</v>
      </c>
      <c r="K131" s="70"/>
    </row>
    <row r="132" spans="1:76" x14ac:dyDescent="0.25">
      <c r="A132" s="66"/>
      <c r="C132" s="67" t="s">
        <v>428</v>
      </c>
      <c r="D132" s="68" t="s">
        <v>429</v>
      </c>
      <c r="F132" s="69">
        <v>10.79</v>
      </c>
      <c r="K132" s="70"/>
    </row>
    <row r="133" spans="1:76" x14ac:dyDescent="0.25">
      <c r="A133" s="66"/>
      <c r="C133" s="67" t="s">
        <v>430</v>
      </c>
      <c r="D133" s="68" t="s">
        <v>431</v>
      </c>
      <c r="F133" s="69">
        <v>21.54</v>
      </c>
      <c r="K133" s="70"/>
    </row>
    <row r="134" spans="1:76" x14ac:dyDescent="0.25">
      <c r="A134" s="1" t="s">
        <v>432</v>
      </c>
      <c r="B134" s="2" t="s">
        <v>433</v>
      </c>
      <c r="C134" s="86" t="s">
        <v>434</v>
      </c>
      <c r="D134" s="87"/>
      <c r="E134" s="2" t="s">
        <v>202</v>
      </c>
      <c r="F134" s="35">
        <v>45.247900000000001</v>
      </c>
      <c r="G134" s="35">
        <v>0</v>
      </c>
      <c r="H134" s="35">
        <f>ROUND(F134*AO134,2)</f>
        <v>0</v>
      </c>
      <c r="I134" s="35">
        <f>ROUND(F134*AP134,2)</f>
        <v>0</v>
      </c>
      <c r="J134" s="35">
        <f>ROUND(F134*G134,2)</f>
        <v>0</v>
      </c>
      <c r="K134" s="63" t="s">
        <v>203</v>
      </c>
      <c r="Z134" s="35">
        <f>ROUND(IF(AQ134="5",BJ134,0),2)</f>
        <v>0</v>
      </c>
      <c r="AB134" s="35">
        <f>ROUND(IF(AQ134="1",BH134,0),2)</f>
        <v>0</v>
      </c>
      <c r="AC134" s="35">
        <f>ROUND(IF(AQ134="1",BI134,0),2)</f>
        <v>0</v>
      </c>
      <c r="AD134" s="35">
        <f>ROUND(IF(AQ134="7",BH134,0),2)</f>
        <v>0</v>
      </c>
      <c r="AE134" s="35">
        <f>ROUND(IF(AQ134="7",BI134,0),2)</f>
        <v>0</v>
      </c>
      <c r="AF134" s="35">
        <f>ROUND(IF(AQ134="2",BH134,0),2)</f>
        <v>0</v>
      </c>
      <c r="AG134" s="35">
        <f>ROUND(IF(AQ134="2",BI134,0),2)</f>
        <v>0</v>
      </c>
      <c r="AH134" s="35">
        <f>ROUND(IF(AQ134="0",BJ134,0),2)</f>
        <v>0</v>
      </c>
      <c r="AI134" s="48" t="s">
        <v>83</v>
      </c>
      <c r="AJ134" s="35">
        <f>IF(AN134=0,J134,0)</f>
        <v>0</v>
      </c>
      <c r="AK134" s="35">
        <f>IF(AN134=12,J134,0)</f>
        <v>0</v>
      </c>
      <c r="AL134" s="35">
        <f>IF(AN134=21,J134,0)</f>
        <v>0</v>
      </c>
      <c r="AN134" s="35">
        <v>12</v>
      </c>
      <c r="AO134" s="35">
        <f>G134*0.650684843</f>
        <v>0</v>
      </c>
      <c r="AP134" s="35">
        <f>G134*(1-0.650684843)</f>
        <v>0</v>
      </c>
      <c r="AQ134" s="64" t="s">
        <v>204</v>
      </c>
      <c r="AV134" s="35">
        <f>ROUND(AW134+AX134,2)</f>
        <v>0</v>
      </c>
      <c r="AW134" s="35">
        <f>ROUND(F134*AO134,2)</f>
        <v>0</v>
      </c>
      <c r="AX134" s="35">
        <f>ROUND(F134*AP134,2)</f>
        <v>0</v>
      </c>
      <c r="AY134" s="64" t="s">
        <v>424</v>
      </c>
      <c r="AZ134" s="64" t="s">
        <v>425</v>
      </c>
      <c r="BA134" s="48" t="s">
        <v>330</v>
      </c>
      <c r="BB134" s="65">
        <v>100017</v>
      </c>
      <c r="BC134" s="35">
        <f>AW134+AX134</f>
        <v>0</v>
      </c>
      <c r="BD134" s="35">
        <f>G134/(100-BE134)*100</f>
        <v>0</v>
      </c>
      <c r="BE134" s="35">
        <v>0</v>
      </c>
      <c r="BF134" s="35">
        <f>134</f>
        <v>134</v>
      </c>
      <c r="BH134" s="35">
        <f>F134*AO134</f>
        <v>0</v>
      </c>
      <c r="BI134" s="35">
        <f>F134*AP134</f>
        <v>0</v>
      </c>
      <c r="BJ134" s="35">
        <f>F134*G134</f>
        <v>0</v>
      </c>
      <c r="BK134" s="64" t="s">
        <v>208</v>
      </c>
      <c r="BL134" s="35">
        <v>711</v>
      </c>
      <c r="BW134" s="35">
        <v>12</v>
      </c>
      <c r="BX134" s="3" t="s">
        <v>434</v>
      </c>
    </row>
    <row r="135" spans="1:76" ht="13.5" customHeight="1" x14ac:dyDescent="0.25">
      <c r="A135" s="66"/>
      <c r="C135" s="180" t="s">
        <v>435</v>
      </c>
      <c r="D135" s="181"/>
      <c r="E135" s="181"/>
      <c r="F135" s="181"/>
      <c r="G135" s="181"/>
      <c r="H135" s="181"/>
      <c r="I135" s="181"/>
      <c r="J135" s="181"/>
      <c r="K135" s="182"/>
    </row>
    <row r="136" spans="1:76" x14ac:dyDescent="0.25">
      <c r="A136" s="66"/>
      <c r="C136" s="67" t="s">
        <v>436</v>
      </c>
      <c r="D136" s="68" t="s">
        <v>10</v>
      </c>
      <c r="F136" s="69">
        <v>45.247900000000001</v>
      </c>
      <c r="K136" s="70"/>
    </row>
    <row r="137" spans="1:76" x14ac:dyDescent="0.25">
      <c r="A137" s="1" t="s">
        <v>437</v>
      </c>
      <c r="B137" s="2" t="s">
        <v>438</v>
      </c>
      <c r="C137" s="86" t="s">
        <v>439</v>
      </c>
      <c r="D137" s="87"/>
      <c r="E137" s="2" t="s">
        <v>224</v>
      </c>
      <c r="F137" s="35">
        <v>29.76</v>
      </c>
      <c r="G137" s="35">
        <v>0</v>
      </c>
      <c r="H137" s="35">
        <f>ROUND(F137*AO137,2)</f>
        <v>0</v>
      </c>
      <c r="I137" s="35">
        <f>ROUND(F137*AP137,2)</f>
        <v>0</v>
      </c>
      <c r="J137" s="35">
        <f>ROUND(F137*G137,2)</f>
        <v>0</v>
      </c>
      <c r="K137" s="63" t="s">
        <v>203</v>
      </c>
      <c r="Z137" s="35">
        <f>ROUND(IF(AQ137="5",BJ137,0),2)</f>
        <v>0</v>
      </c>
      <c r="AB137" s="35">
        <f>ROUND(IF(AQ137="1",BH137,0),2)</f>
        <v>0</v>
      </c>
      <c r="AC137" s="35">
        <f>ROUND(IF(AQ137="1",BI137,0),2)</f>
        <v>0</v>
      </c>
      <c r="AD137" s="35">
        <f>ROUND(IF(AQ137="7",BH137,0),2)</f>
        <v>0</v>
      </c>
      <c r="AE137" s="35">
        <f>ROUND(IF(AQ137="7",BI137,0),2)</f>
        <v>0</v>
      </c>
      <c r="AF137" s="35">
        <f>ROUND(IF(AQ137="2",BH137,0),2)</f>
        <v>0</v>
      </c>
      <c r="AG137" s="35">
        <f>ROUND(IF(AQ137="2",BI137,0),2)</f>
        <v>0</v>
      </c>
      <c r="AH137" s="35">
        <f>ROUND(IF(AQ137="0",BJ137,0),2)</f>
        <v>0</v>
      </c>
      <c r="AI137" s="48" t="s">
        <v>83</v>
      </c>
      <c r="AJ137" s="35">
        <f>IF(AN137=0,J137,0)</f>
        <v>0</v>
      </c>
      <c r="AK137" s="35">
        <f>IF(AN137=12,J137,0)</f>
        <v>0</v>
      </c>
      <c r="AL137" s="35">
        <f>IF(AN137=21,J137,0)</f>
        <v>0</v>
      </c>
      <c r="AN137" s="35">
        <v>12</v>
      </c>
      <c r="AO137" s="35">
        <f>G137*0.648109707</f>
        <v>0</v>
      </c>
      <c r="AP137" s="35">
        <f>G137*(1-0.648109707)</f>
        <v>0</v>
      </c>
      <c r="AQ137" s="64" t="s">
        <v>204</v>
      </c>
      <c r="AV137" s="35">
        <f>ROUND(AW137+AX137,2)</f>
        <v>0</v>
      </c>
      <c r="AW137" s="35">
        <f>ROUND(F137*AO137,2)</f>
        <v>0</v>
      </c>
      <c r="AX137" s="35">
        <f>ROUND(F137*AP137,2)</f>
        <v>0</v>
      </c>
      <c r="AY137" s="64" t="s">
        <v>424</v>
      </c>
      <c r="AZ137" s="64" t="s">
        <v>425</v>
      </c>
      <c r="BA137" s="48" t="s">
        <v>330</v>
      </c>
      <c r="BB137" s="65">
        <v>100017</v>
      </c>
      <c r="BC137" s="35">
        <f>AW137+AX137</f>
        <v>0</v>
      </c>
      <c r="BD137" s="35">
        <f>G137/(100-BE137)*100</f>
        <v>0</v>
      </c>
      <c r="BE137" s="35">
        <v>0</v>
      </c>
      <c r="BF137" s="35">
        <f>137</f>
        <v>137</v>
      </c>
      <c r="BH137" s="35">
        <f>F137*AO137</f>
        <v>0</v>
      </c>
      <c r="BI137" s="35">
        <f>F137*AP137</f>
        <v>0</v>
      </c>
      <c r="BJ137" s="35">
        <f>F137*G137</f>
        <v>0</v>
      </c>
      <c r="BK137" s="64" t="s">
        <v>208</v>
      </c>
      <c r="BL137" s="35">
        <v>711</v>
      </c>
      <c r="BW137" s="35">
        <v>12</v>
      </c>
      <c r="BX137" s="3" t="s">
        <v>439</v>
      </c>
    </row>
    <row r="138" spans="1:76" ht="13.5" customHeight="1" x14ac:dyDescent="0.25">
      <c r="A138" s="66"/>
      <c r="C138" s="180" t="s">
        <v>440</v>
      </c>
      <c r="D138" s="181"/>
      <c r="E138" s="181"/>
      <c r="F138" s="181"/>
      <c r="G138" s="181"/>
      <c r="H138" s="181"/>
      <c r="I138" s="181"/>
      <c r="J138" s="181"/>
      <c r="K138" s="182"/>
    </row>
    <row r="139" spans="1:76" x14ac:dyDescent="0.25">
      <c r="A139" s="66"/>
      <c r="C139" s="67" t="s">
        <v>441</v>
      </c>
      <c r="D139" s="68" t="s">
        <v>10</v>
      </c>
      <c r="F139" s="69">
        <v>18.600000000000001</v>
      </c>
      <c r="K139" s="70"/>
    </row>
    <row r="140" spans="1:76" x14ac:dyDescent="0.25">
      <c r="A140" s="66"/>
      <c r="C140" s="67" t="s">
        <v>442</v>
      </c>
      <c r="D140" s="68" t="s">
        <v>10</v>
      </c>
      <c r="F140" s="69">
        <v>-1.4</v>
      </c>
      <c r="K140" s="70"/>
    </row>
    <row r="141" spans="1:76" x14ac:dyDescent="0.25">
      <c r="A141" s="66"/>
      <c r="C141" s="67" t="s">
        <v>443</v>
      </c>
      <c r="D141" s="68" t="s">
        <v>10</v>
      </c>
      <c r="F141" s="69">
        <v>-0.9</v>
      </c>
      <c r="K141" s="70"/>
    </row>
    <row r="142" spans="1:76" x14ac:dyDescent="0.25">
      <c r="A142" s="66"/>
      <c r="C142" s="67" t="s">
        <v>444</v>
      </c>
      <c r="D142" s="68" t="s">
        <v>10</v>
      </c>
      <c r="F142" s="69">
        <v>13.46</v>
      </c>
      <c r="K142" s="70"/>
    </row>
    <row r="143" spans="1:76" x14ac:dyDescent="0.25">
      <c r="A143" s="1" t="s">
        <v>445</v>
      </c>
      <c r="B143" s="2" t="s">
        <v>446</v>
      </c>
      <c r="C143" s="86" t="s">
        <v>447</v>
      </c>
      <c r="D143" s="87"/>
      <c r="E143" s="2" t="s">
        <v>224</v>
      </c>
      <c r="F143" s="35">
        <v>8</v>
      </c>
      <c r="G143" s="35">
        <v>0</v>
      </c>
      <c r="H143" s="35">
        <f>ROUND(F143*AO143,2)</f>
        <v>0</v>
      </c>
      <c r="I143" s="35">
        <f>ROUND(F143*AP143,2)</f>
        <v>0</v>
      </c>
      <c r="J143" s="35">
        <f>ROUND(F143*G143,2)</f>
        <v>0</v>
      </c>
      <c r="K143" s="63" t="s">
        <v>203</v>
      </c>
      <c r="Z143" s="35">
        <f>ROUND(IF(AQ143="5",BJ143,0),2)</f>
        <v>0</v>
      </c>
      <c r="AB143" s="35">
        <f>ROUND(IF(AQ143="1",BH143,0),2)</f>
        <v>0</v>
      </c>
      <c r="AC143" s="35">
        <f>ROUND(IF(AQ143="1",BI143,0),2)</f>
        <v>0</v>
      </c>
      <c r="AD143" s="35">
        <f>ROUND(IF(AQ143="7",BH143,0),2)</f>
        <v>0</v>
      </c>
      <c r="AE143" s="35">
        <f>ROUND(IF(AQ143="7",BI143,0),2)</f>
        <v>0</v>
      </c>
      <c r="AF143" s="35">
        <f>ROUND(IF(AQ143="2",BH143,0),2)</f>
        <v>0</v>
      </c>
      <c r="AG143" s="35">
        <f>ROUND(IF(AQ143="2",BI143,0),2)</f>
        <v>0</v>
      </c>
      <c r="AH143" s="35">
        <f>ROUND(IF(AQ143="0",BJ143,0),2)</f>
        <v>0</v>
      </c>
      <c r="AI143" s="48" t="s">
        <v>83</v>
      </c>
      <c r="AJ143" s="35">
        <f>IF(AN143=0,J143,0)</f>
        <v>0</v>
      </c>
      <c r="AK143" s="35">
        <f>IF(AN143=12,J143,0)</f>
        <v>0</v>
      </c>
      <c r="AL143" s="35">
        <f>IF(AN143=21,J143,0)</f>
        <v>0</v>
      </c>
      <c r="AN143" s="35">
        <v>12</v>
      </c>
      <c r="AO143" s="35">
        <f>G143*0.591226611</f>
        <v>0</v>
      </c>
      <c r="AP143" s="35">
        <f>G143*(1-0.591226611)</f>
        <v>0</v>
      </c>
      <c r="AQ143" s="64" t="s">
        <v>204</v>
      </c>
      <c r="AV143" s="35">
        <f>ROUND(AW143+AX143,2)</f>
        <v>0</v>
      </c>
      <c r="AW143" s="35">
        <f>ROUND(F143*AO143,2)</f>
        <v>0</v>
      </c>
      <c r="AX143" s="35">
        <f>ROUND(F143*AP143,2)</f>
        <v>0</v>
      </c>
      <c r="AY143" s="64" t="s">
        <v>424</v>
      </c>
      <c r="AZ143" s="64" t="s">
        <v>425</v>
      </c>
      <c r="BA143" s="48" t="s">
        <v>330</v>
      </c>
      <c r="BB143" s="65">
        <v>100017</v>
      </c>
      <c r="BC143" s="35">
        <f>AW143+AX143</f>
        <v>0</v>
      </c>
      <c r="BD143" s="35">
        <f>G143/(100-BE143)*100</f>
        <v>0</v>
      </c>
      <c r="BE143" s="35">
        <v>0</v>
      </c>
      <c r="BF143" s="35">
        <f>143</f>
        <v>143</v>
      </c>
      <c r="BH143" s="35">
        <f>F143*AO143</f>
        <v>0</v>
      </c>
      <c r="BI143" s="35">
        <f>F143*AP143</f>
        <v>0</v>
      </c>
      <c r="BJ143" s="35">
        <f>F143*G143</f>
        <v>0</v>
      </c>
      <c r="BK143" s="64" t="s">
        <v>208</v>
      </c>
      <c r="BL143" s="35">
        <v>711</v>
      </c>
      <c r="BW143" s="35">
        <v>12</v>
      </c>
      <c r="BX143" s="3" t="s">
        <v>447</v>
      </c>
    </row>
    <row r="144" spans="1:76" ht="13.5" customHeight="1" x14ac:dyDescent="0.25">
      <c r="A144" s="66"/>
      <c r="C144" s="180" t="s">
        <v>440</v>
      </c>
      <c r="D144" s="181"/>
      <c r="E144" s="181"/>
      <c r="F144" s="181"/>
      <c r="G144" s="181"/>
      <c r="H144" s="181"/>
      <c r="I144" s="181"/>
      <c r="J144" s="181"/>
      <c r="K144" s="182"/>
    </row>
    <row r="145" spans="1:76" x14ac:dyDescent="0.25">
      <c r="A145" s="66"/>
      <c r="C145" s="67" t="s">
        <v>448</v>
      </c>
      <c r="D145" s="68" t="s">
        <v>10</v>
      </c>
      <c r="F145" s="69">
        <v>8</v>
      </c>
      <c r="K145" s="70"/>
    </row>
    <row r="146" spans="1:76" x14ac:dyDescent="0.25">
      <c r="A146" s="1" t="s">
        <v>449</v>
      </c>
      <c r="B146" s="2" t="s">
        <v>450</v>
      </c>
      <c r="C146" s="86" t="s">
        <v>451</v>
      </c>
      <c r="D146" s="87"/>
      <c r="E146" s="2" t="s">
        <v>252</v>
      </c>
      <c r="F146" s="35">
        <v>2</v>
      </c>
      <c r="G146" s="35">
        <v>0</v>
      </c>
      <c r="H146" s="35">
        <f>ROUND(F146*AO146,2)</f>
        <v>0</v>
      </c>
      <c r="I146" s="35">
        <f>ROUND(F146*AP146,2)</f>
        <v>0</v>
      </c>
      <c r="J146" s="35">
        <f>ROUND(F146*G146,2)</f>
        <v>0</v>
      </c>
      <c r="K146" s="63" t="s">
        <v>203</v>
      </c>
      <c r="Z146" s="35">
        <f>ROUND(IF(AQ146="5",BJ146,0),2)</f>
        <v>0</v>
      </c>
      <c r="AB146" s="35">
        <f>ROUND(IF(AQ146="1",BH146,0),2)</f>
        <v>0</v>
      </c>
      <c r="AC146" s="35">
        <f>ROUND(IF(AQ146="1",BI146,0),2)</f>
        <v>0</v>
      </c>
      <c r="AD146" s="35">
        <f>ROUND(IF(AQ146="7",BH146,0),2)</f>
        <v>0</v>
      </c>
      <c r="AE146" s="35">
        <f>ROUND(IF(AQ146="7",BI146,0),2)</f>
        <v>0</v>
      </c>
      <c r="AF146" s="35">
        <f>ROUND(IF(AQ146="2",BH146,0),2)</f>
        <v>0</v>
      </c>
      <c r="AG146" s="35">
        <f>ROUND(IF(AQ146="2",BI146,0),2)</f>
        <v>0</v>
      </c>
      <c r="AH146" s="35">
        <f>ROUND(IF(AQ146="0",BJ146,0),2)</f>
        <v>0</v>
      </c>
      <c r="AI146" s="48" t="s">
        <v>83</v>
      </c>
      <c r="AJ146" s="35">
        <f>IF(AN146=0,J146,0)</f>
        <v>0</v>
      </c>
      <c r="AK146" s="35">
        <f>IF(AN146=12,J146,0)</f>
        <v>0</v>
      </c>
      <c r="AL146" s="35">
        <f>IF(AN146=21,J146,0)</f>
        <v>0</v>
      </c>
      <c r="AN146" s="35">
        <v>12</v>
      </c>
      <c r="AO146" s="35">
        <f>G146*0.83815621</f>
        <v>0</v>
      </c>
      <c r="AP146" s="35">
        <f>G146*(1-0.83815621)</f>
        <v>0</v>
      </c>
      <c r="AQ146" s="64" t="s">
        <v>204</v>
      </c>
      <c r="AV146" s="35">
        <f>ROUND(AW146+AX146,2)</f>
        <v>0</v>
      </c>
      <c r="AW146" s="35">
        <f>ROUND(F146*AO146,2)</f>
        <v>0</v>
      </c>
      <c r="AX146" s="35">
        <f>ROUND(F146*AP146,2)</f>
        <v>0</v>
      </c>
      <c r="AY146" s="64" t="s">
        <v>424</v>
      </c>
      <c r="AZ146" s="64" t="s">
        <v>425</v>
      </c>
      <c r="BA146" s="48" t="s">
        <v>330</v>
      </c>
      <c r="BB146" s="65">
        <v>100017</v>
      </c>
      <c r="BC146" s="35">
        <f>AW146+AX146</f>
        <v>0</v>
      </c>
      <c r="BD146" s="35">
        <f>G146/(100-BE146)*100</f>
        <v>0</v>
      </c>
      <c r="BE146" s="35">
        <v>0</v>
      </c>
      <c r="BF146" s="35">
        <f>146</f>
        <v>146</v>
      </c>
      <c r="BH146" s="35">
        <f>F146*AO146</f>
        <v>0</v>
      </c>
      <c r="BI146" s="35">
        <f>F146*AP146</f>
        <v>0</v>
      </c>
      <c r="BJ146" s="35">
        <f>F146*G146</f>
        <v>0</v>
      </c>
      <c r="BK146" s="64" t="s">
        <v>208</v>
      </c>
      <c r="BL146" s="35">
        <v>711</v>
      </c>
      <c r="BW146" s="35">
        <v>12</v>
      </c>
      <c r="BX146" s="3" t="s">
        <v>451</v>
      </c>
    </row>
    <row r="147" spans="1:76" x14ac:dyDescent="0.25">
      <c r="A147" s="66"/>
      <c r="C147" s="67" t="s">
        <v>411</v>
      </c>
      <c r="D147" s="68" t="s">
        <v>452</v>
      </c>
      <c r="F147" s="69">
        <v>2</v>
      </c>
      <c r="K147" s="70"/>
    </row>
    <row r="148" spans="1:76" x14ac:dyDescent="0.25">
      <c r="A148" s="59" t="s">
        <v>10</v>
      </c>
      <c r="B148" s="60" t="s">
        <v>116</v>
      </c>
      <c r="C148" s="177" t="s">
        <v>117</v>
      </c>
      <c r="D148" s="178"/>
      <c r="E148" s="61" t="s">
        <v>74</v>
      </c>
      <c r="F148" s="61" t="s">
        <v>74</v>
      </c>
      <c r="G148" s="61" t="s">
        <v>74</v>
      </c>
      <c r="H148" s="42">
        <f>SUM(H149:H176)</f>
        <v>0</v>
      </c>
      <c r="I148" s="42">
        <f>SUM(I149:I176)</f>
        <v>0</v>
      </c>
      <c r="J148" s="42">
        <f>SUM(J149:J176)</f>
        <v>0</v>
      </c>
      <c r="K148" s="62" t="s">
        <v>10</v>
      </c>
      <c r="AI148" s="48" t="s">
        <v>83</v>
      </c>
      <c r="AS148" s="42">
        <f>SUM(AJ149:AJ176)</f>
        <v>0</v>
      </c>
      <c r="AT148" s="42">
        <f>SUM(AK149:AK176)</f>
        <v>0</v>
      </c>
      <c r="AU148" s="42">
        <f>SUM(AL149:AL176)</f>
        <v>0</v>
      </c>
    </row>
    <row r="149" spans="1:76" x14ac:dyDescent="0.25">
      <c r="A149" s="1" t="s">
        <v>453</v>
      </c>
      <c r="B149" s="2" t="s">
        <v>454</v>
      </c>
      <c r="C149" s="86" t="s">
        <v>455</v>
      </c>
      <c r="D149" s="87"/>
      <c r="E149" s="2" t="s">
        <v>202</v>
      </c>
      <c r="F149" s="35">
        <v>1.8</v>
      </c>
      <c r="G149" s="35">
        <v>0</v>
      </c>
      <c r="H149" s="35">
        <f>ROUND(F149*AO149,2)</f>
        <v>0</v>
      </c>
      <c r="I149" s="35">
        <f>ROUND(F149*AP149,2)</f>
        <v>0</v>
      </c>
      <c r="J149" s="35">
        <f>ROUND(F149*G149,2)</f>
        <v>0</v>
      </c>
      <c r="K149" s="63" t="s">
        <v>203</v>
      </c>
      <c r="Z149" s="35">
        <f>ROUND(IF(AQ149="5",BJ149,0),2)</f>
        <v>0</v>
      </c>
      <c r="AB149" s="35">
        <f>ROUND(IF(AQ149="1",BH149,0),2)</f>
        <v>0</v>
      </c>
      <c r="AC149" s="35">
        <f>ROUND(IF(AQ149="1",BI149,0),2)</f>
        <v>0</v>
      </c>
      <c r="AD149" s="35">
        <f>ROUND(IF(AQ149="7",BH149,0),2)</f>
        <v>0</v>
      </c>
      <c r="AE149" s="35">
        <f>ROUND(IF(AQ149="7",BI149,0),2)</f>
        <v>0</v>
      </c>
      <c r="AF149" s="35">
        <f>ROUND(IF(AQ149="2",BH149,0),2)</f>
        <v>0</v>
      </c>
      <c r="AG149" s="35">
        <f>ROUND(IF(AQ149="2",BI149,0),2)</f>
        <v>0</v>
      </c>
      <c r="AH149" s="35">
        <f>ROUND(IF(AQ149="0",BJ149,0),2)</f>
        <v>0</v>
      </c>
      <c r="AI149" s="48" t="s">
        <v>83</v>
      </c>
      <c r="AJ149" s="35">
        <f>IF(AN149=0,J149,0)</f>
        <v>0</v>
      </c>
      <c r="AK149" s="35">
        <f>IF(AN149=12,J149,0)</f>
        <v>0</v>
      </c>
      <c r="AL149" s="35">
        <f>IF(AN149=21,J149,0)</f>
        <v>0</v>
      </c>
      <c r="AN149" s="35">
        <v>12</v>
      </c>
      <c r="AO149" s="35">
        <f>G149*0.003167756</f>
        <v>0</v>
      </c>
      <c r="AP149" s="35">
        <f>G149*(1-0.003167756)</f>
        <v>0</v>
      </c>
      <c r="AQ149" s="64" t="s">
        <v>204</v>
      </c>
      <c r="AV149" s="35">
        <f>ROUND(AW149+AX149,2)</f>
        <v>0</v>
      </c>
      <c r="AW149" s="35">
        <f>ROUND(F149*AO149,2)</f>
        <v>0</v>
      </c>
      <c r="AX149" s="35">
        <f>ROUND(F149*AP149,2)</f>
        <v>0</v>
      </c>
      <c r="AY149" s="64" t="s">
        <v>456</v>
      </c>
      <c r="AZ149" s="64" t="s">
        <v>457</v>
      </c>
      <c r="BA149" s="48" t="s">
        <v>330</v>
      </c>
      <c r="BB149" s="65">
        <v>100013</v>
      </c>
      <c r="BC149" s="35">
        <f>AW149+AX149</f>
        <v>0</v>
      </c>
      <c r="BD149" s="35">
        <f>G149/(100-BE149)*100</f>
        <v>0</v>
      </c>
      <c r="BE149" s="35">
        <v>0</v>
      </c>
      <c r="BF149" s="35">
        <f>149</f>
        <v>149</v>
      </c>
      <c r="BH149" s="35">
        <f>F149*AO149</f>
        <v>0</v>
      </c>
      <c r="BI149" s="35">
        <f>F149*AP149</f>
        <v>0</v>
      </c>
      <c r="BJ149" s="35">
        <f>F149*G149</f>
        <v>0</v>
      </c>
      <c r="BK149" s="64" t="s">
        <v>208</v>
      </c>
      <c r="BL149" s="35">
        <v>766</v>
      </c>
      <c r="BW149" s="35">
        <v>12</v>
      </c>
      <c r="BX149" s="3" t="s">
        <v>455</v>
      </c>
    </row>
    <row r="150" spans="1:76" ht="27" customHeight="1" x14ac:dyDescent="0.25">
      <c r="A150" s="66"/>
      <c r="C150" s="180" t="s">
        <v>458</v>
      </c>
      <c r="D150" s="181"/>
      <c r="E150" s="181"/>
      <c r="F150" s="181"/>
      <c r="G150" s="181"/>
      <c r="H150" s="181"/>
      <c r="I150" s="181"/>
      <c r="J150" s="181"/>
      <c r="K150" s="182"/>
    </row>
    <row r="151" spans="1:76" x14ac:dyDescent="0.25">
      <c r="A151" s="66"/>
      <c r="C151" s="67" t="s">
        <v>459</v>
      </c>
      <c r="D151" s="68" t="s">
        <v>10</v>
      </c>
      <c r="F151" s="69">
        <v>1.8</v>
      </c>
      <c r="K151" s="70"/>
    </row>
    <row r="152" spans="1:76" x14ac:dyDescent="0.25">
      <c r="A152" s="76" t="s">
        <v>460</v>
      </c>
      <c r="B152" s="77" t="s">
        <v>461</v>
      </c>
      <c r="C152" s="185" t="s">
        <v>462</v>
      </c>
      <c r="D152" s="186"/>
      <c r="E152" s="77" t="s">
        <v>463</v>
      </c>
      <c r="F152" s="79">
        <v>6</v>
      </c>
      <c r="G152" s="79">
        <v>0</v>
      </c>
      <c r="H152" s="79">
        <f>ROUND(F152*AO152,2)</f>
        <v>0</v>
      </c>
      <c r="I152" s="79">
        <f>ROUND(F152*AP152,2)</f>
        <v>0</v>
      </c>
      <c r="J152" s="79">
        <f>ROUND(F152*G152,2)</f>
        <v>0</v>
      </c>
      <c r="K152" s="80" t="s">
        <v>292</v>
      </c>
      <c r="Z152" s="35">
        <f>ROUND(IF(AQ152="5",BJ152,0),2)</f>
        <v>0</v>
      </c>
      <c r="AB152" s="35">
        <f>ROUND(IF(AQ152="1",BH152,0),2)</f>
        <v>0</v>
      </c>
      <c r="AC152" s="35">
        <f>ROUND(IF(AQ152="1",BI152,0),2)</f>
        <v>0</v>
      </c>
      <c r="AD152" s="35">
        <f>ROUND(IF(AQ152="7",BH152,0),2)</f>
        <v>0</v>
      </c>
      <c r="AE152" s="35">
        <f>ROUND(IF(AQ152="7",BI152,0),2)</f>
        <v>0</v>
      </c>
      <c r="AF152" s="35">
        <f>ROUND(IF(AQ152="2",BH152,0),2)</f>
        <v>0</v>
      </c>
      <c r="AG152" s="35">
        <f>ROUND(IF(AQ152="2",BI152,0),2)</f>
        <v>0</v>
      </c>
      <c r="AH152" s="35">
        <f>ROUND(IF(AQ152="0",BJ152,0),2)</f>
        <v>0</v>
      </c>
      <c r="AI152" s="48" t="s">
        <v>83</v>
      </c>
      <c r="AJ152" s="79">
        <f>IF(AN152=0,J152,0)</f>
        <v>0</v>
      </c>
      <c r="AK152" s="79">
        <f>IF(AN152=12,J152,0)</f>
        <v>0</v>
      </c>
      <c r="AL152" s="79">
        <f>IF(AN152=21,J152,0)</f>
        <v>0</v>
      </c>
      <c r="AN152" s="35">
        <v>12</v>
      </c>
      <c r="AO152" s="35">
        <f>G152*1</f>
        <v>0</v>
      </c>
      <c r="AP152" s="35">
        <f>G152*(1-1)</f>
        <v>0</v>
      </c>
      <c r="AQ152" s="81" t="s">
        <v>204</v>
      </c>
      <c r="AV152" s="35">
        <f>ROUND(AW152+AX152,2)</f>
        <v>0</v>
      </c>
      <c r="AW152" s="35">
        <f>ROUND(F152*AO152,2)</f>
        <v>0</v>
      </c>
      <c r="AX152" s="35">
        <f>ROUND(F152*AP152,2)</f>
        <v>0</v>
      </c>
      <c r="AY152" s="64" t="s">
        <v>456</v>
      </c>
      <c r="AZ152" s="64" t="s">
        <v>457</v>
      </c>
      <c r="BA152" s="48" t="s">
        <v>330</v>
      </c>
      <c r="BC152" s="35">
        <f>AW152+AX152</f>
        <v>0</v>
      </c>
      <c r="BD152" s="35">
        <f>G152/(100-BE152)*100</f>
        <v>0</v>
      </c>
      <c r="BE152" s="35">
        <v>0</v>
      </c>
      <c r="BF152" s="35">
        <f>152</f>
        <v>152</v>
      </c>
      <c r="BH152" s="79">
        <f>F152*AO152</f>
        <v>0</v>
      </c>
      <c r="BI152" s="79">
        <f>F152*AP152</f>
        <v>0</v>
      </c>
      <c r="BJ152" s="79">
        <f>F152*G152</f>
        <v>0</v>
      </c>
      <c r="BK152" s="81" t="s">
        <v>464</v>
      </c>
      <c r="BL152" s="35">
        <v>766</v>
      </c>
      <c r="BW152" s="35">
        <v>12</v>
      </c>
      <c r="BX152" s="78" t="s">
        <v>462</v>
      </c>
    </row>
    <row r="153" spans="1:76" x14ac:dyDescent="0.25">
      <c r="A153" s="66"/>
      <c r="C153" s="67" t="s">
        <v>465</v>
      </c>
      <c r="D153" s="68" t="s">
        <v>466</v>
      </c>
      <c r="F153" s="69">
        <v>6</v>
      </c>
      <c r="K153" s="70"/>
    </row>
    <row r="154" spans="1:76" x14ac:dyDescent="0.25">
      <c r="A154" s="1" t="s">
        <v>467</v>
      </c>
      <c r="B154" s="2" t="s">
        <v>468</v>
      </c>
      <c r="C154" s="86" t="s">
        <v>469</v>
      </c>
      <c r="D154" s="87"/>
      <c r="E154" s="2" t="s">
        <v>252</v>
      </c>
      <c r="F154" s="35">
        <v>2</v>
      </c>
      <c r="G154" s="35">
        <v>0</v>
      </c>
      <c r="H154" s="35">
        <f>ROUND(F154*AO154,2)</f>
        <v>0</v>
      </c>
      <c r="I154" s="35">
        <f>ROUND(F154*AP154,2)</f>
        <v>0</v>
      </c>
      <c r="J154" s="35">
        <f>ROUND(F154*G154,2)</f>
        <v>0</v>
      </c>
      <c r="K154" s="63" t="s">
        <v>203</v>
      </c>
      <c r="Z154" s="35">
        <f>ROUND(IF(AQ154="5",BJ154,0),2)</f>
        <v>0</v>
      </c>
      <c r="AB154" s="35">
        <f>ROUND(IF(AQ154="1",BH154,0),2)</f>
        <v>0</v>
      </c>
      <c r="AC154" s="35">
        <f>ROUND(IF(AQ154="1",BI154,0),2)</f>
        <v>0</v>
      </c>
      <c r="AD154" s="35">
        <f>ROUND(IF(AQ154="7",BH154,0),2)</f>
        <v>0</v>
      </c>
      <c r="AE154" s="35">
        <f>ROUND(IF(AQ154="7",BI154,0),2)</f>
        <v>0</v>
      </c>
      <c r="AF154" s="35">
        <f>ROUND(IF(AQ154="2",BH154,0),2)</f>
        <v>0</v>
      </c>
      <c r="AG154" s="35">
        <f>ROUND(IF(AQ154="2",BI154,0),2)</f>
        <v>0</v>
      </c>
      <c r="AH154" s="35">
        <f>ROUND(IF(AQ154="0",BJ154,0),2)</f>
        <v>0</v>
      </c>
      <c r="AI154" s="48" t="s">
        <v>83</v>
      </c>
      <c r="AJ154" s="35">
        <f>IF(AN154=0,J154,0)</f>
        <v>0</v>
      </c>
      <c r="AK154" s="35">
        <f>IF(AN154=12,J154,0)</f>
        <v>0</v>
      </c>
      <c r="AL154" s="35">
        <f>IF(AN154=21,J154,0)</f>
        <v>0</v>
      </c>
      <c r="AN154" s="35">
        <v>12</v>
      </c>
      <c r="AO154" s="35">
        <f>G154*0</f>
        <v>0</v>
      </c>
      <c r="AP154" s="35">
        <f>G154*(1-0)</f>
        <v>0</v>
      </c>
      <c r="AQ154" s="64" t="s">
        <v>204</v>
      </c>
      <c r="AV154" s="35">
        <f>ROUND(AW154+AX154,2)</f>
        <v>0</v>
      </c>
      <c r="AW154" s="35">
        <f>ROUND(F154*AO154,2)</f>
        <v>0</v>
      </c>
      <c r="AX154" s="35">
        <f>ROUND(F154*AP154,2)</f>
        <v>0</v>
      </c>
      <c r="AY154" s="64" t="s">
        <v>456</v>
      </c>
      <c r="AZ154" s="64" t="s">
        <v>457</v>
      </c>
      <c r="BA154" s="48" t="s">
        <v>330</v>
      </c>
      <c r="BB154" s="65">
        <v>100013</v>
      </c>
      <c r="BC154" s="35">
        <f>AW154+AX154</f>
        <v>0</v>
      </c>
      <c r="BD154" s="35">
        <f>G154/(100-BE154)*100</f>
        <v>0</v>
      </c>
      <c r="BE154" s="35">
        <v>0</v>
      </c>
      <c r="BF154" s="35">
        <f>154</f>
        <v>154</v>
      </c>
      <c r="BH154" s="35">
        <f>F154*AO154</f>
        <v>0</v>
      </c>
      <c r="BI154" s="35">
        <f>F154*AP154</f>
        <v>0</v>
      </c>
      <c r="BJ154" s="35">
        <f>F154*G154</f>
        <v>0</v>
      </c>
      <c r="BK154" s="64" t="s">
        <v>208</v>
      </c>
      <c r="BL154" s="35">
        <v>766</v>
      </c>
      <c r="BW154" s="35">
        <v>12</v>
      </c>
      <c r="BX154" s="3" t="s">
        <v>469</v>
      </c>
    </row>
    <row r="155" spans="1:76" x14ac:dyDescent="0.25">
      <c r="A155" s="66"/>
      <c r="C155" s="67" t="s">
        <v>411</v>
      </c>
      <c r="D155" s="68" t="s">
        <v>10</v>
      </c>
      <c r="F155" s="69">
        <v>2</v>
      </c>
      <c r="K155" s="70"/>
    </row>
    <row r="156" spans="1:76" x14ac:dyDescent="0.25">
      <c r="A156" s="1" t="s">
        <v>470</v>
      </c>
      <c r="B156" s="2" t="s">
        <v>471</v>
      </c>
      <c r="C156" s="86" t="s">
        <v>472</v>
      </c>
      <c r="D156" s="87"/>
      <c r="E156" s="2" t="s">
        <v>252</v>
      </c>
      <c r="F156" s="35">
        <v>2</v>
      </c>
      <c r="G156" s="35">
        <v>0</v>
      </c>
      <c r="H156" s="35">
        <f>ROUND(F156*AO156,2)</f>
        <v>0</v>
      </c>
      <c r="I156" s="35">
        <f>ROUND(F156*AP156,2)</f>
        <v>0</v>
      </c>
      <c r="J156" s="35">
        <f>ROUND(F156*G156,2)</f>
        <v>0</v>
      </c>
      <c r="K156" s="63" t="s">
        <v>203</v>
      </c>
      <c r="Z156" s="35">
        <f>ROUND(IF(AQ156="5",BJ156,0),2)</f>
        <v>0</v>
      </c>
      <c r="AB156" s="35">
        <f>ROUND(IF(AQ156="1",BH156,0),2)</f>
        <v>0</v>
      </c>
      <c r="AC156" s="35">
        <f>ROUND(IF(AQ156="1",BI156,0),2)</f>
        <v>0</v>
      </c>
      <c r="AD156" s="35">
        <f>ROUND(IF(AQ156="7",BH156,0),2)</f>
        <v>0</v>
      </c>
      <c r="AE156" s="35">
        <f>ROUND(IF(AQ156="7",BI156,0),2)</f>
        <v>0</v>
      </c>
      <c r="AF156" s="35">
        <f>ROUND(IF(AQ156="2",BH156,0),2)</f>
        <v>0</v>
      </c>
      <c r="AG156" s="35">
        <f>ROUND(IF(AQ156="2",BI156,0),2)</f>
        <v>0</v>
      </c>
      <c r="AH156" s="35">
        <f>ROUND(IF(AQ156="0",BJ156,0),2)</f>
        <v>0</v>
      </c>
      <c r="AI156" s="48" t="s">
        <v>83</v>
      </c>
      <c r="AJ156" s="35">
        <f>IF(AN156=0,J156,0)</f>
        <v>0</v>
      </c>
      <c r="AK156" s="35">
        <f>IF(AN156=12,J156,0)</f>
        <v>0</v>
      </c>
      <c r="AL156" s="35">
        <f>IF(AN156=21,J156,0)</f>
        <v>0</v>
      </c>
      <c r="AN156" s="35">
        <v>12</v>
      </c>
      <c r="AO156" s="35">
        <f>G156*0</f>
        <v>0</v>
      </c>
      <c r="AP156" s="35">
        <f>G156*(1-0)</f>
        <v>0</v>
      </c>
      <c r="AQ156" s="64" t="s">
        <v>204</v>
      </c>
      <c r="AV156" s="35">
        <f>ROUND(AW156+AX156,2)</f>
        <v>0</v>
      </c>
      <c r="AW156" s="35">
        <f>ROUND(F156*AO156,2)</f>
        <v>0</v>
      </c>
      <c r="AX156" s="35">
        <f>ROUND(F156*AP156,2)</f>
        <v>0</v>
      </c>
      <c r="AY156" s="64" t="s">
        <v>456</v>
      </c>
      <c r="AZ156" s="64" t="s">
        <v>457</v>
      </c>
      <c r="BA156" s="48" t="s">
        <v>330</v>
      </c>
      <c r="BB156" s="65">
        <v>100013</v>
      </c>
      <c r="BC156" s="35">
        <f>AW156+AX156</f>
        <v>0</v>
      </c>
      <c r="BD156" s="35">
        <f>G156/(100-BE156)*100</f>
        <v>0</v>
      </c>
      <c r="BE156" s="35">
        <v>0</v>
      </c>
      <c r="BF156" s="35">
        <f>156</f>
        <v>156</v>
      </c>
      <c r="BH156" s="35">
        <f>F156*AO156</f>
        <v>0</v>
      </c>
      <c r="BI156" s="35">
        <f>F156*AP156</f>
        <v>0</v>
      </c>
      <c r="BJ156" s="35">
        <f>F156*G156</f>
        <v>0</v>
      </c>
      <c r="BK156" s="64" t="s">
        <v>208</v>
      </c>
      <c r="BL156" s="35">
        <v>766</v>
      </c>
      <c r="BW156" s="35">
        <v>12</v>
      </c>
      <c r="BX156" s="3" t="s">
        <v>472</v>
      </c>
    </row>
    <row r="157" spans="1:76" x14ac:dyDescent="0.25">
      <c r="A157" s="66"/>
      <c r="C157" s="67" t="s">
        <v>411</v>
      </c>
      <c r="D157" s="68" t="s">
        <v>473</v>
      </c>
      <c r="F157" s="69">
        <v>2</v>
      </c>
      <c r="K157" s="70"/>
    </row>
    <row r="158" spans="1:76" x14ac:dyDescent="0.25">
      <c r="A158" s="76" t="s">
        <v>474</v>
      </c>
      <c r="B158" s="77" t="s">
        <v>475</v>
      </c>
      <c r="C158" s="185" t="s">
        <v>476</v>
      </c>
      <c r="D158" s="186"/>
      <c r="E158" s="77" t="s">
        <v>252</v>
      </c>
      <c r="F158" s="79">
        <v>2</v>
      </c>
      <c r="G158" s="79">
        <v>0</v>
      </c>
      <c r="H158" s="79">
        <f>ROUND(F158*AO158,2)</f>
        <v>0</v>
      </c>
      <c r="I158" s="79">
        <f>ROUND(F158*AP158,2)</f>
        <v>0</v>
      </c>
      <c r="J158" s="79">
        <f>ROUND(F158*G158,2)</f>
        <v>0</v>
      </c>
      <c r="K158" s="80" t="s">
        <v>203</v>
      </c>
      <c r="Z158" s="35">
        <f>ROUND(IF(AQ158="5",BJ158,0),2)</f>
        <v>0</v>
      </c>
      <c r="AB158" s="35">
        <f>ROUND(IF(AQ158="1",BH158,0),2)</f>
        <v>0</v>
      </c>
      <c r="AC158" s="35">
        <f>ROUND(IF(AQ158="1",BI158,0),2)</f>
        <v>0</v>
      </c>
      <c r="AD158" s="35">
        <f>ROUND(IF(AQ158="7",BH158,0),2)</f>
        <v>0</v>
      </c>
      <c r="AE158" s="35">
        <f>ROUND(IF(AQ158="7",BI158,0),2)</f>
        <v>0</v>
      </c>
      <c r="AF158" s="35">
        <f>ROUND(IF(AQ158="2",BH158,0),2)</f>
        <v>0</v>
      </c>
      <c r="AG158" s="35">
        <f>ROUND(IF(AQ158="2",BI158,0),2)</f>
        <v>0</v>
      </c>
      <c r="AH158" s="35">
        <f>ROUND(IF(AQ158="0",BJ158,0),2)</f>
        <v>0</v>
      </c>
      <c r="AI158" s="48" t="s">
        <v>83</v>
      </c>
      <c r="AJ158" s="79">
        <f>IF(AN158=0,J158,0)</f>
        <v>0</v>
      </c>
      <c r="AK158" s="79">
        <f>IF(AN158=12,J158,0)</f>
        <v>0</v>
      </c>
      <c r="AL158" s="79">
        <f>IF(AN158=21,J158,0)</f>
        <v>0</v>
      </c>
      <c r="AN158" s="35">
        <v>12</v>
      </c>
      <c r="AO158" s="35">
        <f>G158*1</f>
        <v>0</v>
      </c>
      <c r="AP158" s="35">
        <f>G158*(1-1)</f>
        <v>0</v>
      </c>
      <c r="AQ158" s="81" t="s">
        <v>204</v>
      </c>
      <c r="AV158" s="35">
        <f>ROUND(AW158+AX158,2)</f>
        <v>0</v>
      </c>
      <c r="AW158" s="35">
        <f>ROUND(F158*AO158,2)</f>
        <v>0</v>
      </c>
      <c r="AX158" s="35">
        <f>ROUND(F158*AP158,2)</f>
        <v>0</v>
      </c>
      <c r="AY158" s="64" t="s">
        <v>456</v>
      </c>
      <c r="AZ158" s="64" t="s">
        <v>457</v>
      </c>
      <c r="BA158" s="48" t="s">
        <v>330</v>
      </c>
      <c r="BC158" s="35">
        <f>AW158+AX158</f>
        <v>0</v>
      </c>
      <c r="BD158" s="35">
        <f>G158/(100-BE158)*100</f>
        <v>0</v>
      </c>
      <c r="BE158" s="35">
        <v>0</v>
      </c>
      <c r="BF158" s="35">
        <f>158</f>
        <v>158</v>
      </c>
      <c r="BH158" s="79">
        <f>F158*AO158</f>
        <v>0</v>
      </c>
      <c r="BI158" s="79">
        <f>F158*AP158</f>
        <v>0</v>
      </c>
      <c r="BJ158" s="79">
        <f>F158*G158</f>
        <v>0</v>
      </c>
      <c r="BK158" s="81" t="s">
        <v>464</v>
      </c>
      <c r="BL158" s="35">
        <v>766</v>
      </c>
      <c r="BW158" s="35">
        <v>12</v>
      </c>
      <c r="BX158" s="78" t="s">
        <v>476</v>
      </c>
    </row>
    <row r="159" spans="1:76" x14ac:dyDescent="0.25">
      <c r="A159" s="66"/>
      <c r="C159" s="67" t="s">
        <v>411</v>
      </c>
      <c r="D159" s="68" t="s">
        <v>477</v>
      </c>
      <c r="F159" s="69">
        <v>2</v>
      </c>
      <c r="K159" s="70"/>
    </row>
    <row r="160" spans="1:76" x14ac:dyDescent="0.25">
      <c r="A160" s="1" t="s">
        <v>478</v>
      </c>
      <c r="B160" s="2" t="s">
        <v>479</v>
      </c>
      <c r="C160" s="86" t="s">
        <v>480</v>
      </c>
      <c r="D160" s="87"/>
      <c r="E160" s="2" t="s">
        <v>252</v>
      </c>
      <c r="F160" s="35">
        <v>1</v>
      </c>
      <c r="G160" s="35">
        <v>0</v>
      </c>
      <c r="H160" s="35">
        <f>ROUND(F160*AO160,2)</f>
        <v>0</v>
      </c>
      <c r="I160" s="35">
        <f>ROUND(F160*AP160,2)</f>
        <v>0</v>
      </c>
      <c r="J160" s="35">
        <f>ROUND(F160*G160,2)</f>
        <v>0</v>
      </c>
      <c r="K160" s="63" t="s">
        <v>203</v>
      </c>
      <c r="Z160" s="35">
        <f>ROUND(IF(AQ160="5",BJ160,0),2)</f>
        <v>0</v>
      </c>
      <c r="AB160" s="35">
        <f>ROUND(IF(AQ160="1",BH160,0),2)</f>
        <v>0</v>
      </c>
      <c r="AC160" s="35">
        <f>ROUND(IF(AQ160="1",BI160,0),2)</f>
        <v>0</v>
      </c>
      <c r="AD160" s="35">
        <f>ROUND(IF(AQ160="7",BH160,0),2)</f>
        <v>0</v>
      </c>
      <c r="AE160" s="35">
        <f>ROUND(IF(AQ160="7",BI160,0),2)</f>
        <v>0</v>
      </c>
      <c r="AF160" s="35">
        <f>ROUND(IF(AQ160="2",BH160,0),2)</f>
        <v>0</v>
      </c>
      <c r="AG160" s="35">
        <f>ROUND(IF(AQ160="2",BI160,0),2)</f>
        <v>0</v>
      </c>
      <c r="AH160" s="35">
        <f>ROUND(IF(AQ160="0",BJ160,0),2)</f>
        <v>0</v>
      </c>
      <c r="AI160" s="48" t="s">
        <v>83</v>
      </c>
      <c r="AJ160" s="35">
        <f>IF(AN160=0,J160,0)</f>
        <v>0</v>
      </c>
      <c r="AK160" s="35">
        <f>IF(AN160=12,J160,0)</f>
        <v>0</v>
      </c>
      <c r="AL160" s="35">
        <f>IF(AN160=21,J160,0)</f>
        <v>0</v>
      </c>
      <c r="AN160" s="35">
        <v>12</v>
      </c>
      <c r="AO160" s="35">
        <f>G160*0</f>
        <v>0</v>
      </c>
      <c r="AP160" s="35">
        <f>G160*(1-0)</f>
        <v>0</v>
      </c>
      <c r="AQ160" s="64" t="s">
        <v>204</v>
      </c>
      <c r="AV160" s="35">
        <f>ROUND(AW160+AX160,2)</f>
        <v>0</v>
      </c>
      <c r="AW160" s="35">
        <f>ROUND(F160*AO160,2)</f>
        <v>0</v>
      </c>
      <c r="AX160" s="35">
        <f>ROUND(F160*AP160,2)</f>
        <v>0</v>
      </c>
      <c r="AY160" s="64" t="s">
        <v>456</v>
      </c>
      <c r="AZ160" s="64" t="s">
        <v>457</v>
      </c>
      <c r="BA160" s="48" t="s">
        <v>330</v>
      </c>
      <c r="BB160" s="65">
        <v>100013</v>
      </c>
      <c r="BC160" s="35">
        <f>AW160+AX160</f>
        <v>0</v>
      </c>
      <c r="BD160" s="35">
        <f>G160/(100-BE160)*100</f>
        <v>0</v>
      </c>
      <c r="BE160" s="35">
        <v>0</v>
      </c>
      <c r="BF160" s="35">
        <f>160</f>
        <v>160</v>
      </c>
      <c r="BH160" s="35">
        <f>F160*AO160</f>
        <v>0</v>
      </c>
      <c r="BI160" s="35">
        <f>F160*AP160</f>
        <v>0</v>
      </c>
      <c r="BJ160" s="35">
        <f>F160*G160</f>
        <v>0</v>
      </c>
      <c r="BK160" s="64" t="s">
        <v>208</v>
      </c>
      <c r="BL160" s="35">
        <v>766</v>
      </c>
      <c r="BW160" s="35">
        <v>12</v>
      </c>
      <c r="BX160" s="3" t="s">
        <v>480</v>
      </c>
    </row>
    <row r="161" spans="1:76" x14ac:dyDescent="0.25">
      <c r="A161" s="66"/>
      <c r="C161" s="67" t="s">
        <v>199</v>
      </c>
      <c r="D161" s="68" t="s">
        <v>481</v>
      </c>
      <c r="F161" s="69">
        <v>1</v>
      </c>
      <c r="K161" s="70"/>
    </row>
    <row r="162" spans="1:76" x14ac:dyDescent="0.25">
      <c r="A162" s="1" t="s">
        <v>482</v>
      </c>
      <c r="B162" s="2" t="s">
        <v>483</v>
      </c>
      <c r="C162" s="86" t="s">
        <v>484</v>
      </c>
      <c r="D162" s="87"/>
      <c r="E162" s="2" t="s">
        <v>252</v>
      </c>
      <c r="F162" s="35">
        <v>2</v>
      </c>
      <c r="G162" s="35">
        <v>0</v>
      </c>
      <c r="H162" s="35">
        <f>ROUND(F162*AO162,2)</f>
        <v>0</v>
      </c>
      <c r="I162" s="35">
        <f>ROUND(F162*AP162,2)</f>
        <v>0</v>
      </c>
      <c r="J162" s="35">
        <f>ROUND(F162*G162,2)</f>
        <v>0</v>
      </c>
      <c r="K162" s="63" t="s">
        <v>203</v>
      </c>
      <c r="Z162" s="35">
        <f>ROUND(IF(AQ162="5",BJ162,0),2)</f>
        <v>0</v>
      </c>
      <c r="AB162" s="35">
        <f>ROUND(IF(AQ162="1",BH162,0),2)</f>
        <v>0</v>
      </c>
      <c r="AC162" s="35">
        <f>ROUND(IF(AQ162="1",BI162,0),2)</f>
        <v>0</v>
      </c>
      <c r="AD162" s="35">
        <f>ROUND(IF(AQ162="7",BH162,0),2)</f>
        <v>0</v>
      </c>
      <c r="AE162" s="35">
        <f>ROUND(IF(AQ162="7",BI162,0),2)</f>
        <v>0</v>
      </c>
      <c r="AF162" s="35">
        <f>ROUND(IF(AQ162="2",BH162,0),2)</f>
        <v>0</v>
      </c>
      <c r="AG162" s="35">
        <f>ROUND(IF(AQ162="2",BI162,0),2)</f>
        <v>0</v>
      </c>
      <c r="AH162" s="35">
        <f>ROUND(IF(AQ162="0",BJ162,0),2)</f>
        <v>0</v>
      </c>
      <c r="AI162" s="48" t="s">
        <v>83</v>
      </c>
      <c r="AJ162" s="35">
        <f>IF(AN162=0,J162,0)</f>
        <v>0</v>
      </c>
      <c r="AK162" s="35">
        <f>IF(AN162=12,J162,0)</f>
        <v>0</v>
      </c>
      <c r="AL162" s="35">
        <f>IF(AN162=21,J162,0)</f>
        <v>0</v>
      </c>
      <c r="AN162" s="35">
        <v>12</v>
      </c>
      <c r="AO162" s="35">
        <f>G162*0</f>
        <v>0</v>
      </c>
      <c r="AP162" s="35">
        <f>G162*(1-0)</f>
        <v>0</v>
      </c>
      <c r="AQ162" s="64" t="s">
        <v>204</v>
      </c>
      <c r="AV162" s="35">
        <f>ROUND(AW162+AX162,2)</f>
        <v>0</v>
      </c>
      <c r="AW162" s="35">
        <f>ROUND(F162*AO162,2)</f>
        <v>0</v>
      </c>
      <c r="AX162" s="35">
        <f>ROUND(F162*AP162,2)</f>
        <v>0</v>
      </c>
      <c r="AY162" s="64" t="s">
        <v>456</v>
      </c>
      <c r="AZ162" s="64" t="s">
        <v>457</v>
      </c>
      <c r="BA162" s="48" t="s">
        <v>330</v>
      </c>
      <c r="BB162" s="65">
        <v>100013</v>
      </c>
      <c r="BC162" s="35">
        <f>AW162+AX162</f>
        <v>0</v>
      </c>
      <c r="BD162" s="35">
        <f>G162/(100-BE162)*100</f>
        <v>0</v>
      </c>
      <c r="BE162" s="35">
        <v>0</v>
      </c>
      <c r="BF162" s="35">
        <f>162</f>
        <v>162</v>
      </c>
      <c r="BH162" s="35">
        <f>F162*AO162</f>
        <v>0</v>
      </c>
      <c r="BI162" s="35">
        <f>F162*AP162</f>
        <v>0</v>
      </c>
      <c r="BJ162" s="35">
        <f>F162*G162</f>
        <v>0</v>
      </c>
      <c r="BK162" s="64" t="s">
        <v>208</v>
      </c>
      <c r="BL162" s="35">
        <v>766</v>
      </c>
      <c r="BW162" s="35">
        <v>12</v>
      </c>
      <c r="BX162" s="3" t="s">
        <v>484</v>
      </c>
    </row>
    <row r="163" spans="1:76" x14ac:dyDescent="0.25">
      <c r="A163" s="66"/>
      <c r="C163" s="67" t="s">
        <v>411</v>
      </c>
      <c r="D163" s="68" t="s">
        <v>485</v>
      </c>
      <c r="F163" s="69">
        <v>2</v>
      </c>
      <c r="K163" s="70"/>
    </row>
    <row r="164" spans="1:76" x14ac:dyDescent="0.25">
      <c r="A164" s="76" t="s">
        <v>486</v>
      </c>
      <c r="B164" s="77" t="s">
        <v>487</v>
      </c>
      <c r="C164" s="185" t="s">
        <v>488</v>
      </c>
      <c r="D164" s="186"/>
      <c r="E164" s="77" t="s">
        <v>252</v>
      </c>
      <c r="F164" s="79">
        <v>2</v>
      </c>
      <c r="G164" s="79">
        <v>0</v>
      </c>
      <c r="H164" s="79">
        <f>ROUND(F164*AO164,2)</f>
        <v>0</v>
      </c>
      <c r="I164" s="79">
        <f>ROUND(F164*AP164,2)</f>
        <v>0</v>
      </c>
      <c r="J164" s="79">
        <f>ROUND(F164*G164,2)</f>
        <v>0</v>
      </c>
      <c r="K164" s="80" t="s">
        <v>203</v>
      </c>
      <c r="Z164" s="35">
        <f>ROUND(IF(AQ164="5",BJ164,0),2)</f>
        <v>0</v>
      </c>
      <c r="AB164" s="35">
        <f>ROUND(IF(AQ164="1",BH164,0),2)</f>
        <v>0</v>
      </c>
      <c r="AC164" s="35">
        <f>ROUND(IF(AQ164="1",BI164,0),2)</f>
        <v>0</v>
      </c>
      <c r="AD164" s="35">
        <f>ROUND(IF(AQ164="7",BH164,0),2)</f>
        <v>0</v>
      </c>
      <c r="AE164" s="35">
        <f>ROUND(IF(AQ164="7",BI164,0),2)</f>
        <v>0</v>
      </c>
      <c r="AF164" s="35">
        <f>ROUND(IF(AQ164="2",BH164,0),2)</f>
        <v>0</v>
      </c>
      <c r="AG164" s="35">
        <f>ROUND(IF(AQ164="2",BI164,0),2)</f>
        <v>0</v>
      </c>
      <c r="AH164" s="35">
        <f>ROUND(IF(AQ164="0",BJ164,0),2)</f>
        <v>0</v>
      </c>
      <c r="AI164" s="48" t="s">
        <v>83</v>
      </c>
      <c r="AJ164" s="79">
        <f>IF(AN164=0,J164,0)</f>
        <v>0</v>
      </c>
      <c r="AK164" s="79">
        <f>IF(AN164=12,J164,0)</f>
        <v>0</v>
      </c>
      <c r="AL164" s="79">
        <f>IF(AN164=21,J164,0)</f>
        <v>0</v>
      </c>
      <c r="AN164" s="35">
        <v>12</v>
      </c>
      <c r="AO164" s="35">
        <f>G164*1</f>
        <v>0</v>
      </c>
      <c r="AP164" s="35">
        <f>G164*(1-1)</f>
        <v>0</v>
      </c>
      <c r="AQ164" s="81" t="s">
        <v>204</v>
      </c>
      <c r="AV164" s="35">
        <f>ROUND(AW164+AX164,2)</f>
        <v>0</v>
      </c>
      <c r="AW164" s="35">
        <f>ROUND(F164*AO164,2)</f>
        <v>0</v>
      </c>
      <c r="AX164" s="35">
        <f>ROUND(F164*AP164,2)</f>
        <v>0</v>
      </c>
      <c r="AY164" s="64" t="s">
        <v>456</v>
      </c>
      <c r="AZ164" s="64" t="s">
        <v>457</v>
      </c>
      <c r="BA164" s="48" t="s">
        <v>330</v>
      </c>
      <c r="BC164" s="35">
        <f>AW164+AX164</f>
        <v>0</v>
      </c>
      <c r="BD164" s="35">
        <f>G164/(100-BE164)*100</f>
        <v>0</v>
      </c>
      <c r="BE164" s="35">
        <v>0</v>
      </c>
      <c r="BF164" s="35">
        <f>164</f>
        <v>164</v>
      </c>
      <c r="BH164" s="79">
        <f>F164*AO164</f>
        <v>0</v>
      </c>
      <c r="BI164" s="79">
        <f>F164*AP164</f>
        <v>0</v>
      </c>
      <c r="BJ164" s="79">
        <f>F164*G164</f>
        <v>0</v>
      </c>
      <c r="BK164" s="81" t="s">
        <v>464</v>
      </c>
      <c r="BL164" s="35">
        <v>766</v>
      </c>
      <c r="BW164" s="35">
        <v>12</v>
      </c>
      <c r="BX164" s="78" t="s">
        <v>488</v>
      </c>
    </row>
    <row r="165" spans="1:76" x14ac:dyDescent="0.25">
      <c r="A165" s="66"/>
      <c r="C165" s="67" t="s">
        <v>411</v>
      </c>
      <c r="D165" s="68" t="s">
        <v>10</v>
      </c>
      <c r="F165" s="69">
        <v>2</v>
      </c>
      <c r="K165" s="70"/>
    </row>
    <row r="166" spans="1:76" x14ac:dyDescent="0.25">
      <c r="A166" s="1" t="s">
        <v>489</v>
      </c>
      <c r="B166" s="2" t="s">
        <v>490</v>
      </c>
      <c r="C166" s="86" t="s">
        <v>491</v>
      </c>
      <c r="D166" s="87"/>
      <c r="E166" s="2" t="s">
        <v>252</v>
      </c>
      <c r="F166" s="35">
        <v>1</v>
      </c>
      <c r="G166" s="35">
        <v>0</v>
      </c>
      <c r="H166" s="35">
        <f>ROUND(F166*AO166,2)</f>
        <v>0</v>
      </c>
      <c r="I166" s="35">
        <f>ROUND(F166*AP166,2)</f>
        <v>0</v>
      </c>
      <c r="J166" s="35">
        <f>ROUND(F166*G166,2)</f>
        <v>0</v>
      </c>
      <c r="K166" s="63" t="s">
        <v>203</v>
      </c>
      <c r="Z166" s="35">
        <f>ROUND(IF(AQ166="5",BJ166,0),2)</f>
        <v>0</v>
      </c>
      <c r="AB166" s="35">
        <f>ROUND(IF(AQ166="1",BH166,0),2)</f>
        <v>0</v>
      </c>
      <c r="AC166" s="35">
        <f>ROUND(IF(AQ166="1",BI166,0),2)</f>
        <v>0</v>
      </c>
      <c r="AD166" s="35">
        <f>ROUND(IF(AQ166="7",BH166,0),2)</f>
        <v>0</v>
      </c>
      <c r="AE166" s="35">
        <f>ROUND(IF(AQ166="7",BI166,0),2)</f>
        <v>0</v>
      </c>
      <c r="AF166" s="35">
        <f>ROUND(IF(AQ166="2",BH166,0),2)</f>
        <v>0</v>
      </c>
      <c r="AG166" s="35">
        <f>ROUND(IF(AQ166="2",BI166,0),2)</f>
        <v>0</v>
      </c>
      <c r="AH166" s="35">
        <f>ROUND(IF(AQ166="0",BJ166,0),2)</f>
        <v>0</v>
      </c>
      <c r="AI166" s="48" t="s">
        <v>83</v>
      </c>
      <c r="AJ166" s="35">
        <f>IF(AN166=0,J166,0)</f>
        <v>0</v>
      </c>
      <c r="AK166" s="35">
        <f>IF(AN166=12,J166,0)</f>
        <v>0</v>
      </c>
      <c r="AL166" s="35">
        <f>IF(AN166=21,J166,0)</f>
        <v>0</v>
      </c>
      <c r="AN166" s="35">
        <v>12</v>
      </c>
      <c r="AO166" s="35">
        <f>G166*0</f>
        <v>0</v>
      </c>
      <c r="AP166" s="35">
        <f>G166*(1-0)</f>
        <v>0</v>
      </c>
      <c r="AQ166" s="64" t="s">
        <v>204</v>
      </c>
      <c r="AV166" s="35">
        <f>ROUND(AW166+AX166,2)</f>
        <v>0</v>
      </c>
      <c r="AW166" s="35">
        <f>ROUND(F166*AO166,2)</f>
        <v>0</v>
      </c>
      <c r="AX166" s="35">
        <f>ROUND(F166*AP166,2)</f>
        <v>0</v>
      </c>
      <c r="AY166" s="64" t="s">
        <v>456</v>
      </c>
      <c r="AZ166" s="64" t="s">
        <v>457</v>
      </c>
      <c r="BA166" s="48" t="s">
        <v>330</v>
      </c>
      <c r="BB166" s="65">
        <v>100013</v>
      </c>
      <c r="BC166" s="35">
        <f>AW166+AX166</f>
        <v>0</v>
      </c>
      <c r="BD166" s="35">
        <f>G166/(100-BE166)*100</f>
        <v>0</v>
      </c>
      <c r="BE166" s="35">
        <v>0</v>
      </c>
      <c r="BF166" s="35">
        <f>166</f>
        <v>166</v>
      </c>
      <c r="BH166" s="35">
        <f>F166*AO166</f>
        <v>0</v>
      </c>
      <c r="BI166" s="35">
        <f>F166*AP166</f>
        <v>0</v>
      </c>
      <c r="BJ166" s="35">
        <f>F166*G166</f>
        <v>0</v>
      </c>
      <c r="BK166" s="64" t="s">
        <v>208</v>
      </c>
      <c r="BL166" s="35">
        <v>766</v>
      </c>
      <c r="BW166" s="35">
        <v>12</v>
      </c>
      <c r="BX166" s="3" t="s">
        <v>491</v>
      </c>
    </row>
    <row r="167" spans="1:76" x14ac:dyDescent="0.25">
      <c r="A167" s="76" t="s">
        <v>492</v>
      </c>
      <c r="B167" s="77" t="s">
        <v>493</v>
      </c>
      <c r="C167" s="185" t="s">
        <v>494</v>
      </c>
      <c r="D167" s="186"/>
      <c r="E167" s="77" t="s">
        <v>252</v>
      </c>
      <c r="F167" s="79">
        <v>1</v>
      </c>
      <c r="G167" s="79">
        <v>0</v>
      </c>
      <c r="H167" s="79">
        <f>ROUND(F167*AO167,2)</f>
        <v>0</v>
      </c>
      <c r="I167" s="79">
        <f>ROUND(F167*AP167,2)</f>
        <v>0</v>
      </c>
      <c r="J167" s="79">
        <f>ROUND(F167*G167,2)</f>
        <v>0</v>
      </c>
      <c r="K167" s="80" t="s">
        <v>203</v>
      </c>
      <c r="Z167" s="35">
        <f>ROUND(IF(AQ167="5",BJ167,0),2)</f>
        <v>0</v>
      </c>
      <c r="AB167" s="35">
        <f>ROUND(IF(AQ167="1",BH167,0),2)</f>
        <v>0</v>
      </c>
      <c r="AC167" s="35">
        <f>ROUND(IF(AQ167="1",BI167,0),2)</f>
        <v>0</v>
      </c>
      <c r="AD167" s="35">
        <f>ROUND(IF(AQ167="7",BH167,0),2)</f>
        <v>0</v>
      </c>
      <c r="AE167" s="35">
        <f>ROUND(IF(AQ167="7",BI167,0),2)</f>
        <v>0</v>
      </c>
      <c r="AF167" s="35">
        <f>ROUND(IF(AQ167="2",BH167,0),2)</f>
        <v>0</v>
      </c>
      <c r="AG167" s="35">
        <f>ROUND(IF(AQ167="2",BI167,0),2)</f>
        <v>0</v>
      </c>
      <c r="AH167" s="35">
        <f>ROUND(IF(AQ167="0",BJ167,0),2)</f>
        <v>0</v>
      </c>
      <c r="AI167" s="48" t="s">
        <v>83</v>
      </c>
      <c r="AJ167" s="79">
        <f>IF(AN167=0,J167,0)</f>
        <v>0</v>
      </c>
      <c r="AK167" s="79">
        <f>IF(AN167=12,J167,0)</f>
        <v>0</v>
      </c>
      <c r="AL167" s="79">
        <f>IF(AN167=21,J167,0)</f>
        <v>0</v>
      </c>
      <c r="AN167" s="35">
        <v>12</v>
      </c>
      <c r="AO167" s="35">
        <f>G167*1</f>
        <v>0</v>
      </c>
      <c r="AP167" s="35">
        <f>G167*(1-1)</f>
        <v>0</v>
      </c>
      <c r="AQ167" s="81" t="s">
        <v>204</v>
      </c>
      <c r="AV167" s="35">
        <f>ROUND(AW167+AX167,2)</f>
        <v>0</v>
      </c>
      <c r="AW167" s="35">
        <f>ROUND(F167*AO167,2)</f>
        <v>0</v>
      </c>
      <c r="AX167" s="35">
        <f>ROUND(F167*AP167,2)</f>
        <v>0</v>
      </c>
      <c r="AY167" s="64" t="s">
        <v>456</v>
      </c>
      <c r="AZ167" s="64" t="s">
        <v>457</v>
      </c>
      <c r="BA167" s="48" t="s">
        <v>330</v>
      </c>
      <c r="BC167" s="35">
        <f>AW167+AX167</f>
        <v>0</v>
      </c>
      <c r="BD167" s="35">
        <f>G167/(100-BE167)*100</f>
        <v>0</v>
      </c>
      <c r="BE167" s="35">
        <v>0</v>
      </c>
      <c r="BF167" s="35">
        <f>167</f>
        <v>167</v>
      </c>
      <c r="BH167" s="79">
        <f>F167*AO167</f>
        <v>0</v>
      </c>
      <c r="BI167" s="79">
        <f>F167*AP167</f>
        <v>0</v>
      </c>
      <c r="BJ167" s="79">
        <f>F167*G167</f>
        <v>0</v>
      </c>
      <c r="BK167" s="81" t="s">
        <v>464</v>
      </c>
      <c r="BL167" s="35">
        <v>766</v>
      </c>
      <c r="BW167" s="35">
        <v>12</v>
      </c>
      <c r="BX167" s="78" t="s">
        <v>494</v>
      </c>
    </row>
    <row r="168" spans="1:76" x14ac:dyDescent="0.25">
      <c r="A168" s="66"/>
      <c r="C168" s="67" t="s">
        <v>199</v>
      </c>
      <c r="D168" s="68" t="s">
        <v>495</v>
      </c>
      <c r="F168" s="69">
        <v>1</v>
      </c>
      <c r="K168" s="70"/>
    </row>
    <row r="169" spans="1:76" x14ac:dyDescent="0.25">
      <c r="A169" s="1" t="s">
        <v>496</v>
      </c>
      <c r="B169" s="2" t="s">
        <v>497</v>
      </c>
      <c r="C169" s="86" t="s">
        <v>498</v>
      </c>
      <c r="D169" s="87"/>
      <c r="E169" s="2" t="s">
        <v>252</v>
      </c>
      <c r="F169" s="35">
        <v>1</v>
      </c>
      <c r="G169" s="35">
        <v>0</v>
      </c>
      <c r="H169" s="35">
        <f>ROUND(F169*AO169,2)</f>
        <v>0</v>
      </c>
      <c r="I169" s="35">
        <f>ROUND(F169*AP169,2)</f>
        <v>0</v>
      </c>
      <c r="J169" s="35">
        <f>ROUND(F169*G169,2)</f>
        <v>0</v>
      </c>
      <c r="K169" s="63" t="s">
        <v>203</v>
      </c>
      <c r="Z169" s="35">
        <f>ROUND(IF(AQ169="5",BJ169,0),2)</f>
        <v>0</v>
      </c>
      <c r="AB169" s="35">
        <f>ROUND(IF(AQ169="1",BH169,0),2)</f>
        <v>0</v>
      </c>
      <c r="AC169" s="35">
        <f>ROUND(IF(AQ169="1",BI169,0),2)</f>
        <v>0</v>
      </c>
      <c r="AD169" s="35">
        <f>ROUND(IF(AQ169="7",BH169,0),2)</f>
        <v>0</v>
      </c>
      <c r="AE169" s="35">
        <f>ROUND(IF(AQ169="7",BI169,0),2)</f>
        <v>0</v>
      </c>
      <c r="AF169" s="35">
        <f>ROUND(IF(AQ169="2",BH169,0),2)</f>
        <v>0</v>
      </c>
      <c r="AG169" s="35">
        <f>ROUND(IF(AQ169="2",BI169,0),2)</f>
        <v>0</v>
      </c>
      <c r="AH169" s="35">
        <f>ROUND(IF(AQ169="0",BJ169,0),2)</f>
        <v>0</v>
      </c>
      <c r="AI169" s="48" t="s">
        <v>83</v>
      </c>
      <c r="AJ169" s="35">
        <f>IF(AN169=0,J169,0)</f>
        <v>0</v>
      </c>
      <c r="AK169" s="35">
        <f>IF(AN169=12,J169,0)</f>
        <v>0</v>
      </c>
      <c r="AL169" s="35">
        <f>IF(AN169=21,J169,0)</f>
        <v>0</v>
      </c>
      <c r="AN169" s="35">
        <v>12</v>
      </c>
      <c r="AO169" s="35">
        <f>G169*0</f>
        <v>0</v>
      </c>
      <c r="AP169" s="35">
        <f>G169*(1-0)</f>
        <v>0</v>
      </c>
      <c r="AQ169" s="64" t="s">
        <v>204</v>
      </c>
      <c r="AV169" s="35">
        <f>ROUND(AW169+AX169,2)</f>
        <v>0</v>
      </c>
      <c r="AW169" s="35">
        <f>ROUND(F169*AO169,2)</f>
        <v>0</v>
      </c>
      <c r="AX169" s="35">
        <f>ROUND(F169*AP169,2)</f>
        <v>0</v>
      </c>
      <c r="AY169" s="64" t="s">
        <v>456</v>
      </c>
      <c r="AZ169" s="64" t="s">
        <v>457</v>
      </c>
      <c r="BA169" s="48" t="s">
        <v>330</v>
      </c>
      <c r="BB169" s="65">
        <v>100013</v>
      </c>
      <c r="BC169" s="35">
        <f>AW169+AX169</f>
        <v>0</v>
      </c>
      <c r="BD169" s="35">
        <f>G169/(100-BE169)*100</f>
        <v>0</v>
      </c>
      <c r="BE169" s="35">
        <v>0</v>
      </c>
      <c r="BF169" s="35">
        <f>169</f>
        <v>169</v>
      </c>
      <c r="BH169" s="35">
        <f>F169*AO169</f>
        <v>0</v>
      </c>
      <c r="BI169" s="35">
        <f>F169*AP169</f>
        <v>0</v>
      </c>
      <c r="BJ169" s="35">
        <f>F169*G169</f>
        <v>0</v>
      </c>
      <c r="BK169" s="64" t="s">
        <v>208</v>
      </c>
      <c r="BL169" s="35">
        <v>766</v>
      </c>
      <c r="BW169" s="35">
        <v>12</v>
      </c>
      <c r="BX169" s="3" t="s">
        <v>498</v>
      </c>
    </row>
    <row r="170" spans="1:76" x14ac:dyDescent="0.25">
      <c r="A170" s="76" t="s">
        <v>499</v>
      </c>
      <c r="B170" s="77" t="s">
        <v>500</v>
      </c>
      <c r="C170" s="185" t="s">
        <v>501</v>
      </c>
      <c r="D170" s="186"/>
      <c r="E170" s="77" t="s">
        <v>252</v>
      </c>
      <c r="F170" s="79">
        <v>1</v>
      </c>
      <c r="G170" s="79">
        <v>0</v>
      </c>
      <c r="H170" s="79">
        <f>ROUND(F170*AO170,2)</f>
        <v>0</v>
      </c>
      <c r="I170" s="79">
        <f>ROUND(F170*AP170,2)</f>
        <v>0</v>
      </c>
      <c r="J170" s="79">
        <f>ROUND(F170*G170,2)</f>
        <v>0</v>
      </c>
      <c r="K170" s="80" t="s">
        <v>203</v>
      </c>
      <c r="Z170" s="35">
        <f>ROUND(IF(AQ170="5",BJ170,0),2)</f>
        <v>0</v>
      </c>
      <c r="AB170" s="35">
        <f>ROUND(IF(AQ170="1",BH170,0),2)</f>
        <v>0</v>
      </c>
      <c r="AC170" s="35">
        <f>ROUND(IF(AQ170="1",BI170,0),2)</f>
        <v>0</v>
      </c>
      <c r="AD170" s="35">
        <f>ROUND(IF(AQ170="7",BH170,0),2)</f>
        <v>0</v>
      </c>
      <c r="AE170" s="35">
        <f>ROUND(IF(AQ170="7",BI170,0),2)</f>
        <v>0</v>
      </c>
      <c r="AF170" s="35">
        <f>ROUND(IF(AQ170="2",BH170,0),2)</f>
        <v>0</v>
      </c>
      <c r="AG170" s="35">
        <f>ROUND(IF(AQ170="2",BI170,0),2)</f>
        <v>0</v>
      </c>
      <c r="AH170" s="35">
        <f>ROUND(IF(AQ170="0",BJ170,0),2)</f>
        <v>0</v>
      </c>
      <c r="AI170" s="48" t="s">
        <v>83</v>
      </c>
      <c r="AJ170" s="79">
        <f>IF(AN170=0,J170,0)</f>
        <v>0</v>
      </c>
      <c r="AK170" s="79">
        <f>IF(AN170=12,J170,0)</f>
        <v>0</v>
      </c>
      <c r="AL170" s="79">
        <f>IF(AN170=21,J170,0)</f>
        <v>0</v>
      </c>
      <c r="AN170" s="35">
        <v>12</v>
      </c>
      <c r="AO170" s="35">
        <f>G170*1</f>
        <v>0</v>
      </c>
      <c r="AP170" s="35">
        <f>G170*(1-1)</f>
        <v>0</v>
      </c>
      <c r="AQ170" s="81" t="s">
        <v>204</v>
      </c>
      <c r="AV170" s="35">
        <f>ROUND(AW170+AX170,2)</f>
        <v>0</v>
      </c>
      <c r="AW170" s="35">
        <f>ROUND(F170*AO170,2)</f>
        <v>0</v>
      </c>
      <c r="AX170" s="35">
        <f>ROUND(F170*AP170,2)</f>
        <v>0</v>
      </c>
      <c r="AY170" s="64" t="s">
        <v>456</v>
      </c>
      <c r="AZ170" s="64" t="s">
        <v>457</v>
      </c>
      <c r="BA170" s="48" t="s">
        <v>330</v>
      </c>
      <c r="BC170" s="35">
        <f>AW170+AX170</f>
        <v>0</v>
      </c>
      <c r="BD170" s="35">
        <f>G170/(100-BE170)*100</f>
        <v>0</v>
      </c>
      <c r="BE170" s="35">
        <v>0</v>
      </c>
      <c r="BF170" s="35">
        <f>170</f>
        <v>170</v>
      </c>
      <c r="BH170" s="79">
        <f>F170*AO170</f>
        <v>0</v>
      </c>
      <c r="BI170" s="79">
        <f>F170*AP170</f>
        <v>0</v>
      </c>
      <c r="BJ170" s="79">
        <f>F170*G170</f>
        <v>0</v>
      </c>
      <c r="BK170" s="81" t="s">
        <v>464</v>
      </c>
      <c r="BL170" s="35">
        <v>766</v>
      </c>
      <c r="BW170" s="35">
        <v>12</v>
      </c>
      <c r="BX170" s="78" t="s">
        <v>501</v>
      </c>
    </row>
    <row r="171" spans="1:76" x14ac:dyDescent="0.25">
      <c r="A171" s="66"/>
      <c r="C171" s="67" t="s">
        <v>199</v>
      </c>
      <c r="D171" s="68" t="s">
        <v>502</v>
      </c>
      <c r="F171" s="69">
        <v>1</v>
      </c>
      <c r="K171" s="70"/>
    </row>
    <row r="172" spans="1:76" x14ac:dyDescent="0.25">
      <c r="A172" s="1" t="s">
        <v>503</v>
      </c>
      <c r="B172" s="2" t="s">
        <v>504</v>
      </c>
      <c r="C172" s="86" t="s">
        <v>505</v>
      </c>
      <c r="D172" s="87"/>
      <c r="E172" s="2" t="s">
        <v>252</v>
      </c>
      <c r="F172" s="35">
        <v>5</v>
      </c>
      <c r="G172" s="35">
        <v>0</v>
      </c>
      <c r="H172" s="35">
        <f>ROUND(F172*AO172,2)</f>
        <v>0</v>
      </c>
      <c r="I172" s="35">
        <f>ROUND(F172*AP172,2)</f>
        <v>0</v>
      </c>
      <c r="J172" s="35">
        <f>ROUND(F172*G172,2)</f>
        <v>0</v>
      </c>
      <c r="K172" s="63" t="s">
        <v>203</v>
      </c>
      <c r="Z172" s="35">
        <f>ROUND(IF(AQ172="5",BJ172,0),2)</f>
        <v>0</v>
      </c>
      <c r="AB172" s="35">
        <f>ROUND(IF(AQ172="1",BH172,0),2)</f>
        <v>0</v>
      </c>
      <c r="AC172" s="35">
        <f>ROUND(IF(AQ172="1",BI172,0),2)</f>
        <v>0</v>
      </c>
      <c r="AD172" s="35">
        <f>ROUND(IF(AQ172="7",BH172,0),2)</f>
        <v>0</v>
      </c>
      <c r="AE172" s="35">
        <f>ROUND(IF(AQ172="7",BI172,0),2)</f>
        <v>0</v>
      </c>
      <c r="AF172" s="35">
        <f>ROUND(IF(AQ172="2",BH172,0),2)</f>
        <v>0</v>
      </c>
      <c r="AG172" s="35">
        <f>ROUND(IF(AQ172="2",BI172,0),2)</f>
        <v>0</v>
      </c>
      <c r="AH172" s="35">
        <f>ROUND(IF(AQ172="0",BJ172,0),2)</f>
        <v>0</v>
      </c>
      <c r="AI172" s="48" t="s">
        <v>83</v>
      </c>
      <c r="AJ172" s="35">
        <f>IF(AN172=0,J172,0)</f>
        <v>0</v>
      </c>
      <c r="AK172" s="35">
        <f>IF(AN172=12,J172,0)</f>
        <v>0</v>
      </c>
      <c r="AL172" s="35">
        <f>IF(AN172=21,J172,0)</f>
        <v>0</v>
      </c>
      <c r="AN172" s="35">
        <v>12</v>
      </c>
      <c r="AO172" s="35">
        <f>G172*0</f>
        <v>0</v>
      </c>
      <c r="AP172" s="35">
        <f>G172*(1-0)</f>
        <v>0</v>
      </c>
      <c r="AQ172" s="64" t="s">
        <v>204</v>
      </c>
      <c r="AV172" s="35">
        <f>ROUND(AW172+AX172,2)</f>
        <v>0</v>
      </c>
      <c r="AW172" s="35">
        <f>ROUND(F172*AO172,2)</f>
        <v>0</v>
      </c>
      <c r="AX172" s="35">
        <f>ROUND(F172*AP172,2)</f>
        <v>0</v>
      </c>
      <c r="AY172" s="64" t="s">
        <v>456</v>
      </c>
      <c r="AZ172" s="64" t="s">
        <v>457</v>
      </c>
      <c r="BA172" s="48" t="s">
        <v>330</v>
      </c>
      <c r="BB172" s="65">
        <v>100013</v>
      </c>
      <c r="BC172" s="35">
        <f>AW172+AX172</f>
        <v>0</v>
      </c>
      <c r="BD172" s="35">
        <f>G172/(100-BE172)*100</f>
        <v>0</v>
      </c>
      <c r="BE172" s="35">
        <v>0</v>
      </c>
      <c r="BF172" s="35">
        <f>172</f>
        <v>172</v>
      </c>
      <c r="BH172" s="35">
        <f>F172*AO172</f>
        <v>0</v>
      </c>
      <c r="BI172" s="35">
        <f>F172*AP172</f>
        <v>0</v>
      </c>
      <c r="BJ172" s="35">
        <f>F172*G172</f>
        <v>0</v>
      </c>
      <c r="BK172" s="64" t="s">
        <v>208</v>
      </c>
      <c r="BL172" s="35">
        <v>766</v>
      </c>
      <c r="BW172" s="35">
        <v>12</v>
      </c>
      <c r="BX172" s="3" t="s">
        <v>505</v>
      </c>
    </row>
    <row r="173" spans="1:76" x14ac:dyDescent="0.25">
      <c r="A173" s="66"/>
      <c r="C173" s="67" t="s">
        <v>506</v>
      </c>
      <c r="D173" s="68" t="s">
        <v>10</v>
      </c>
      <c r="F173" s="69">
        <v>5</v>
      </c>
      <c r="K173" s="70"/>
    </row>
    <row r="174" spans="1:76" x14ac:dyDescent="0.25">
      <c r="A174" s="76" t="s">
        <v>507</v>
      </c>
      <c r="B174" s="77" t="s">
        <v>508</v>
      </c>
      <c r="C174" s="185" t="s">
        <v>509</v>
      </c>
      <c r="D174" s="186"/>
      <c r="E174" s="77" t="s">
        <v>252</v>
      </c>
      <c r="F174" s="79">
        <v>3</v>
      </c>
      <c r="G174" s="79">
        <v>0</v>
      </c>
      <c r="H174" s="79">
        <f>ROUND(F174*AO174,2)</f>
        <v>0</v>
      </c>
      <c r="I174" s="79">
        <f>ROUND(F174*AP174,2)</f>
        <v>0</v>
      </c>
      <c r="J174" s="79">
        <f>ROUND(F174*G174,2)</f>
        <v>0</v>
      </c>
      <c r="K174" s="80" t="s">
        <v>203</v>
      </c>
      <c r="Z174" s="35">
        <f>ROUND(IF(AQ174="5",BJ174,0),2)</f>
        <v>0</v>
      </c>
      <c r="AB174" s="35">
        <f>ROUND(IF(AQ174="1",BH174,0),2)</f>
        <v>0</v>
      </c>
      <c r="AC174" s="35">
        <f>ROUND(IF(AQ174="1",BI174,0),2)</f>
        <v>0</v>
      </c>
      <c r="AD174" s="35">
        <f>ROUND(IF(AQ174="7",BH174,0),2)</f>
        <v>0</v>
      </c>
      <c r="AE174" s="35">
        <f>ROUND(IF(AQ174="7",BI174,0),2)</f>
        <v>0</v>
      </c>
      <c r="AF174" s="35">
        <f>ROUND(IF(AQ174="2",BH174,0),2)</f>
        <v>0</v>
      </c>
      <c r="AG174" s="35">
        <f>ROUND(IF(AQ174="2",BI174,0),2)</f>
        <v>0</v>
      </c>
      <c r="AH174" s="35">
        <f>ROUND(IF(AQ174="0",BJ174,0),2)</f>
        <v>0</v>
      </c>
      <c r="AI174" s="48" t="s">
        <v>83</v>
      </c>
      <c r="AJ174" s="79">
        <f>IF(AN174=0,J174,0)</f>
        <v>0</v>
      </c>
      <c r="AK174" s="79">
        <f>IF(AN174=12,J174,0)</f>
        <v>0</v>
      </c>
      <c r="AL174" s="79">
        <f>IF(AN174=21,J174,0)</f>
        <v>0</v>
      </c>
      <c r="AN174" s="35">
        <v>12</v>
      </c>
      <c r="AO174" s="35">
        <f>G174*1</f>
        <v>0</v>
      </c>
      <c r="AP174" s="35">
        <f>G174*(1-1)</f>
        <v>0</v>
      </c>
      <c r="AQ174" s="81" t="s">
        <v>204</v>
      </c>
      <c r="AV174" s="35">
        <f>ROUND(AW174+AX174,2)</f>
        <v>0</v>
      </c>
      <c r="AW174" s="35">
        <f>ROUND(F174*AO174,2)</f>
        <v>0</v>
      </c>
      <c r="AX174" s="35">
        <f>ROUND(F174*AP174,2)</f>
        <v>0</v>
      </c>
      <c r="AY174" s="64" t="s">
        <v>456</v>
      </c>
      <c r="AZ174" s="64" t="s">
        <v>457</v>
      </c>
      <c r="BA174" s="48" t="s">
        <v>330</v>
      </c>
      <c r="BC174" s="35">
        <f>AW174+AX174</f>
        <v>0</v>
      </c>
      <c r="BD174" s="35">
        <f>G174/(100-BE174)*100</f>
        <v>0</v>
      </c>
      <c r="BE174" s="35">
        <v>0</v>
      </c>
      <c r="BF174" s="35">
        <f>174</f>
        <v>174</v>
      </c>
      <c r="BH174" s="79">
        <f>F174*AO174</f>
        <v>0</v>
      </c>
      <c r="BI174" s="79">
        <f>F174*AP174</f>
        <v>0</v>
      </c>
      <c r="BJ174" s="79">
        <f>F174*G174</f>
        <v>0</v>
      </c>
      <c r="BK174" s="81" t="s">
        <v>464</v>
      </c>
      <c r="BL174" s="35">
        <v>766</v>
      </c>
      <c r="BW174" s="35">
        <v>12</v>
      </c>
      <c r="BX174" s="78" t="s">
        <v>509</v>
      </c>
    </row>
    <row r="175" spans="1:76" x14ac:dyDescent="0.25">
      <c r="A175" s="66"/>
      <c r="C175" s="67" t="s">
        <v>510</v>
      </c>
      <c r="D175" s="68" t="s">
        <v>10</v>
      </c>
      <c r="F175" s="69">
        <v>3</v>
      </c>
      <c r="K175" s="70"/>
    </row>
    <row r="176" spans="1:76" x14ac:dyDescent="0.25">
      <c r="A176" s="76" t="s">
        <v>511</v>
      </c>
      <c r="B176" s="77" t="s">
        <v>512</v>
      </c>
      <c r="C176" s="185" t="s">
        <v>513</v>
      </c>
      <c r="D176" s="186"/>
      <c r="E176" s="77" t="s">
        <v>252</v>
      </c>
      <c r="F176" s="79">
        <v>2</v>
      </c>
      <c r="G176" s="79">
        <v>0</v>
      </c>
      <c r="H176" s="79">
        <f>ROUND(F176*AO176,2)</f>
        <v>0</v>
      </c>
      <c r="I176" s="79">
        <f>ROUND(F176*AP176,2)</f>
        <v>0</v>
      </c>
      <c r="J176" s="79">
        <f>ROUND(F176*G176,2)</f>
        <v>0</v>
      </c>
      <c r="K176" s="80" t="s">
        <v>292</v>
      </c>
      <c r="Z176" s="35">
        <f>ROUND(IF(AQ176="5",BJ176,0),2)</f>
        <v>0</v>
      </c>
      <c r="AB176" s="35">
        <f>ROUND(IF(AQ176="1",BH176,0),2)</f>
        <v>0</v>
      </c>
      <c r="AC176" s="35">
        <f>ROUND(IF(AQ176="1",BI176,0),2)</f>
        <v>0</v>
      </c>
      <c r="AD176" s="35">
        <f>ROUND(IF(AQ176="7",BH176,0),2)</f>
        <v>0</v>
      </c>
      <c r="AE176" s="35">
        <f>ROUND(IF(AQ176="7",BI176,0),2)</f>
        <v>0</v>
      </c>
      <c r="AF176" s="35">
        <f>ROUND(IF(AQ176="2",BH176,0),2)</f>
        <v>0</v>
      </c>
      <c r="AG176" s="35">
        <f>ROUND(IF(AQ176="2",BI176,0),2)</f>
        <v>0</v>
      </c>
      <c r="AH176" s="35">
        <f>ROUND(IF(AQ176="0",BJ176,0),2)</f>
        <v>0</v>
      </c>
      <c r="AI176" s="48" t="s">
        <v>83</v>
      </c>
      <c r="AJ176" s="79">
        <f>IF(AN176=0,J176,0)</f>
        <v>0</v>
      </c>
      <c r="AK176" s="79">
        <f>IF(AN176=12,J176,0)</f>
        <v>0</v>
      </c>
      <c r="AL176" s="79">
        <f>IF(AN176=21,J176,0)</f>
        <v>0</v>
      </c>
      <c r="AN176" s="35">
        <v>12</v>
      </c>
      <c r="AO176" s="35">
        <f>G176*1</f>
        <v>0</v>
      </c>
      <c r="AP176" s="35">
        <f>G176*(1-1)</f>
        <v>0</v>
      </c>
      <c r="AQ176" s="81" t="s">
        <v>204</v>
      </c>
      <c r="AV176" s="35">
        <f>ROUND(AW176+AX176,2)</f>
        <v>0</v>
      </c>
      <c r="AW176" s="35">
        <f>ROUND(F176*AO176,2)</f>
        <v>0</v>
      </c>
      <c r="AX176" s="35">
        <f>ROUND(F176*AP176,2)</f>
        <v>0</v>
      </c>
      <c r="AY176" s="64" t="s">
        <v>456</v>
      </c>
      <c r="AZ176" s="64" t="s">
        <v>457</v>
      </c>
      <c r="BA176" s="48" t="s">
        <v>330</v>
      </c>
      <c r="BC176" s="35">
        <f>AW176+AX176</f>
        <v>0</v>
      </c>
      <c r="BD176" s="35">
        <f>G176/(100-BE176)*100</f>
        <v>0</v>
      </c>
      <c r="BE176" s="35">
        <v>0</v>
      </c>
      <c r="BF176" s="35">
        <f>176</f>
        <v>176</v>
      </c>
      <c r="BH176" s="79">
        <f>F176*AO176</f>
        <v>0</v>
      </c>
      <c r="BI176" s="79">
        <f>F176*AP176</f>
        <v>0</v>
      </c>
      <c r="BJ176" s="79">
        <f>F176*G176</f>
        <v>0</v>
      </c>
      <c r="BK176" s="81" t="s">
        <v>464</v>
      </c>
      <c r="BL176" s="35">
        <v>766</v>
      </c>
      <c r="BW176" s="35">
        <v>12</v>
      </c>
      <c r="BX176" s="78" t="s">
        <v>513</v>
      </c>
    </row>
    <row r="177" spans="1:76" x14ac:dyDescent="0.25">
      <c r="A177" s="66"/>
      <c r="C177" s="67" t="s">
        <v>411</v>
      </c>
      <c r="D177" s="68" t="s">
        <v>10</v>
      </c>
      <c r="F177" s="69">
        <v>2</v>
      </c>
      <c r="K177" s="70"/>
    </row>
    <row r="178" spans="1:76" x14ac:dyDescent="0.25">
      <c r="A178" s="59" t="s">
        <v>10</v>
      </c>
      <c r="B178" s="60" t="s">
        <v>118</v>
      </c>
      <c r="C178" s="177" t="s">
        <v>119</v>
      </c>
      <c r="D178" s="178"/>
      <c r="E178" s="61" t="s">
        <v>74</v>
      </c>
      <c r="F178" s="61" t="s">
        <v>74</v>
      </c>
      <c r="G178" s="61" t="s">
        <v>74</v>
      </c>
      <c r="H178" s="42">
        <f>SUM(H179:H181)</f>
        <v>0</v>
      </c>
      <c r="I178" s="42">
        <f>SUM(I179:I181)</f>
        <v>0</v>
      </c>
      <c r="J178" s="42">
        <f>SUM(J179:J181)</f>
        <v>0</v>
      </c>
      <c r="K178" s="62" t="s">
        <v>10</v>
      </c>
      <c r="AI178" s="48" t="s">
        <v>83</v>
      </c>
      <c r="AS178" s="42">
        <f>SUM(AJ179:AJ181)</f>
        <v>0</v>
      </c>
      <c r="AT178" s="42">
        <f>SUM(AK179:AK181)</f>
        <v>0</v>
      </c>
      <c r="AU178" s="42">
        <f>SUM(AL179:AL181)</f>
        <v>0</v>
      </c>
    </row>
    <row r="179" spans="1:76" x14ac:dyDescent="0.25">
      <c r="A179" s="1" t="s">
        <v>108</v>
      </c>
      <c r="B179" s="2" t="s">
        <v>514</v>
      </c>
      <c r="C179" s="86" t="s">
        <v>515</v>
      </c>
      <c r="D179" s="87"/>
      <c r="E179" s="2" t="s">
        <v>252</v>
      </c>
      <c r="F179" s="35">
        <v>1</v>
      </c>
      <c r="G179" s="35">
        <v>0</v>
      </c>
      <c r="H179" s="35">
        <f>ROUND(F179*AO179,2)</f>
        <v>0</v>
      </c>
      <c r="I179" s="35">
        <f>ROUND(F179*AP179,2)</f>
        <v>0</v>
      </c>
      <c r="J179" s="35">
        <f>ROUND(F179*G179,2)</f>
        <v>0</v>
      </c>
      <c r="K179" s="63" t="s">
        <v>203</v>
      </c>
      <c r="Z179" s="35">
        <f>ROUND(IF(AQ179="5",BJ179,0),2)</f>
        <v>0</v>
      </c>
      <c r="AB179" s="35">
        <f>ROUND(IF(AQ179="1",BH179,0),2)</f>
        <v>0</v>
      </c>
      <c r="AC179" s="35">
        <f>ROUND(IF(AQ179="1",BI179,0),2)</f>
        <v>0</v>
      </c>
      <c r="AD179" s="35">
        <f>ROUND(IF(AQ179="7",BH179,0),2)</f>
        <v>0</v>
      </c>
      <c r="AE179" s="35">
        <f>ROUND(IF(AQ179="7",BI179,0),2)</f>
        <v>0</v>
      </c>
      <c r="AF179" s="35">
        <f>ROUND(IF(AQ179="2",BH179,0),2)</f>
        <v>0</v>
      </c>
      <c r="AG179" s="35">
        <f>ROUND(IF(AQ179="2",BI179,0),2)</f>
        <v>0</v>
      </c>
      <c r="AH179" s="35">
        <f>ROUND(IF(AQ179="0",BJ179,0),2)</f>
        <v>0</v>
      </c>
      <c r="AI179" s="48" t="s">
        <v>83</v>
      </c>
      <c r="AJ179" s="35">
        <f>IF(AN179=0,J179,0)</f>
        <v>0</v>
      </c>
      <c r="AK179" s="35">
        <f>IF(AN179=12,J179,0)</f>
        <v>0</v>
      </c>
      <c r="AL179" s="35">
        <f>IF(AN179=21,J179,0)</f>
        <v>0</v>
      </c>
      <c r="AN179" s="35">
        <v>12</v>
      </c>
      <c r="AO179" s="35">
        <f>G179*0</f>
        <v>0</v>
      </c>
      <c r="AP179" s="35">
        <f>G179*(1-0)</f>
        <v>0</v>
      </c>
      <c r="AQ179" s="64" t="s">
        <v>204</v>
      </c>
      <c r="AV179" s="35">
        <f>ROUND(AW179+AX179,2)</f>
        <v>0</v>
      </c>
      <c r="AW179" s="35">
        <f>ROUND(F179*AO179,2)</f>
        <v>0</v>
      </c>
      <c r="AX179" s="35">
        <f>ROUND(F179*AP179,2)</f>
        <v>0</v>
      </c>
      <c r="AY179" s="64" t="s">
        <v>516</v>
      </c>
      <c r="AZ179" s="64" t="s">
        <v>457</v>
      </c>
      <c r="BA179" s="48" t="s">
        <v>330</v>
      </c>
      <c r="BB179" s="65">
        <v>100014</v>
      </c>
      <c r="BC179" s="35">
        <f>AW179+AX179</f>
        <v>0</v>
      </c>
      <c r="BD179" s="35">
        <f>G179/(100-BE179)*100</f>
        <v>0</v>
      </c>
      <c r="BE179" s="35">
        <v>0</v>
      </c>
      <c r="BF179" s="35">
        <f>179</f>
        <v>179</v>
      </c>
      <c r="BH179" s="35">
        <f>F179*AO179</f>
        <v>0</v>
      </c>
      <c r="BI179" s="35">
        <f>F179*AP179</f>
        <v>0</v>
      </c>
      <c r="BJ179" s="35">
        <f>F179*G179</f>
        <v>0</v>
      </c>
      <c r="BK179" s="64" t="s">
        <v>208</v>
      </c>
      <c r="BL179" s="35">
        <v>767</v>
      </c>
      <c r="BW179" s="35">
        <v>12</v>
      </c>
      <c r="BX179" s="3" t="s">
        <v>515</v>
      </c>
    </row>
    <row r="180" spans="1:76" x14ac:dyDescent="0.25">
      <c r="A180" s="66"/>
      <c r="C180" s="67" t="s">
        <v>199</v>
      </c>
      <c r="D180" s="68" t="s">
        <v>517</v>
      </c>
      <c r="F180" s="69">
        <v>1</v>
      </c>
      <c r="K180" s="70"/>
    </row>
    <row r="181" spans="1:76" x14ac:dyDescent="0.25">
      <c r="A181" s="76" t="s">
        <v>110</v>
      </c>
      <c r="B181" s="77" t="s">
        <v>518</v>
      </c>
      <c r="C181" s="185" t="s">
        <v>519</v>
      </c>
      <c r="D181" s="186"/>
      <c r="E181" s="77" t="s">
        <v>252</v>
      </c>
      <c r="F181" s="79">
        <v>1</v>
      </c>
      <c r="G181" s="79">
        <v>0</v>
      </c>
      <c r="H181" s="79">
        <f>ROUND(F181*AO181,2)</f>
        <v>0</v>
      </c>
      <c r="I181" s="79">
        <f>ROUND(F181*AP181,2)</f>
        <v>0</v>
      </c>
      <c r="J181" s="79">
        <f>ROUND(F181*G181,2)</f>
        <v>0</v>
      </c>
      <c r="K181" s="80" t="s">
        <v>203</v>
      </c>
      <c r="Z181" s="35">
        <f>ROUND(IF(AQ181="5",BJ181,0),2)</f>
        <v>0</v>
      </c>
      <c r="AB181" s="35">
        <f>ROUND(IF(AQ181="1",BH181,0),2)</f>
        <v>0</v>
      </c>
      <c r="AC181" s="35">
        <f>ROUND(IF(AQ181="1",BI181,0),2)</f>
        <v>0</v>
      </c>
      <c r="AD181" s="35">
        <f>ROUND(IF(AQ181="7",BH181,0),2)</f>
        <v>0</v>
      </c>
      <c r="AE181" s="35">
        <f>ROUND(IF(AQ181="7",BI181,0),2)</f>
        <v>0</v>
      </c>
      <c r="AF181" s="35">
        <f>ROUND(IF(AQ181="2",BH181,0),2)</f>
        <v>0</v>
      </c>
      <c r="AG181" s="35">
        <f>ROUND(IF(AQ181="2",BI181,0),2)</f>
        <v>0</v>
      </c>
      <c r="AH181" s="35">
        <f>ROUND(IF(AQ181="0",BJ181,0),2)</f>
        <v>0</v>
      </c>
      <c r="AI181" s="48" t="s">
        <v>83</v>
      </c>
      <c r="AJ181" s="79">
        <f>IF(AN181=0,J181,0)</f>
        <v>0</v>
      </c>
      <c r="AK181" s="79">
        <f>IF(AN181=12,J181,0)</f>
        <v>0</v>
      </c>
      <c r="AL181" s="79">
        <f>IF(AN181=21,J181,0)</f>
        <v>0</v>
      </c>
      <c r="AN181" s="35">
        <v>12</v>
      </c>
      <c r="AO181" s="35">
        <f>G181*1</f>
        <v>0</v>
      </c>
      <c r="AP181" s="35">
        <f>G181*(1-1)</f>
        <v>0</v>
      </c>
      <c r="AQ181" s="81" t="s">
        <v>204</v>
      </c>
      <c r="AV181" s="35">
        <f>ROUND(AW181+AX181,2)</f>
        <v>0</v>
      </c>
      <c r="AW181" s="35">
        <f>ROUND(F181*AO181,2)</f>
        <v>0</v>
      </c>
      <c r="AX181" s="35">
        <f>ROUND(F181*AP181,2)</f>
        <v>0</v>
      </c>
      <c r="AY181" s="64" t="s">
        <v>516</v>
      </c>
      <c r="AZ181" s="64" t="s">
        <v>457</v>
      </c>
      <c r="BA181" s="48" t="s">
        <v>330</v>
      </c>
      <c r="BC181" s="35">
        <f>AW181+AX181</f>
        <v>0</v>
      </c>
      <c r="BD181" s="35">
        <f>G181/(100-BE181)*100</f>
        <v>0</v>
      </c>
      <c r="BE181" s="35">
        <v>0</v>
      </c>
      <c r="BF181" s="35">
        <f>181</f>
        <v>181</v>
      </c>
      <c r="BH181" s="79">
        <f>F181*AO181</f>
        <v>0</v>
      </c>
      <c r="BI181" s="79">
        <f>F181*AP181</f>
        <v>0</v>
      </c>
      <c r="BJ181" s="79">
        <f>F181*G181</f>
        <v>0</v>
      </c>
      <c r="BK181" s="81" t="s">
        <v>464</v>
      </c>
      <c r="BL181" s="35">
        <v>767</v>
      </c>
      <c r="BW181" s="35">
        <v>12</v>
      </c>
      <c r="BX181" s="78" t="s">
        <v>519</v>
      </c>
    </row>
    <row r="182" spans="1:76" x14ac:dyDescent="0.25">
      <c r="A182" s="66"/>
      <c r="C182" s="67" t="s">
        <v>199</v>
      </c>
      <c r="D182" s="68" t="s">
        <v>520</v>
      </c>
      <c r="F182" s="69">
        <v>1</v>
      </c>
      <c r="K182" s="70"/>
    </row>
    <row r="183" spans="1:76" x14ac:dyDescent="0.25">
      <c r="A183" s="59" t="s">
        <v>10</v>
      </c>
      <c r="B183" s="60" t="s">
        <v>120</v>
      </c>
      <c r="C183" s="177" t="s">
        <v>121</v>
      </c>
      <c r="D183" s="178"/>
      <c r="E183" s="61" t="s">
        <v>74</v>
      </c>
      <c r="F183" s="61" t="s">
        <v>74</v>
      </c>
      <c r="G183" s="61" t="s">
        <v>74</v>
      </c>
      <c r="H183" s="42">
        <f>SUM(H184:H213)</f>
        <v>0</v>
      </c>
      <c r="I183" s="42">
        <f>SUM(I184:I213)</f>
        <v>0</v>
      </c>
      <c r="J183" s="42">
        <f>SUM(J184:J213)</f>
        <v>0</v>
      </c>
      <c r="K183" s="62" t="s">
        <v>10</v>
      </c>
      <c r="AI183" s="48" t="s">
        <v>83</v>
      </c>
      <c r="AS183" s="42">
        <f>SUM(AJ184:AJ213)</f>
        <v>0</v>
      </c>
      <c r="AT183" s="42">
        <f>SUM(AK184:AK213)</f>
        <v>0</v>
      </c>
      <c r="AU183" s="42">
        <f>SUM(AL184:AL213)</f>
        <v>0</v>
      </c>
    </row>
    <row r="184" spans="1:76" x14ac:dyDescent="0.25">
      <c r="A184" s="1" t="s">
        <v>521</v>
      </c>
      <c r="B184" s="2" t="s">
        <v>522</v>
      </c>
      <c r="C184" s="86" t="s">
        <v>523</v>
      </c>
      <c r="D184" s="87"/>
      <c r="E184" s="2" t="s">
        <v>202</v>
      </c>
      <c r="F184" s="35">
        <v>27.155000000000001</v>
      </c>
      <c r="G184" s="35">
        <v>0</v>
      </c>
      <c r="H184" s="35">
        <f>ROUND(F184*AO184,2)</f>
        <v>0</v>
      </c>
      <c r="I184" s="35">
        <f>ROUND(F184*AP184,2)</f>
        <v>0</v>
      </c>
      <c r="J184" s="35">
        <f>ROUND(F184*G184,2)</f>
        <v>0</v>
      </c>
      <c r="K184" s="63" t="s">
        <v>203</v>
      </c>
      <c r="Z184" s="35">
        <f>ROUND(IF(AQ184="5",BJ184,0),2)</f>
        <v>0</v>
      </c>
      <c r="AB184" s="35">
        <f>ROUND(IF(AQ184="1",BH184,0),2)</f>
        <v>0</v>
      </c>
      <c r="AC184" s="35">
        <f>ROUND(IF(AQ184="1",BI184,0),2)</f>
        <v>0</v>
      </c>
      <c r="AD184" s="35">
        <f>ROUND(IF(AQ184="7",BH184,0),2)</f>
        <v>0</v>
      </c>
      <c r="AE184" s="35">
        <f>ROUND(IF(AQ184="7",BI184,0),2)</f>
        <v>0</v>
      </c>
      <c r="AF184" s="35">
        <f>ROUND(IF(AQ184="2",BH184,0),2)</f>
        <v>0</v>
      </c>
      <c r="AG184" s="35">
        <f>ROUND(IF(AQ184="2",BI184,0),2)</f>
        <v>0</v>
      </c>
      <c r="AH184" s="35">
        <f>ROUND(IF(AQ184="0",BJ184,0),2)</f>
        <v>0</v>
      </c>
      <c r="AI184" s="48" t="s">
        <v>83</v>
      </c>
      <c r="AJ184" s="35">
        <f>IF(AN184=0,J184,0)</f>
        <v>0</v>
      </c>
      <c r="AK184" s="35">
        <f>IF(AN184=12,J184,0)</f>
        <v>0</v>
      </c>
      <c r="AL184" s="35">
        <f>IF(AN184=21,J184,0)</f>
        <v>0</v>
      </c>
      <c r="AN184" s="35">
        <v>12</v>
      </c>
      <c r="AO184" s="35">
        <f>G184*0</f>
        <v>0</v>
      </c>
      <c r="AP184" s="35">
        <f>G184*(1-0)</f>
        <v>0</v>
      </c>
      <c r="AQ184" s="64" t="s">
        <v>204</v>
      </c>
      <c r="AV184" s="35">
        <f>ROUND(AW184+AX184,2)</f>
        <v>0</v>
      </c>
      <c r="AW184" s="35">
        <f>ROUND(F184*AO184,2)</f>
        <v>0</v>
      </c>
      <c r="AX184" s="35">
        <f>ROUND(F184*AP184,2)</f>
        <v>0</v>
      </c>
      <c r="AY184" s="64" t="s">
        <v>524</v>
      </c>
      <c r="AZ184" s="64" t="s">
        <v>525</v>
      </c>
      <c r="BA184" s="48" t="s">
        <v>330</v>
      </c>
      <c r="BB184" s="65">
        <v>100022</v>
      </c>
      <c r="BC184" s="35">
        <f>AW184+AX184</f>
        <v>0</v>
      </c>
      <c r="BD184" s="35">
        <f>G184/(100-BE184)*100</f>
        <v>0</v>
      </c>
      <c r="BE184" s="35">
        <v>0</v>
      </c>
      <c r="BF184" s="35">
        <f>184</f>
        <v>184</v>
      </c>
      <c r="BH184" s="35">
        <f>F184*AO184</f>
        <v>0</v>
      </c>
      <c r="BI184" s="35">
        <f>F184*AP184</f>
        <v>0</v>
      </c>
      <c r="BJ184" s="35">
        <f>F184*G184</f>
        <v>0</v>
      </c>
      <c r="BK184" s="64" t="s">
        <v>208</v>
      </c>
      <c r="BL184" s="35">
        <v>771</v>
      </c>
      <c r="BW184" s="35">
        <v>12</v>
      </c>
      <c r="BX184" s="3" t="s">
        <v>523</v>
      </c>
    </row>
    <row r="185" spans="1:76" x14ac:dyDescent="0.25">
      <c r="A185" s="66"/>
      <c r="C185" s="67" t="s">
        <v>526</v>
      </c>
      <c r="D185" s="68" t="s">
        <v>10</v>
      </c>
      <c r="F185" s="69">
        <v>27.155000000000001</v>
      </c>
      <c r="K185" s="70"/>
    </row>
    <row r="186" spans="1:76" x14ac:dyDescent="0.25">
      <c r="A186" s="1" t="s">
        <v>135</v>
      </c>
      <c r="B186" s="2" t="s">
        <v>527</v>
      </c>
      <c r="C186" s="86" t="s">
        <v>528</v>
      </c>
      <c r="D186" s="87"/>
      <c r="E186" s="2" t="s">
        <v>202</v>
      </c>
      <c r="F186" s="35">
        <v>27.155000000000001</v>
      </c>
      <c r="G186" s="35">
        <v>0</v>
      </c>
      <c r="H186" s="35">
        <f>ROUND(F186*AO186,2)</f>
        <v>0</v>
      </c>
      <c r="I186" s="35">
        <f>ROUND(F186*AP186,2)</f>
        <v>0</v>
      </c>
      <c r="J186" s="35">
        <f>ROUND(F186*G186,2)</f>
        <v>0</v>
      </c>
      <c r="K186" s="63" t="s">
        <v>203</v>
      </c>
      <c r="Z186" s="35">
        <f>ROUND(IF(AQ186="5",BJ186,0),2)</f>
        <v>0</v>
      </c>
      <c r="AB186" s="35">
        <f>ROUND(IF(AQ186="1",BH186,0),2)</f>
        <v>0</v>
      </c>
      <c r="AC186" s="35">
        <f>ROUND(IF(AQ186="1",BI186,0),2)</f>
        <v>0</v>
      </c>
      <c r="AD186" s="35">
        <f>ROUND(IF(AQ186="7",BH186,0),2)</f>
        <v>0</v>
      </c>
      <c r="AE186" s="35">
        <f>ROUND(IF(AQ186="7",BI186,0),2)</f>
        <v>0</v>
      </c>
      <c r="AF186" s="35">
        <f>ROUND(IF(AQ186="2",BH186,0),2)</f>
        <v>0</v>
      </c>
      <c r="AG186" s="35">
        <f>ROUND(IF(AQ186="2",BI186,0),2)</f>
        <v>0</v>
      </c>
      <c r="AH186" s="35">
        <f>ROUND(IF(AQ186="0",BJ186,0),2)</f>
        <v>0</v>
      </c>
      <c r="AI186" s="48" t="s">
        <v>83</v>
      </c>
      <c r="AJ186" s="35">
        <f>IF(AN186=0,J186,0)</f>
        <v>0</v>
      </c>
      <c r="AK186" s="35">
        <f>IF(AN186=12,J186,0)</f>
        <v>0</v>
      </c>
      <c r="AL186" s="35">
        <f>IF(AN186=21,J186,0)</f>
        <v>0</v>
      </c>
      <c r="AN186" s="35">
        <v>12</v>
      </c>
      <c r="AO186" s="35">
        <f>G186*0.422532737</f>
        <v>0</v>
      </c>
      <c r="AP186" s="35">
        <f>G186*(1-0.422532737)</f>
        <v>0</v>
      </c>
      <c r="AQ186" s="64" t="s">
        <v>204</v>
      </c>
      <c r="AV186" s="35">
        <f>ROUND(AW186+AX186,2)</f>
        <v>0</v>
      </c>
      <c r="AW186" s="35">
        <f>ROUND(F186*AO186,2)</f>
        <v>0</v>
      </c>
      <c r="AX186" s="35">
        <f>ROUND(F186*AP186,2)</f>
        <v>0</v>
      </c>
      <c r="AY186" s="64" t="s">
        <v>524</v>
      </c>
      <c r="AZ186" s="64" t="s">
        <v>525</v>
      </c>
      <c r="BA186" s="48" t="s">
        <v>330</v>
      </c>
      <c r="BB186" s="65">
        <v>100022</v>
      </c>
      <c r="BC186" s="35">
        <f>AW186+AX186</f>
        <v>0</v>
      </c>
      <c r="BD186" s="35">
        <f>G186/(100-BE186)*100</f>
        <v>0</v>
      </c>
      <c r="BE186" s="35">
        <v>0</v>
      </c>
      <c r="BF186" s="35">
        <f>186</f>
        <v>186</v>
      </c>
      <c r="BH186" s="35">
        <f>F186*AO186</f>
        <v>0</v>
      </c>
      <c r="BI186" s="35">
        <f>F186*AP186</f>
        <v>0</v>
      </c>
      <c r="BJ186" s="35">
        <f>F186*G186</f>
        <v>0</v>
      </c>
      <c r="BK186" s="64" t="s">
        <v>208</v>
      </c>
      <c r="BL186" s="35">
        <v>771</v>
      </c>
      <c r="BW186" s="35">
        <v>12</v>
      </c>
      <c r="BX186" s="3" t="s">
        <v>528</v>
      </c>
    </row>
    <row r="187" spans="1:76" ht="13.5" customHeight="1" x14ac:dyDescent="0.25">
      <c r="A187" s="66"/>
      <c r="C187" s="180" t="s">
        <v>529</v>
      </c>
      <c r="D187" s="181"/>
      <c r="E187" s="181"/>
      <c r="F187" s="181"/>
      <c r="G187" s="181"/>
      <c r="H187" s="181"/>
      <c r="I187" s="181"/>
      <c r="J187" s="181"/>
      <c r="K187" s="182"/>
    </row>
    <row r="188" spans="1:76" x14ac:dyDescent="0.25">
      <c r="A188" s="66"/>
      <c r="C188" s="67" t="s">
        <v>530</v>
      </c>
      <c r="D188" s="68" t="s">
        <v>10</v>
      </c>
      <c r="F188" s="69">
        <v>27.155000000000001</v>
      </c>
      <c r="K188" s="70"/>
    </row>
    <row r="189" spans="1:76" x14ac:dyDescent="0.25">
      <c r="A189" s="1" t="s">
        <v>112</v>
      </c>
      <c r="B189" s="2" t="s">
        <v>531</v>
      </c>
      <c r="C189" s="86" t="s">
        <v>532</v>
      </c>
      <c r="D189" s="87"/>
      <c r="E189" s="2" t="s">
        <v>202</v>
      </c>
      <c r="F189" s="35">
        <v>27.155000000000001</v>
      </c>
      <c r="G189" s="35">
        <v>0</v>
      </c>
      <c r="H189" s="35">
        <f>ROUND(F189*AO189,2)</f>
        <v>0</v>
      </c>
      <c r="I189" s="35">
        <f>ROUND(F189*AP189,2)</f>
        <v>0</v>
      </c>
      <c r="J189" s="35">
        <f>ROUND(F189*G189,2)</f>
        <v>0</v>
      </c>
      <c r="K189" s="63" t="s">
        <v>203</v>
      </c>
      <c r="Z189" s="35">
        <f>ROUND(IF(AQ189="5",BJ189,0),2)</f>
        <v>0</v>
      </c>
      <c r="AB189" s="35">
        <f>ROUND(IF(AQ189="1",BH189,0),2)</f>
        <v>0</v>
      </c>
      <c r="AC189" s="35">
        <f>ROUND(IF(AQ189="1",BI189,0),2)</f>
        <v>0</v>
      </c>
      <c r="AD189" s="35">
        <f>ROUND(IF(AQ189="7",BH189,0),2)</f>
        <v>0</v>
      </c>
      <c r="AE189" s="35">
        <f>ROUND(IF(AQ189="7",BI189,0),2)</f>
        <v>0</v>
      </c>
      <c r="AF189" s="35">
        <f>ROUND(IF(AQ189="2",BH189,0),2)</f>
        <v>0</v>
      </c>
      <c r="AG189" s="35">
        <f>ROUND(IF(AQ189="2",BI189,0),2)</f>
        <v>0</v>
      </c>
      <c r="AH189" s="35">
        <f>ROUND(IF(AQ189="0",BJ189,0),2)</f>
        <v>0</v>
      </c>
      <c r="AI189" s="48" t="s">
        <v>83</v>
      </c>
      <c r="AJ189" s="35">
        <f>IF(AN189=0,J189,0)</f>
        <v>0</v>
      </c>
      <c r="AK189" s="35">
        <f>IF(AN189=12,J189,0)</f>
        <v>0</v>
      </c>
      <c r="AL189" s="35">
        <f>IF(AN189=21,J189,0)</f>
        <v>0</v>
      </c>
      <c r="AN189" s="35">
        <v>12</v>
      </c>
      <c r="AO189" s="35">
        <f>G189*0</f>
        <v>0</v>
      </c>
      <c r="AP189" s="35">
        <f>G189*(1-0)</f>
        <v>0</v>
      </c>
      <c r="AQ189" s="64" t="s">
        <v>204</v>
      </c>
      <c r="AV189" s="35">
        <f>ROUND(AW189+AX189,2)</f>
        <v>0</v>
      </c>
      <c r="AW189" s="35">
        <f>ROUND(F189*AO189,2)</f>
        <v>0</v>
      </c>
      <c r="AX189" s="35">
        <f>ROUND(F189*AP189,2)</f>
        <v>0</v>
      </c>
      <c r="AY189" s="64" t="s">
        <v>524</v>
      </c>
      <c r="AZ189" s="64" t="s">
        <v>525</v>
      </c>
      <c r="BA189" s="48" t="s">
        <v>330</v>
      </c>
      <c r="BB189" s="65">
        <v>100022</v>
      </c>
      <c r="BC189" s="35">
        <f>AW189+AX189</f>
        <v>0</v>
      </c>
      <c r="BD189" s="35">
        <f>G189/(100-BE189)*100</f>
        <v>0</v>
      </c>
      <c r="BE189" s="35">
        <v>0</v>
      </c>
      <c r="BF189" s="35">
        <f>189</f>
        <v>189</v>
      </c>
      <c r="BH189" s="35">
        <f>F189*AO189</f>
        <v>0</v>
      </c>
      <c r="BI189" s="35">
        <f>F189*AP189</f>
        <v>0</v>
      </c>
      <c r="BJ189" s="35">
        <f>F189*G189</f>
        <v>0</v>
      </c>
      <c r="BK189" s="64" t="s">
        <v>208</v>
      </c>
      <c r="BL189" s="35">
        <v>771</v>
      </c>
      <c r="BW189" s="35">
        <v>12</v>
      </c>
      <c r="BX189" s="3" t="s">
        <v>532</v>
      </c>
    </row>
    <row r="190" spans="1:76" x14ac:dyDescent="0.25">
      <c r="A190" s="66"/>
      <c r="C190" s="67" t="s">
        <v>530</v>
      </c>
      <c r="D190" s="68" t="s">
        <v>10</v>
      </c>
      <c r="F190" s="69">
        <v>27.155000000000001</v>
      </c>
      <c r="K190" s="70"/>
    </row>
    <row r="191" spans="1:76" x14ac:dyDescent="0.25">
      <c r="A191" s="76" t="s">
        <v>533</v>
      </c>
      <c r="B191" s="77" t="s">
        <v>534</v>
      </c>
      <c r="C191" s="185" t="s">
        <v>535</v>
      </c>
      <c r="D191" s="186"/>
      <c r="E191" s="77" t="s">
        <v>536</v>
      </c>
      <c r="F191" s="79">
        <v>461.63499999999999</v>
      </c>
      <c r="G191" s="79">
        <v>0</v>
      </c>
      <c r="H191" s="79">
        <f>ROUND(F191*AO191,2)</f>
        <v>0</v>
      </c>
      <c r="I191" s="79">
        <f>ROUND(F191*AP191,2)</f>
        <v>0</v>
      </c>
      <c r="J191" s="79">
        <f>ROUND(F191*G191,2)</f>
        <v>0</v>
      </c>
      <c r="K191" s="80" t="s">
        <v>203</v>
      </c>
      <c r="Z191" s="35">
        <f>ROUND(IF(AQ191="5",BJ191,0),2)</f>
        <v>0</v>
      </c>
      <c r="AB191" s="35">
        <f>ROUND(IF(AQ191="1",BH191,0),2)</f>
        <v>0</v>
      </c>
      <c r="AC191" s="35">
        <f>ROUND(IF(AQ191="1",BI191,0),2)</f>
        <v>0</v>
      </c>
      <c r="AD191" s="35">
        <f>ROUND(IF(AQ191="7",BH191,0),2)</f>
        <v>0</v>
      </c>
      <c r="AE191" s="35">
        <f>ROUND(IF(AQ191="7",BI191,0),2)</f>
        <v>0</v>
      </c>
      <c r="AF191" s="35">
        <f>ROUND(IF(AQ191="2",BH191,0),2)</f>
        <v>0</v>
      </c>
      <c r="AG191" s="35">
        <f>ROUND(IF(AQ191="2",BI191,0),2)</f>
        <v>0</v>
      </c>
      <c r="AH191" s="35">
        <f>ROUND(IF(AQ191="0",BJ191,0),2)</f>
        <v>0</v>
      </c>
      <c r="AI191" s="48" t="s">
        <v>83</v>
      </c>
      <c r="AJ191" s="79">
        <f>IF(AN191=0,J191,0)</f>
        <v>0</v>
      </c>
      <c r="AK191" s="79">
        <f>IF(AN191=12,J191,0)</f>
        <v>0</v>
      </c>
      <c r="AL191" s="79">
        <f>IF(AN191=21,J191,0)</f>
        <v>0</v>
      </c>
      <c r="AN191" s="35">
        <v>12</v>
      </c>
      <c r="AO191" s="35">
        <f>G191*1</f>
        <v>0</v>
      </c>
      <c r="AP191" s="35">
        <f>G191*(1-1)</f>
        <v>0</v>
      </c>
      <c r="AQ191" s="81" t="s">
        <v>204</v>
      </c>
      <c r="AV191" s="35">
        <f>ROUND(AW191+AX191,2)</f>
        <v>0</v>
      </c>
      <c r="AW191" s="35">
        <f>ROUND(F191*AO191,2)</f>
        <v>0</v>
      </c>
      <c r="AX191" s="35">
        <f>ROUND(F191*AP191,2)</f>
        <v>0</v>
      </c>
      <c r="AY191" s="64" t="s">
        <v>524</v>
      </c>
      <c r="AZ191" s="64" t="s">
        <v>525</v>
      </c>
      <c r="BA191" s="48" t="s">
        <v>330</v>
      </c>
      <c r="BC191" s="35">
        <f>AW191+AX191</f>
        <v>0</v>
      </c>
      <c r="BD191" s="35">
        <f>G191/(100-BE191)*100</f>
        <v>0</v>
      </c>
      <c r="BE191" s="35">
        <v>0</v>
      </c>
      <c r="BF191" s="35">
        <f>191</f>
        <v>191</v>
      </c>
      <c r="BH191" s="79">
        <f>F191*AO191</f>
        <v>0</v>
      </c>
      <c r="BI191" s="79">
        <f>F191*AP191</f>
        <v>0</v>
      </c>
      <c r="BJ191" s="79">
        <f>F191*G191</f>
        <v>0</v>
      </c>
      <c r="BK191" s="81" t="s">
        <v>464</v>
      </c>
      <c r="BL191" s="35">
        <v>771</v>
      </c>
      <c r="BW191" s="35">
        <v>12</v>
      </c>
      <c r="BX191" s="78" t="s">
        <v>535</v>
      </c>
    </row>
    <row r="192" spans="1:76" x14ac:dyDescent="0.25">
      <c r="A192" s="66"/>
      <c r="C192" s="67" t="s">
        <v>537</v>
      </c>
      <c r="D192" s="68" t="s">
        <v>538</v>
      </c>
      <c r="F192" s="69">
        <v>461.63499999999999</v>
      </c>
      <c r="K192" s="70"/>
    </row>
    <row r="193" spans="1:76" x14ac:dyDescent="0.25">
      <c r="A193" s="1" t="s">
        <v>539</v>
      </c>
      <c r="B193" s="2" t="s">
        <v>540</v>
      </c>
      <c r="C193" s="86" t="s">
        <v>541</v>
      </c>
      <c r="D193" s="87"/>
      <c r="E193" s="2" t="s">
        <v>224</v>
      </c>
      <c r="F193" s="35">
        <v>2.4</v>
      </c>
      <c r="G193" s="35">
        <v>0</v>
      </c>
      <c r="H193" s="35">
        <f>ROUND(F193*AO193,2)</f>
        <v>0</v>
      </c>
      <c r="I193" s="35">
        <f>ROUND(F193*AP193,2)</f>
        <v>0</v>
      </c>
      <c r="J193" s="35">
        <f>ROUND(F193*G193,2)</f>
        <v>0</v>
      </c>
      <c r="K193" s="63" t="s">
        <v>203</v>
      </c>
      <c r="Z193" s="35">
        <f>ROUND(IF(AQ193="5",BJ193,0),2)</f>
        <v>0</v>
      </c>
      <c r="AB193" s="35">
        <f>ROUND(IF(AQ193="1",BH193,0),2)</f>
        <v>0</v>
      </c>
      <c r="AC193" s="35">
        <f>ROUND(IF(AQ193="1",BI193,0),2)</f>
        <v>0</v>
      </c>
      <c r="AD193" s="35">
        <f>ROUND(IF(AQ193="7",BH193,0),2)</f>
        <v>0</v>
      </c>
      <c r="AE193" s="35">
        <f>ROUND(IF(AQ193="7",BI193,0),2)</f>
        <v>0</v>
      </c>
      <c r="AF193" s="35">
        <f>ROUND(IF(AQ193="2",BH193,0),2)</f>
        <v>0</v>
      </c>
      <c r="AG193" s="35">
        <f>ROUND(IF(AQ193="2",BI193,0),2)</f>
        <v>0</v>
      </c>
      <c r="AH193" s="35">
        <f>ROUND(IF(AQ193="0",BJ193,0),2)</f>
        <v>0</v>
      </c>
      <c r="AI193" s="48" t="s">
        <v>83</v>
      </c>
      <c r="AJ193" s="35">
        <f>IF(AN193=0,J193,0)</f>
        <v>0</v>
      </c>
      <c r="AK193" s="35">
        <f>IF(AN193=12,J193,0)</f>
        <v>0</v>
      </c>
      <c r="AL193" s="35">
        <f>IF(AN193=21,J193,0)</f>
        <v>0</v>
      </c>
      <c r="AN193" s="35">
        <v>12</v>
      </c>
      <c r="AO193" s="35">
        <f>G193*0</f>
        <v>0</v>
      </c>
      <c r="AP193" s="35">
        <f>G193*(1-0)</f>
        <v>0</v>
      </c>
      <c r="AQ193" s="64" t="s">
        <v>204</v>
      </c>
      <c r="AV193" s="35">
        <f>ROUND(AW193+AX193,2)</f>
        <v>0</v>
      </c>
      <c r="AW193" s="35">
        <f>ROUND(F193*AO193,2)</f>
        <v>0</v>
      </c>
      <c r="AX193" s="35">
        <f>ROUND(F193*AP193,2)</f>
        <v>0</v>
      </c>
      <c r="AY193" s="64" t="s">
        <v>524</v>
      </c>
      <c r="AZ193" s="64" t="s">
        <v>525</v>
      </c>
      <c r="BA193" s="48" t="s">
        <v>330</v>
      </c>
      <c r="BB193" s="65">
        <v>100022</v>
      </c>
      <c r="BC193" s="35">
        <f>AW193+AX193</f>
        <v>0</v>
      </c>
      <c r="BD193" s="35">
        <f>G193/(100-BE193)*100</f>
        <v>0</v>
      </c>
      <c r="BE193" s="35">
        <v>0</v>
      </c>
      <c r="BF193" s="35">
        <f>193</f>
        <v>193</v>
      </c>
      <c r="BH193" s="35">
        <f>F193*AO193</f>
        <v>0</v>
      </c>
      <c r="BI193" s="35">
        <f>F193*AP193</f>
        <v>0</v>
      </c>
      <c r="BJ193" s="35">
        <f>F193*G193</f>
        <v>0</v>
      </c>
      <c r="BK193" s="64" t="s">
        <v>208</v>
      </c>
      <c r="BL193" s="35">
        <v>771</v>
      </c>
      <c r="BW193" s="35">
        <v>12</v>
      </c>
      <c r="BX193" s="3" t="s">
        <v>541</v>
      </c>
    </row>
    <row r="194" spans="1:76" x14ac:dyDescent="0.25">
      <c r="A194" s="66"/>
      <c r="C194" s="67" t="s">
        <v>542</v>
      </c>
      <c r="D194" s="68" t="s">
        <v>10</v>
      </c>
      <c r="F194" s="69">
        <v>2.4</v>
      </c>
      <c r="K194" s="70"/>
    </row>
    <row r="195" spans="1:76" x14ac:dyDescent="0.25">
      <c r="A195" s="76" t="s">
        <v>543</v>
      </c>
      <c r="B195" s="77" t="s">
        <v>544</v>
      </c>
      <c r="C195" s="185" t="s">
        <v>545</v>
      </c>
      <c r="D195" s="186"/>
      <c r="E195" s="77" t="s">
        <v>252</v>
      </c>
      <c r="F195" s="79">
        <v>2</v>
      </c>
      <c r="G195" s="79">
        <v>0</v>
      </c>
      <c r="H195" s="79">
        <f>ROUND(F195*AO195,2)</f>
        <v>0</v>
      </c>
      <c r="I195" s="79">
        <f>ROUND(F195*AP195,2)</f>
        <v>0</v>
      </c>
      <c r="J195" s="79">
        <f>ROUND(F195*G195,2)</f>
        <v>0</v>
      </c>
      <c r="K195" s="80" t="s">
        <v>203</v>
      </c>
      <c r="Z195" s="35">
        <f>ROUND(IF(AQ195="5",BJ195,0),2)</f>
        <v>0</v>
      </c>
      <c r="AB195" s="35">
        <f>ROUND(IF(AQ195="1",BH195,0),2)</f>
        <v>0</v>
      </c>
      <c r="AC195" s="35">
        <f>ROUND(IF(AQ195="1",BI195,0),2)</f>
        <v>0</v>
      </c>
      <c r="AD195" s="35">
        <f>ROUND(IF(AQ195="7",BH195,0),2)</f>
        <v>0</v>
      </c>
      <c r="AE195" s="35">
        <f>ROUND(IF(AQ195="7",BI195,0),2)</f>
        <v>0</v>
      </c>
      <c r="AF195" s="35">
        <f>ROUND(IF(AQ195="2",BH195,0),2)</f>
        <v>0</v>
      </c>
      <c r="AG195" s="35">
        <f>ROUND(IF(AQ195="2",BI195,0),2)</f>
        <v>0</v>
      </c>
      <c r="AH195" s="35">
        <f>ROUND(IF(AQ195="0",BJ195,0),2)</f>
        <v>0</v>
      </c>
      <c r="AI195" s="48" t="s">
        <v>83</v>
      </c>
      <c r="AJ195" s="79">
        <f>IF(AN195=0,J195,0)</f>
        <v>0</v>
      </c>
      <c r="AK195" s="79">
        <f>IF(AN195=12,J195,0)</f>
        <v>0</v>
      </c>
      <c r="AL195" s="79">
        <f>IF(AN195=21,J195,0)</f>
        <v>0</v>
      </c>
      <c r="AN195" s="35">
        <v>12</v>
      </c>
      <c r="AO195" s="35">
        <f>G195*1</f>
        <v>0</v>
      </c>
      <c r="AP195" s="35">
        <f>G195*(1-1)</f>
        <v>0</v>
      </c>
      <c r="AQ195" s="81" t="s">
        <v>204</v>
      </c>
      <c r="AV195" s="35">
        <f>ROUND(AW195+AX195,2)</f>
        <v>0</v>
      </c>
      <c r="AW195" s="35">
        <f>ROUND(F195*AO195,2)</f>
        <v>0</v>
      </c>
      <c r="AX195" s="35">
        <f>ROUND(F195*AP195,2)</f>
        <v>0</v>
      </c>
      <c r="AY195" s="64" t="s">
        <v>524</v>
      </c>
      <c r="AZ195" s="64" t="s">
        <v>525</v>
      </c>
      <c r="BA195" s="48" t="s">
        <v>330</v>
      </c>
      <c r="BC195" s="35">
        <f>AW195+AX195</f>
        <v>0</v>
      </c>
      <c r="BD195" s="35">
        <f>G195/(100-BE195)*100</f>
        <v>0</v>
      </c>
      <c r="BE195" s="35">
        <v>0</v>
      </c>
      <c r="BF195" s="35">
        <f>195</f>
        <v>195</v>
      </c>
      <c r="BH195" s="79">
        <f>F195*AO195</f>
        <v>0</v>
      </c>
      <c r="BI195" s="79">
        <f>F195*AP195</f>
        <v>0</v>
      </c>
      <c r="BJ195" s="79">
        <f>F195*G195</f>
        <v>0</v>
      </c>
      <c r="BK195" s="81" t="s">
        <v>464</v>
      </c>
      <c r="BL195" s="35">
        <v>771</v>
      </c>
      <c r="BW195" s="35">
        <v>12</v>
      </c>
      <c r="BX195" s="78" t="s">
        <v>545</v>
      </c>
    </row>
    <row r="196" spans="1:76" x14ac:dyDescent="0.25">
      <c r="A196" s="66"/>
      <c r="C196" s="67" t="s">
        <v>211</v>
      </c>
      <c r="D196" s="68" t="s">
        <v>10</v>
      </c>
      <c r="F196" s="69">
        <v>2</v>
      </c>
      <c r="K196" s="70"/>
    </row>
    <row r="197" spans="1:76" x14ac:dyDescent="0.25">
      <c r="A197" s="1" t="s">
        <v>546</v>
      </c>
      <c r="B197" s="2" t="s">
        <v>547</v>
      </c>
      <c r="C197" s="86" t="s">
        <v>548</v>
      </c>
      <c r="D197" s="87"/>
      <c r="E197" s="2" t="s">
        <v>202</v>
      </c>
      <c r="F197" s="35">
        <v>27.155000000000001</v>
      </c>
      <c r="G197" s="35">
        <v>0</v>
      </c>
      <c r="H197" s="35">
        <f>ROUND(F197*AO197,2)</f>
        <v>0</v>
      </c>
      <c r="I197" s="35">
        <f>ROUND(F197*AP197,2)</f>
        <v>0</v>
      </c>
      <c r="J197" s="35">
        <f>ROUND(F197*G197,2)</f>
        <v>0</v>
      </c>
      <c r="K197" s="63" t="s">
        <v>203</v>
      </c>
      <c r="Z197" s="35">
        <f>ROUND(IF(AQ197="5",BJ197,0),2)</f>
        <v>0</v>
      </c>
      <c r="AB197" s="35">
        <f>ROUND(IF(AQ197="1",BH197,0),2)</f>
        <v>0</v>
      </c>
      <c r="AC197" s="35">
        <f>ROUND(IF(AQ197="1",BI197,0),2)</f>
        <v>0</v>
      </c>
      <c r="AD197" s="35">
        <f>ROUND(IF(AQ197="7",BH197,0),2)</f>
        <v>0</v>
      </c>
      <c r="AE197" s="35">
        <f>ROUND(IF(AQ197="7",BI197,0),2)</f>
        <v>0</v>
      </c>
      <c r="AF197" s="35">
        <f>ROUND(IF(AQ197="2",BH197,0),2)</f>
        <v>0</v>
      </c>
      <c r="AG197" s="35">
        <f>ROUND(IF(AQ197="2",BI197,0),2)</f>
        <v>0</v>
      </c>
      <c r="AH197" s="35">
        <f>ROUND(IF(AQ197="0",BJ197,0),2)</f>
        <v>0</v>
      </c>
      <c r="AI197" s="48" t="s">
        <v>83</v>
      </c>
      <c r="AJ197" s="35">
        <f>IF(AN197=0,J197,0)</f>
        <v>0</v>
      </c>
      <c r="AK197" s="35">
        <f>IF(AN197=12,J197,0)</f>
        <v>0</v>
      </c>
      <c r="AL197" s="35">
        <f>IF(AN197=21,J197,0)</f>
        <v>0</v>
      </c>
      <c r="AN197" s="35">
        <v>12</v>
      </c>
      <c r="AO197" s="35">
        <f>G197*0.205435782</f>
        <v>0</v>
      </c>
      <c r="AP197" s="35">
        <f>G197*(1-0.205435782)</f>
        <v>0</v>
      </c>
      <c r="AQ197" s="64" t="s">
        <v>204</v>
      </c>
      <c r="AV197" s="35">
        <f>ROUND(AW197+AX197,2)</f>
        <v>0</v>
      </c>
      <c r="AW197" s="35">
        <f>ROUND(F197*AO197,2)</f>
        <v>0</v>
      </c>
      <c r="AX197" s="35">
        <f>ROUND(F197*AP197,2)</f>
        <v>0</v>
      </c>
      <c r="AY197" s="64" t="s">
        <v>524</v>
      </c>
      <c r="AZ197" s="64" t="s">
        <v>525</v>
      </c>
      <c r="BA197" s="48" t="s">
        <v>330</v>
      </c>
      <c r="BB197" s="65">
        <v>100022</v>
      </c>
      <c r="BC197" s="35">
        <f>AW197+AX197</f>
        <v>0</v>
      </c>
      <c r="BD197" s="35">
        <f>G197/(100-BE197)*100</f>
        <v>0</v>
      </c>
      <c r="BE197" s="35">
        <v>0</v>
      </c>
      <c r="BF197" s="35">
        <f>197</f>
        <v>197</v>
      </c>
      <c r="BH197" s="35">
        <f>F197*AO197</f>
        <v>0</v>
      </c>
      <c r="BI197" s="35">
        <f>F197*AP197</f>
        <v>0</v>
      </c>
      <c r="BJ197" s="35">
        <f>F197*G197</f>
        <v>0</v>
      </c>
      <c r="BK197" s="64" t="s">
        <v>208</v>
      </c>
      <c r="BL197" s="35">
        <v>771</v>
      </c>
      <c r="BW197" s="35">
        <v>12</v>
      </c>
      <c r="BX197" s="3" t="s">
        <v>548</v>
      </c>
    </row>
    <row r="198" spans="1:76" x14ac:dyDescent="0.25">
      <c r="A198" s="66"/>
      <c r="C198" s="67" t="s">
        <v>530</v>
      </c>
      <c r="D198" s="68" t="s">
        <v>10</v>
      </c>
      <c r="F198" s="69">
        <v>27.155000000000001</v>
      </c>
      <c r="K198" s="70"/>
    </row>
    <row r="199" spans="1:76" x14ac:dyDescent="0.25">
      <c r="A199" s="76" t="s">
        <v>549</v>
      </c>
      <c r="B199" s="77" t="s">
        <v>550</v>
      </c>
      <c r="C199" s="185" t="s">
        <v>551</v>
      </c>
      <c r="D199" s="186"/>
      <c r="E199" s="77" t="s">
        <v>202</v>
      </c>
      <c r="F199" s="79">
        <v>14.113</v>
      </c>
      <c r="G199" s="79">
        <v>0</v>
      </c>
      <c r="H199" s="79">
        <f>ROUND(F199*AO199,2)</f>
        <v>0</v>
      </c>
      <c r="I199" s="79">
        <f>ROUND(F199*AP199,2)</f>
        <v>0</v>
      </c>
      <c r="J199" s="79">
        <f>ROUND(F199*G199,2)</f>
        <v>0</v>
      </c>
      <c r="K199" s="80" t="s">
        <v>203</v>
      </c>
      <c r="Z199" s="35">
        <f>ROUND(IF(AQ199="5",BJ199,0),2)</f>
        <v>0</v>
      </c>
      <c r="AB199" s="35">
        <f>ROUND(IF(AQ199="1",BH199,0),2)</f>
        <v>0</v>
      </c>
      <c r="AC199" s="35">
        <f>ROUND(IF(AQ199="1",BI199,0),2)</f>
        <v>0</v>
      </c>
      <c r="AD199" s="35">
        <f>ROUND(IF(AQ199="7",BH199,0),2)</f>
        <v>0</v>
      </c>
      <c r="AE199" s="35">
        <f>ROUND(IF(AQ199="7",BI199,0),2)</f>
        <v>0</v>
      </c>
      <c r="AF199" s="35">
        <f>ROUND(IF(AQ199="2",BH199,0),2)</f>
        <v>0</v>
      </c>
      <c r="AG199" s="35">
        <f>ROUND(IF(AQ199="2",BI199,0),2)</f>
        <v>0</v>
      </c>
      <c r="AH199" s="35">
        <f>ROUND(IF(AQ199="0",BJ199,0),2)</f>
        <v>0</v>
      </c>
      <c r="AI199" s="48" t="s">
        <v>83</v>
      </c>
      <c r="AJ199" s="79">
        <f>IF(AN199=0,J199,0)</f>
        <v>0</v>
      </c>
      <c r="AK199" s="79">
        <f>IF(AN199=12,J199,0)</f>
        <v>0</v>
      </c>
      <c r="AL199" s="79">
        <f>IF(AN199=21,J199,0)</f>
        <v>0</v>
      </c>
      <c r="AN199" s="35">
        <v>12</v>
      </c>
      <c r="AO199" s="35">
        <f>G199*1</f>
        <v>0</v>
      </c>
      <c r="AP199" s="35">
        <f>G199*(1-1)</f>
        <v>0</v>
      </c>
      <c r="AQ199" s="81" t="s">
        <v>204</v>
      </c>
      <c r="AV199" s="35">
        <f>ROUND(AW199+AX199,2)</f>
        <v>0</v>
      </c>
      <c r="AW199" s="35">
        <f>ROUND(F199*AO199,2)</f>
        <v>0</v>
      </c>
      <c r="AX199" s="35">
        <f>ROUND(F199*AP199,2)</f>
        <v>0</v>
      </c>
      <c r="AY199" s="64" t="s">
        <v>524</v>
      </c>
      <c r="AZ199" s="64" t="s">
        <v>525</v>
      </c>
      <c r="BA199" s="48" t="s">
        <v>330</v>
      </c>
      <c r="BC199" s="35">
        <f>AW199+AX199</f>
        <v>0</v>
      </c>
      <c r="BD199" s="35">
        <f>G199/(100-BE199)*100</f>
        <v>0</v>
      </c>
      <c r="BE199" s="35">
        <v>0</v>
      </c>
      <c r="BF199" s="35">
        <f>199</f>
        <v>199</v>
      </c>
      <c r="BH199" s="79">
        <f>F199*AO199</f>
        <v>0</v>
      </c>
      <c r="BI199" s="79">
        <f>F199*AP199</f>
        <v>0</v>
      </c>
      <c r="BJ199" s="79">
        <f>F199*G199</f>
        <v>0</v>
      </c>
      <c r="BK199" s="81" t="s">
        <v>464</v>
      </c>
      <c r="BL199" s="35">
        <v>771</v>
      </c>
      <c r="BW199" s="35">
        <v>12</v>
      </c>
      <c r="BX199" s="78" t="s">
        <v>551</v>
      </c>
    </row>
    <row r="200" spans="1:76" x14ac:dyDescent="0.25">
      <c r="A200" s="66"/>
      <c r="C200" s="67" t="s">
        <v>552</v>
      </c>
      <c r="D200" s="68" t="s">
        <v>10</v>
      </c>
      <c r="F200" s="69">
        <v>12.83</v>
      </c>
      <c r="K200" s="70"/>
    </row>
    <row r="201" spans="1:76" x14ac:dyDescent="0.25">
      <c r="A201" s="66"/>
      <c r="C201" s="67" t="s">
        <v>553</v>
      </c>
      <c r="D201" s="68" t="s">
        <v>10</v>
      </c>
      <c r="F201" s="69">
        <v>1.2829999999999999</v>
      </c>
      <c r="K201" s="70"/>
    </row>
    <row r="202" spans="1:76" x14ac:dyDescent="0.25">
      <c r="A202" s="76" t="s">
        <v>554</v>
      </c>
      <c r="B202" s="77" t="s">
        <v>555</v>
      </c>
      <c r="C202" s="185" t="s">
        <v>556</v>
      </c>
      <c r="D202" s="186"/>
      <c r="E202" s="77" t="s">
        <v>202</v>
      </c>
      <c r="F202" s="79">
        <v>15.7575</v>
      </c>
      <c r="G202" s="79">
        <v>0</v>
      </c>
      <c r="H202" s="79">
        <f>ROUND(F202*AO202,2)</f>
        <v>0</v>
      </c>
      <c r="I202" s="79">
        <f>ROUND(F202*AP202,2)</f>
        <v>0</v>
      </c>
      <c r="J202" s="79">
        <f>ROUND(F202*G202,2)</f>
        <v>0</v>
      </c>
      <c r="K202" s="80" t="s">
        <v>203</v>
      </c>
      <c r="Z202" s="35">
        <f>ROUND(IF(AQ202="5",BJ202,0),2)</f>
        <v>0</v>
      </c>
      <c r="AB202" s="35">
        <f>ROUND(IF(AQ202="1",BH202,0),2)</f>
        <v>0</v>
      </c>
      <c r="AC202" s="35">
        <f>ROUND(IF(AQ202="1",BI202,0),2)</f>
        <v>0</v>
      </c>
      <c r="AD202" s="35">
        <f>ROUND(IF(AQ202="7",BH202,0),2)</f>
        <v>0</v>
      </c>
      <c r="AE202" s="35">
        <f>ROUND(IF(AQ202="7",BI202,0),2)</f>
        <v>0</v>
      </c>
      <c r="AF202" s="35">
        <f>ROUND(IF(AQ202="2",BH202,0),2)</f>
        <v>0</v>
      </c>
      <c r="AG202" s="35">
        <f>ROUND(IF(AQ202="2",BI202,0),2)</f>
        <v>0</v>
      </c>
      <c r="AH202" s="35">
        <f>ROUND(IF(AQ202="0",BJ202,0),2)</f>
        <v>0</v>
      </c>
      <c r="AI202" s="48" t="s">
        <v>83</v>
      </c>
      <c r="AJ202" s="79">
        <f>IF(AN202=0,J202,0)</f>
        <v>0</v>
      </c>
      <c r="AK202" s="79">
        <f>IF(AN202=12,J202,0)</f>
        <v>0</v>
      </c>
      <c r="AL202" s="79">
        <f>IF(AN202=21,J202,0)</f>
        <v>0</v>
      </c>
      <c r="AN202" s="35">
        <v>12</v>
      </c>
      <c r="AO202" s="35">
        <f>G202*1</f>
        <v>0</v>
      </c>
      <c r="AP202" s="35">
        <f>G202*(1-1)</f>
        <v>0</v>
      </c>
      <c r="AQ202" s="81" t="s">
        <v>204</v>
      </c>
      <c r="AV202" s="35">
        <f>ROUND(AW202+AX202,2)</f>
        <v>0</v>
      </c>
      <c r="AW202" s="35">
        <f>ROUND(F202*AO202,2)</f>
        <v>0</v>
      </c>
      <c r="AX202" s="35">
        <f>ROUND(F202*AP202,2)</f>
        <v>0</v>
      </c>
      <c r="AY202" s="64" t="s">
        <v>524</v>
      </c>
      <c r="AZ202" s="64" t="s">
        <v>525</v>
      </c>
      <c r="BA202" s="48" t="s">
        <v>330</v>
      </c>
      <c r="BC202" s="35">
        <f>AW202+AX202</f>
        <v>0</v>
      </c>
      <c r="BD202" s="35">
        <f>G202/(100-BE202)*100</f>
        <v>0</v>
      </c>
      <c r="BE202" s="35">
        <v>0</v>
      </c>
      <c r="BF202" s="35">
        <f>202</f>
        <v>202</v>
      </c>
      <c r="BH202" s="79">
        <f>F202*AO202</f>
        <v>0</v>
      </c>
      <c r="BI202" s="79">
        <f>F202*AP202</f>
        <v>0</v>
      </c>
      <c r="BJ202" s="79">
        <f>F202*G202</f>
        <v>0</v>
      </c>
      <c r="BK202" s="81" t="s">
        <v>464</v>
      </c>
      <c r="BL202" s="35">
        <v>771</v>
      </c>
      <c r="BW202" s="35">
        <v>12</v>
      </c>
      <c r="BX202" s="78" t="s">
        <v>556</v>
      </c>
    </row>
    <row r="203" spans="1:76" x14ac:dyDescent="0.25">
      <c r="A203" s="66"/>
      <c r="C203" s="67" t="s">
        <v>557</v>
      </c>
      <c r="D203" s="68" t="s">
        <v>10</v>
      </c>
      <c r="F203" s="69">
        <v>14.324999999999999</v>
      </c>
      <c r="K203" s="70"/>
    </row>
    <row r="204" spans="1:76" x14ac:dyDescent="0.25">
      <c r="A204" s="66"/>
      <c r="C204" s="67" t="s">
        <v>558</v>
      </c>
      <c r="D204" s="68" t="s">
        <v>10</v>
      </c>
      <c r="F204" s="69">
        <v>1.4325000000000001</v>
      </c>
      <c r="K204" s="70"/>
    </row>
    <row r="205" spans="1:76" x14ac:dyDescent="0.25">
      <c r="A205" s="1" t="s">
        <v>559</v>
      </c>
      <c r="B205" s="2" t="s">
        <v>560</v>
      </c>
      <c r="C205" s="86" t="s">
        <v>561</v>
      </c>
      <c r="D205" s="87"/>
      <c r="E205" s="2" t="s">
        <v>224</v>
      </c>
      <c r="F205" s="35">
        <v>9.1750000000000007</v>
      </c>
      <c r="G205" s="35">
        <v>0</v>
      </c>
      <c r="H205" s="35">
        <f>ROUND(F205*AO205,2)</f>
        <v>0</v>
      </c>
      <c r="I205" s="35">
        <f>ROUND(F205*AP205,2)</f>
        <v>0</v>
      </c>
      <c r="J205" s="35">
        <f>ROUND(F205*G205,2)</f>
        <v>0</v>
      </c>
      <c r="K205" s="63" t="s">
        <v>203</v>
      </c>
      <c r="Z205" s="35">
        <f>ROUND(IF(AQ205="5",BJ205,0),2)</f>
        <v>0</v>
      </c>
      <c r="AB205" s="35">
        <f>ROUND(IF(AQ205="1",BH205,0),2)</f>
        <v>0</v>
      </c>
      <c r="AC205" s="35">
        <f>ROUND(IF(AQ205="1",BI205,0),2)</f>
        <v>0</v>
      </c>
      <c r="AD205" s="35">
        <f>ROUND(IF(AQ205="7",BH205,0),2)</f>
        <v>0</v>
      </c>
      <c r="AE205" s="35">
        <f>ROUND(IF(AQ205="7",BI205,0),2)</f>
        <v>0</v>
      </c>
      <c r="AF205" s="35">
        <f>ROUND(IF(AQ205="2",BH205,0),2)</f>
        <v>0</v>
      </c>
      <c r="AG205" s="35">
        <f>ROUND(IF(AQ205="2",BI205,0),2)</f>
        <v>0</v>
      </c>
      <c r="AH205" s="35">
        <f>ROUND(IF(AQ205="0",BJ205,0),2)</f>
        <v>0</v>
      </c>
      <c r="AI205" s="48" t="s">
        <v>83</v>
      </c>
      <c r="AJ205" s="35">
        <f>IF(AN205=0,J205,0)</f>
        <v>0</v>
      </c>
      <c r="AK205" s="35">
        <f>IF(AN205=12,J205,0)</f>
        <v>0</v>
      </c>
      <c r="AL205" s="35">
        <f>IF(AN205=21,J205,0)</f>
        <v>0</v>
      </c>
      <c r="AN205" s="35">
        <v>12</v>
      </c>
      <c r="AO205" s="35">
        <f>G205*0</f>
        <v>0</v>
      </c>
      <c r="AP205" s="35">
        <f>G205*(1-0)</f>
        <v>0</v>
      </c>
      <c r="AQ205" s="64" t="s">
        <v>204</v>
      </c>
      <c r="AV205" s="35">
        <f>ROUND(AW205+AX205,2)</f>
        <v>0</v>
      </c>
      <c r="AW205" s="35">
        <f>ROUND(F205*AO205,2)</f>
        <v>0</v>
      </c>
      <c r="AX205" s="35">
        <f>ROUND(F205*AP205,2)</f>
        <v>0</v>
      </c>
      <c r="AY205" s="64" t="s">
        <v>524</v>
      </c>
      <c r="AZ205" s="64" t="s">
        <v>525</v>
      </c>
      <c r="BA205" s="48" t="s">
        <v>330</v>
      </c>
      <c r="BB205" s="65">
        <v>100022</v>
      </c>
      <c r="BC205" s="35">
        <f>AW205+AX205</f>
        <v>0</v>
      </c>
      <c r="BD205" s="35">
        <f>G205/(100-BE205)*100</f>
        <v>0</v>
      </c>
      <c r="BE205" s="35">
        <v>0</v>
      </c>
      <c r="BF205" s="35">
        <f>205</f>
        <v>205</v>
      </c>
      <c r="BH205" s="35">
        <f>F205*AO205</f>
        <v>0</v>
      </c>
      <c r="BI205" s="35">
        <f>F205*AP205</f>
        <v>0</v>
      </c>
      <c r="BJ205" s="35">
        <f>F205*G205</f>
        <v>0</v>
      </c>
      <c r="BK205" s="64" t="s">
        <v>208</v>
      </c>
      <c r="BL205" s="35">
        <v>771</v>
      </c>
      <c r="BW205" s="35">
        <v>12</v>
      </c>
      <c r="BX205" s="3" t="s">
        <v>561</v>
      </c>
    </row>
    <row r="206" spans="1:76" x14ac:dyDescent="0.25">
      <c r="A206" s="66"/>
      <c r="C206" s="67" t="s">
        <v>562</v>
      </c>
      <c r="D206" s="68" t="s">
        <v>10</v>
      </c>
      <c r="F206" s="69">
        <v>11.475</v>
      </c>
      <c r="K206" s="70"/>
    </row>
    <row r="207" spans="1:76" x14ac:dyDescent="0.25">
      <c r="A207" s="66"/>
      <c r="C207" s="67" t="s">
        <v>563</v>
      </c>
      <c r="D207" s="68" t="s">
        <v>10</v>
      </c>
      <c r="F207" s="69">
        <v>-2.2999999999999998</v>
      </c>
      <c r="K207" s="70"/>
    </row>
    <row r="208" spans="1:76" x14ac:dyDescent="0.25">
      <c r="A208" s="76" t="s">
        <v>564</v>
      </c>
      <c r="B208" s="77" t="s">
        <v>565</v>
      </c>
      <c r="C208" s="185" t="s">
        <v>566</v>
      </c>
      <c r="D208" s="186"/>
      <c r="E208" s="77" t="s">
        <v>252</v>
      </c>
      <c r="F208" s="79">
        <v>16.82084</v>
      </c>
      <c r="G208" s="79">
        <v>0</v>
      </c>
      <c r="H208" s="79">
        <f>ROUND(F208*AO208,2)</f>
        <v>0</v>
      </c>
      <c r="I208" s="79">
        <f>ROUND(F208*AP208,2)</f>
        <v>0</v>
      </c>
      <c r="J208" s="79">
        <f>ROUND(F208*G208,2)</f>
        <v>0</v>
      </c>
      <c r="K208" s="80" t="s">
        <v>203</v>
      </c>
      <c r="Z208" s="35">
        <f>ROUND(IF(AQ208="5",BJ208,0),2)</f>
        <v>0</v>
      </c>
      <c r="AB208" s="35">
        <f>ROUND(IF(AQ208="1",BH208,0),2)</f>
        <v>0</v>
      </c>
      <c r="AC208" s="35">
        <f>ROUND(IF(AQ208="1",BI208,0),2)</f>
        <v>0</v>
      </c>
      <c r="AD208" s="35">
        <f>ROUND(IF(AQ208="7",BH208,0),2)</f>
        <v>0</v>
      </c>
      <c r="AE208" s="35">
        <f>ROUND(IF(AQ208="7",BI208,0),2)</f>
        <v>0</v>
      </c>
      <c r="AF208" s="35">
        <f>ROUND(IF(AQ208="2",BH208,0),2)</f>
        <v>0</v>
      </c>
      <c r="AG208" s="35">
        <f>ROUND(IF(AQ208="2",BI208,0),2)</f>
        <v>0</v>
      </c>
      <c r="AH208" s="35">
        <f>ROUND(IF(AQ208="0",BJ208,0),2)</f>
        <v>0</v>
      </c>
      <c r="AI208" s="48" t="s">
        <v>83</v>
      </c>
      <c r="AJ208" s="79">
        <f>IF(AN208=0,J208,0)</f>
        <v>0</v>
      </c>
      <c r="AK208" s="79">
        <f>IF(AN208=12,J208,0)</f>
        <v>0</v>
      </c>
      <c r="AL208" s="79">
        <f>IF(AN208=21,J208,0)</f>
        <v>0</v>
      </c>
      <c r="AN208" s="35">
        <v>12</v>
      </c>
      <c r="AO208" s="35">
        <f>G208*1</f>
        <v>0</v>
      </c>
      <c r="AP208" s="35">
        <f>G208*(1-1)</f>
        <v>0</v>
      </c>
      <c r="AQ208" s="81" t="s">
        <v>204</v>
      </c>
      <c r="AV208" s="35">
        <f>ROUND(AW208+AX208,2)</f>
        <v>0</v>
      </c>
      <c r="AW208" s="35">
        <f>ROUND(F208*AO208,2)</f>
        <v>0</v>
      </c>
      <c r="AX208" s="35">
        <f>ROUND(F208*AP208,2)</f>
        <v>0</v>
      </c>
      <c r="AY208" s="64" t="s">
        <v>524</v>
      </c>
      <c r="AZ208" s="64" t="s">
        <v>525</v>
      </c>
      <c r="BA208" s="48" t="s">
        <v>330</v>
      </c>
      <c r="BC208" s="35">
        <f>AW208+AX208</f>
        <v>0</v>
      </c>
      <c r="BD208" s="35">
        <f>G208/(100-BE208)*100</f>
        <v>0</v>
      </c>
      <c r="BE208" s="35">
        <v>0</v>
      </c>
      <c r="BF208" s="35">
        <f>208</f>
        <v>208</v>
      </c>
      <c r="BH208" s="79">
        <f>F208*AO208</f>
        <v>0</v>
      </c>
      <c r="BI208" s="79">
        <f>F208*AP208</f>
        <v>0</v>
      </c>
      <c r="BJ208" s="79">
        <f>F208*G208</f>
        <v>0</v>
      </c>
      <c r="BK208" s="81" t="s">
        <v>464</v>
      </c>
      <c r="BL208" s="35">
        <v>771</v>
      </c>
      <c r="BW208" s="35">
        <v>12</v>
      </c>
      <c r="BX208" s="78" t="s">
        <v>566</v>
      </c>
    </row>
    <row r="209" spans="1:76" x14ac:dyDescent="0.25">
      <c r="A209" s="66"/>
      <c r="C209" s="67" t="s">
        <v>567</v>
      </c>
      <c r="D209" s="68" t="s">
        <v>10</v>
      </c>
      <c r="F209" s="69">
        <v>15.29167</v>
      </c>
      <c r="K209" s="70"/>
    </row>
    <row r="210" spans="1:76" x14ac:dyDescent="0.25">
      <c r="A210" s="66"/>
      <c r="C210" s="67" t="s">
        <v>568</v>
      </c>
      <c r="D210" s="68" t="s">
        <v>10</v>
      </c>
      <c r="F210" s="69">
        <v>1.5291699999999999</v>
      </c>
      <c r="K210" s="70"/>
    </row>
    <row r="211" spans="1:76" x14ac:dyDescent="0.25">
      <c r="A211" s="1" t="s">
        <v>569</v>
      </c>
      <c r="B211" s="2" t="s">
        <v>570</v>
      </c>
      <c r="C211" s="86" t="s">
        <v>571</v>
      </c>
      <c r="D211" s="87"/>
      <c r="E211" s="2" t="s">
        <v>224</v>
      </c>
      <c r="F211" s="35">
        <v>35.575000000000003</v>
      </c>
      <c r="G211" s="35">
        <v>0</v>
      </c>
      <c r="H211" s="35">
        <f>ROUND(F211*AO211,2)</f>
        <v>0</v>
      </c>
      <c r="I211" s="35">
        <f>ROUND(F211*AP211,2)</f>
        <v>0</v>
      </c>
      <c r="J211" s="35">
        <f>ROUND(F211*G211,2)</f>
        <v>0</v>
      </c>
      <c r="K211" s="63" t="s">
        <v>203</v>
      </c>
      <c r="Z211" s="35">
        <f>ROUND(IF(AQ211="5",BJ211,0),2)</f>
        <v>0</v>
      </c>
      <c r="AB211" s="35">
        <f>ROUND(IF(AQ211="1",BH211,0),2)</f>
        <v>0</v>
      </c>
      <c r="AC211" s="35">
        <f>ROUND(IF(AQ211="1",BI211,0),2)</f>
        <v>0</v>
      </c>
      <c r="AD211" s="35">
        <f>ROUND(IF(AQ211="7",BH211,0),2)</f>
        <v>0</v>
      </c>
      <c r="AE211" s="35">
        <f>ROUND(IF(AQ211="7",BI211,0),2)</f>
        <v>0</v>
      </c>
      <c r="AF211" s="35">
        <f>ROUND(IF(AQ211="2",BH211,0),2)</f>
        <v>0</v>
      </c>
      <c r="AG211" s="35">
        <f>ROUND(IF(AQ211="2",BI211,0),2)</f>
        <v>0</v>
      </c>
      <c r="AH211" s="35">
        <f>ROUND(IF(AQ211="0",BJ211,0),2)</f>
        <v>0</v>
      </c>
      <c r="AI211" s="48" t="s">
        <v>83</v>
      </c>
      <c r="AJ211" s="35">
        <f>IF(AN211=0,J211,0)</f>
        <v>0</v>
      </c>
      <c r="AK211" s="35">
        <f>IF(AN211=12,J211,0)</f>
        <v>0</v>
      </c>
      <c r="AL211" s="35">
        <f>IF(AN211=21,J211,0)</f>
        <v>0</v>
      </c>
      <c r="AN211" s="35">
        <v>12</v>
      </c>
      <c r="AO211" s="35">
        <f>G211*0.445197503</f>
        <v>0</v>
      </c>
      <c r="AP211" s="35">
        <f>G211*(1-0.445197503)</f>
        <v>0</v>
      </c>
      <c r="AQ211" s="64" t="s">
        <v>204</v>
      </c>
      <c r="AV211" s="35">
        <f>ROUND(AW211+AX211,2)</f>
        <v>0</v>
      </c>
      <c r="AW211" s="35">
        <f>ROUND(F211*AO211,2)</f>
        <v>0</v>
      </c>
      <c r="AX211" s="35">
        <f>ROUND(F211*AP211,2)</f>
        <v>0</v>
      </c>
      <c r="AY211" s="64" t="s">
        <v>524</v>
      </c>
      <c r="AZ211" s="64" t="s">
        <v>525</v>
      </c>
      <c r="BA211" s="48" t="s">
        <v>330</v>
      </c>
      <c r="BB211" s="65">
        <v>100022</v>
      </c>
      <c r="BC211" s="35">
        <f>AW211+AX211</f>
        <v>0</v>
      </c>
      <c r="BD211" s="35">
        <f>G211/(100-BE211)*100</f>
        <v>0</v>
      </c>
      <c r="BE211" s="35">
        <v>0</v>
      </c>
      <c r="BF211" s="35">
        <f>211</f>
        <v>211</v>
      </c>
      <c r="BH211" s="35">
        <f>F211*AO211</f>
        <v>0</v>
      </c>
      <c r="BI211" s="35">
        <f>F211*AP211</f>
        <v>0</v>
      </c>
      <c r="BJ211" s="35">
        <f>F211*G211</f>
        <v>0</v>
      </c>
      <c r="BK211" s="64" t="s">
        <v>208</v>
      </c>
      <c r="BL211" s="35">
        <v>771</v>
      </c>
      <c r="BW211" s="35">
        <v>12</v>
      </c>
      <c r="BX211" s="3" t="s">
        <v>571</v>
      </c>
    </row>
    <row r="212" spans="1:76" x14ac:dyDescent="0.25">
      <c r="A212" s="66"/>
      <c r="C212" s="67" t="s">
        <v>572</v>
      </c>
      <c r="D212" s="68" t="s">
        <v>10</v>
      </c>
      <c r="F212" s="69">
        <v>35.575000000000003</v>
      </c>
      <c r="K212" s="70"/>
    </row>
    <row r="213" spans="1:76" x14ac:dyDescent="0.25">
      <c r="A213" s="1" t="s">
        <v>573</v>
      </c>
      <c r="B213" s="2" t="s">
        <v>574</v>
      </c>
      <c r="C213" s="86" t="s">
        <v>575</v>
      </c>
      <c r="D213" s="87"/>
      <c r="E213" s="2" t="s">
        <v>202</v>
      </c>
      <c r="F213" s="35">
        <v>1.9</v>
      </c>
      <c r="G213" s="35">
        <v>0</v>
      </c>
      <c r="H213" s="35">
        <f>ROUND(F213*AO213,2)</f>
        <v>0</v>
      </c>
      <c r="I213" s="35">
        <f>ROUND(F213*AP213,2)</f>
        <v>0</v>
      </c>
      <c r="J213" s="35">
        <f>ROUND(F213*G213,2)</f>
        <v>0</v>
      </c>
      <c r="K213" s="63" t="s">
        <v>203</v>
      </c>
      <c r="Z213" s="35">
        <f>ROUND(IF(AQ213="5",BJ213,0),2)</f>
        <v>0</v>
      </c>
      <c r="AB213" s="35">
        <f>ROUND(IF(AQ213="1",BH213,0),2)</f>
        <v>0</v>
      </c>
      <c r="AC213" s="35">
        <f>ROUND(IF(AQ213="1",BI213,0),2)</f>
        <v>0</v>
      </c>
      <c r="AD213" s="35">
        <f>ROUND(IF(AQ213="7",BH213,0),2)</f>
        <v>0</v>
      </c>
      <c r="AE213" s="35">
        <f>ROUND(IF(AQ213="7",BI213,0),2)</f>
        <v>0</v>
      </c>
      <c r="AF213" s="35">
        <f>ROUND(IF(AQ213="2",BH213,0),2)</f>
        <v>0</v>
      </c>
      <c r="AG213" s="35">
        <f>ROUND(IF(AQ213="2",BI213,0),2)</f>
        <v>0</v>
      </c>
      <c r="AH213" s="35">
        <f>ROUND(IF(AQ213="0",BJ213,0),2)</f>
        <v>0</v>
      </c>
      <c r="AI213" s="48" t="s">
        <v>83</v>
      </c>
      <c r="AJ213" s="35">
        <f>IF(AN213=0,J213,0)</f>
        <v>0</v>
      </c>
      <c r="AK213" s="35">
        <f>IF(AN213=12,J213,0)</f>
        <v>0</v>
      </c>
      <c r="AL213" s="35">
        <f>IF(AN213=21,J213,0)</f>
        <v>0</v>
      </c>
      <c r="AN213" s="35">
        <v>12</v>
      </c>
      <c r="AO213" s="35">
        <f>G213*0</f>
        <v>0</v>
      </c>
      <c r="AP213" s="35">
        <f>G213*(1-0)</f>
        <v>0</v>
      </c>
      <c r="AQ213" s="64" t="s">
        <v>204</v>
      </c>
      <c r="AV213" s="35">
        <f>ROUND(AW213+AX213,2)</f>
        <v>0</v>
      </c>
      <c r="AW213" s="35">
        <f>ROUND(F213*AO213,2)</f>
        <v>0</v>
      </c>
      <c r="AX213" s="35">
        <f>ROUND(F213*AP213,2)</f>
        <v>0</v>
      </c>
      <c r="AY213" s="64" t="s">
        <v>524</v>
      </c>
      <c r="AZ213" s="64" t="s">
        <v>525</v>
      </c>
      <c r="BA213" s="48" t="s">
        <v>330</v>
      </c>
      <c r="BB213" s="65">
        <v>100022</v>
      </c>
      <c r="BC213" s="35">
        <f>AW213+AX213</f>
        <v>0</v>
      </c>
      <c r="BD213" s="35">
        <f>G213/(100-BE213)*100</f>
        <v>0</v>
      </c>
      <c r="BE213" s="35">
        <v>0</v>
      </c>
      <c r="BF213" s="35">
        <f>213</f>
        <v>213</v>
      </c>
      <c r="BH213" s="35">
        <f>F213*AO213</f>
        <v>0</v>
      </c>
      <c r="BI213" s="35">
        <f>F213*AP213</f>
        <v>0</v>
      </c>
      <c r="BJ213" s="35">
        <f>F213*G213</f>
        <v>0</v>
      </c>
      <c r="BK213" s="64" t="s">
        <v>208</v>
      </c>
      <c r="BL213" s="35">
        <v>771</v>
      </c>
      <c r="BW213" s="35">
        <v>12</v>
      </c>
      <c r="BX213" s="3" t="s">
        <v>575</v>
      </c>
    </row>
    <row r="214" spans="1:76" x14ac:dyDescent="0.25">
      <c r="A214" s="66"/>
      <c r="C214" s="67" t="s">
        <v>576</v>
      </c>
      <c r="D214" s="68" t="s">
        <v>10</v>
      </c>
      <c r="F214" s="69">
        <v>1.9</v>
      </c>
      <c r="K214" s="70"/>
    </row>
    <row r="215" spans="1:76" x14ac:dyDescent="0.25">
      <c r="A215" s="59" t="s">
        <v>10</v>
      </c>
      <c r="B215" s="60" t="s">
        <v>122</v>
      </c>
      <c r="C215" s="177" t="s">
        <v>123</v>
      </c>
      <c r="D215" s="178"/>
      <c r="E215" s="61" t="s">
        <v>74</v>
      </c>
      <c r="F215" s="61" t="s">
        <v>74</v>
      </c>
      <c r="G215" s="61" t="s">
        <v>74</v>
      </c>
      <c r="H215" s="42">
        <f>SUM(H216:H240)</f>
        <v>0</v>
      </c>
      <c r="I215" s="42">
        <f>SUM(I216:I240)</f>
        <v>0</v>
      </c>
      <c r="J215" s="42">
        <f>SUM(J216:J240)</f>
        <v>0</v>
      </c>
      <c r="K215" s="62" t="s">
        <v>10</v>
      </c>
      <c r="AI215" s="48" t="s">
        <v>83</v>
      </c>
      <c r="AS215" s="42">
        <f>SUM(AJ216:AJ240)</f>
        <v>0</v>
      </c>
      <c r="AT215" s="42">
        <f>SUM(AK216:AK240)</f>
        <v>0</v>
      </c>
      <c r="AU215" s="42">
        <f>SUM(AL216:AL240)</f>
        <v>0</v>
      </c>
    </row>
    <row r="216" spans="1:76" x14ac:dyDescent="0.25">
      <c r="A216" s="1" t="s">
        <v>577</v>
      </c>
      <c r="B216" s="2" t="s">
        <v>578</v>
      </c>
      <c r="C216" s="86" t="s">
        <v>579</v>
      </c>
      <c r="D216" s="87"/>
      <c r="E216" s="2" t="s">
        <v>202</v>
      </c>
      <c r="F216" s="35">
        <v>59.11</v>
      </c>
      <c r="G216" s="35">
        <v>0</v>
      </c>
      <c r="H216" s="35">
        <f>ROUND(F216*AO216,2)</f>
        <v>0</v>
      </c>
      <c r="I216" s="35">
        <f>ROUND(F216*AP216,2)</f>
        <v>0</v>
      </c>
      <c r="J216" s="35">
        <f>ROUND(F216*G216,2)</f>
        <v>0</v>
      </c>
      <c r="K216" s="63" t="s">
        <v>203</v>
      </c>
      <c r="Z216" s="35">
        <f>ROUND(IF(AQ216="5",BJ216,0),2)</f>
        <v>0</v>
      </c>
      <c r="AB216" s="35">
        <f>ROUND(IF(AQ216="1",BH216,0),2)</f>
        <v>0</v>
      </c>
      <c r="AC216" s="35">
        <f>ROUND(IF(AQ216="1",BI216,0),2)</f>
        <v>0</v>
      </c>
      <c r="AD216" s="35">
        <f>ROUND(IF(AQ216="7",BH216,0),2)</f>
        <v>0</v>
      </c>
      <c r="AE216" s="35">
        <f>ROUND(IF(AQ216="7",BI216,0),2)</f>
        <v>0</v>
      </c>
      <c r="AF216" s="35">
        <f>ROUND(IF(AQ216="2",BH216,0),2)</f>
        <v>0</v>
      </c>
      <c r="AG216" s="35">
        <f>ROUND(IF(AQ216="2",BI216,0),2)</f>
        <v>0</v>
      </c>
      <c r="AH216" s="35">
        <f>ROUND(IF(AQ216="0",BJ216,0),2)</f>
        <v>0</v>
      </c>
      <c r="AI216" s="48" t="s">
        <v>83</v>
      </c>
      <c r="AJ216" s="35">
        <f>IF(AN216=0,J216,0)</f>
        <v>0</v>
      </c>
      <c r="AK216" s="35">
        <f>IF(AN216=12,J216,0)</f>
        <v>0</v>
      </c>
      <c r="AL216" s="35">
        <f>IF(AN216=21,J216,0)</f>
        <v>0</v>
      </c>
      <c r="AN216" s="35">
        <v>12</v>
      </c>
      <c r="AO216" s="35">
        <f>G216*0.4225338</f>
        <v>0</v>
      </c>
      <c r="AP216" s="35">
        <f>G216*(1-0.4225338)</f>
        <v>0</v>
      </c>
      <c r="AQ216" s="64" t="s">
        <v>204</v>
      </c>
      <c r="AV216" s="35">
        <f>ROUND(AW216+AX216,2)</f>
        <v>0</v>
      </c>
      <c r="AW216" s="35">
        <f>ROUND(F216*AO216,2)</f>
        <v>0</v>
      </c>
      <c r="AX216" s="35">
        <f>ROUND(F216*AP216,2)</f>
        <v>0</v>
      </c>
      <c r="AY216" s="64" t="s">
        <v>580</v>
      </c>
      <c r="AZ216" s="64" t="s">
        <v>581</v>
      </c>
      <c r="BA216" s="48" t="s">
        <v>330</v>
      </c>
      <c r="BB216" s="65">
        <v>100021</v>
      </c>
      <c r="BC216" s="35">
        <f>AW216+AX216</f>
        <v>0</v>
      </c>
      <c r="BD216" s="35">
        <f>G216/(100-BE216)*100</f>
        <v>0</v>
      </c>
      <c r="BE216" s="35">
        <v>0</v>
      </c>
      <c r="BF216" s="35">
        <f>216</f>
        <v>216</v>
      </c>
      <c r="BH216" s="35">
        <f>F216*AO216</f>
        <v>0</v>
      </c>
      <c r="BI216" s="35">
        <f>F216*AP216</f>
        <v>0</v>
      </c>
      <c r="BJ216" s="35">
        <f>F216*G216</f>
        <v>0</v>
      </c>
      <c r="BK216" s="64" t="s">
        <v>208</v>
      </c>
      <c r="BL216" s="35">
        <v>781</v>
      </c>
      <c r="BW216" s="35">
        <v>12</v>
      </c>
      <c r="BX216" s="3" t="s">
        <v>579</v>
      </c>
    </row>
    <row r="217" spans="1:76" x14ac:dyDescent="0.25">
      <c r="A217" s="66"/>
      <c r="C217" s="67" t="s">
        <v>582</v>
      </c>
      <c r="D217" s="68" t="s">
        <v>583</v>
      </c>
      <c r="F217" s="69">
        <v>65.701999999999998</v>
      </c>
      <c r="K217" s="70"/>
    </row>
    <row r="218" spans="1:76" x14ac:dyDescent="0.25">
      <c r="A218" s="66"/>
      <c r="C218" s="67" t="s">
        <v>584</v>
      </c>
      <c r="D218" s="68" t="s">
        <v>585</v>
      </c>
      <c r="F218" s="69">
        <v>0.4</v>
      </c>
      <c r="K218" s="70"/>
    </row>
    <row r="219" spans="1:76" x14ac:dyDescent="0.25">
      <c r="A219" s="66"/>
      <c r="C219" s="67" t="s">
        <v>392</v>
      </c>
      <c r="D219" s="68" t="s">
        <v>586</v>
      </c>
      <c r="F219" s="69">
        <v>-5.6</v>
      </c>
      <c r="K219" s="70"/>
    </row>
    <row r="220" spans="1:76" x14ac:dyDescent="0.25">
      <c r="A220" s="66"/>
      <c r="C220" s="67" t="s">
        <v>373</v>
      </c>
      <c r="D220" s="68" t="s">
        <v>587</v>
      </c>
      <c r="F220" s="69">
        <v>-1.8</v>
      </c>
      <c r="K220" s="70"/>
    </row>
    <row r="221" spans="1:76" x14ac:dyDescent="0.25">
      <c r="A221" s="66"/>
      <c r="C221" s="67" t="s">
        <v>588</v>
      </c>
      <c r="D221" s="68" t="s">
        <v>589</v>
      </c>
      <c r="F221" s="69">
        <v>0.40799999999999997</v>
      </c>
      <c r="K221" s="70"/>
    </row>
    <row r="222" spans="1:76" x14ac:dyDescent="0.25">
      <c r="A222" s="1" t="s">
        <v>590</v>
      </c>
      <c r="B222" s="2" t="s">
        <v>591</v>
      </c>
      <c r="C222" s="86" t="s">
        <v>592</v>
      </c>
      <c r="D222" s="87"/>
      <c r="E222" s="2" t="s">
        <v>224</v>
      </c>
      <c r="F222" s="35">
        <v>3.7</v>
      </c>
      <c r="G222" s="35">
        <v>0</v>
      </c>
      <c r="H222" s="35">
        <f>ROUND(F222*AO222,2)</f>
        <v>0</v>
      </c>
      <c r="I222" s="35">
        <f>ROUND(F222*AP222,2)</f>
        <v>0</v>
      </c>
      <c r="J222" s="35">
        <f>ROUND(F222*G222,2)</f>
        <v>0</v>
      </c>
      <c r="K222" s="63" t="s">
        <v>203</v>
      </c>
      <c r="Z222" s="35">
        <f>ROUND(IF(AQ222="5",BJ222,0),2)</f>
        <v>0</v>
      </c>
      <c r="AB222" s="35">
        <f>ROUND(IF(AQ222="1",BH222,0),2)</f>
        <v>0</v>
      </c>
      <c r="AC222" s="35">
        <f>ROUND(IF(AQ222="1",BI222,0),2)</f>
        <v>0</v>
      </c>
      <c r="AD222" s="35">
        <f>ROUND(IF(AQ222="7",BH222,0),2)</f>
        <v>0</v>
      </c>
      <c r="AE222" s="35">
        <f>ROUND(IF(AQ222="7",BI222,0),2)</f>
        <v>0</v>
      </c>
      <c r="AF222" s="35">
        <f>ROUND(IF(AQ222="2",BH222,0),2)</f>
        <v>0</v>
      </c>
      <c r="AG222" s="35">
        <f>ROUND(IF(AQ222="2",BI222,0),2)</f>
        <v>0</v>
      </c>
      <c r="AH222" s="35">
        <f>ROUND(IF(AQ222="0",BJ222,0),2)</f>
        <v>0</v>
      </c>
      <c r="AI222" s="48" t="s">
        <v>83</v>
      </c>
      <c r="AJ222" s="35">
        <f>IF(AN222=0,J222,0)</f>
        <v>0</v>
      </c>
      <c r="AK222" s="35">
        <f>IF(AN222=12,J222,0)</f>
        <v>0</v>
      </c>
      <c r="AL222" s="35">
        <f>IF(AN222=21,J222,0)</f>
        <v>0</v>
      </c>
      <c r="AN222" s="35">
        <v>12</v>
      </c>
      <c r="AO222" s="35">
        <f>G222*0.203085522</f>
        <v>0</v>
      </c>
      <c r="AP222" s="35">
        <f>G222*(1-0.203085522)</f>
        <v>0</v>
      </c>
      <c r="AQ222" s="64" t="s">
        <v>204</v>
      </c>
      <c r="AV222" s="35">
        <f>ROUND(AW222+AX222,2)</f>
        <v>0</v>
      </c>
      <c r="AW222" s="35">
        <f>ROUND(F222*AO222,2)</f>
        <v>0</v>
      </c>
      <c r="AX222" s="35">
        <f>ROUND(F222*AP222,2)</f>
        <v>0</v>
      </c>
      <c r="AY222" s="64" t="s">
        <v>580</v>
      </c>
      <c r="AZ222" s="64" t="s">
        <v>581</v>
      </c>
      <c r="BA222" s="48" t="s">
        <v>330</v>
      </c>
      <c r="BB222" s="65">
        <v>100021</v>
      </c>
      <c r="BC222" s="35">
        <f>AW222+AX222</f>
        <v>0</v>
      </c>
      <c r="BD222" s="35">
        <f>G222/(100-BE222)*100</f>
        <v>0</v>
      </c>
      <c r="BE222" s="35">
        <v>0</v>
      </c>
      <c r="BF222" s="35">
        <f>222</f>
        <v>222</v>
      </c>
      <c r="BH222" s="35">
        <f>F222*AO222</f>
        <v>0</v>
      </c>
      <c r="BI222" s="35">
        <f>F222*AP222</f>
        <v>0</v>
      </c>
      <c r="BJ222" s="35">
        <f>F222*G222</f>
        <v>0</v>
      </c>
      <c r="BK222" s="64" t="s">
        <v>208</v>
      </c>
      <c r="BL222" s="35">
        <v>781</v>
      </c>
      <c r="BW222" s="35">
        <v>12</v>
      </c>
      <c r="BX222" s="3" t="s">
        <v>592</v>
      </c>
    </row>
    <row r="223" spans="1:76" ht="13.5" customHeight="1" x14ac:dyDescent="0.25">
      <c r="A223" s="66"/>
      <c r="C223" s="180" t="s">
        <v>593</v>
      </c>
      <c r="D223" s="181"/>
      <c r="E223" s="181"/>
      <c r="F223" s="181"/>
      <c r="G223" s="181"/>
      <c r="H223" s="181"/>
      <c r="I223" s="181"/>
      <c r="J223" s="181"/>
      <c r="K223" s="182"/>
    </row>
    <row r="224" spans="1:76" x14ac:dyDescent="0.25">
      <c r="A224" s="66"/>
      <c r="C224" s="67" t="s">
        <v>594</v>
      </c>
      <c r="D224" s="68" t="s">
        <v>589</v>
      </c>
      <c r="F224" s="69">
        <v>3.7</v>
      </c>
      <c r="K224" s="70"/>
    </row>
    <row r="225" spans="1:76" x14ac:dyDescent="0.25">
      <c r="A225" s="1" t="s">
        <v>595</v>
      </c>
      <c r="B225" s="2" t="s">
        <v>596</v>
      </c>
      <c r="C225" s="86" t="s">
        <v>597</v>
      </c>
      <c r="D225" s="87"/>
      <c r="E225" s="2" t="s">
        <v>202</v>
      </c>
      <c r="F225" s="35">
        <v>59.91</v>
      </c>
      <c r="G225" s="35">
        <v>0</v>
      </c>
      <c r="H225" s="35">
        <f>ROUND(F225*AO225,2)</f>
        <v>0</v>
      </c>
      <c r="I225" s="35">
        <f>ROUND(F225*AP225,2)</f>
        <v>0</v>
      </c>
      <c r="J225" s="35">
        <f>ROUND(F225*G225,2)</f>
        <v>0</v>
      </c>
      <c r="K225" s="63" t="s">
        <v>203</v>
      </c>
      <c r="Z225" s="35">
        <f>ROUND(IF(AQ225="5",BJ225,0),2)</f>
        <v>0</v>
      </c>
      <c r="AB225" s="35">
        <f>ROUND(IF(AQ225="1",BH225,0),2)</f>
        <v>0</v>
      </c>
      <c r="AC225" s="35">
        <f>ROUND(IF(AQ225="1",BI225,0),2)</f>
        <v>0</v>
      </c>
      <c r="AD225" s="35">
        <f>ROUND(IF(AQ225="7",BH225,0),2)</f>
        <v>0</v>
      </c>
      <c r="AE225" s="35">
        <f>ROUND(IF(AQ225="7",BI225,0),2)</f>
        <v>0</v>
      </c>
      <c r="AF225" s="35">
        <f>ROUND(IF(AQ225="2",BH225,0),2)</f>
        <v>0</v>
      </c>
      <c r="AG225" s="35">
        <f>ROUND(IF(AQ225="2",BI225,0),2)</f>
        <v>0</v>
      </c>
      <c r="AH225" s="35">
        <f>ROUND(IF(AQ225="0",BJ225,0),2)</f>
        <v>0</v>
      </c>
      <c r="AI225" s="48" t="s">
        <v>83</v>
      </c>
      <c r="AJ225" s="35">
        <f>IF(AN225=0,J225,0)</f>
        <v>0</v>
      </c>
      <c r="AK225" s="35">
        <f>IF(AN225=12,J225,0)</f>
        <v>0</v>
      </c>
      <c r="AL225" s="35">
        <f>IF(AN225=21,J225,0)</f>
        <v>0</v>
      </c>
      <c r="AN225" s="35">
        <v>12</v>
      </c>
      <c r="AO225" s="35">
        <f>G225*0.282329421</f>
        <v>0</v>
      </c>
      <c r="AP225" s="35">
        <f>G225*(1-0.282329421)</f>
        <v>0</v>
      </c>
      <c r="AQ225" s="64" t="s">
        <v>204</v>
      </c>
      <c r="AV225" s="35">
        <f>ROUND(AW225+AX225,2)</f>
        <v>0</v>
      </c>
      <c r="AW225" s="35">
        <f>ROUND(F225*AO225,2)</f>
        <v>0</v>
      </c>
      <c r="AX225" s="35">
        <f>ROUND(F225*AP225,2)</f>
        <v>0</v>
      </c>
      <c r="AY225" s="64" t="s">
        <v>580</v>
      </c>
      <c r="AZ225" s="64" t="s">
        <v>581</v>
      </c>
      <c r="BA225" s="48" t="s">
        <v>330</v>
      </c>
      <c r="BB225" s="65">
        <v>100021</v>
      </c>
      <c r="BC225" s="35">
        <f>AW225+AX225</f>
        <v>0</v>
      </c>
      <c r="BD225" s="35">
        <f>G225/(100-BE225)*100</f>
        <v>0</v>
      </c>
      <c r="BE225" s="35">
        <v>0</v>
      </c>
      <c r="BF225" s="35">
        <f>225</f>
        <v>225</v>
      </c>
      <c r="BH225" s="35">
        <f>F225*AO225</f>
        <v>0</v>
      </c>
      <c r="BI225" s="35">
        <f>F225*AP225</f>
        <v>0</v>
      </c>
      <c r="BJ225" s="35">
        <f>F225*G225</f>
        <v>0</v>
      </c>
      <c r="BK225" s="64" t="s">
        <v>208</v>
      </c>
      <c r="BL225" s="35">
        <v>781</v>
      </c>
      <c r="BW225" s="35">
        <v>12</v>
      </c>
      <c r="BX225" s="3" t="s">
        <v>597</v>
      </c>
    </row>
    <row r="226" spans="1:76" ht="13.5" customHeight="1" x14ac:dyDescent="0.25">
      <c r="A226" s="66"/>
      <c r="C226" s="180" t="s">
        <v>598</v>
      </c>
      <c r="D226" s="181"/>
      <c r="E226" s="181"/>
      <c r="F226" s="181"/>
      <c r="G226" s="181"/>
      <c r="H226" s="181"/>
      <c r="I226" s="181"/>
      <c r="J226" s="181"/>
      <c r="K226" s="182"/>
    </row>
    <row r="227" spans="1:76" x14ac:dyDescent="0.25">
      <c r="A227" s="66"/>
      <c r="C227" s="67" t="s">
        <v>599</v>
      </c>
      <c r="D227" s="68" t="s">
        <v>10</v>
      </c>
      <c r="F227" s="69">
        <v>59.91</v>
      </c>
      <c r="K227" s="70"/>
    </row>
    <row r="228" spans="1:76" x14ac:dyDescent="0.25">
      <c r="A228" s="76" t="s">
        <v>600</v>
      </c>
      <c r="B228" s="77" t="s">
        <v>601</v>
      </c>
      <c r="C228" s="185" t="s">
        <v>602</v>
      </c>
      <c r="D228" s="186"/>
      <c r="E228" s="77" t="s">
        <v>202</v>
      </c>
      <c r="F228" s="79">
        <v>64.103700000000003</v>
      </c>
      <c r="G228" s="79">
        <v>0</v>
      </c>
      <c r="H228" s="79">
        <f>ROUND(F228*AO228,2)</f>
        <v>0</v>
      </c>
      <c r="I228" s="79">
        <f>ROUND(F228*AP228,2)</f>
        <v>0</v>
      </c>
      <c r="J228" s="79">
        <f>ROUND(F228*G228,2)</f>
        <v>0</v>
      </c>
      <c r="K228" s="80" t="s">
        <v>292</v>
      </c>
      <c r="Z228" s="35">
        <f>ROUND(IF(AQ228="5",BJ228,0),2)</f>
        <v>0</v>
      </c>
      <c r="AB228" s="35">
        <f>ROUND(IF(AQ228="1",BH228,0),2)</f>
        <v>0</v>
      </c>
      <c r="AC228" s="35">
        <f>ROUND(IF(AQ228="1",BI228,0),2)</f>
        <v>0</v>
      </c>
      <c r="AD228" s="35">
        <f>ROUND(IF(AQ228="7",BH228,0),2)</f>
        <v>0</v>
      </c>
      <c r="AE228" s="35">
        <f>ROUND(IF(AQ228="7",BI228,0),2)</f>
        <v>0</v>
      </c>
      <c r="AF228" s="35">
        <f>ROUND(IF(AQ228="2",BH228,0),2)</f>
        <v>0</v>
      </c>
      <c r="AG228" s="35">
        <f>ROUND(IF(AQ228="2",BI228,0),2)</f>
        <v>0</v>
      </c>
      <c r="AH228" s="35">
        <f>ROUND(IF(AQ228="0",BJ228,0),2)</f>
        <v>0</v>
      </c>
      <c r="AI228" s="48" t="s">
        <v>83</v>
      </c>
      <c r="AJ228" s="79">
        <f>IF(AN228=0,J228,0)</f>
        <v>0</v>
      </c>
      <c r="AK228" s="79">
        <f>IF(AN228=12,J228,0)</f>
        <v>0</v>
      </c>
      <c r="AL228" s="79">
        <f>IF(AN228=21,J228,0)</f>
        <v>0</v>
      </c>
      <c r="AN228" s="35">
        <v>12</v>
      </c>
      <c r="AO228" s="35">
        <f>G228*1</f>
        <v>0</v>
      </c>
      <c r="AP228" s="35">
        <f>G228*(1-1)</f>
        <v>0</v>
      </c>
      <c r="AQ228" s="81" t="s">
        <v>204</v>
      </c>
      <c r="AV228" s="35">
        <f>ROUND(AW228+AX228,2)</f>
        <v>0</v>
      </c>
      <c r="AW228" s="35">
        <f>ROUND(F228*AO228,2)</f>
        <v>0</v>
      </c>
      <c r="AX228" s="35">
        <f>ROUND(F228*AP228,2)</f>
        <v>0</v>
      </c>
      <c r="AY228" s="64" t="s">
        <v>580</v>
      </c>
      <c r="AZ228" s="64" t="s">
        <v>581</v>
      </c>
      <c r="BA228" s="48" t="s">
        <v>330</v>
      </c>
      <c r="BC228" s="35">
        <f>AW228+AX228</f>
        <v>0</v>
      </c>
      <c r="BD228" s="35">
        <f>G228/(100-BE228)*100</f>
        <v>0</v>
      </c>
      <c r="BE228" s="35">
        <v>0</v>
      </c>
      <c r="BF228" s="35">
        <f>228</f>
        <v>228</v>
      </c>
      <c r="BH228" s="79">
        <f>F228*AO228</f>
        <v>0</v>
      </c>
      <c r="BI228" s="79">
        <f>F228*AP228</f>
        <v>0</v>
      </c>
      <c r="BJ228" s="79">
        <f>F228*G228</f>
        <v>0</v>
      </c>
      <c r="BK228" s="81" t="s">
        <v>464</v>
      </c>
      <c r="BL228" s="35">
        <v>781</v>
      </c>
      <c r="BW228" s="35">
        <v>12</v>
      </c>
      <c r="BX228" s="78" t="s">
        <v>602</v>
      </c>
    </row>
    <row r="229" spans="1:76" x14ac:dyDescent="0.25">
      <c r="A229" s="66"/>
      <c r="C229" s="67" t="s">
        <v>599</v>
      </c>
      <c r="D229" s="68" t="s">
        <v>10</v>
      </c>
      <c r="F229" s="69">
        <v>59.91</v>
      </c>
      <c r="K229" s="70"/>
    </row>
    <row r="230" spans="1:76" x14ac:dyDescent="0.25">
      <c r="A230" s="66"/>
      <c r="C230" s="67" t="s">
        <v>603</v>
      </c>
      <c r="D230" s="68" t="s">
        <v>10</v>
      </c>
      <c r="F230" s="69">
        <v>4.1936999999999998</v>
      </c>
      <c r="K230" s="70"/>
    </row>
    <row r="231" spans="1:76" x14ac:dyDescent="0.25">
      <c r="A231" s="1" t="s">
        <v>604</v>
      </c>
      <c r="B231" s="2" t="s">
        <v>605</v>
      </c>
      <c r="C231" s="86" t="s">
        <v>606</v>
      </c>
      <c r="D231" s="87"/>
      <c r="E231" s="2" t="s">
        <v>202</v>
      </c>
      <c r="F231" s="35">
        <v>16.466000000000001</v>
      </c>
      <c r="G231" s="35">
        <v>0</v>
      </c>
      <c r="H231" s="35">
        <f>ROUND(F231*AO231,2)</f>
        <v>0</v>
      </c>
      <c r="I231" s="35">
        <f>ROUND(F231*AP231,2)</f>
        <v>0</v>
      </c>
      <c r="J231" s="35">
        <f>ROUND(F231*G231,2)</f>
        <v>0</v>
      </c>
      <c r="K231" s="63" t="s">
        <v>203</v>
      </c>
      <c r="Z231" s="35">
        <f>ROUND(IF(AQ231="5",BJ231,0),2)</f>
        <v>0</v>
      </c>
      <c r="AB231" s="35">
        <f>ROUND(IF(AQ231="1",BH231,0),2)</f>
        <v>0</v>
      </c>
      <c r="AC231" s="35">
        <f>ROUND(IF(AQ231="1",BI231,0),2)</f>
        <v>0</v>
      </c>
      <c r="AD231" s="35">
        <f>ROUND(IF(AQ231="7",BH231,0),2)</f>
        <v>0</v>
      </c>
      <c r="AE231" s="35">
        <f>ROUND(IF(AQ231="7",BI231,0),2)</f>
        <v>0</v>
      </c>
      <c r="AF231" s="35">
        <f>ROUND(IF(AQ231="2",BH231,0),2)</f>
        <v>0</v>
      </c>
      <c r="AG231" s="35">
        <f>ROUND(IF(AQ231="2",BI231,0),2)</f>
        <v>0</v>
      </c>
      <c r="AH231" s="35">
        <f>ROUND(IF(AQ231="0",BJ231,0),2)</f>
        <v>0</v>
      </c>
      <c r="AI231" s="48" t="s">
        <v>83</v>
      </c>
      <c r="AJ231" s="35">
        <f>IF(AN231=0,J231,0)</f>
        <v>0</v>
      </c>
      <c r="AK231" s="35">
        <f>IF(AN231=12,J231,0)</f>
        <v>0</v>
      </c>
      <c r="AL231" s="35">
        <f>IF(AN231=21,J231,0)</f>
        <v>0</v>
      </c>
      <c r="AN231" s="35">
        <v>12</v>
      </c>
      <c r="AO231" s="35">
        <f>G231*0</f>
        <v>0</v>
      </c>
      <c r="AP231" s="35">
        <f>G231*(1-0)</f>
        <v>0</v>
      </c>
      <c r="AQ231" s="64" t="s">
        <v>204</v>
      </c>
      <c r="AV231" s="35">
        <f>ROUND(AW231+AX231,2)</f>
        <v>0</v>
      </c>
      <c r="AW231" s="35">
        <f>ROUND(F231*AO231,2)</f>
        <v>0</v>
      </c>
      <c r="AX231" s="35">
        <f>ROUND(F231*AP231,2)</f>
        <v>0</v>
      </c>
      <c r="AY231" s="64" t="s">
        <v>580</v>
      </c>
      <c r="AZ231" s="64" t="s">
        <v>581</v>
      </c>
      <c r="BA231" s="48" t="s">
        <v>330</v>
      </c>
      <c r="BB231" s="65">
        <v>100021</v>
      </c>
      <c r="BC231" s="35">
        <f>AW231+AX231</f>
        <v>0</v>
      </c>
      <c r="BD231" s="35">
        <f>G231/(100-BE231)*100</f>
        <v>0</v>
      </c>
      <c r="BE231" s="35">
        <v>0</v>
      </c>
      <c r="BF231" s="35">
        <f>231</f>
        <v>231</v>
      </c>
      <c r="BH231" s="35">
        <f>F231*AO231</f>
        <v>0</v>
      </c>
      <c r="BI231" s="35">
        <f>F231*AP231</f>
        <v>0</v>
      </c>
      <c r="BJ231" s="35">
        <f>F231*G231</f>
        <v>0</v>
      </c>
      <c r="BK231" s="64" t="s">
        <v>208</v>
      </c>
      <c r="BL231" s="35">
        <v>781</v>
      </c>
      <c r="BW231" s="35">
        <v>12</v>
      </c>
      <c r="BX231" s="3" t="s">
        <v>606</v>
      </c>
    </row>
    <row r="232" spans="1:76" x14ac:dyDescent="0.25">
      <c r="A232" s="66"/>
      <c r="C232" s="67" t="s">
        <v>607</v>
      </c>
      <c r="D232" s="68" t="s">
        <v>10</v>
      </c>
      <c r="F232" s="69">
        <v>19.265999999999998</v>
      </c>
      <c r="K232" s="70"/>
    </row>
    <row r="233" spans="1:76" x14ac:dyDescent="0.25">
      <c r="A233" s="66"/>
      <c r="C233" s="67" t="s">
        <v>608</v>
      </c>
      <c r="D233" s="68" t="s">
        <v>10</v>
      </c>
      <c r="F233" s="69">
        <v>-2.8</v>
      </c>
      <c r="K233" s="70"/>
    </row>
    <row r="234" spans="1:76" x14ac:dyDescent="0.25">
      <c r="A234" s="1" t="s">
        <v>609</v>
      </c>
      <c r="B234" s="2" t="s">
        <v>610</v>
      </c>
      <c r="C234" s="86" t="s">
        <v>611</v>
      </c>
      <c r="D234" s="87"/>
      <c r="E234" s="2" t="s">
        <v>224</v>
      </c>
      <c r="F234" s="35">
        <v>66.88</v>
      </c>
      <c r="G234" s="35">
        <v>0</v>
      </c>
      <c r="H234" s="35">
        <f>ROUND(F234*AO234,2)</f>
        <v>0</v>
      </c>
      <c r="I234" s="35">
        <f>ROUND(F234*AP234,2)</f>
        <v>0</v>
      </c>
      <c r="J234" s="35">
        <f>ROUND(F234*G234,2)</f>
        <v>0</v>
      </c>
      <c r="K234" s="63" t="s">
        <v>203</v>
      </c>
      <c r="Z234" s="35">
        <f>ROUND(IF(AQ234="5",BJ234,0),2)</f>
        <v>0</v>
      </c>
      <c r="AB234" s="35">
        <f>ROUND(IF(AQ234="1",BH234,0),2)</f>
        <v>0</v>
      </c>
      <c r="AC234" s="35">
        <f>ROUND(IF(AQ234="1",BI234,0),2)</f>
        <v>0</v>
      </c>
      <c r="AD234" s="35">
        <f>ROUND(IF(AQ234="7",BH234,0),2)</f>
        <v>0</v>
      </c>
      <c r="AE234" s="35">
        <f>ROUND(IF(AQ234="7",BI234,0),2)</f>
        <v>0</v>
      </c>
      <c r="AF234" s="35">
        <f>ROUND(IF(AQ234="2",BH234,0),2)</f>
        <v>0</v>
      </c>
      <c r="AG234" s="35">
        <f>ROUND(IF(AQ234="2",BI234,0),2)</f>
        <v>0</v>
      </c>
      <c r="AH234" s="35">
        <f>ROUND(IF(AQ234="0",BJ234,0),2)</f>
        <v>0</v>
      </c>
      <c r="AI234" s="48" t="s">
        <v>83</v>
      </c>
      <c r="AJ234" s="35">
        <f>IF(AN234=0,J234,0)</f>
        <v>0</v>
      </c>
      <c r="AK234" s="35">
        <f>IF(AN234=12,J234,0)</f>
        <v>0</v>
      </c>
      <c r="AL234" s="35">
        <f>IF(AN234=21,J234,0)</f>
        <v>0</v>
      </c>
      <c r="AN234" s="35">
        <v>12</v>
      </c>
      <c r="AO234" s="35">
        <f>G234*0</f>
        <v>0</v>
      </c>
      <c r="AP234" s="35">
        <f>G234*(1-0)</f>
        <v>0</v>
      </c>
      <c r="AQ234" s="64" t="s">
        <v>204</v>
      </c>
      <c r="AV234" s="35">
        <f>ROUND(AW234+AX234,2)</f>
        <v>0</v>
      </c>
      <c r="AW234" s="35">
        <f>ROUND(F234*AO234,2)</f>
        <v>0</v>
      </c>
      <c r="AX234" s="35">
        <f>ROUND(F234*AP234,2)</f>
        <v>0</v>
      </c>
      <c r="AY234" s="64" t="s">
        <v>580</v>
      </c>
      <c r="AZ234" s="64" t="s">
        <v>581</v>
      </c>
      <c r="BA234" s="48" t="s">
        <v>330</v>
      </c>
      <c r="BB234" s="65">
        <v>100021</v>
      </c>
      <c r="BC234" s="35">
        <f>AW234+AX234</f>
        <v>0</v>
      </c>
      <c r="BD234" s="35">
        <f>G234/(100-BE234)*100</f>
        <v>0</v>
      </c>
      <c r="BE234" s="35">
        <v>0</v>
      </c>
      <c r="BF234" s="35">
        <f>234</f>
        <v>234</v>
      </c>
      <c r="BH234" s="35">
        <f>F234*AO234</f>
        <v>0</v>
      </c>
      <c r="BI234" s="35">
        <f>F234*AP234</f>
        <v>0</v>
      </c>
      <c r="BJ234" s="35">
        <f>F234*G234</f>
        <v>0</v>
      </c>
      <c r="BK234" s="64" t="s">
        <v>208</v>
      </c>
      <c r="BL234" s="35">
        <v>781</v>
      </c>
      <c r="BW234" s="35">
        <v>12</v>
      </c>
      <c r="BX234" s="3" t="s">
        <v>611</v>
      </c>
    </row>
    <row r="235" spans="1:76" ht="13.5" customHeight="1" x14ac:dyDescent="0.25">
      <c r="A235" s="66"/>
      <c r="C235" s="180" t="s">
        <v>612</v>
      </c>
      <c r="D235" s="181"/>
      <c r="E235" s="181"/>
      <c r="F235" s="181"/>
      <c r="G235" s="181"/>
      <c r="H235" s="181"/>
      <c r="I235" s="181"/>
      <c r="J235" s="181"/>
      <c r="K235" s="182"/>
    </row>
    <row r="236" spans="1:76" x14ac:dyDescent="0.25">
      <c r="A236" s="66"/>
      <c r="C236" s="67" t="s">
        <v>613</v>
      </c>
      <c r="D236" s="68" t="s">
        <v>10</v>
      </c>
      <c r="F236" s="69">
        <v>66.88</v>
      </c>
      <c r="K236" s="70"/>
    </row>
    <row r="237" spans="1:76" x14ac:dyDescent="0.25">
      <c r="A237" s="76" t="s">
        <v>614</v>
      </c>
      <c r="B237" s="77" t="s">
        <v>615</v>
      </c>
      <c r="C237" s="185" t="s">
        <v>616</v>
      </c>
      <c r="D237" s="186"/>
      <c r="E237" s="77" t="s">
        <v>252</v>
      </c>
      <c r="F237" s="79">
        <v>3.496</v>
      </c>
      <c r="G237" s="79">
        <v>0</v>
      </c>
      <c r="H237" s="79">
        <f>ROUND(F237*AO237,2)</f>
        <v>0</v>
      </c>
      <c r="I237" s="79">
        <f>ROUND(F237*AP237,2)</f>
        <v>0</v>
      </c>
      <c r="J237" s="79">
        <f>ROUND(F237*G237,2)</f>
        <v>0</v>
      </c>
      <c r="K237" s="80" t="s">
        <v>203</v>
      </c>
      <c r="Z237" s="35">
        <f>ROUND(IF(AQ237="5",BJ237,0),2)</f>
        <v>0</v>
      </c>
      <c r="AB237" s="35">
        <f>ROUND(IF(AQ237="1",BH237,0),2)</f>
        <v>0</v>
      </c>
      <c r="AC237" s="35">
        <f>ROUND(IF(AQ237="1",BI237,0),2)</f>
        <v>0</v>
      </c>
      <c r="AD237" s="35">
        <f>ROUND(IF(AQ237="7",BH237,0),2)</f>
        <v>0</v>
      </c>
      <c r="AE237" s="35">
        <f>ROUND(IF(AQ237="7",BI237,0),2)</f>
        <v>0</v>
      </c>
      <c r="AF237" s="35">
        <f>ROUND(IF(AQ237="2",BH237,0),2)</f>
        <v>0</v>
      </c>
      <c r="AG237" s="35">
        <f>ROUND(IF(AQ237="2",BI237,0),2)</f>
        <v>0</v>
      </c>
      <c r="AH237" s="35">
        <f>ROUND(IF(AQ237="0",BJ237,0),2)</f>
        <v>0</v>
      </c>
      <c r="AI237" s="48" t="s">
        <v>83</v>
      </c>
      <c r="AJ237" s="79">
        <f>IF(AN237=0,J237,0)</f>
        <v>0</v>
      </c>
      <c r="AK237" s="79">
        <f>IF(AN237=12,J237,0)</f>
        <v>0</v>
      </c>
      <c r="AL237" s="79">
        <f>IF(AN237=21,J237,0)</f>
        <v>0</v>
      </c>
      <c r="AN237" s="35">
        <v>12</v>
      </c>
      <c r="AO237" s="35">
        <f>G237*1</f>
        <v>0</v>
      </c>
      <c r="AP237" s="35">
        <f>G237*(1-1)</f>
        <v>0</v>
      </c>
      <c r="AQ237" s="81" t="s">
        <v>204</v>
      </c>
      <c r="AV237" s="35">
        <f>ROUND(AW237+AX237,2)</f>
        <v>0</v>
      </c>
      <c r="AW237" s="35">
        <f>ROUND(F237*AO237,2)</f>
        <v>0</v>
      </c>
      <c r="AX237" s="35">
        <f>ROUND(F237*AP237,2)</f>
        <v>0</v>
      </c>
      <c r="AY237" s="64" t="s">
        <v>580</v>
      </c>
      <c r="AZ237" s="64" t="s">
        <v>581</v>
      </c>
      <c r="BA237" s="48" t="s">
        <v>330</v>
      </c>
      <c r="BC237" s="35">
        <f>AW237+AX237</f>
        <v>0</v>
      </c>
      <c r="BD237" s="35">
        <f>G237/(100-BE237)*100</f>
        <v>0</v>
      </c>
      <c r="BE237" s="35">
        <v>0</v>
      </c>
      <c r="BF237" s="35">
        <f>237</f>
        <v>237</v>
      </c>
      <c r="BH237" s="79">
        <f>F237*AO237</f>
        <v>0</v>
      </c>
      <c r="BI237" s="79">
        <f>F237*AP237</f>
        <v>0</v>
      </c>
      <c r="BJ237" s="79">
        <f>F237*G237</f>
        <v>0</v>
      </c>
      <c r="BK237" s="81" t="s">
        <v>464</v>
      </c>
      <c r="BL237" s="35">
        <v>781</v>
      </c>
      <c r="BW237" s="35">
        <v>12</v>
      </c>
      <c r="BX237" s="78" t="s">
        <v>616</v>
      </c>
    </row>
    <row r="238" spans="1:76" x14ac:dyDescent="0.25">
      <c r="A238" s="66"/>
      <c r="C238" s="67" t="s">
        <v>617</v>
      </c>
      <c r="D238" s="68" t="s">
        <v>10</v>
      </c>
      <c r="F238" s="69">
        <v>3.04</v>
      </c>
      <c r="K238" s="70"/>
    </row>
    <row r="239" spans="1:76" x14ac:dyDescent="0.25">
      <c r="A239" s="66"/>
      <c r="C239" s="67" t="s">
        <v>618</v>
      </c>
      <c r="D239" s="68" t="s">
        <v>10</v>
      </c>
      <c r="F239" s="69">
        <v>0.45600000000000002</v>
      </c>
      <c r="K239" s="70"/>
    </row>
    <row r="240" spans="1:76" x14ac:dyDescent="0.25">
      <c r="A240" s="76" t="s">
        <v>619</v>
      </c>
      <c r="B240" s="77" t="s">
        <v>620</v>
      </c>
      <c r="C240" s="185" t="s">
        <v>621</v>
      </c>
      <c r="D240" s="186"/>
      <c r="E240" s="77" t="s">
        <v>252</v>
      </c>
      <c r="F240" s="79">
        <v>27.268799999999999</v>
      </c>
      <c r="G240" s="79">
        <v>0</v>
      </c>
      <c r="H240" s="79">
        <f>ROUND(F240*AO240,2)</f>
        <v>0</v>
      </c>
      <c r="I240" s="79">
        <f>ROUND(F240*AP240,2)</f>
        <v>0</v>
      </c>
      <c r="J240" s="79">
        <f>ROUND(F240*G240,2)</f>
        <v>0</v>
      </c>
      <c r="K240" s="80" t="s">
        <v>203</v>
      </c>
      <c r="Z240" s="35">
        <f>ROUND(IF(AQ240="5",BJ240,0),2)</f>
        <v>0</v>
      </c>
      <c r="AB240" s="35">
        <f>ROUND(IF(AQ240="1",BH240,0),2)</f>
        <v>0</v>
      </c>
      <c r="AC240" s="35">
        <f>ROUND(IF(AQ240="1",BI240,0),2)</f>
        <v>0</v>
      </c>
      <c r="AD240" s="35">
        <f>ROUND(IF(AQ240="7",BH240,0),2)</f>
        <v>0</v>
      </c>
      <c r="AE240" s="35">
        <f>ROUND(IF(AQ240="7",BI240,0),2)</f>
        <v>0</v>
      </c>
      <c r="AF240" s="35">
        <f>ROUND(IF(AQ240="2",BH240,0),2)</f>
        <v>0</v>
      </c>
      <c r="AG240" s="35">
        <f>ROUND(IF(AQ240="2",BI240,0),2)</f>
        <v>0</v>
      </c>
      <c r="AH240" s="35">
        <f>ROUND(IF(AQ240="0",BJ240,0),2)</f>
        <v>0</v>
      </c>
      <c r="AI240" s="48" t="s">
        <v>83</v>
      </c>
      <c r="AJ240" s="79">
        <f>IF(AN240=0,J240,0)</f>
        <v>0</v>
      </c>
      <c r="AK240" s="79">
        <f>IF(AN240=12,J240,0)</f>
        <v>0</v>
      </c>
      <c r="AL240" s="79">
        <f>IF(AN240=21,J240,0)</f>
        <v>0</v>
      </c>
      <c r="AN240" s="35">
        <v>12</v>
      </c>
      <c r="AO240" s="35">
        <f>G240*1</f>
        <v>0</v>
      </c>
      <c r="AP240" s="35">
        <f>G240*(1-1)</f>
        <v>0</v>
      </c>
      <c r="AQ240" s="81" t="s">
        <v>204</v>
      </c>
      <c r="AV240" s="35">
        <f>ROUND(AW240+AX240,2)</f>
        <v>0</v>
      </c>
      <c r="AW240" s="35">
        <f>ROUND(F240*AO240,2)</f>
        <v>0</v>
      </c>
      <c r="AX240" s="35">
        <f>ROUND(F240*AP240,2)</f>
        <v>0</v>
      </c>
      <c r="AY240" s="64" t="s">
        <v>580</v>
      </c>
      <c r="AZ240" s="64" t="s">
        <v>581</v>
      </c>
      <c r="BA240" s="48" t="s">
        <v>330</v>
      </c>
      <c r="BC240" s="35">
        <f>AW240+AX240</f>
        <v>0</v>
      </c>
      <c r="BD240" s="35">
        <f>G240/(100-BE240)*100</f>
        <v>0</v>
      </c>
      <c r="BE240" s="35">
        <v>0</v>
      </c>
      <c r="BF240" s="35">
        <f>240</f>
        <v>240</v>
      </c>
      <c r="BH240" s="79">
        <f>F240*AO240</f>
        <v>0</v>
      </c>
      <c r="BI240" s="79">
        <f>F240*AP240</f>
        <v>0</v>
      </c>
      <c r="BJ240" s="79">
        <f>F240*G240</f>
        <v>0</v>
      </c>
      <c r="BK240" s="81" t="s">
        <v>464</v>
      </c>
      <c r="BL240" s="35">
        <v>781</v>
      </c>
      <c r="BW240" s="35">
        <v>12</v>
      </c>
      <c r="BX240" s="78" t="s">
        <v>621</v>
      </c>
    </row>
    <row r="241" spans="1:76" x14ac:dyDescent="0.25">
      <c r="A241" s="66"/>
      <c r="C241" s="67" t="s">
        <v>622</v>
      </c>
      <c r="D241" s="68" t="s">
        <v>10</v>
      </c>
      <c r="F241" s="69">
        <v>23.712</v>
      </c>
      <c r="K241" s="70"/>
    </row>
    <row r="242" spans="1:76" x14ac:dyDescent="0.25">
      <c r="A242" s="66"/>
      <c r="C242" s="67" t="s">
        <v>623</v>
      </c>
      <c r="D242" s="68" t="s">
        <v>10</v>
      </c>
      <c r="F242" s="69">
        <v>3.5568</v>
      </c>
      <c r="K242" s="70"/>
    </row>
    <row r="243" spans="1:76" x14ac:dyDescent="0.25">
      <c r="A243" s="59" t="s">
        <v>10</v>
      </c>
      <c r="B243" s="60" t="s">
        <v>124</v>
      </c>
      <c r="C243" s="177" t="s">
        <v>125</v>
      </c>
      <c r="D243" s="178"/>
      <c r="E243" s="61" t="s">
        <v>74</v>
      </c>
      <c r="F243" s="61" t="s">
        <v>74</v>
      </c>
      <c r="G243" s="61" t="s">
        <v>74</v>
      </c>
      <c r="H243" s="42">
        <f>SUM(H244:H244)</f>
        <v>0</v>
      </c>
      <c r="I243" s="42">
        <f>SUM(I244:I244)</f>
        <v>0</v>
      </c>
      <c r="J243" s="42">
        <f>SUM(J244:J244)</f>
        <v>0</v>
      </c>
      <c r="K243" s="62" t="s">
        <v>10</v>
      </c>
      <c r="AI243" s="48" t="s">
        <v>83</v>
      </c>
      <c r="AS243" s="42">
        <f>SUM(AJ244:AJ244)</f>
        <v>0</v>
      </c>
      <c r="AT243" s="42">
        <f>SUM(AK244:AK244)</f>
        <v>0</v>
      </c>
      <c r="AU243" s="42">
        <f>SUM(AL244:AL244)</f>
        <v>0</v>
      </c>
    </row>
    <row r="244" spans="1:76" x14ac:dyDescent="0.25">
      <c r="A244" s="1" t="s">
        <v>624</v>
      </c>
      <c r="B244" s="2" t="s">
        <v>625</v>
      </c>
      <c r="C244" s="86" t="s">
        <v>626</v>
      </c>
      <c r="D244" s="87"/>
      <c r="E244" s="2" t="s">
        <v>202</v>
      </c>
      <c r="F244" s="35">
        <v>8</v>
      </c>
      <c r="G244" s="35">
        <v>0</v>
      </c>
      <c r="H244" s="35">
        <f>ROUND(F244*AO244,2)</f>
        <v>0</v>
      </c>
      <c r="I244" s="35">
        <f>ROUND(F244*AP244,2)</f>
        <v>0</v>
      </c>
      <c r="J244" s="35">
        <f>ROUND(F244*G244,2)</f>
        <v>0</v>
      </c>
      <c r="K244" s="63" t="s">
        <v>203</v>
      </c>
      <c r="Z244" s="35">
        <f>ROUND(IF(AQ244="5",BJ244,0),2)</f>
        <v>0</v>
      </c>
      <c r="AB244" s="35">
        <f>ROUND(IF(AQ244="1",BH244,0),2)</f>
        <v>0</v>
      </c>
      <c r="AC244" s="35">
        <f>ROUND(IF(AQ244="1",BI244,0),2)</f>
        <v>0</v>
      </c>
      <c r="AD244" s="35">
        <f>ROUND(IF(AQ244="7",BH244,0),2)</f>
        <v>0</v>
      </c>
      <c r="AE244" s="35">
        <f>ROUND(IF(AQ244="7",BI244,0),2)</f>
        <v>0</v>
      </c>
      <c r="AF244" s="35">
        <f>ROUND(IF(AQ244="2",BH244,0),2)</f>
        <v>0</v>
      </c>
      <c r="AG244" s="35">
        <f>ROUND(IF(AQ244="2",BI244,0),2)</f>
        <v>0</v>
      </c>
      <c r="AH244" s="35">
        <f>ROUND(IF(AQ244="0",BJ244,0),2)</f>
        <v>0</v>
      </c>
      <c r="AI244" s="48" t="s">
        <v>83</v>
      </c>
      <c r="AJ244" s="35">
        <f>IF(AN244=0,J244,0)</f>
        <v>0</v>
      </c>
      <c r="AK244" s="35">
        <f>IF(AN244=12,J244,0)</f>
        <v>0</v>
      </c>
      <c r="AL244" s="35">
        <f>IF(AN244=21,J244,0)</f>
        <v>0</v>
      </c>
      <c r="AN244" s="35">
        <v>12</v>
      </c>
      <c r="AO244" s="35">
        <f>G244*0.19256894</f>
        <v>0</v>
      </c>
      <c r="AP244" s="35">
        <f>G244*(1-0.19256894)</f>
        <v>0</v>
      </c>
      <c r="AQ244" s="64" t="s">
        <v>204</v>
      </c>
      <c r="AV244" s="35">
        <f>ROUND(AW244+AX244,2)</f>
        <v>0</v>
      </c>
      <c r="AW244" s="35">
        <f>ROUND(F244*AO244,2)</f>
        <v>0</v>
      </c>
      <c r="AX244" s="35">
        <f>ROUND(F244*AP244,2)</f>
        <v>0</v>
      </c>
      <c r="AY244" s="64" t="s">
        <v>627</v>
      </c>
      <c r="AZ244" s="64" t="s">
        <v>581</v>
      </c>
      <c r="BA244" s="48" t="s">
        <v>330</v>
      </c>
      <c r="BB244" s="65">
        <v>100028</v>
      </c>
      <c r="BC244" s="35">
        <f>AW244+AX244</f>
        <v>0</v>
      </c>
      <c r="BD244" s="35">
        <f>G244/(100-BE244)*100</f>
        <v>0</v>
      </c>
      <c r="BE244" s="35">
        <v>0</v>
      </c>
      <c r="BF244" s="35">
        <f>244</f>
        <v>244</v>
      </c>
      <c r="BH244" s="35">
        <f>F244*AO244</f>
        <v>0</v>
      </c>
      <c r="BI244" s="35">
        <f>F244*AP244</f>
        <v>0</v>
      </c>
      <c r="BJ244" s="35">
        <f>F244*G244</f>
        <v>0</v>
      </c>
      <c r="BK244" s="64" t="s">
        <v>208</v>
      </c>
      <c r="BL244" s="35">
        <v>783</v>
      </c>
      <c r="BW244" s="35">
        <v>12</v>
      </c>
      <c r="BX244" s="3" t="s">
        <v>626</v>
      </c>
    </row>
    <row r="245" spans="1:76" x14ac:dyDescent="0.25">
      <c r="A245" s="66"/>
      <c r="C245" s="67" t="s">
        <v>628</v>
      </c>
      <c r="D245" s="68" t="s">
        <v>10</v>
      </c>
      <c r="F245" s="69">
        <v>8</v>
      </c>
      <c r="K245" s="70"/>
    </row>
    <row r="246" spans="1:76" x14ac:dyDescent="0.25">
      <c r="A246" s="59" t="s">
        <v>10</v>
      </c>
      <c r="B246" s="60" t="s">
        <v>95</v>
      </c>
      <c r="C246" s="177" t="s">
        <v>96</v>
      </c>
      <c r="D246" s="178"/>
      <c r="E246" s="61" t="s">
        <v>74</v>
      </c>
      <c r="F246" s="61" t="s">
        <v>74</v>
      </c>
      <c r="G246" s="61" t="s">
        <v>74</v>
      </c>
      <c r="H246" s="42">
        <f>SUM(H247:H253)</f>
        <v>0</v>
      </c>
      <c r="I246" s="42">
        <f>SUM(I247:I253)</f>
        <v>0</v>
      </c>
      <c r="J246" s="42">
        <f>SUM(J247:J253)</f>
        <v>0</v>
      </c>
      <c r="K246" s="62" t="s">
        <v>10</v>
      </c>
      <c r="AI246" s="48" t="s">
        <v>83</v>
      </c>
      <c r="AS246" s="42">
        <f>SUM(AJ247:AJ253)</f>
        <v>0</v>
      </c>
      <c r="AT246" s="42">
        <f>SUM(AK247:AK253)</f>
        <v>0</v>
      </c>
      <c r="AU246" s="42">
        <f>SUM(AL247:AL253)</f>
        <v>0</v>
      </c>
    </row>
    <row r="247" spans="1:76" x14ac:dyDescent="0.25">
      <c r="A247" s="1" t="s">
        <v>629</v>
      </c>
      <c r="B247" s="2" t="s">
        <v>630</v>
      </c>
      <c r="C247" s="86" t="s">
        <v>631</v>
      </c>
      <c r="D247" s="87"/>
      <c r="E247" s="2" t="s">
        <v>202</v>
      </c>
      <c r="F247" s="35">
        <v>152.12589</v>
      </c>
      <c r="G247" s="35">
        <v>0</v>
      </c>
      <c r="H247" s="35">
        <f>ROUND(F247*AO247,2)</f>
        <v>0</v>
      </c>
      <c r="I247" s="35">
        <f>ROUND(F247*AP247,2)</f>
        <v>0</v>
      </c>
      <c r="J247" s="35">
        <f>ROUND(F247*G247,2)</f>
        <v>0</v>
      </c>
      <c r="K247" s="63" t="s">
        <v>203</v>
      </c>
      <c r="Z247" s="35">
        <f>ROUND(IF(AQ247="5",BJ247,0),2)</f>
        <v>0</v>
      </c>
      <c r="AB247" s="35">
        <f>ROUND(IF(AQ247="1",BH247,0),2)</f>
        <v>0</v>
      </c>
      <c r="AC247" s="35">
        <f>ROUND(IF(AQ247="1",BI247,0),2)</f>
        <v>0</v>
      </c>
      <c r="AD247" s="35">
        <f>ROUND(IF(AQ247="7",BH247,0),2)</f>
        <v>0</v>
      </c>
      <c r="AE247" s="35">
        <f>ROUND(IF(AQ247="7",BI247,0),2)</f>
        <v>0</v>
      </c>
      <c r="AF247" s="35">
        <f>ROUND(IF(AQ247="2",BH247,0),2)</f>
        <v>0</v>
      </c>
      <c r="AG247" s="35">
        <f>ROUND(IF(AQ247="2",BI247,0),2)</f>
        <v>0</v>
      </c>
      <c r="AH247" s="35">
        <f>ROUND(IF(AQ247="0",BJ247,0),2)</f>
        <v>0</v>
      </c>
      <c r="AI247" s="48" t="s">
        <v>83</v>
      </c>
      <c r="AJ247" s="35">
        <f>IF(AN247=0,J247,0)</f>
        <v>0</v>
      </c>
      <c r="AK247" s="35">
        <f>IF(AN247=12,J247,0)</f>
        <v>0</v>
      </c>
      <c r="AL247" s="35">
        <f>IF(AN247=21,J247,0)</f>
        <v>0</v>
      </c>
      <c r="AN247" s="35">
        <v>12</v>
      </c>
      <c r="AO247" s="35">
        <f>G247*0.284101754</f>
        <v>0</v>
      </c>
      <c r="AP247" s="35">
        <f>G247*(1-0.284101754)</f>
        <v>0</v>
      </c>
      <c r="AQ247" s="64" t="s">
        <v>204</v>
      </c>
      <c r="AV247" s="35">
        <f>ROUND(AW247+AX247,2)</f>
        <v>0</v>
      </c>
      <c r="AW247" s="35">
        <f>ROUND(F247*AO247,2)</f>
        <v>0</v>
      </c>
      <c r="AX247" s="35">
        <f>ROUND(F247*AP247,2)</f>
        <v>0</v>
      </c>
      <c r="AY247" s="64" t="s">
        <v>205</v>
      </c>
      <c r="AZ247" s="64" t="s">
        <v>581</v>
      </c>
      <c r="BA247" s="48" t="s">
        <v>330</v>
      </c>
      <c r="BB247" s="65">
        <v>100003</v>
      </c>
      <c r="BC247" s="35">
        <f>AW247+AX247</f>
        <v>0</v>
      </c>
      <c r="BD247" s="35">
        <f>G247/(100-BE247)*100</f>
        <v>0</v>
      </c>
      <c r="BE247" s="35">
        <v>0</v>
      </c>
      <c r="BF247" s="35">
        <f>247</f>
        <v>247</v>
      </c>
      <c r="BH247" s="35">
        <f>F247*AO247</f>
        <v>0</v>
      </c>
      <c r="BI247" s="35">
        <f>F247*AP247</f>
        <v>0</v>
      </c>
      <c r="BJ247" s="35">
        <f>F247*G247</f>
        <v>0</v>
      </c>
      <c r="BK247" s="64" t="s">
        <v>208</v>
      </c>
      <c r="BL247" s="35">
        <v>784</v>
      </c>
      <c r="BW247" s="35">
        <v>12</v>
      </c>
      <c r="BX247" s="3" t="s">
        <v>631</v>
      </c>
    </row>
    <row r="248" spans="1:76" x14ac:dyDescent="0.25">
      <c r="A248" s="66"/>
      <c r="C248" s="67" t="s">
        <v>632</v>
      </c>
      <c r="D248" s="68" t="s">
        <v>633</v>
      </c>
      <c r="F248" s="69">
        <v>56.2624</v>
      </c>
      <c r="K248" s="70"/>
    </row>
    <row r="249" spans="1:76" x14ac:dyDescent="0.25">
      <c r="A249" s="66"/>
      <c r="C249" s="67" t="s">
        <v>634</v>
      </c>
      <c r="D249" s="68" t="s">
        <v>635</v>
      </c>
      <c r="F249" s="69">
        <v>95.863489999999999</v>
      </c>
      <c r="K249" s="70"/>
    </row>
    <row r="250" spans="1:76" x14ac:dyDescent="0.25">
      <c r="A250" s="1" t="s">
        <v>636</v>
      </c>
      <c r="B250" s="2" t="s">
        <v>637</v>
      </c>
      <c r="C250" s="86" t="s">
        <v>638</v>
      </c>
      <c r="D250" s="87"/>
      <c r="E250" s="2" t="s">
        <v>202</v>
      </c>
      <c r="F250" s="35">
        <v>152.12589</v>
      </c>
      <c r="G250" s="35">
        <v>0</v>
      </c>
      <c r="H250" s="35">
        <f>ROUND(F250*AO250,2)</f>
        <v>0</v>
      </c>
      <c r="I250" s="35">
        <f>ROUND(F250*AP250,2)</f>
        <v>0</v>
      </c>
      <c r="J250" s="35">
        <f>ROUND(F250*G250,2)</f>
        <v>0</v>
      </c>
      <c r="K250" s="63" t="s">
        <v>203</v>
      </c>
      <c r="Z250" s="35">
        <f>ROUND(IF(AQ250="5",BJ250,0),2)</f>
        <v>0</v>
      </c>
      <c r="AB250" s="35">
        <f>ROUND(IF(AQ250="1",BH250,0),2)</f>
        <v>0</v>
      </c>
      <c r="AC250" s="35">
        <f>ROUND(IF(AQ250="1",BI250,0),2)</f>
        <v>0</v>
      </c>
      <c r="AD250" s="35">
        <f>ROUND(IF(AQ250="7",BH250,0),2)</f>
        <v>0</v>
      </c>
      <c r="AE250" s="35">
        <f>ROUND(IF(AQ250="7",BI250,0),2)</f>
        <v>0</v>
      </c>
      <c r="AF250" s="35">
        <f>ROUND(IF(AQ250="2",BH250,0),2)</f>
        <v>0</v>
      </c>
      <c r="AG250" s="35">
        <f>ROUND(IF(AQ250="2",BI250,0),2)</f>
        <v>0</v>
      </c>
      <c r="AH250" s="35">
        <f>ROUND(IF(AQ250="0",BJ250,0),2)</f>
        <v>0</v>
      </c>
      <c r="AI250" s="48" t="s">
        <v>83</v>
      </c>
      <c r="AJ250" s="35">
        <f>IF(AN250=0,J250,0)</f>
        <v>0</v>
      </c>
      <c r="AK250" s="35">
        <f>IF(AN250=12,J250,0)</f>
        <v>0</v>
      </c>
      <c r="AL250" s="35">
        <f>IF(AN250=21,J250,0)</f>
        <v>0</v>
      </c>
      <c r="AN250" s="35">
        <v>12</v>
      </c>
      <c r="AO250" s="35">
        <f>G250*0.055954064</f>
        <v>0</v>
      </c>
      <c r="AP250" s="35">
        <f>G250*(1-0.055954064)</f>
        <v>0</v>
      </c>
      <c r="AQ250" s="64" t="s">
        <v>204</v>
      </c>
      <c r="AV250" s="35">
        <f>ROUND(AW250+AX250,2)</f>
        <v>0</v>
      </c>
      <c r="AW250" s="35">
        <f>ROUND(F250*AO250,2)</f>
        <v>0</v>
      </c>
      <c r="AX250" s="35">
        <f>ROUND(F250*AP250,2)</f>
        <v>0</v>
      </c>
      <c r="AY250" s="64" t="s">
        <v>205</v>
      </c>
      <c r="AZ250" s="64" t="s">
        <v>581</v>
      </c>
      <c r="BA250" s="48" t="s">
        <v>330</v>
      </c>
      <c r="BB250" s="65">
        <v>100003</v>
      </c>
      <c r="BC250" s="35">
        <f>AW250+AX250</f>
        <v>0</v>
      </c>
      <c r="BD250" s="35">
        <f>G250/(100-BE250)*100</f>
        <v>0</v>
      </c>
      <c r="BE250" s="35">
        <v>0</v>
      </c>
      <c r="BF250" s="35">
        <f>250</f>
        <v>250</v>
      </c>
      <c r="BH250" s="35">
        <f>F250*AO250</f>
        <v>0</v>
      </c>
      <c r="BI250" s="35">
        <f>F250*AP250</f>
        <v>0</v>
      </c>
      <c r="BJ250" s="35">
        <f>F250*G250</f>
        <v>0</v>
      </c>
      <c r="BK250" s="64" t="s">
        <v>208</v>
      </c>
      <c r="BL250" s="35">
        <v>784</v>
      </c>
      <c r="BW250" s="35">
        <v>12</v>
      </c>
      <c r="BX250" s="3" t="s">
        <v>638</v>
      </c>
    </row>
    <row r="251" spans="1:76" x14ac:dyDescent="0.25">
      <c r="A251" s="66"/>
      <c r="C251" s="67" t="s">
        <v>632</v>
      </c>
      <c r="D251" s="68" t="s">
        <v>633</v>
      </c>
      <c r="F251" s="69">
        <v>56.2624</v>
      </c>
      <c r="K251" s="70"/>
    </row>
    <row r="252" spans="1:76" x14ac:dyDescent="0.25">
      <c r="A252" s="66"/>
      <c r="C252" s="67" t="s">
        <v>634</v>
      </c>
      <c r="D252" s="68" t="s">
        <v>635</v>
      </c>
      <c r="F252" s="69">
        <v>95.863489999999999</v>
      </c>
      <c r="K252" s="70"/>
    </row>
    <row r="253" spans="1:76" x14ac:dyDescent="0.25">
      <c r="A253" s="1" t="s">
        <v>639</v>
      </c>
      <c r="B253" s="2" t="s">
        <v>640</v>
      </c>
      <c r="C253" s="86" t="s">
        <v>641</v>
      </c>
      <c r="D253" s="87"/>
      <c r="E253" s="2" t="s">
        <v>202</v>
      </c>
      <c r="F253" s="35">
        <v>26.542619999999999</v>
      </c>
      <c r="G253" s="35">
        <v>0</v>
      </c>
      <c r="H253" s="35">
        <f>ROUND(F253*AO253,2)</f>
        <v>0</v>
      </c>
      <c r="I253" s="35">
        <f>ROUND(F253*AP253,2)</f>
        <v>0</v>
      </c>
      <c r="J253" s="35">
        <f>ROUND(F253*G253,2)</f>
        <v>0</v>
      </c>
      <c r="K253" s="63" t="s">
        <v>203</v>
      </c>
      <c r="Z253" s="35">
        <f>ROUND(IF(AQ253="5",BJ253,0),2)</f>
        <v>0</v>
      </c>
      <c r="AB253" s="35">
        <f>ROUND(IF(AQ253="1",BH253,0),2)</f>
        <v>0</v>
      </c>
      <c r="AC253" s="35">
        <f>ROUND(IF(AQ253="1",BI253,0),2)</f>
        <v>0</v>
      </c>
      <c r="AD253" s="35">
        <f>ROUND(IF(AQ253="7",BH253,0),2)</f>
        <v>0</v>
      </c>
      <c r="AE253" s="35">
        <f>ROUND(IF(AQ253="7",BI253,0),2)</f>
        <v>0</v>
      </c>
      <c r="AF253" s="35">
        <f>ROUND(IF(AQ253="2",BH253,0),2)</f>
        <v>0</v>
      </c>
      <c r="AG253" s="35">
        <f>ROUND(IF(AQ253="2",BI253,0),2)</f>
        <v>0</v>
      </c>
      <c r="AH253" s="35">
        <f>ROUND(IF(AQ253="0",BJ253,0),2)</f>
        <v>0</v>
      </c>
      <c r="AI253" s="48" t="s">
        <v>83</v>
      </c>
      <c r="AJ253" s="35">
        <f>IF(AN253=0,J253,0)</f>
        <v>0</v>
      </c>
      <c r="AK253" s="35">
        <f>IF(AN253=12,J253,0)</f>
        <v>0</v>
      </c>
      <c r="AL253" s="35">
        <f>IF(AN253=21,J253,0)</f>
        <v>0</v>
      </c>
      <c r="AN253" s="35">
        <v>12</v>
      </c>
      <c r="AO253" s="35">
        <f>G253*0.232925356</f>
        <v>0</v>
      </c>
      <c r="AP253" s="35">
        <f>G253*(1-0.232925356)</f>
        <v>0</v>
      </c>
      <c r="AQ253" s="64" t="s">
        <v>204</v>
      </c>
      <c r="AV253" s="35">
        <f>ROUND(AW253+AX253,2)</f>
        <v>0</v>
      </c>
      <c r="AW253" s="35">
        <f>ROUND(F253*AO253,2)</f>
        <v>0</v>
      </c>
      <c r="AX253" s="35">
        <f>ROUND(F253*AP253,2)</f>
        <v>0</v>
      </c>
      <c r="AY253" s="64" t="s">
        <v>205</v>
      </c>
      <c r="AZ253" s="64" t="s">
        <v>581</v>
      </c>
      <c r="BA253" s="48" t="s">
        <v>330</v>
      </c>
      <c r="BB253" s="65">
        <v>100003</v>
      </c>
      <c r="BC253" s="35">
        <f>AW253+AX253</f>
        <v>0</v>
      </c>
      <c r="BD253" s="35">
        <f>G253/(100-BE253)*100</f>
        <v>0</v>
      </c>
      <c r="BE253" s="35">
        <v>0</v>
      </c>
      <c r="BF253" s="35">
        <f>253</f>
        <v>253</v>
      </c>
      <c r="BH253" s="35">
        <f>F253*AO253</f>
        <v>0</v>
      </c>
      <c r="BI253" s="35">
        <f>F253*AP253</f>
        <v>0</v>
      </c>
      <c r="BJ253" s="35">
        <f>F253*G253</f>
        <v>0</v>
      </c>
      <c r="BK253" s="64" t="s">
        <v>208</v>
      </c>
      <c r="BL253" s="35">
        <v>784</v>
      </c>
      <c r="BW253" s="35">
        <v>12</v>
      </c>
      <c r="BX253" s="3" t="s">
        <v>641</v>
      </c>
    </row>
    <row r="254" spans="1:76" x14ac:dyDescent="0.25">
      <c r="A254" s="66"/>
      <c r="C254" s="67" t="s">
        <v>642</v>
      </c>
      <c r="D254" s="68" t="s">
        <v>643</v>
      </c>
      <c r="F254" s="69">
        <v>26.542619999999999</v>
      </c>
      <c r="K254" s="70"/>
    </row>
    <row r="255" spans="1:76" x14ac:dyDescent="0.25">
      <c r="A255" s="59" t="s">
        <v>10</v>
      </c>
      <c r="B255" s="60" t="s">
        <v>126</v>
      </c>
      <c r="C255" s="177" t="s">
        <v>127</v>
      </c>
      <c r="D255" s="178"/>
      <c r="E255" s="61" t="s">
        <v>74</v>
      </c>
      <c r="F255" s="61" t="s">
        <v>74</v>
      </c>
      <c r="G255" s="61" t="s">
        <v>74</v>
      </c>
      <c r="H255" s="42">
        <f>SUM(H256:H256)</f>
        <v>0</v>
      </c>
      <c r="I255" s="42">
        <f>SUM(I256:I256)</f>
        <v>0</v>
      </c>
      <c r="J255" s="42">
        <f>SUM(J256:J256)</f>
        <v>0</v>
      </c>
      <c r="K255" s="62" t="s">
        <v>10</v>
      </c>
      <c r="AI255" s="48" t="s">
        <v>83</v>
      </c>
      <c r="AS255" s="42">
        <f>SUM(AJ256:AJ256)</f>
        <v>0</v>
      </c>
      <c r="AT255" s="42">
        <f>SUM(AK256:AK256)</f>
        <v>0</v>
      </c>
      <c r="AU255" s="42">
        <f>SUM(AL256:AL256)</f>
        <v>0</v>
      </c>
    </row>
    <row r="256" spans="1:76" x14ac:dyDescent="0.25">
      <c r="A256" s="1" t="s">
        <v>644</v>
      </c>
      <c r="B256" s="2" t="s">
        <v>645</v>
      </c>
      <c r="C256" s="86" t="s">
        <v>646</v>
      </c>
      <c r="D256" s="87"/>
      <c r="E256" s="2" t="s">
        <v>224</v>
      </c>
      <c r="F256" s="35">
        <v>3.44</v>
      </c>
      <c r="G256" s="35">
        <v>0</v>
      </c>
      <c r="H256" s="35">
        <f>ROUND(F256*AO256,2)</f>
        <v>0</v>
      </c>
      <c r="I256" s="35">
        <f>ROUND(F256*AP256,2)</f>
        <v>0</v>
      </c>
      <c r="J256" s="35">
        <f>ROUND(F256*G256,2)</f>
        <v>0</v>
      </c>
      <c r="K256" s="63" t="s">
        <v>203</v>
      </c>
      <c r="Z256" s="35">
        <f>ROUND(IF(AQ256="5",BJ256,0),2)</f>
        <v>0</v>
      </c>
      <c r="AB256" s="35">
        <f>ROUND(IF(AQ256="1",BH256,0),2)</f>
        <v>0</v>
      </c>
      <c r="AC256" s="35">
        <f>ROUND(IF(AQ256="1",BI256,0),2)</f>
        <v>0</v>
      </c>
      <c r="AD256" s="35">
        <f>ROUND(IF(AQ256="7",BH256,0),2)</f>
        <v>0</v>
      </c>
      <c r="AE256" s="35">
        <f>ROUND(IF(AQ256="7",BI256,0),2)</f>
        <v>0</v>
      </c>
      <c r="AF256" s="35">
        <f>ROUND(IF(AQ256="2",BH256,0),2)</f>
        <v>0</v>
      </c>
      <c r="AG256" s="35">
        <f>ROUND(IF(AQ256="2",BI256,0),2)</f>
        <v>0</v>
      </c>
      <c r="AH256" s="35">
        <f>ROUND(IF(AQ256="0",BJ256,0),2)</f>
        <v>0</v>
      </c>
      <c r="AI256" s="48" t="s">
        <v>83</v>
      </c>
      <c r="AJ256" s="35">
        <f>IF(AN256=0,J256,0)</f>
        <v>0</v>
      </c>
      <c r="AK256" s="35">
        <f>IF(AN256=12,J256,0)</f>
        <v>0</v>
      </c>
      <c r="AL256" s="35">
        <f>IF(AN256=21,J256,0)</f>
        <v>0</v>
      </c>
      <c r="AN256" s="35">
        <v>12</v>
      </c>
      <c r="AO256" s="35">
        <f>G256*0.326604057</f>
        <v>0</v>
      </c>
      <c r="AP256" s="35">
        <f>G256*(1-0.326604057)</f>
        <v>0</v>
      </c>
      <c r="AQ256" s="64" t="s">
        <v>199</v>
      </c>
      <c r="AV256" s="35">
        <f>ROUND(AW256+AX256,2)</f>
        <v>0</v>
      </c>
      <c r="AW256" s="35">
        <f>ROUND(F256*AO256,2)</f>
        <v>0</v>
      </c>
      <c r="AX256" s="35">
        <f>ROUND(F256*AP256,2)</f>
        <v>0</v>
      </c>
      <c r="AY256" s="64" t="s">
        <v>647</v>
      </c>
      <c r="AZ256" s="64" t="s">
        <v>648</v>
      </c>
      <c r="BA256" s="48" t="s">
        <v>330</v>
      </c>
      <c r="BB256" s="65">
        <v>100010</v>
      </c>
      <c r="BC256" s="35">
        <f>AW256+AX256</f>
        <v>0</v>
      </c>
      <c r="BD256" s="35">
        <f>G256/(100-BE256)*100</f>
        <v>0</v>
      </c>
      <c r="BE256" s="35">
        <v>0</v>
      </c>
      <c r="BF256" s="35">
        <f>256</f>
        <v>256</v>
      </c>
      <c r="BH256" s="35">
        <f>F256*AO256</f>
        <v>0</v>
      </c>
      <c r="BI256" s="35">
        <f>F256*AP256</f>
        <v>0</v>
      </c>
      <c r="BJ256" s="35">
        <f>F256*G256</f>
        <v>0</v>
      </c>
      <c r="BK256" s="64" t="s">
        <v>208</v>
      </c>
      <c r="BL256" s="35">
        <v>95</v>
      </c>
      <c r="BW256" s="35">
        <v>12</v>
      </c>
      <c r="BX256" s="3" t="s">
        <v>646</v>
      </c>
    </row>
    <row r="257" spans="1:76" x14ac:dyDescent="0.25">
      <c r="A257" s="66"/>
      <c r="C257" s="67" t="s">
        <v>649</v>
      </c>
      <c r="D257" s="68" t="s">
        <v>650</v>
      </c>
      <c r="F257" s="69">
        <v>3.44</v>
      </c>
      <c r="K257" s="70"/>
    </row>
    <row r="258" spans="1:76" x14ac:dyDescent="0.25">
      <c r="A258" s="59" t="s">
        <v>10</v>
      </c>
      <c r="B258" s="60" t="s">
        <v>98</v>
      </c>
      <c r="C258" s="177" t="s">
        <v>99</v>
      </c>
      <c r="D258" s="178"/>
      <c r="E258" s="61" t="s">
        <v>74</v>
      </c>
      <c r="F258" s="61" t="s">
        <v>74</v>
      </c>
      <c r="G258" s="61" t="s">
        <v>74</v>
      </c>
      <c r="H258" s="42">
        <f>SUM(H259:H259)</f>
        <v>0</v>
      </c>
      <c r="I258" s="42">
        <f>SUM(I259:I259)</f>
        <v>0</v>
      </c>
      <c r="J258" s="42">
        <f>SUM(J259:J259)</f>
        <v>0</v>
      </c>
      <c r="K258" s="62" t="s">
        <v>10</v>
      </c>
      <c r="AI258" s="48" t="s">
        <v>83</v>
      </c>
      <c r="AS258" s="42">
        <f>SUM(AJ259:AJ259)</f>
        <v>0</v>
      </c>
      <c r="AT258" s="42">
        <f>SUM(AK259:AK259)</f>
        <v>0</v>
      </c>
      <c r="AU258" s="42">
        <f>SUM(AL259:AL259)</f>
        <v>0</v>
      </c>
    </row>
    <row r="259" spans="1:76" x14ac:dyDescent="0.25">
      <c r="A259" s="1" t="s">
        <v>651</v>
      </c>
      <c r="B259" s="2" t="s">
        <v>250</v>
      </c>
      <c r="C259" s="86" t="s">
        <v>251</v>
      </c>
      <c r="D259" s="87"/>
      <c r="E259" s="2" t="s">
        <v>252</v>
      </c>
      <c r="F259" s="35">
        <v>2</v>
      </c>
      <c r="G259" s="35">
        <v>0</v>
      </c>
      <c r="H259" s="35">
        <f>ROUND(F259*AO259,2)</f>
        <v>0</v>
      </c>
      <c r="I259" s="35">
        <f>ROUND(F259*AP259,2)</f>
        <v>0</v>
      </c>
      <c r="J259" s="35">
        <f>ROUND(F259*G259,2)</f>
        <v>0</v>
      </c>
      <c r="K259" s="63" t="s">
        <v>203</v>
      </c>
      <c r="Z259" s="35">
        <f>ROUND(IF(AQ259="5",BJ259,0),2)</f>
        <v>0</v>
      </c>
      <c r="AB259" s="35">
        <f>ROUND(IF(AQ259="1",BH259,0),2)</f>
        <v>0</v>
      </c>
      <c r="AC259" s="35">
        <f>ROUND(IF(AQ259="1",BI259,0),2)</f>
        <v>0</v>
      </c>
      <c r="AD259" s="35">
        <f>ROUND(IF(AQ259="7",BH259,0),2)</f>
        <v>0</v>
      </c>
      <c r="AE259" s="35">
        <f>ROUND(IF(AQ259="7",BI259,0),2)</f>
        <v>0</v>
      </c>
      <c r="AF259" s="35">
        <f>ROUND(IF(AQ259="2",BH259,0),2)</f>
        <v>0</v>
      </c>
      <c r="AG259" s="35">
        <f>ROUND(IF(AQ259="2",BI259,0),2)</f>
        <v>0</v>
      </c>
      <c r="AH259" s="35">
        <f>ROUND(IF(AQ259="0",BJ259,0),2)</f>
        <v>0</v>
      </c>
      <c r="AI259" s="48" t="s">
        <v>83</v>
      </c>
      <c r="AJ259" s="35">
        <f>IF(AN259=0,J259,0)</f>
        <v>0</v>
      </c>
      <c r="AK259" s="35">
        <f>IF(AN259=12,J259,0)</f>
        <v>0</v>
      </c>
      <c r="AL259" s="35">
        <f>IF(AN259=21,J259,0)</f>
        <v>0</v>
      </c>
      <c r="AN259" s="35">
        <v>12</v>
      </c>
      <c r="AO259" s="35">
        <f>G259*0</f>
        <v>0</v>
      </c>
      <c r="AP259" s="35">
        <f>G259*(1-0)</f>
        <v>0</v>
      </c>
      <c r="AQ259" s="64" t="s">
        <v>199</v>
      </c>
      <c r="AV259" s="35">
        <f>ROUND(AW259+AX259,2)</f>
        <v>0</v>
      </c>
      <c r="AW259" s="35">
        <f>ROUND(F259*AO259,2)</f>
        <v>0</v>
      </c>
      <c r="AX259" s="35">
        <f>ROUND(F259*AP259,2)</f>
        <v>0</v>
      </c>
      <c r="AY259" s="64" t="s">
        <v>214</v>
      </c>
      <c r="AZ259" s="64" t="s">
        <v>648</v>
      </c>
      <c r="BA259" s="48" t="s">
        <v>330</v>
      </c>
      <c r="BB259" s="65">
        <v>100002</v>
      </c>
      <c r="BC259" s="35">
        <f>AW259+AX259</f>
        <v>0</v>
      </c>
      <c r="BD259" s="35">
        <f>G259/(100-BE259)*100</f>
        <v>0</v>
      </c>
      <c r="BE259" s="35">
        <v>0</v>
      </c>
      <c r="BF259" s="35">
        <f>259</f>
        <v>259</v>
      </c>
      <c r="BH259" s="35">
        <f>F259*AO259</f>
        <v>0</v>
      </c>
      <c r="BI259" s="35">
        <f>F259*AP259</f>
        <v>0</v>
      </c>
      <c r="BJ259" s="35">
        <f>F259*G259</f>
        <v>0</v>
      </c>
      <c r="BK259" s="64" t="s">
        <v>208</v>
      </c>
      <c r="BL259" s="35">
        <v>96</v>
      </c>
      <c r="BW259" s="35">
        <v>12</v>
      </c>
      <c r="BX259" s="3" t="s">
        <v>251</v>
      </c>
    </row>
    <row r="260" spans="1:76" x14ac:dyDescent="0.25">
      <c r="A260" s="66"/>
      <c r="C260" s="67" t="s">
        <v>411</v>
      </c>
      <c r="D260" s="68" t="s">
        <v>652</v>
      </c>
      <c r="F260" s="69">
        <v>2</v>
      </c>
      <c r="K260" s="70"/>
    </row>
    <row r="261" spans="1:76" x14ac:dyDescent="0.25">
      <c r="A261" s="59" t="s">
        <v>10</v>
      </c>
      <c r="B261" s="60" t="s">
        <v>128</v>
      </c>
      <c r="C261" s="177" t="s">
        <v>115</v>
      </c>
      <c r="D261" s="178"/>
      <c r="E261" s="61" t="s">
        <v>74</v>
      </c>
      <c r="F261" s="61" t="s">
        <v>74</v>
      </c>
      <c r="G261" s="61" t="s">
        <v>74</v>
      </c>
      <c r="H261" s="42">
        <f>SUM(H262:H262)</f>
        <v>0</v>
      </c>
      <c r="I261" s="42">
        <f>SUM(I262:I262)</f>
        <v>0</v>
      </c>
      <c r="J261" s="42">
        <f>SUM(J262:J262)</f>
        <v>0</v>
      </c>
      <c r="K261" s="62" t="s">
        <v>10</v>
      </c>
      <c r="AI261" s="48" t="s">
        <v>83</v>
      </c>
      <c r="AS261" s="42">
        <f>SUM(AJ262:AJ262)</f>
        <v>0</v>
      </c>
      <c r="AT261" s="42">
        <f>SUM(AK262:AK262)</f>
        <v>0</v>
      </c>
      <c r="AU261" s="42">
        <f>SUM(AL262:AL262)</f>
        <v>0</v>
      </c>
    </row>
    <row r="262" spans="1:76" x14ac:dyDescent="0.25">
      <c r="A262" s="1" t="s">
        <v>653</v>
      </c>
      <c r="B262" s="2" t="s">
        <v>654</v>
      </c>
      <c r="C262" s="86" t="s">
        <v>655</v>
      </c>
      <c r="D262" s="87"/>
      <c r="E262" s="2" t="s">
        <v>297</v>
      </c>
      <c r="F262" s="35">
        <v>0.19</v>
      </c>
      <c r="G262" s="35">
        <v>0</v>
      </c>
      <c r="H262" s="35">
        <f>ROUND(F262*AO262,2)</f>
        <v>0</v>
      </c>
      <c r="I262" s="35">
        <f>ROUND(F262*AP262,2)</f>
        <v>0</v>
      </c>
      <c r="J262" s="35">
        <f>ROUND(F262*G262,2)</f>
        <v>0</v>
      </c>
      <c r="K262" s="63" t="s">
        <v>203</v>
      </c>
      <c r="Z262" s="35">
        <f>ROUND(IF(AQ262="5",BJ262,0),2)</f>
        <v>0</v>
      </c>
      <c r="AB262" s="35">
        <f>ROUND(IF(AQ262="1",BH262,0),2)</f>
        <v>0</v>
      </c>
      <c r="AC262" s="35">
        <f>ROUND(IF(AQ262="1",BI262,0),2)</f>
        <v>0</v>
      </c>
      <c r="AD262" s="35">
        <f>ROUND(IF(AQ262="7",BH262,0),2)</f>
        <v>0</v>
      </c>
      <c r="AE262" s="35">
        <f>ROUND(IF(AQ262="7",BI262,0),2)</f>
        <v>0</v>
      </c>
      <c r="AF262" s="35">
        <f>ROUND(IF(AQ262="2",BH262,0),2)</f>
        <v>0</v>
      </c>
      <c r="AG262" s="35">
        <f>ROUND(IF(AQ262="2",BI262,0),2)</f>
        <v>0</v>
      </c>
      <c r="AH262" s="35">
        <f>ROUND(IF(AQ262="0",BJ262,0),2)</f>
        <v>0</v>
      </c>
      <c r="AI262" s="48" t="s">
        <v>83</v>
      </c>
      <c r="AJ262" s="35">
        <f>IF(AN262=0,J262,0)</f>
        <v>0</v>
      </c>
      <c r="AK262" s="35">
        <f>IF(AN262=12,J262,0)</f>
        <v>0</v>
      </c>
      <c r="AL262" s="35">
        <f>IF(AN262=21,J262,0)</f>
        <v>0</v>
      </c>
      <c r="AN262" s="35">
        <v>12</v>
      </c>
      <c r="AO262" s="35">
        <f>G262*0</f>
        <v>0</v>
      </c>
      <c r="AP262" s="35">
        <f>G262*(1-0)</f>
        <v>0</v>
      </c>
      <c r="AQ262" s="64" t="s">
        <v>233</v>
      </c>
      <c r="AV262" s="35">
        <f>ROUND(AW262+AX262,2)</f>
        <v>0</v>
      </c>
      <c r="AW262" s="35">
        <f>ROUND(F262*AO262,2)</f>
        <v>0</v>
      </c>
      <c r="AX262" s="35">
        <f>ROUND(F262*AP262,2)</f>
        <v>0</v>
      </c>
      <c r="AY262" s="64" t="s">
        <v>656</v>
      </c>
      <c r="AZ262" s="64" t="s">
        <v>648</v>
      </c>
      <c r="BA262" s="48" t="s">
        <v>330</v>
      </c>
      <c r="BB262" s="65">
        <v>100038</v>
      </c>
      <c r="BC262" s="35">
        <f>AW262+AX262</f>
        <v>0</v>
      </c>
      <c r="BD262" s="35">
        <f>G262/(100-BE262)*100</f>
        <v>0</v>
      </c>
      <c r="BE262" s="35">
        <v>0</v>
      </c>
      <c r="BF262" s="35">
        <f>262</f>
        <v>262</v>
      </c>
      <c r="BH262" s="35">
        <f>F262*AO262</f>
        <v>0</v>
      </c>
      <c r="BI262" s="35">
        <f>F262*AP262</f>
        <v>0</v>
      </c>
      <c r="BJ262" s="35">
        <f>F262*G262</f>
        <v>0</v>
      </c>
      <c r="BK262" s="64" t="s">
        <v>208</v>
      </c>
      <c r="BL262" s="35"/>
      <c r="BW262" s="35">
        <v>12</v>
      </c>
      <c r="BX262" s="3" t="s">
        <v>655</v>
      </c>
    </row>
    <row r="263" spans="1:76" x14ac:dyDescent="0.25">
      <c r="A263" s="66"/>
      <c r="C263" s="67" t="s">
        <v>657</v>
      </c>
      <c r="D263" s="68" t="s">
        <v>10</v>
      </c>
      <c r="F263" s="69">
        <v>0.19</v>
      </c>
      <c r="K263" s="70"/>
    </row>
    <row r="264" spans="1:76" x14ac:dyDescent="0.25">
      <c r="A264" s="59" t="s">
        <v>10</v>
      </c>
      <c r="B264" s="60" t="s">
        <v>129</v>
      </c>
      <c r="C264" s="177" t="s">
        <v>121</v>
      </c>
      <c r="D264" s="178"/>
      <c r="E264" s="61" t="s">
        <v>74</v>
      </c>
      <c r="F264" s="61" t="s">
        <v>74</v>
      </c>
      <c r="G264" s="61" t="s">
        <v>74</v>
      </c>
      <c r="H264" s="42">
        <f>SUM(H265:H265)</f>
        <v>0</v>
      </c>
      <c r="I264" s="42">
        <f>SUM(I265:I265)</f>
        <v>0</v>
      </c>
      <c r="J264" s="42">
        <f>SUM(J265:J265)</f>
        <v>0</v>
      </c>
      <c r="K264" s="62" t="s">
        <v>10</v>
      </c>
      <c r="AI264" s="48" t="s">
        <v>83</v>
      </c>
      <c r="AS264" s="42">
        <f>SUM(AJ265:AJ265)</f>
        <v>0</v>
      </c>
      <c r="AT264" s="42">
        <f>SUM(AK265:AK265)</f>
        <v>0</v>
      </c>
      <c r="AU264" s="42">
        <f>SUM(AL265:AL265)</f>
        <v>0</v>
      </c>
    </row>
    <row r="265" spans="1:76" x14ac:dyDescent="0.25">
      <c r="A265" s="1" t="s">
        <v>158</v>
      </c>
      <c r="B265" s="2" t="s">
        <v>658</v>
      </c>
      <c r="C265" s="86" t="s">
        <v>659</v>
      </c>
      <c r="D265" s="87"/>
      <c r="E265" s="2" t="s">
        <v>297</v>
      </c>
      <c r="F265" s="35">
        <v>1.2</v>
      </c>
      <c r="G265" s="35">
        <v>0</v>
      </c>
      <c r="H265" s="35">
        <f>ROUND(F265*AO265,2)</f>
        <v>0</v>
      </c>
      <c r="I265" s="35">
        <f>ROUND(F265*AP265,2)</f>
        <v>0</v>
      </c>
      <c r="J265" s="35">
        <f>ROUND(F265*G265,2)</f>
        <v>0</v>
      </c>
      <c r="K265" s="63" t="s">
        <v>203</v>
      </c>
      <c r="Z265" s="35">
        <f>ROUND(IF(AQ265="5",BJ265,0),2)</f>
        <v>0</v>
      </c>
      <c r="AB265" s="35">
        <f>ROUND(IF(AQ265="1",BH265,0),2)</f>
        <v>0</v>
      </c>
      <c r="AC265" s="35">
        <f>ROUND(IF(AQ265="1",BI265,0),2)</f>
        <v>0</v>
      </c>
      <c r="AD265" s="35">
        <f>ROUND(IF(AQ265="7",BH265,0),2)</f>
        <v>0</v>
      </c>
      <c r="AE265" s="35">
        <f>ROUND(IF(AQ265="7",BI265,0),2)</f>
        <v>0</v>
      </c>
      <c r="AF265" s="35">
        <f>ROUND(IF(AQ265="2",BH265,0),2)</f>
        <v>0</v>
      </c>
      <c r="AG265" s="35">
        <f>ROUND(IF(AQ265="2",BI265,0),2)</f>
        <v>0</v>
      </c>
      <c r="AH265" s="35">
        <f>ROUND(IF(AQ265="0",BJ265,0),2)</f>
        <v>0</v>
      </c>
      <c r="AI265" s="48" t="s">
        <v>83</v>
      </c>
      <c r="AJ265" s="35">
        <f>IF(AN265=0,J265,0)</f>
        <v>0</v>
      </c>
      <c r="AK265" s="35">
        <f>IF(AN265=12,J265,0)</f>
        <v>0</v>
      </c>
      <c r="AL265" s="35">
        <f>IF(AN265=21,J265,0)</f>
        <v>0</v>
      </c>
      <c r="AN265" s="35">
        <v>12</v>
      </c>
      <c r="AO265" s="35">
        <f>G265*0</f>
        <v>0</v>
      </c>
      <c r="AP265" s="35">
        <f>G265*(1-0)</f>
        <v>0</v>
      </c>
      <c r="AQ265" s="64" t="s">
        <v>233</v>
      </c>
      <c r="AV265" s="35">
        <f>ROUND(AW265+AX265,2)</f>
        <v>0</v>
      </c>
      <c r="AW265" s="35">
        <f>ROUND(F265*AO265,2)</f>
        <v>0</v>
      </c>
      <c r="AX265" s="35">
        <f>ROUND(F265*AP265,2)</f>
        <v>0</v>
      </c>
      <c r="AY265" s="64" t="s">
        <v>660</v>
      </c>
      <c r="AZ265" s="64" t="s">
        <v>648</v>
      </c>
      <c r="BA265" s="48" t="s">
        <v>330</v>
      </c>
      <c r="BB265" s="65">
        <v>100036</v>
      </c>
      <c r="BC265" s="35">
        <f>AW265+AX265</f>
        <v>0</v>
      </c>
      <c r="BD265" s="35">
        <f>G265/(100-BE265)*100</f>
        <v>0</v>
      </c>
      <c r="BE265" s="35">
        <v>0</v>
      </c>
      <c r="BF265" s="35">
        <f>265</f>
        <v>265</v>
      </c>
      <c r="BH265" s="35">
        <f>F265*AO265</f>
        <v>0</v>
      </c>
      <c r="BI265" s="35">
        <f>F265*AP265</f>
        <v>0</v>
      </c>
      <c r="BJ265" s="35">
        <f>F265*G265</f>
        <v>0</v>
      </c>
      <c r="BK265" s="64" t="s">
        <v>208</v>
      </c>
      <c r="BL265" s="35"/>
      <c r="BW265" s="35">
        <v>12</v>
      </c>
      <c r="BX265" s="3" t="s">
        <v>659</v>
      </c>
    </row>
    <row r="266" spans="1:76" x14ac:dyDescent="0.25">
      <c r="A266" s="59" t="s">
        <v>10</v>
      </c>
      <c r="B266" s="60" t="s">
        <v>130</v>
      </c>
      <c r="C266" s="177" t="s">
        <v>123</v>
      </c>
      <c r="D266" s="178"/>
      <c r="E266" s="61" t="s">
        <v>74</v>
      </c>
      <c r="F266" s="61" t="s">
        <v>74</v>
      </c>
      <c r="G266" s="61" t="s">
        <v>74</v>
      </c>
      <c r="H266" s="42">
        <f>SUM(H267:H267)</f>
        <v>0</v>
      </c>
      <c r="I266" s="42">
        <f>SUM(I267:I267)</f>
        <v>0</v>
      </c>
      <c r="J266" s="42">
        <f>SUM(J267:J267)</f>
        <v>0</v>
      </c>
      <c r="K266" s="62" t="s">
        <v>10</v>
      </c>
      <c r="AI266" s="48" t="s">
        <v>83</v>
      </c>
      <c r="AS266" s="42">
        <f>SUM(AJ267:AJ267)</f>
        <v>0</v>
      </c>
      <c r="AT266" s="42">
        <f>SUM(AK267:AK267)</f>
        <v>0</v>
      </c>
      <c r="AU266" s="42">
        <f>SUM(AL267:AL267)</f>
        <v>0</v>
      </c>
    </row>
    <row r="267" spans="1:76" x14ac:dyDescent="0.25">
      <c r="A267" s="1" t="s">
        <v>661</v>
      </c>
      <c r="B267" s="2" t="s">
        <v>662</v>
      </c>
      <c r="C267" s="86" t="s">
        <v>663</v>
      </c>
      <c r="D267" s="87"/>
      <c r="E267" s="2" t="s">
        <v>297</v>
      </c>
      <c r="F267" s="35">
        <v>1.1299999999999999</v>
      </c>
      <c r="G267" s="35">
        <v>0</v>
      </c>
      <c r="H267" s="35">
        <f>ROUND(F267*AO267,2)</f>
        <v>0</v>
      </c>
      <c r="I267" s="35">
        <f>ROUND(F267*AP267,2)</f>
        <v>0</v>
      </c>
      <c r="J267" s="35">
        <f>ROUND(F267*G267,2)</f>
        <v>0</v>
      </c>
      <c r="K267" s="63" t="s">
        <v>203</v>
      </c>
      <c r="Z267" s="35">
        <f>ROUND(IF(AQ267="5",BJ267,0),2)</f>
        <v>0</v>
      </c>
      <c r="AB267" s="35">
        <f>ROUND(IF(AQ267="1",BH267,0),2)</f>
        <v>0</v>
      </c>
      <c r="AC267" s="35">
        <f>ROUND(IF(AQ267="1",BI267,0),2)</f>
        <v>0</v>
      </c>
      <c r="AD267" s="35">
        <f>ROUND(IF(AQ267="7",BH267,0),2)</f>
        <v>0</v>
      </c>
      <c r="AE267" s="35">
        <f>ROUND(IF(AQ267="7",BI267,0),2)</f>
        <v>0</v>
      </c>
      <c r="AF267" s="35">
        <f>ROUND(IF(AQ267="2",BH267,0),2)</f>
        <v>0</v>
      </c>
      <c r="AG267" s="35">
        <f>ROUND(IF(AQ267="2",BI267,0),2)</f>
        <v>0</v>
      </c>
      <c r="AH267" s="35">
        <f>ROUND(IF(AQ267="0",BJ267,0),2)</f>
        <v>0</v>
      </c>
      <c r="AI267" s="48" t="s">
        <v>83</v>
      </c>
      <c r="AJ267" s="35">
        <f>IF(AN267=0,J267,0)</f>
        <v>0</v>
      </c>
      <c r="AK267" s="35">
        <f>IF(AN267=12,J267,0)</f>
        <v>0</v>
      </c>
      <c r="AL267" s="35">
        <f>IF(AN267=21,J267,0)</f>
        <v>0</v>
      </c>
      <c r="AN267" s="35">
        <v>12</v>
      </c>
      <c r="AO267" s="35">
        <f>G267*0</f>
        <v>0</v>
      </c>
      <c r="AP267" s="35">
        <f>G267*(1-0)</f>
        <v>0</v>
      </c>
      <c r="AQ267" s="64" t="s">
        <v>233</v>
      </c>
      <c r="AV267" s="35">
        <f>ROUND(AW267+AX267,2)</f>
        <v>0</v>
      </c>
      <c r="AW267" s="35">
        <f>ROUND(F267*AO267,2)</f>
        <v>0</v>
      </c>
      <c r="AX267" s="35">
        <f>ROUND(F267*AP267,2)</f>
        <v>0</v>
      </c>
      <c r="AY267" s="64" t="s">
        <v>664</v>
      </c>
      <c r="AZ267" s="64" t="s">
        <v>648</v>
      </c>
      <c r="BA267" s="48" t="s">
        <v>330</v>
      </c>
      <c r="BB267" s="65">
        <v>100037</v>
      </c>
      <c r="BC267" s="35">
        <f>AW267+AX267</f>
        <v>0</v>
      </c>
      <c r="BD267" s="35">
        <f>G267/(100-BE267)*100</f>
        <v>0</v>
      </c>
      <c r="BE267" s="35">
        <v>0</v>
      </c>
      <c r="BF267" s="35">
        <f>267</f>
        <v>267</v>
      </c>
      <c r="BH267" s="35">
        <f>F267*AO267</f>
        <v>0</v>
      </c>
      <c r="BI267" s="35">
        <f>F267*AP267</f>
        <v>0</v>
      </c>
      <c r="BJ267" s="35">
        <f>F267*G267</f>
        <v>0</v>
      </c>
      <c r="BK267" s="64" t="s">
        <v>208</v>
      </c>
      <c r="BL267" s="35"/>
      <c r="BW267" s="35">
        <v>12</v>
      </c>
      <c r="BX267" s="3" t="s">
        <v>663</v>
      </c>
    </row>
    <row r="268" spans="1:76" x14ac:dyDescent="0.25">
      <c r="A268" s="66"/>
      <c r="C268" s="67" t="s">
        <v>665</v>
      </c>
      <c r="D268" s="68" t="s">
        <v>10</v>
      </c>
      <c r="F268" s="69">
        <v>1.1299999999999999</v>
      </c>
      <c r="K268" s="70"/>
    </row>
    <row r="269" spans="1:76" x14ac:dyDescent="0.25">
      <c r="A269" s="59" t="s">
        <v>10</v>
      </c>
      <c r="B269" s="60" t="s">
        <v>131</v>
      </c>
      <c r="C269" s="177" t="s">
        <v>132</v>
      </c>
      <c r="D269" s="178"/>
      <c r="E269" s="61" t="s">
        <v>74</v>
      </c>
      <c r="F269" s="61" t="s">
        <v>74</v>
      </c>
      <c r="G269" s="61" t="s">
        <v>74</v>
      </c>
      <c r="H269" s="42">
        <f>SUM(H270:H270)</f>
        <v>0</v>
      </c>
      <c r="I269" s="42">
        <f>SUM(I270:I270)</f>
        <v>0</v>
      </c>
      <c r="J269" s="42">
        <f>SUM(J270:J270)</f>
        <v>0</v>
      </c>
      <c r="K269" s="62" t="s">
        <v>10</v>
      </c>
      <c r="AI269" s="48" t="s">
        <v>83</v>
      </c>
      <c r="AS269" s="42">
        <f>SUM(AJ270:AJ270)</f>
        <v>0</v>
      </c>
      <c r="AT269" s="42">
        <f>SUM(AK270:AK270)</f>
        <v>0</v>
      </c>
      <c r="AU269" s="42">
        <f>SUM(AL270:AL270)</f>
        <v>0</v>
      </c>
    </row>
    <row r="270" spans="1:76" x14ac:dyDescent="0.25">
      <c r="A270" s="1" t="s">
        <v>666</v>
      </c>
      <c r="B270" s="2" t="s">
        <v>667</v>
      </c>
      <c r="C270" s="86" t="s">
        <v>668</v>
      </c>
      <c r="D270" s="87"/>
      <c r="E270" s="2" t="s">
        <v>297</v>
      </c>
      <c r="F270" s="35">
        <v>2.5840000000000001</v>
      </c>
      <c r="G270" s="35">
        <v>0</v>
      </c>
      <c r="H270" s="35">
        <f>ROUND(F270*AO270,2)</f>
        <v>0</v>
      </c>
      <c r="I270" s="35">
        <f>ROUND(F270*AP270,2)</f>
        <v>0</v>
      </c>
      <c r="J270" s="35">
        <f>ROUND(F270*G270,2)</f>
        <v>0</v>
      </c>
      <c r="K270" s="63" t="s">
        <v>203</v>
      </c>
      <c r="Z270" s="35">
        <f>ROUND(IF(AQ270="5",BJ270,0),2)</f>
        <v>0</v>
      </c>
      <c r="AB270" s="35">
        <f>ROUND(IF(AQ270="1",BH270,0),2)</f>
        <v>0</v>
      </c>
      <c r="AC270" s="35">
        <f>ROUND(IF(AQ270="1",BI270,0),2)</f>
        <v>0</v>
      </c>
      <c r="AD270" s="35">
        <f>ROUND(IF(AQ270="7",BH270,0),2)</f>
        <v>0</v>
      </c>
      <c r="AE270" s="35">
        <f>ROUND(IF(AQ270="7",BI270,0),2)</f>
        <v>0</v>
      </c>
      <c r="AF270" s="35">
        <f>ROUND(IF(AQ270="2",BH270,0),2)</f>
        <v>0</v>
      </c>
      <c r="AG270" s="35">
        <f>ROUND(IF(AQ270="2",BI270,0),2)</f>
        <v>0</v>
      </c>
      <c r="AH270" s="35">
        <f>ROUND(IF(AQ270="0",BJ270,0),2)</f>
        <v>0</v>
      </c>
      <c r="AI270" s="48" t="s">
        <v>83</v>
      </c>
      <c r="AJ270" s="35">
        <f>IF(AN270=0,J270,0)</f>
        <v>0</v>
      </c>
      <c r="AK270" s="35">
        <f>IF(AN270=12,J270,0)</f>
        <v>0</v>
      </c>
      <c r="AL270" s="35">
        <f>IF(AN270=21,J270,0)</f>
        <v>0</v>
      </c>
      <c r="AN270" s="35">
        <v>12</v>
      </c>
      <c r="AO270" s="35">
        <f>G270*0</f>
        <v>0</v>
      </c>
      <c r="AP270" s="35">
        <f>G270*(1-0)</f>
        <v>0</v>
      </c>
      <c r="AQ270" s="64" t="s">
        <v>233</v>
      </c>
      <c r="AV270" s="35">
        <f>ROUND(AW270+AX270,2)</f>
        <v>0</v>
      </c>
      <c r="AW270" s="35">
        <f>ROUND(F270*AO270,2)</f>
        <v>0</v>
      </c>
      <c r="AX270" s="35">
        <f>ROUND(F270*AP270,2)</f>
        <v>0</v>
      </c>
      <c r="AY270" s="64" t="s">
        <v>669</v>
      </c>
      <c r="AZ270" s="64" t="s">
        <v>648</v>
      </c>
      <c r="BA270" s="48" t="s">
        <v>330</v>
      </c>
      <c r="BB270" s="65">
        <v>100020</v>
      </c>
      <c r="BC270" s="35">
        <f>AW270+AX270</f>
        <v>0</v>
      </c>
      <c r="BD270" s="35">
        <f>G270/(100-BE270)*100</f>
        <v>0</v>
      </c>
      <c r="BE270" s="35">
        <v>0</v>
      </c>
      <c r="BF270" s="35">
        <f>270</f>
        <v>270</v>
      </c>
      <c r="BH270" s="35">
        <f>F270*AO270</f>
        <v>0</v>
      </c>
      <c r="BI270" s="35">
        <f>F270*AP270</f>
        <v>0</v>
      </c>
      <c r="BJ270" s="35">
        <f>F270*G270</f>
        <v>0</v>
      </c>
      <c r="BK270" s="64" t="s">
        <v>208</v>
      </c>
      <c r="BL270" s="35"/>
      <c r="BW270" s="35">
        <v>12</v>
      </c>
      <c r="BX270" s="3" t="s">
        <v>668</v>
      </c>
    </row>
    <row r="271" spans="1:76" x14ac:dyDescent="0.25">
      <c r="A271" s="66"/>
      <c r="C271" s="67" t="s">
        <v>670</v>
      </c>
      <c r="D271" s="68" t="s">
        <v>10</v>
      </c>
      <c r="F271" s="69">
        <v>2.5840000000000001</v>
      </c>
      <c r="K271" s="70"/>
    </row>
    <row r="272" spans="1:76" x14ac:dyDescent="0.25">
      <c r="A272" s="71" t="s">
        <v>10</v>
      </c>
      <c r="B272" s="72" t="s">
        <v>10</v>
      </c>
      <c r="C272" s="183" t="s">
        <v>84</v>
      </c>
      <c r="D272" s="184"/>
      <c r="E272" s="73" t="s">
        <v>74</v>
      </c>
      <c r="F272" s="73" t="s">
        <v>74</v>
      </c>
      <c r="G272" s="73" t="s">
        <v>74</v>
      </c>
      <c r="H272" s="74">
        <f>H273+H278+H282+H310+H339+H393+H423+H428+H430+H435+H440+H445+H448</f>
        <v>0</v>
      </c>
      <c r="I272" s="74">
        <f>I273+I278+I282+I310+I339+I393+I423+I428+I430+I435+I440+I445+I448</f>
        <v>0</v>
      </c>
      <c r="J272" s="74">
        <f>J273+J278+J282+J310+J339+J393+J423+J428+J430+J435+J440+J445+J448</f>
        <v>0</v>
      </c>
      <c r="K272" s="75" t="s">
        <v>10</v>
      </c>
    </row>
    <row r="273" spans="1:76" x14ac:dyDescent="0.25">
      <c r="A273" s="59" t="s">
        <v>10</v>
      </c>
      <c r="B273" s="60" t="s">
        <v>133</v>
      </c>
      <c r="C273" s="177" t="s">
        <v>134</v>
      </c>
      <c r="D273" s="178"/>
      <c r="E273" s="61" t="s">
        <v>74</v>
      </c>
      <c r="F273" s="61" t="s">
        <v>74</v>
      </c>
      <c r="G273" s="61" t="s">
        <v>74</v>
      </c>
      <c r="H273" s="42">
        <f>SUM(H274:H274)</f>
        <v>0</v>
      </c>
      <c r="I273" s="42">
        <f>SUM(I274:I274)</f>
        <v>0</v>
      </c>
      <c r="J273" s="42">
        <f>SUM(J274:J274)</f>
        <v>0</v>
      </c>
      <c r="K273" s="62" t="s">
        <v>10</v>
      </c>
      <c r="AI273" s="48" t="s">
        <v>85</v>
      </c>
      <c r="AS273" s="42">
        <f>SUM(AJ274:AJ274)</f>
        <v>0</v>
      </c>
      <c r="AT273" s="42">
        <f>SUM(AK274:AK274)</f>
        <v>0</v>
      </c>
      <c r="AU273" s="42">
        <f>SUM(AL274:AL274)</f>
        <v>0</v>
      </c>
    </row>
    <row r="274" spans="1:76" x14ac:dyDescent="0.25">
      <c r="A274" s="1" t="s">
        <v>671</v>
      </c>
      <c r="B274" s="2" t="s">
        <v>672</v>
      </c>
      <c r="C274" s="86" t="s">
        <v>673</v>
      </c>
      <c r="D274" s="87"/>
      <c r="E274" s="2" t="s">
        <v>230</v>
      </c>
      <c r="F274" s="35">
        <v>0.59</v>
      </c>
      <c r="G274" s="35">
        <v>0</v>
      </c>
      <c r="H274" s="35">
        <f>ROUND(F274*AO274,2)</f>
        <v>0</v>
      </c>
      <c r="I274" s="35">
        <f>ROUND(F274*AP274,2)</f>
        <v>0</v>
      </c>
      <c r="J274" s="35">
        <f>ROUND(F274*G274,2)</f>
        <v>0</v>
      </c>
      <c r="K274" s="63" t="s">
        <v>203</v>
      </c>
      <c r="Z274" s="35">
        <f>ROUND(IF(AQ274="5",BJ274,0),2)</f>
        <v>0</v>
      </c>
      <c r="AB274" s="35">
        <f>ROUND(IF(AQ274="1",BH274,0),2)</f>
        <v>0</v>
      </c>
      <c r="AC274" s="35">
        <f>ROUND(IF(AQ274="1",BI274,0),2)</f>
        <v>0</v>
      </c>
      <c r="AD274" s="35">
        <f>ROUND(IF(AQ274="7",BH274,0),2)</f>
        <v>0</v>
      </c>
      <c r="AE274" s="35">
        <f>ROUND(IF(AQ274="7",BI274,0),2)</f>
        <v>0</v>
      </c>
      <c r="AF274" s="35">
        <f>ROUND(IF(AQ274="2",BH274,0),2)</f>
        <v>0</v>
      </c>
      <c r="AG274" s="35">
        <f>ROUND(IF(AQ274="2",BI274,0),2)</f>
        <v>0</v>
      </c>
      <c r="AH274" s="35">
        <f>ROUND(IF(AQ274="0",BJ274,0),2)</f>
        <v>0</v>
      </c>
      <c r="AI274" s="48" t="s">
        <v>85</v>
      </c>
      <c r="AJ274" s="35">
        <f>IF(AN274=0,J274,0)</f>
        <v>0</v>
      </c>
      <c r="AK274" s="35">
        <f>IF(AN274=12,J274,0)</f>
        <v>0</v>
      </c>
      <c r="AL274" s="35">
        <f>IF(AN274=21,J274,0)</f>
        <v>0</v>
      </c>
      <c r="AN274" s="35">
        <v>12</v>
      </c>
      <c r="AO274" s="35">
        <f>G274*0.4869208</f>
        <v>0</v>
      </c>
      <c r="AP274" s="35">
        <f>G274*(1-0.4869208)</f>
        <v>0</v>
      </c>
      <c r="AQ274" s="64" t="s">
        <v>199</v>
      </c>
      <c r="AV274" s="35">
        <f>ROUND(AW274+AX274,2)</f>
        <v>0</v>
      </c>
      <c r="AW274" s="35">
        <f>ROUND(F274*AO274,2)</f>
        <v>0</v>
      </c>
      <c r="AX274" s="35">
        <f>ROUND(F274*AP274,2)</f>
        <v>0</v>
      </c>
      <c r="AY274" s="64" t="s">
        <v>674</v>
      </c>
      <c r="AZ274" s="64" t="s">
        <v>675</v>
      </c>
      <c r="BA274" s="48" t="s">
        <v>676</v>
      </c>
      <c r="BB274" s="65">
        <v>100031</v>
      </c>
      <c r="BC274" s="35">
        <f>AW274+AX274</f>
        <v>0</v>
      </c>
      <c r="BD274" s="35">
        <f>G274/(100-BE274)*100</f>
        <v>0</v>
      </c>
      <c r="BE274" s="35">
        <v>0</v>
      </c>
      <c r="BF274" s="35">
        <f>274</f>
        <v>274</v>
      </c>
      <c r="BH274" s="35">
        <f>F274*AO274</f>
        <v>0</v>
      </c>
      <c r="BI274" s="35">
        <f>F274*AP274</f>
        <v>0</v>
      </c>
      <c r="BJ274" s="35">
        <f>F274*G274</f>
        <v>0</v>
      </c>
      <c r="BK274" s="64" t="s">
        <v>208</v>
      </c>
      <c r="BL274" s="35">
        <v>17</v>
      </c>
      <c r="BW274" s="35">
        <v>12</v>
      </c>
      <c r="BX274" s="3" t="s">
        <v>673</v>
      </c>
    </row>
    <row r="275" spans="1:76" ht="13.5" customHeight="1" x14ac:dyDescent="0.25">
      <c r="A275" s="66"/>
      <c r="C275" s="180" t="s">
        <v>677</v>
      </c>
      <c r="D275" s="181"/>
      <c r="E275" s="181"/>
      <c r="F275" s="181"/>
      <c r="G275" s="181"/>
      <c r="H275" s="181"/>
      <c r="I275" s="181"/>
      <c r="J275" s="181"/>
      <c r="K275" s="182"/>
    </row>
    <row r="276" spans="1:76" x14ac:dyDescent="0.25">
      <c r="A276" s="66"/>
      <c r="C276" s="67" t="s">
        <v>678</v>
      </c>
      <c r="D276" s="68" t="s">
        <v>10</v>
      </c>
      <c r="F276" s="69">
        <v>0.54</v>
      </c>
      <c r="K276" s="70"/>
    </row>
    <row r="277" spans="1:76" x14ac:dyDescent="0.25">
      <c r="A277" s="66"/>
      <c r="C277" s="67" t="s">
        <v>679</v>
      </c>
      <c r="D277" s="68" t="s">
        <v>10</v>
      </c>
      <c r="F277" s="69">
        <v>0.05</v>
      </c>
      <c r="K277" s="70"/>
    </row>
    <row r="278" spans="1:76" x14ac:dyDescent="0.25">
      <c r="A278" s="59" t="s">
        <v>10</v>
      </c>
      <c r="B278" s="60" t="s">
        <v>135</v>
      </c>
      <c r="C278" s="177" t="s">
        <v>136</v>
      </c>
      <c r="D278" s="178"/>
      <c r="E278" s="61" t="s">
        <v>74</v>
      </c>
      <c r="F278" s="61" t="s">
        <v>74</v>
      </c>
      <c r="G278" s="61" t="s">
        <v>74</v>
      </c>
      <c r="H278" s="42">
        <f>SUM(H279:H279)</f>
        <v>0</v>
      </c>
      <c r="I278" s="42">
        <f>SUM(I279:I279)</f>
        <v>0</v>
      </c>
      <c r="J278" s="42">
        <f>SUM(J279:J279)</f>
        <v>0</v>
      </c>
      <c r="K278" s="62" t="s">
        <v>10</v>
      </c>
      <c r="AI278" s="48" t="s">
        <v>85</v>
      </c>
      <c r="AS278" s="42">
        <f>SUM(AJ279:AJ279)</f>
        <v>0</v>
      </c>
      <c r="AT278" s="42">
        <f>SUM(AK279:AK279)</f>
        <v>0</v>
      </c>
      <c r="AU278" s="42">
        <f>SUM(AL279:AL279)</f>
        <v>0</v>
      </c>
    </row>
    <row r="279" spans="1:76" x14ac:dyDescent="0.25">
      <c r="A279" s="1" t="s">
        <v>680</v>
      </c>
      <c r="B279" s="2" t="s">
        <v>681</v>
      </c>
      <c r="C279" s="86" t="s">
        <v>682</v>
      </c>
      <c r="D279" s="87"/>
      <c r="E279" s="2" t="s">
        <v>230</v>
      </c>
      <c r="F279" s="35">
        <v>0.4425</v>
      </c>
      <c r="G279" s="35">
        <v>0</v>
      </c>
      <c r="H279" s="35">
        <f>ROUND(F279*AO279,2)</f>
        <v>0</v>
      </c>
      <c r="I279" s="35">
        <f>ROUND(F279*AP279,2)</f>
        <v>0</v>
      </c>
      <c r="J279" s="35">
        <f>ROUND(F279*G279,2)</f>
        <v>0</v>
      </c>
      <c r="K279" s="63" t="s">
        <v>203</v>
      </c>
      <c r="Z279" s="35">
        <f>ROUND(IF(AQ279="5",BJ279,0),2)</f>
        <v>0</v>
      </c>
      <c r="AB279" s="35">
        <f>ROUND(IF(AQ279="1",BH279,0),2)</f>
        <v>0</v>
      </c>
      <c r="AC279" s="35">
        <f>ROUND(IF(AQ279="1",BI279,0),2)</f>
        <v>0</v>
      </c>
      <c r="AD279" s="35">
        <f>ROUND(IF(AQ279="7",BH279,0),2)</f>
        <v>0</v>
      </c>
      <c r="AE279" s="35">
        <f>ROUND(IF(AQ279="7",BI279,0),2)</f>
        <v>0</v>
      </c>
      <c r="AF279" s="35">
        <f>ROUND(IF(AQ279="2",BH279,0),2)</f>
        <v>0</v>
      </c>
      <c r="AG279" s="35">
        <f>ROUND(IF(AQ279="2",BI279,0),2)</f>
        <v>0</v>
      </c>
      <c r="AH279" s="35">
        <f>ROUND(IF(AQ279="0",BJ279,0),2)</f>
        <v>0</v>
      </c>
      <c r="AI279" s="48" t="s">
        <v>85</v>
      </c>
      <c r="AJ279" s="35">
        <f>IF(AN279=0,J279,0)</f>
        <v>0</v>
      </c>
      <c r="AK279" s="35">
        <f>IF(AN279=12,J279,0)</f>
        <v>0</v>
      </c>
      <c r="AL279" s="35">
        <f>IF(AN279=21,J279,0)</f>
        <v>0</v>
      </c>
      <c r="AN279" s="35">
        <v>12</v>
      </c>
      <c r="AO279" s="35">
        <f>G279*0.461511469</f>
        <v>0</v>
      </c>
      <c r="AP279" s="35">
        <f>G279*(1-0.461511469)</f>
        <v>0</v>
      </c>
      <c r="AQ279" s="64" t="s">
        <v>199</v>
      </c>
      <c r="AV279" s="35">
        <f>ROUND(AW279+AX279,2)</f>
        <v>0</v>
      </c>
      <c r="AW279" s="35">
        <f>ROUND(F279*AO279,2)</f>
        <v>0</v>
      </c>
      <c r="AX279" s="35">
        <f>ROUND(F279*AP279,2)</f>
        <v>0</v>
      </c>
      <c r="AY279" s="64" t="s">
        <v>683</v>
      </c>
      <c r="AZ279" s="64" t="s">
        <v>684</v>
      </c>
      <c r="BA279" s="48" t="s">
        <v>676</v>
      </c>
      <c r="BB279" s="65">
        <v>100030</v>
      </c>
      <c r="BC279" s="35">
        <f>AW279+AX279</f>
        <v>0</v>
      </c>
      <c r="BD279" s="35">
        <f>G279/(100-BE279)*100</f>
        <v>0</v>
      </c>
      <c r="BE279" s="35">
        <v>0</v>
      </c>
      <c r="BF279" s="35">
        <f>279</f>
        <v>279</v>
      </c>
      <c r="BH279" s="35">
        <f>F279*AO279</f>
        <v>0</v>
      </c>
      <c r="BI279" s="35">
        <f>F279*AP279</f>
        <v>0</v>
      </c>
      <c r="BJ279" s="35">
        <f>F279*G279</f>
        <v>0</v>
      </c>
      <c r="BK279" s="64" t="s">
        <v>208</v>
      </c>
      <c r="BL279" s="35">
        <v>63</v>
      </c>
      <c r="BW279" s="35">
        <v>12</v>
      </c>
      <c r="BX279" s="3" t="s">
        <v>682</v>
      </c>
    </row>
    <row r="280" spans="1:76" x14ac:dyDescent="0.25">
      <c r="A280" s="66"/>
      <c r="C280" s="67" t="s">
        <v>685</v>
      </c>
      <c r="D280" s="68" t="s">
        <v>10</v>
      </c>
      <c r="F280" s="69">
        <v>0.40500000000000003</v>
      </c>
      <c r="K280" s="70"/>
    </row>
    <row r="281" spans="1:76" x14ac:dyDescent="0.25">
      <c r="A281" s="66"/>
      <c r="C281" s="67" t="s">
        <v>686</v>
      </c>
      <c r="D281" s="68" t="s">
        <v>10</v>
      </c>
      <c r="F281" s="69">
        <v>3.7499999999999999E-2</v>
      </c>
      <c r="K281" s="70"/>
    </row>
    <row r="282" spans="1:76" x14ac:dyDescent="0.25">
      <c r="A282" s="59" t="s">
        <v>10</v>
      </c>
      <c r="B282" s="60" t="s">
        <v>137</v>
      </c>
      <c r="C282" s="177" t="s">
        <v>138</v>
      </c>
      <c r="D282" s="178"/>
      <c r="E282" s="61" t="s">
        <v>74</v>
      </c>
      <c r="F282" s="61" t="s">
        <v>74</v>
      </c>
      <c r="G282" s="61" t="s">
        <v>74</v>
      </c>
      <c r="H282" s="42">
        <f>SUM(H283:H308)</f>
        <v>0</v>
      </c>
      <c r="I282" s="42">
        <f>SUM(I283:I308)</f>
        <v>0</v>
      </c>
      <c r="J282" s="42">
        <f>SUM(J283:J308)</f>
        <v>0</v>
      </c>
      <c r="K282" s="62" t="s">
        <v>10</v>
      </c>
      <c r="AI282" s="48" t="s">
        <v>85</v>
      </c>
      <c r="AS282" s="42">
        <f>SUM(AJ283:AJ308)</f>
        <v>0</v>
      </c>
      <c r="AT282" s="42">
        <f>SUM(AK283:AK308)</f>
        <v>0</v>
      </c>
      <c r="AU282" s="42">
        <f>SUM(AL283:AL308)</f>
        <v>0</v>
      </c>
    </row>
    <row r="283" spans="1:76" x14ac:dyDescent="0.25">
      <c r="A283" s="1" t="s">
        <v>126</v>
      </c>
      <c r="B283" s="2" t="s">
        <v>687</v>
      </c>
      <c r="C283" s="86" t="s">
        <v>688</v>
      </c>
      <c r="D283" s="87"/>
      <c r="E283" s="2" t="s">
        <v>252</v>
      </c>
      <c r="F283" s="35">
        <v>1</v>
      </c>
      <c r="G283" s="35">
        <v>0</v>
      </c>
      <c r="H283" s="35">
        <f>ROUND(F283*AO283,2)</f>
        <v>0</v>
      </c>
      <c r="I283" s="35">
        <f>ROUND(F283*AP283,2)</f>
        <v>0</v>
      </c>
      <c r="J283" s="35">
        <f>ROUND(F283*G283,2)</f>
        <v>0</v>
      </c>
      <c r="K283" s="63" t="s">
        <v>203</v>
      </c>
      <c r="Z283" s="35">
        <f>ROUND(IF(AQ283="5",BJ283,0),2)</f>
        <v>0</v>
      </c>
      <c r="AB283" s="35">
        <f>ROUND(IF(AQ283="1",BH283,0),2)</f>
        <v>0</v>
      </c>
      <c r="AC283" s="35">
        <f>ROUND(IF(AQ283="1",BI283,0),2)</f>
        <v>0</v>
      </c>
      <c r="AD283" s="35">
        <f>ROUND(IF(AQ283="7",BH283,0),2)</f>
        <v>0</v>
      </c>
      <c r="AE283" s="35">
        <f>ROUND(IF(AQ283="7",BI283,0),2)</f>
        <v>0</v>
      </c>
      <c r="AF283" s="35">
        <f>ROUND(IF(AQ283="2",BH283,0),2)</f>
        <v>0</v>
      </c>
      <c r="AG283" s="35">
        <f>ROUND(IF(AQ283="2",BI283,0),2)</f>
        <v>0</v>
      </c>
      <c r="AH283" s="35">
        <f>ROUND(IF(AQ283="0",BJ283,0),2)</f>
        <v>0</v>
      </c>
      <c r="AI283" s="48" t="s">
        <v>85</v>
      </c>
      <c r="AJ283" s="35">
        <f>IF(AN283=0,J283,0)</f>
        <v>0</v>
      </c>
      <c r="AK283" s="35">
        <f>IF(AN283=12,J283,0)</f>
        <v>0</v>
      </c>
      <c r="AL283" s="35">
        <f>IF(AN283=21,J283,0)</f>
        <v>0</v>
      </c>
      <c r="AN283" s="35">
        <v>12</v>
      </c>
      <c r="AO283" s="35">
        <f>G283*0</f>
        <v>0</v>
      </c>
      <c r="AP283" s="35">
        <f>G283*(1-0)</f>
        <v>0</v>
      </c>
      <c r="AQ283" s="64" t="s">
        <v>204</v>
      </c>
      <c r="AV283" s="35">
        <f>ROUND(AW283+AX283,2)</f>
        <v>0</v>
      </c>
      <c r="AW283" s="35">
        <f>ROUND(F283*AO283,2)</f>
        <v>0</v>
      </c>
      <c r="AX283" s="35">
        <f>ROUND(F283*AP283,2)</f>
        <v>0</v>
      </c>
      <c r="AY283" s="64" t="s">
        <v>689</v>
      </c>
      <c r="AZ283" s="64" t="s">
        <v>690</v>
      </c>
      <c r="BA283" s="48" t="s">
        <v>676</v>
      </c>
      <c r="BB283" s="65">
        <v>100015</v>
      </c>
      <c r="BC283" s="35">
        <f>AW283+AX283</f>
        <v>0</v>
      </c>
      <c r="BD283" s="35">
        <f>G283/(100-BE283)*100</f>
        <v>0</v>
      </c>
      <c r="BE283" s="35">
        <v>0</v>
      </c>
      <c r="BF283" s="35">
        <f>283</f>
        <v>283</v>
      </c>
      <c r="BH283" s="35">
        <f>F283*AO283</f>
        <v>0</v>
      </c>
      <c r="BI283" s="35">
        <f>F283*AP283</f>
        <v>0</v>
      </c>
      <c r="BJ283" s="35">
        <f>F283*G283</f>
        <v>0</v>
      </c>
      <c r="BK283" s="64" t="s">
        <v>208</v>
      </c>
      <c r="BL283" s="35">
        <v>721</v>
      </c>
      <c r="BW283" s="35">
        <v>12</v>
      </c>
      <c r="BX283" s="3" t="s">
        <v>688</v>
      </c>
    </row>
    <row r="284" spans="1:76" x14ac:dyDescent="0.25">
      <c r="A284" s="1" t="s">
        <v>98</v>
      </c>
      <c r="B284" s="2" t="s">
        <v>691</v>
      </c>
      <c r="C284" s="86" t="s">
        <v>692</v>
      </c>
      <c r="D284" s="87"/>
      <c r="E284" s="2" t="s">
        <v>252</v>
      </c>
      <c r="F284" s="35">
        <v>1</v>
      </c>
      <c r="G284" s="35">
        <v>0</v>
      </c>
      <c r="H284" s="35">
        <f>ROUND(F284*AO284,2)</f>
        <v>0</v>
      </c>
      <c r="I284" s="35">
        <f>ROUND(F284*AP284,2)</f>
        <v>0</v>
      </c>
      <c r="J284" s="35">
        <f>ROUND(F284*G284,2)</f>
        <v>0</v>
      </c>
      <c r="K284" s="63" t="s">
        <v>292</v>
      </c>
      <c r="Z284" s="35">
        <f>ROUND(IF(AQ284="5",BJ284,0),2)</f>
        <v>0</v>
      </c>
      <c r="AB284" s="35">
        <f>ROUND(IF(AQ284="1",BH284,0),2)</f>
        <v>0</v>
      </c>
      <c r="AC284" s="35">
        <f>ROUND(IF(AQ284="1",BI284,0),2)</f>
        <v>0</v>
      </c>
      <c r="AD284" s="35">
        <f>ROUND(IF(AQ284="7",BH284,0),2)</f>
        <v>0</v>
      </c>
      <c r="AE284" s="35">
        <f>ROUND(IF(AQ284="7",BI284,0),2)</f>
        <v>0</v>
      </c>
      <c r="AF284" s="35">
        <f>ROUND(IF(AQ284="2",BH284,0),2)</f>
        <v>0</v>
      </c>
      <c r="AG284" s="35">
        <f>ROUND(IF(AQ284="2",BI284,0),2)</f>
        <v>0</v>
      </c>
      <c r="AH284" s="35">
        <f>ROUND(IF(AQ284="0",BJ284,0),2)</f>
        <v>0</v>
      </c>
      <c r="AI284" s="48" t="s">
        <v>85</v>
      </c>
      <c r="AJ284" s="35">
        <f>IF(AN284=0,J284,0)</f>
        <v>0</v>
      </c>
      <c r="AK284" s="35">
        <f>IF(AN284=12,J284,0)</f>
        <v>0</v>
      </c>
      <c r="AL284" s="35">
        <f>IF(AN284=21,J284,0)</f>
        <v>0</v>
      </c>
      <c r="AN284" s="35">
        <v>12</v>
      </c>
      <c r="AO284" s="35">
        <f>G284*0</f>
        <v>0</v>
      </c>
      <c r="AP284" s="35">
        <f>G284*(1-0)</f>
        <v>0</v>
      </c>
      <c r="AQ284" s="64" t="s">
        <v>204</v>
      </c>
      <c r="AV284" s="35">
        <f>ROUND(AW284+AX284,2)</f>
        <v>0</v>
      </c>
      <c r="AW284" s="35">
        <f>ROUND(F284*AO284,2)</f>
        <v>0</v>
      </c>
      <c r="AX284" s="35">
        <f>ROUND(F284*AP284,2)</f>
        <v>0</v>
      </c>
      <c r="AY284" s="64" t="s">
        <v>689</v>
      </c>
      <c r="AZ284" s="64" t="s">
        <v>690</v>
      </c>
      <c r="BA284" s="48" t="s">
        <v>676</v>
      </c>
      <c r="BB284" s="65">
        <v>100015</v>
      </c>
      <c r="BC284" s="35">
        <f>AW284+AX284</f>
        <v>0</v>
      </c>
      <c r="BD284" s="35">
        <f>G284/(100-BE284)*100</f>
        <v>0</v>
      </c>
      <c r="BE284" s="35">
        <v>0</v>
      </c>
      <c r="BF284" s="35">
        <f>284</f>
        <v>284</v>
      </c>
      <c r="BH284" s="35">
        <f>F284*AO284</f>
        <v>0</v>
      </c>
      <c r="BI284" s="35">
        <f>F284*AP284</f>
        <v>0</v>
      </c>
      <c r="BJ284" s="35">
        <f>F284*G284</f>
        <v>0</v>
      </c>
      <c r="BK284" s="64" t="s">
        <v>208</v>
      </c>
      <c r="BL284" s="35">
        <v>721</v>
      </c>
      <c r="BW284" s="35">
        <v>12</v>
      </c>
      <c r="BX284" s="3" t="s">
        <v>692</v>
      </c>
    </row>
    <row r="285" spans="1:76" x14ac:dyDescent="0.25">
      <c r="A285" s="66"/>
      <c r="C285" s="67" t="s">
        <v>199</v>
      </c>
      <c r="D285" s="68" t="s">
        <v>10</v>
      </c>
      <c r="F285" s="69">
        <v>1</v>
      </c>
      <c r="K285" s="70"/>
    </row>
    <row r="286" spans="1:76" x14ac:dyDescent="0.25">
      <c r="A286" s="76" t="s">
        <v>100</v>
      </c>
      <c r="B286" s="77" t="s">
        <v>693</v>
      </c>
      <c r="C286" s="185" t="s">
        <v>694</v>
      </c>
      <c r="D286" s="186"/>
      <c r="E286" s="77" t="s">
        <v>252</v>
      </c>
      <c r="F286" s="79">
        <v>1</v>
      </c>
      <c r="G286" s="79">
        <v>0</v>
      </c>
      <c r="H286" s="79">
        <f>ROUND(F286*AO286,2)</f>
        <v>0</v>
      </c>
      <c r="I286" s="79">
        <f>ROUND(F286*AP286,2)</f>
        <v>0</v>
      </c>
      <c r="J286" s="79">
        <f>ROUND(F286*G286,2)</f>
        <v>0</v>
      </c>
      <c r="K286" s="80" t="s">
        <v>203</v>
      </c>
      <c r="Z286" s="35">
        <f>ROUND(IF(AQ286="5",BJ286,0),2)</f>
        <v>0</v>
      </c>
      <c r="AB286" s="35">
        <f>ROUND(IF(AQ286="1",BH286,0),2)</f>
        <v>0</v>
      </c>
      <c r="AC286" s="35">
        <f>ROUND(IF(AQ286="1",BI286,0),2)</f>
        <v>0</v>
      </c>
      <c r="AD286" s="35">
        <f>ROUND(IF(AQ286="7",BH286,0),2)</f>
        <v>0</v>
      </c>
      <c r="AE286" s="35">
        <f>ROUND(IF(AQ286="7",BI286,0),2)</f>
        <v>0</v>
      </c>
      <c r="AF286" s="35">
        <f>ROUND(IF(AQ286="2",BH286,0),2)</f>
        <v>0</v>
      </c>
      <c r="AG286" s="35">
        <f>ROUND(IF(AQ286="2",BI286,0),2)</f>
        <v>0</v>
      </c>
      <c r="AH286" s="35">
        <f>ROUND(IF(AQ286="0",BJ286,0),2)</f>
        <v>0</v>
      </c>
      <c r="AI286" s="48" t="s">
        <v>85</v>
      </c>
      <c r="AJ286" s="79">
        <f>IF(AN286=0,J286,0)</f>
        <v>0</v>
      </c>
      <c r="AK286" s="79">
        <f>IF(AN286=12,J286,0)</f>
        <v>0</v>
      </c>
      <c r="AL286" s="79">
        <f>IF(AN286=21,J286,0)</f>
        <v>0</v>
      </c>
      <c r="AN286" s="35">
        <v>12</v>
      </c>
      <c r="AO286" s="35">
        <f>G286*1</f>
        <v>0</v>
      </c>
      <c r="AP286" s="35">
        <f>G286*(1-1)</f>
        <v>0</v>
      </c>
      <c r="AQ286" s="81" t="s">
        <v>204</v>
      </c>
      <c r="AV286" s="35">
        <f>ROUND(AW286+AX286,2)</f>
        <v>0</v>
      </c>
      <c r="AW286" s="35">
        <f>ROUND(F286*AO286,2)</f>
        <v>0</v>
      </c>
      <c r="AX286" s="35">
        <f>ROUND(F286*AP286,2)</f>
        <v>0</v>
      </c>
      <c r="AY286" s="64" t="s">
        <v>689</v>
      </c>
      <c r="AZ286" s="64" t="s">
        <v>690</v>
      </c>
      <c r="BA286" s="48" t="s">
        <v>676</v>
      </c>
      <c r="BC286" s="35">
        <f>AW286+AX286</f>
        <v>0</v>
      </c>
      <c r="BD286" s="35">
        <f>G286/(100-BE286)*100</f>
        <v>0</v>
      </c>
      <c r="BE286" s="35">
        <v>0</v>
      </c>
      <c r="BF286" s="35">
        <f>286</f>
        <v>286</v>
      </c>
      <c r="BH286" s="79">
        <f>F286*AO286</f>
        <v>0</v>
      </c>
      <c r="BI286" s="79">
        <f>F286*AP286</f>
        <v>0</v>
      </c>
      <c r="BJ286" s="79">
        <f>F286*G286</f>
        <v>0</v>
      </c>
      <c r="BK286" s="81" t="s">
        <v>464</v>
      </c>
      <c r="BL286" s="35">
        <v>721</v>
      </c>
      <c r="BW286" s="35">
        <v>12</v>
      </c>
      <c r="BX286" s="78" t="s">
        <v>694</v>
      </c>
    </row>
    <row r="287" spans="1:76" x14ac:dyDescent="0.25">
      <c r="A287" s="66"/>
      <c r="C287" s="67" t="s">
        <v>199</v>
      </c>
      <c r="D287" s="68" t="s">
        <v>10</v>
      </c>
      <c r="F287" s="69">
        <v>1</v>
      </c>
      <c r="K287" s="70"/>
    </row>
    <row r="288" spans="1:76" x14ac:dyDescent="0.25">
      <c r="A288" s="1" t="s">
        <v>695</v>
      </c>
      <c r="B288" s="2" t="s">
        <v>696</v>
      </c>
      <c r="C288" s="86" t="s">
        <v>697</v>
      </c>
      <c r="D288" s="87"/>
      <c r="E288" s="2" t="s">
        <v>252</v>
      </c>
      <c r="F288" s="35">
        <v>1</v>
      </c>
      <c r="G288" s="35">
        <v>0</v>
      </c>
      <c r="H288" s="35">
        <f>ROUND(F288*AO288,2)</f>
        <v>0</v>
      </c>
      <c r="I288" s="35">
        <f>ROUND(F288*AP288,2)</f>
        <v>0</v>
      </c>
      <c r="J288" s="35">
        <f>ROUND(F288*G288,2)</f>
        <v>0</v>
      </c>
      <c r="K288" s="63" t="s">
        <v>203</v>
      </c>
      <c r="Z288" s="35">
        <f>ROUND(IF(AQ288="5",BJ288,0),2)</f>
        <v>0</v>
      </c>
      <c r="AB288" s="35">
        <f>ROUND(IF(AQ288="1",BH288,0),2)</f>
        <v>0</v>
      </c>
      <c r="AC288" s="35">
        <f>ROUND(IF(AQ288="1",BI288,0),2)</f>
        <v>0</v>
      </c>
      <c r="AD288" s="35">
        <f>ROUND(IF(AQ288="7",BH288,0),2)</f>
        <v>0</v>
      </c>
      <c r="AE288" s="35">
        <f>ROUND(IF(AQ288="7",BI288,0),2)</f>
        <v>0</v>
      </c>
      <c r="AF288" s="35">
        <f>ROUND(IF(AQ288="2",BH288,0),2)</f>
        <v>0</v>
      </c>
      <c r="AG288" s="35">
        <f>ROUND(IF(AQ288="2",BI288,0),2)</f>
        <v>0</v>
      </c>
      <c r="AH288" s="35">
        <f>ROUND(IF(AQ288="0",BJ288,0),2)</f>
        <v>0</v>
      </c>
      <c r="AI288" s="48" t="s">
        <v>85</v>
      </c>
      <c r="AJ288" s="35">
        <f>IF(AN288=0,J288,0)</f>
        <v>0</v>
      </c>
      <c r="AK288" s="35">
        <f>IF(AN288=12,J288,0)</f>
        <v>0</v>
      </c>
      <c r="AL288" s="35">
        <f>IF(AN288=21,J288,0)</f>
        <v>0</v>
      </c>
      <c r="AN288" s="35">
        <v>12</v>
      </c>
      <c r="AO288" s="35">
        <f>G288*0.961467764</f>
        <v>0</v>
      </c>
      <c r="AP288" s="35">
        <f>G288*(1-0.961467764)</f>
        <v>0</v>
      </c>
      <c r="AQ288" s="64" t="s">
        <v>204</v>
      </c>
      <c r="AV288" s="35">
        <f>ROUND(AW288+AX288,2)</f>
        <v>0</v>
      </c>
      <c r="AW288" s="35">
        <f>ROUND(F288*AO288,2)</f>
        <v>0</v>
      </c>
      <c r="AX288" s="35">
        <f>ROUND(F288*AP288,2)</f>
        <v>0</v>
      </c>
      <c r="AY288" s="64" t="s">
        <v>689</v>
      </c>
      <c r="AZ288" s="64" t="s">
        <v>690</v>
      </c>
      <c r="BA288" s="48" t="s">
        <v>676</v>
      </c>
      <c r="BB288" s="65">
        <v>100015</v>
      </c>
      <c r="BC288" s="35">
        <f>AW288+AX288</f>
        <v>0</v>
      </c>
      <c r="BD288" s="35">
        <f>G288/(100-BE288)*100</f>
        <v>0</v>
      </c>
      <c r="BE288" s="35">
        <v>0</v>
      </c>
      <c r="BF288" s="35">
        <f>288</f>
        <v>288</v>
      </c>
      <c r="BH288" s="35">
        <f>F288*AO288</f>
        <v>0</v>
      </c>
      <c r="BI288" s="35">
        <f>F288*AP288</f>
        <v>0</v>
      </c>
      <c r="BJ288" s="35">
        <f>F288*G288</f>
        <v>0</v>
      </c>
      <c r="BK288" s="64" t="s">
        <v>208</v>
      </c>
      <c r="BL288" s="35">
        <v>721</v>
      </c>
      <c r="BW288" s="35">
        <v>12</v>
      </c>
      <c r="BX288" s="3" t="s">
        <v>697</v>
      </c>
    </row>
    <row r="289" spans="1:76" ht="13.5" customHeight="1" x14ac:dyDescent="0.25">
      <c r="A289" s="66"/>
      <c r="C289" s="180" t="s">
        <v>698</v>
      </c>
      <c r="D289" s="181"/>
      <c r="E289" s="181"/>
      <c r="F289" s="181"/>
      <c r="G289" s="181"/>
      <c r="H289" s="181"/>
      <c r="I289" s="181"/>
      <c r="J289" s="181"/>
      <c r="K289" s="182"/>
    </row>
    <row r="290" spans="1:76" x14ac:dyDescent="0.25">
      <c r="A290" s="1" t="s">
        <v>699</v>
      </c>
      <c r="B290" s="2" t="s">
        <v>700</v>
      </c>
      <c r="C290" s="86" t="s">
        <v>701</v>
      </c>
      <c r="D290" s="87"/>
      <c r="E290" s="2" t="s">
        <v>252</v>
      </c>
      <c r="F290" s="35">
        <v>2</v>
      </c>
      <c r="G290" s="35">
        <v>0</v>
      </c>
      <c r="H290" s="35">
        <f>ROUND(F290*AO290,2)</f>
        <v>0</v>
      </c>
      <c r="I290" s="35">
        <f>ROUND(F290*AP290,2)</f>
        <v>0</v>
      </c>
      <c r="J290" s="35">
        <f>ROUND(F290*G290,2)</f>
        <v>0</v>
      </c>
      <c r="K290" s="63" t="s">
        <v>203</v>
      </c>
      <c r="Z290" s="35">
        <f>ROUND(IF(AQ290="5",BJ290,0),2)</f>
        <v>0</v>
      </c>
      <c r="AB290" s="35">
        <f>ROUND(IF(AQ290="1",BH290,0),2)</f>
        <v>0</v>
      </c>
      <c r="AC290" s="35">
        <f>ROUND(IF(AQ290="1",BI290,0),2)</f>
        <v>0</v>
      </c>
      <c r="AD290" s="35">
        <f>ROUND(IF(AQ290="7",BH290,0),2)</f>
        <v>0</v>
      </c>
      <c r="AE290" s="35">
        <f>ROUND(IF(AQ290="7",BI290,0),2)</f>
        <v>0</v>
      </c>
      <c r="AF290" s="35">
        <f>ROUND(IF(AQ290="2",BH290,0),2)</f>
        <v>0</v>
      </c>
      <c r="AG290" s="35">
        <f>ROUND(IF(AQ290="2",BI290,0),2)</f>
        <v>0</v>
      </c>
      <c r="AH290" s="35">
        <f>ROUND(IF(AQ290="0",BJ290,0),2)</f>
        <v>0</v>
      </c>
      <c r="AI290" s="48" t="s">
        <v>85</v>
      </c>
      <c r="AJ290" s="35">
        <f>IF(AN290=0,J290,0)</f>
        <v>0</v>
      </c>
      <c r="AK290" s="35">
        <f>IF(AN290=12,J290,0)</f>
        <v>0</v>
      </c>
      <c r="AL290" s="35">
        <f>IF(AN290=21,J290,0)</f>
        <v>0</v>
      </c>
      <c r="AN290" s="35">
        <v>12</v>
      </c>
      <c r="AO290" s="35">
        <f>G290*0.097937399</f>
        <v>0</v>
      </c>
      <c r="AP290" s="35">
        <f>G290*(1-0.097937399)</f>
        <v>0</v>
      </c>
      <c r="AQ290" s="64" t="s">
        <v>204</v>
      </c>
      <c r="AV290" s="35">
        <f>ROUND(AW290+AX290,2)</f>
        <v>0</v>
      </c>
      <c r="AW290" s="35">
        <f>ROUND(F290*AO290,2)</f>
        <v>0</v>
      </c>
      <c r="AX290" s="35">
        <f>ROUND(F290*AP290,2)</f>
        <v>0</v>
      </c>
      <c r="AY290" s="64" t="s">
        <v>689</v>
      </c>
      <c r="AZ290" s="64" t="s">
        <v>690</v>
      </c>
      <c r="BA290" s="48" t="s">
        <v>676</v>
      </c>
      <c r="BB290" s="65">
        <v>100015</v>
      </c>
      <c r="BC290" s="35">
        <f>AW290+AX290</f>
        <v>0</v>
      </c>
      <c r="BD290" s="35">
        <f>G290/(100-BE290)*100</f>
        <v>0</v>
      </c>
      <c r="BE290" s="35">
        <v>0</v>
      </c>
      <c r="BF290" s="35">
        <f>290</f>
        <v>290</v>
      </c>
      <c r="BH290" s="35">
        <f>F290*AO290</f>
        <v>0</v>
      </c>
      <c r="BI290" s="35">
        <f>F290*AP290</f>
        <v>0</v>
      </c>
      <c r="BJ290" s="35">
        <f>F290*G290</f>
        <v>0</v>
      </c>
      <c r="BK290" s="64" t="s">
        <v>208</v>
      </c>
      <c r="BL290" s="35">
        <v>721</v>
      </c>
      <c r="BW290" s="35">
        <v>12</v>
      </c>
      <c r="BX290" s="3" t="s">
        <v>701</v>
      </c>
    </row>
    <row r="291" spans="1:76" ht="13.5" customHeight="1" x14ac:dyDescent="0.25">
      <c r="A291" s="66"/>
      <c r="C291" s="180" t="s">
        <v>702</v>
      </c>
      <c r="D291" s="181"/>
      <c r="E291" s="181"/>
      <c r="F291" s="181"/>
      <c r="G291" s="181"/>
      <c r="H291" s="181"/>
      <c r="I291" s="181"/>
      <c r="J291" s="181"/>
      <c r="K291" s="182"/>
    </row>
    <row r="292" spans="1:76" x14ac:dyDescent="0.25">
      <c r="A292" s="76" t="s">
        <v>703</v>
      </c>
      <c r="B292" s="77" t="s">
        <v>704</v>
      </c>
      <c r="C292" s="185" t="s">
        <v>705</v>
      </c>
      <c r="D292" s="186"/>
      <c r="E292" s="77" t="s">
        <v>252</v>
      </c>
      <c r="F292" s="79">
        <v>2</v>
      </c>
      <c r="G292" s="79">
        <v>0</v>
      </c>
      <c r="H292" s="79">
        <f>ROUND(F292*AO292,2)</f>
        <v>0</v>
      </c>
      <c r="I292" s="79">
        <f>ROUND(F292*AP292,2)</f>
        <v>0</v>
      </c>
      <c r="J292" s="79">
        <f>ROUND(F292*G292,2)</f>
        <v>0</v>
      </c>
      <c r="K292" s="80" t="s">
        <v>203</v>
      </c>
      <c r="Z292" s="35">
        <f>ROUND(IF(AQ292="5",BJ292,0),2)</f>
        <v>0</v>
      </c>
      <c r="AB292" s="35">
        <f>ROUND(IF(AQ292="1",BH292,0),2)</f>
        <v>0</v>
      </c>
      <c r="AC292" s="35">
        <f>ROUND(IF(AQ292="1",BI292,0),2)</f>
        <v>0</v>
      </c>
      <c r="AD292" s="35">
        <f>ROUND(IF(AQ292="7",BH292,0),2)</f>
        <v>0</v>
      </c>
      <c r="AE292" s="35">
        <f>ROUND(IF(AQ292="7",BI292,0),2)</f>
        <v>0</v>
      </c>
      <c r="AF292" s="35">
        <f>ROUND(IF(AQ292="2",BH292,0),2)</f>
        <v>0</v>
      </c>
      <c r="AG292" s="35">
        <f>ROUND(IF(AQ292="2",BI292,0),2)</f>
        <v>0</v>
      </c>
      <c r="AH292" s="35">
        <f>ROUND(IF(AQ292="0",BJ292,0),2)</f>
        <v>0</v>
      </c>
      <c r="AI292" s="48" t="s">
        <v>85</v>
      </c>
      <c r="AJ292" s="79">
        <f>IF(AN292=0,J292,0)</f>
        <v>0</v>
      </c>
      <c r="AK292" s="79">
        <f>IF(AN292=12,J292,0)</f>
        <v>0</v>
      </c>
      <c r="AL292" s="79">
        <f>IF(AN292=21,J292,0)</f>
        <v>0</v>
      </c>
      <c r="AN292" s="35">
        <v>12</v>
      </c>
      <c r="AO292" s="35">
        <f>G292*1</f>
        <v>0</v>
      </c>
      <c r="AP292" s="35">
        <f>G292*(1-1)</f>
        <v>0</v>
      </c>
      <c r="AQ292" s="81" t="s">
        <v>204</v>
      </c>
      <c r="AV292" s="35">
        <f>ROUND(AW292+AX292,2)</f>
        <v>0</v>
      </c>
      <c r="AW292" s="35">
        <f>ROUND(F292*AO292,2)</f>
        <v>0</v>
      </c>
      <c r="AX292" s="35">
        <f>ROUND(F292*AP292,2)</f>
        <v>0</v>
      </c>
      <c r="AY292" s="64" t="s">
        <v>689</v>
      </c>
      <c r="AZ292" s="64" t="s">
        <v>690</v>
      </c>
      <c r="BA292" s="48" t="s">
        <v>676</v>
      </c>
      <c r="BC292" s="35">
        <f>AW292+AX292</f>
        <v>0</v>
      </c>
      <c r="BD292" s="35">
        <f>G292/(100-BE292)*100</f>
        <v>0</v>
      </c>
      <c r="BE292" s="35">
        <v>0</v>
      </c>
      <c r="BF292" s="35">
        <f>292</f>
        <v>292</v>
      </c>
      <c r="BH292" s="79">
        <f>F292*AO292</f>
        <v>0</v>
      </c>
      <c r="BI292" s="79">
        <f>F292*AP292</f>
        <v>0</v>
      </c>
      <c r="BJ292" s="79">
        <f>F292*G292</f>
        <v>0</v>
      </c>
      <c r="BK292" s="81" t="s">
        <v>464</v>
      </c>
      <c r="BL292" s="35">
        <v>721</v>
      </c>
      <c r="BW292" s="35">
        <v>12</v>
      </c>
      <c r="BX292" s="78" t="s">
        <v>705</v>
      </c>
    </row>
    <row r="293" spans="1:76" ht="25.5" x14ac:dyDescent="0.25">
      <c r="A293" s="1" t="s">
        <v>706</v>
      </c>
      <c r="B293" s="2" t="s">
        <v>707</v>
      </c>
      <c r="C293" s="86" t="s">
        <v>708</v>
      </c>
      <c r="D293" s="87"/>
      <c r="E293" s="2" t="s">
        <v>252</v>
      </c>
      <c r="F293" s="35">
        <v>1</v>
      </c>
      <c r="G293" s="35">
        <v>0</v>
      </c>
      <c r="H293" s="35">
        <f>ROUND(F293*AO293,2)</f>
        <v>0</v>
      </c>
      <c r="I293" s="35">
        <f>ROUND(F293*AP293,2)</f>
        <v>0</v>
      </c>
      <c r="J293" s="35">
        <f>ROUND(F293*G293,2)</f>
        <v>0</v>
      </c>
      <c r="K293" s="63" t="s">
        <v>203</v>
      </c>
      <c r="Z293" s="35">
        <f>ROUND(IF(AQ293="5",BJ293,0),2)</f>
        <v>0</v>
      </c>
      <c r="AB293" s="35">
        <f>ROUND(IF(AQ293="1",BH293,0),2)</f>
        <v>0</v>
      </c>
      <c r="AC293" s="35">
        <f>ROUND(IF(AQ293="1",BI293,0),2)</f>
        <v>0</v>
      </c>
      <c r="AD293" s="35">
        <f>ROUND(IF(AQ293="7",BH293,0),2)</f>
        <v>0</v>
      </c>
      <c r="AE293" s="35">
        <f>ROUND(IF(AQ293="7",BI293,0),2)</f>
        <v>0</v>
      </c>
      <c r="AF293" s="35">
        <f>ROUND(IF(AQ293="2",BH293,0),2)</f>
        <v>0</v>
      </c>
      <c r="AG293" s="35">
        <f>ROUND(IF(AQ293="2",BI293,0),2)</f>
        <v>0</v>
      </c>
      <c r="AH293" s="35">
        <f>ROUND(IF(AQ293="0",BJ293,0),2)</f>
        <v>0</v>
      </c>
      <c r="AI293" s="48" t="s">
        <v>85</v>
      </c>
      <c r="AJ293" s="35">
        <f>IF(AN293=0,J293,0)</f>
        <v>0</v>
      </c>
      <c r="AK293" s="35">
        <f>IF(AN293=12,J293,0)</f>
        <v>0</v>
      </c>
      <c r="AL293" s="35">
        <f>IF(AN293=21,J293,0)</f>
        <v>0</v>
      </c>
      <c r="AN293" s="35">
        <v>12</v>
      </c>
      <c r="AO293" s="35">
        <f>G293*0.658775967</f>
        <v>0</v>
      </c>
      <c r="AP293" s="35">
        <f>G293*(1-0.658775967)</f>
        <v>0</v>
      </c>
      <c r="AQ293" s="64" t="s">
        <v>204</v>
      </c>
      <c r="AV293" s="35">
        <f>ROUND(AW293+AX293,2)</f>
        <v>0</v>
      </c>
      <c r="AW293" s="35">
        <f>ROUND(F293*AO293,2)</f>
        <v>0</v>
      </c>
      <c r="AX293" s="35">
        <f>ROUND(F293*AP293,2)</f>
        <v>0</v>
      </c>
      <c r="AY293" s="64" t="s">
        <v>689</v>
      </c>
      <c r="AZ293" s="64" t="s">
        <v>690</v>
      </c>
      <c r="BA293" s="48" t="s">
        <v>676</v>
      </c>
      <c r="BB293" s="65">
        <v>100015</v>
      </c>
      <c r="BC293" s="35">
        <f>AW293+AX293</f>
        <v>0</v>
      </c>
      <c r="BD293" s="35">
        <f>G293/(100-BE293)*100</f>
        <v>0</v>
      </c>
      <c r="BE293" s="35">
        <v>0</v>
      </c>
      <c r="BF293" s="35">
        <f>293</f>
        <v>293</v>
      </c>
      <c r="BH293" s="35">
        <f>F293*AO293</f>
        <v>0</v>
      </c>
      <c r="BI293" s="35">
        <f>F293*AP293</f>
        <v>0</v>
      </c>
      <c r="BJ293" s="35">
        <f>F293*G293</f>
        <v>0</v>
      </c>
      <c r="BK293" s="64" t="s">
        <v>208</v>
      </c>
      <c r="BL293" s="35">
        <v>721</v>
      </c>
      <c r="BW293" s="35">
        <v>12</v>
      </c>
      <c r="BX293" s="3" t="s">
        <v>708</v>
      </c>
    </row>
    <row r="294" spans="1:76" x14ac:dyDescent="0.25">
      <c r="A294" s="1" t="s">
        <v>709</v>
      </c>
      <c r="B294" s="2" t="s">
        <v>710</v>
      </c>
      <c r="C294" s="86" t="s">
        <v>711</v>
      </c>
      <c r="D294" s="87"/>
      <c r="E294" s="2" t="s">
        <v>252</v>
      </c>
      <c r="F294" s="35">
        <v>1</v>
      </c>
      <c r="G294" s="35">
        <v>0</v>
      </c>
      <c r="H294" s="35">
        <f>ROUND(F294*AO294,2)</f>
        <v>0</v>
      </c>
      <c r="I294" s="35">
        <f>ROUND(F294*AP294,2)</f>
        <v>0</v>
      </c>
      <c r="J294" s="35">
        <f>ROUND(F294*G294,2)</f>
        <v>0</v>
      </c>
      <c r="K294" s="63" t="s">
        <v>203</v>
      </c>
      <c r="Z294" s="35">
        <f>ROUND(IF(AQ294="5",BJ294,0),2)</f>
        <v>0</v>
      </c>
      <c r="AB294" s="35">
        <f>ROUND(IF(AQ294="1",BH294,0),2)</f>
        <v>0</v>
      </c>
      <c r="AC294" s="35">
        <f>ROUND(IF(AQ294="1",BI294,0),2)</f>
        <v>0</v>
      </c>
      <c r="AD294" s="35">
        <f>ROUND(IF(AQ294="7",BH294,0),2)</f>
        <v>0</v>
      </c>
      <c r="AE294" s="35">
        <f>ROUND(IF(AQ294="7",BI294,0),2)</f>
        <v>0</v>
      </c>
      <c r="AF294" s="35">
        <f>ROUND(IF(AQ294="2",BH294,0),2)</f>
        <v>0</v>
      </c>
      <c r="AG294" s="35">
        <f>ROUND(IF(AQ294="2",BI294,0),2)</f>
        <v>0</v>
      </c>
      <c r="AH294" s="35">
        <f>ROUND(IF(AQ294="0",BJ294,0),2)</f>
        <v>0</v>
      </c>
      <c r="AI294" s="48" t="s">
        <v>85</v>
      </c>
      <c r="AJ294" s="35">
        <f>IF(AN294=0,J294,0)</f>
        <v>0</v>
      </c>
      <c r="AK294" s="35">
        <f>IF(AN294=12,J294,0)</f>
        <v>0</v>
      </c>
      <c r="AL294" s="35">
        <f>IF(AN294=21,J294,0)</f>
        <v>0</v>
      </c>
      <c r="AN294" s="35">
        <v>12</v>
      </c>
      <c r="AO294" s="35">
        <f>G294*0</f>
        <v>0</v>
      </c>
      <c r="AP294" s="35">
        <f>G294*(1-0)</f>
        <v>0</v>
      </c>
      <c r="AQ294" s="64" t="s">
        <v>204</v>
      </c>
      <c r="AV294" s="35">
        <f>ROUND(AW294+AX294,2)</f>
        <v>0</v>
      </c>
      <c r="AW294" s="35">
        <f>ROUND(F294*AO294,2)</f>
        <v>0</v>
      </c>
      <c r="AX294" s="35">
        <f>ROUND(F294*AP294,2)</f>
        <v>0</v>
      </c>
      <c r="AY294" s="64" t="s">
        <v>689</v>
      </c>
      <c r="AZ294" s="64" t="s">
        <v>690</v>
      </c>
      <c r="BA294" s="48" t="s">
        <v>676</v>
      </c>
      <c r="BB294" s="65">
        <v>100015</v>
      </c>
      <c r="BC294" s="35">
        <f>AW294+AX294</f>
        <v>0</v>
      </c>
      <c r="BD294" s="35">
        <f>G294/(100-BE294)*100</f>
        <v>0</v>
      </c>
      <c r="BE294" s="35">
        <v>0</v>
      </c>
      <c r="BF294" s="35">
        <f>294</f>
        <v>294</v>
      </c>
      <c r="BH294" s="35">
        <f>F294*AO294</f>
        <v>0</v>
      </c>
      <c r="BI294" s="35">
        <f>F294*AP294</f>
        <v>0</v>
      </c>
      <c r="BJ294" s="35">
        <f>F294*G294</f>
        <v>0</v>
      </c>
      <c r="BK294" s="64" t="s">
        <v>208</v>
      </c>
      <c r="BL294" s="35">
        <v>721</v>
      </c>
      <c r="BW294" s="35">
        <v>12</v>
      </c>
      <c r="BX294" s="3" t="s">
        <v>711</v>
      </c>
    </row>
    <row r="295" spans="1:76" x14ac:dyDescent="0.25">
      <c r="A295" s="1" t="s">
        <v>712</v>
      </c>
      <c r="B295" s="2" t="s">
        <v>713</v>
      </c>
      <c r="C295" s="86" t="s">
        <v>714</v>
      </c>
      <c r="D295" s="87"/>
      <c r="E295" s="2" t="s">
        <v>224</v>
      </c>
      <c r="F295" s="35">
        <v>2.1</v>
      </c>
      <c r="G295" s="35">
        <v>0</v>
      </c>
      <c r="H295" s="35">
        <f>ROUND(F295*AO295,2)</f>
        <v>0</v>
      </c>
      <c r="I295" s="35">
        <f>ROUND(F295*AP295,2)</f>
        <v>0</v>
      </c>
      <c r="J295" s="35">
        <f>ROUND(F295*G295,2)</f>
        <v>0</v>
      </c>
      <c r="K295" s="63" t="s">
        <v>203</v>
      </c>
      <c r="Z295" s="35">
        <f>ROUND(IF(AQ295="5",BJ295,0),2)</f>
        <v>0</v>
      </c>
      <c r="AB295" s="35">
        <f>ROUND(IF(AQ295="1",BH295,0),2)</f>
        <v>0</v>
      </c>
      <c r="AC295" s="35">
        <f>ROUND(IF(AQ295="1",BI295,0),2)</f>
        <v>0</v>
      </c>
      <c r="AD295" s="35">
        <f>ROUND(IF(AQ295="7",BH295,0),2)</f>
        <v>0</v>
      </c>
      <c r="AE295" s="35">
        <f>ROUND(IF(AQ295="7",BI295,0),2)</f>
        <v>0</v>
      </c>
      <c r="AF295" s="35">
        <f>ROUND(IF(AQ295="2",BH295,0),2)</f>
        <v>0</v>
      </c>
      <c r="AG295" s="35">
        <f>ROUND(IF(AQ295="2",BI295,0),2)</f>
        <v>0</v>
      </c>
      <c r="AH295" s="35">
        <f>ROUND(IF(AQ295="0",BJ295,0),2)</f>
        <v>0</v>
      </c>
      <c r="AI295" s="48" t="s">
        <v>85</v>
      </c>
      <c r="AJ295" s="35">
        <f>IF(AN295=0,J295,0)</f>
        <v>0</v>
      </c>
      <c r="AK295" s="35">
        <f>IF(AN295=12,J295,0)</f>
        <v>0</v>
      </c>
      <c r="AL295" s="35">
        <f>IF(AN295=21,J295,0)</f>
        <v>0</v>
      </c>
      <c r="AN295" s="35">
        <v>12</v>
      </c>
      <c r="AO295" s="35">
        <f>G295*0.268275177</f>
        <v>0</v>
      </c>
      <c r="AP295" s="35">
        <f>G295*(1-0.268275177)</f>
        <v>0</v>
      </c>
      <c r="AQ295" s="64" t="s">
        <v>204</v>
      </c>
      <c r="AV295" s="35">
        <f>ROUND(AW295+AX295,2)</f>
        <v>0</v>
      </c>
      <c r="AW295" s="35">
        <f>ROUND(F295*AO295,2)</f>
        <v>0</v>
      </c>
      <c r="AX295" s="35">
        <f>ROUND(F295*AP295,2)</f>
        <v>0</v>
      </c>
      <c r="AY295" s="64" t="s">
        <v>689</v>
      </c>
      <c r="AZ295" s="64" t="s">
        <v>690</v>
      </c>
      <c r="BA295" s="48" t="s">
        <v>676</v>
      </c>
      <c r="BB295" s="65">
        <v>100015</v>
      </c>
      <c r="BC295" s="35">
        <f>AW295+AX295</f>
        <v>0</v>
      </c>
      <c r="BD295" s="35">
        <f>G295/(100-BE295)*100</f>
        <v>0</v>
      </c>
      <c r="BE295" s="35">
        <v>0</v>
      </c>
      <c r="BF295" s="35">
        <f>295</f>
        <v>295</v>
      </c>
      <c r="BH295" s="35">
        <f>F295*AO295</f>
        <v>0</v>
      </c>
      <c r="BI295" s="35">
        <f>F295*AP295</f>
        <v>0</v>
      </c>
      <c r="BJ295" s="35">
        <f>F295*G295</f>
        <v>0</v>
      </c>
      <c r="BK295" s="64" t="s">
        <v>208</v>
      </c>
      <c r="BL295" s="35">
        <v>721</v>
      </c>
      <c r="BW295" s="35">
        <v>12</v>
      </c>
      <c r="BX295" s="3" t="s">
        <v>714</v>
      </c>
    </row>
    <row r="296" spans="1:76" x14ac:dyDescent="0.25">
      <c r="A296" s="66"/>
      <c r="C296" s="67" t="s">
        <v>715</v>
      </c>
      <c r="D296" s="68" t="s">
        <v>10</v>
      </c>
      <c r="F296" s="69">
        <v>2.1</v>
      </c>
      <c r="K296" s="70"/>
    </row>
    <row r="297" spans="1:76" x14ac:dyDescent="0.25">
      <c r="A297" s="1" t="s">
        <v>716</v>
      </c>
      <c r="B297" s="2" t="s">
        <v>717</v>
      </c>
      <c r="C297" s="86" t="s">
        <v>718</v>
      </c>
      <c r="D297" s="87"/>
      <c r="E297" s="2" t="s">
        <v>224</v>
      </c>
      <c r="F297" s="35">
        <v>12</v>
      </c>
      <c r="G297" s="35">
        <v>0</v>
      </c>
      <c r="H297" s="35">
        <f>ROUND(F297*AO297,2)</f>
        <v>0</v>
      </c>
      <c r="I297" s="35">
        <f>ROUND(F297*AP297,2)</f>
        <v>0</v>
      </c>
      <c r="J297" s="35">
        <f>ROUND(F297*G297,2)</f>
        <v>0</v>
      </c>
      <c r="K297" s="63" t="s">
        <v>203</v>
      </c>
      <c r="Z297" s="35">
        <f>ROUND(IF(AQ297="5",BJ297,0),2)</f>
        <v>0</v>
      </c>
      <c r="AB297" s="35">
        <f>ROUND(IF(AQ297="1",BH297,0),2)</f>
        <v>0</v>
      </c>
      <c r="AC297" s="35">
        <f>ROUND(IF(AQ297="1",BI297,0),2)</f>
        <v>0</v>
      </c>
      <c r="AD297" s="35">
        <f>ROUND(IF(AQ297="7",BH297,0),2)</f>
        <v>0</v>
      </c>
      <c r="AE297" s="35">
        <f>ROUND(IF(AQ297="7",BI297,0),2)</f>
        <v>0</v>
      </c>
      <c r="AF297" s="35">
        <f>ROUND(IF(AQ297="2",BH297,0),2)</f>
        <v>0</v>
      </c>
      <c r="AG297" s="35">
        <f>ROUND(IF(AQ297="2",BI297,0),2)</f>
        <v>0</v>
      </c>
      <c r="AH297" s="35">
        <f>ROUND(IF(AQ297="0",BJ297,0),2)</f>
        <v>0</v>
      </c>
      <c r="AI297" s="48" t="s">
        <v>85</v>
      </c>
      <c r="AJ297" s="35">
        <f>IF(AN297=0,J297,0)</f>
        <v>0</v>
      </c>
      <c r="AK297" s="35">
        <f>IF(AN297=12,J297,0)</f>
        <v>0</v>
      </c>
      <c r="AL297" s="35">
        <f>IF(AN297=21,J297,0)</f>
        <v>0</v>
      </c>
      <c r="AN297" s="35">
        <v>12</v>
      </c>
      <c r="AO297" s="35">
        <f>G297*0.283630214</f>
        <v>0</v>
      </c>
      <c r="AP297" s="35">
        <f>G297*(1-0.283630214)</f>
        <v>0</v>
      </c>
      <c r="AQ297" s="64" t="s">
        <v>204</v>
      </c>
      <c r="AV297" s="35">
        <f>ROUND(AW297+AX297,2)</f>
        <v>0</v>
      </c>
      <c r="AW297" s="35">
        <f>ROUND(F297*AO297,2)</f>
        <v>0</v>
      </c>
      <c r="AX297" s="35">
        <f>ROUND(F297*AP297,2)</f>
        <v>0</v>
      </c>
      <c r="AY297" s="64" t="s">
        <v>689</v>
      </c>
      <c r="AZ297" s="64" t="s">
        <v>690</v>
      </c>
      <c r="BA297" s="48" t="s">
        <v>676</v>
      </c>
      <c r="BB297" s="65">
        <v>100015</v>
      </c>
      <c r="BC297" s="35">
        <f>AW297+AX297</f>
        <v>0</v>
      </c>
      <c r="BD297" s="35">
        <f>G297/(100-BE297)*100</f>
        <v>0</v>
      </c>
      <c r="BE297" s="35">
        <v>0</v>
      </c>
      <c r="BF297" s="35">
        <f>297</f>
        <v>297</v>
      </c>
      <c r="BH297" s="35">
        <f>F297*AO297</f>
        <v>0</v>
      </c>
      <c r="BI297" s="35">
        <f>F297*AP297</f>
        <v>0</v>
      </c>
      <c r="BJ297" s="35">
        <f>F297*G297</f>
        <v>0</v>
      </c>
      <c r="BK297" s="64" t="s">
        <v>208</v>
      </c>
      <c r="BL297" s="35">
        <v>721</v>
      </c>
      <c r="BW297" s="35">
        <v>12</v>
      </c>
      <c r="BX297" s="3" t="s">
        <v>718</v>
      </c>
    </row>
    <row r="298" spans="1:76" x14ac:dyDescent="0.25">
      <c r="A298" s="66"/>
      <c r="C298" s="67" t="s">
        <v>719</v>
      </c>
      <c r="D298" s="68" t="s">
        <v>10</v>
      </c>
      <c r="F298" s="69">
        <v>12</v>
      </c>
      <c r="K298" s="70"/>
    </row>
    <row r="299" spans="1:76" x14ac:dyDescent="0.25">
      <c r="A299" s="1" t="s">
        <v>720</v>
      </c>
      <c r="B299" s="2" t="s">
        <v>721</v>
      </c>
      <c r="C299" s="86" t="s">
        <v>722</v>
      </c>
      <c r="D299" s="87"/>
      <c r="E299" s="2" t="s">
        <v>224</v>
      </c>
      <c r="F299" s="35">
        <v>3.5</v>
      </c>
      <c r="G299" s="35">
        <v>0</v>
      </c>
      <c r="H299" s="35">
        <f>ROUND(F299*AO299,2)</f>
        <v>0</v>
      </c>
      <c r="I299" s="35">
        <f>ROUND(F299*AP299,2)</f>
        <v>0</v>
      </c>
      <c r="J299" s="35">
        <f>ROUND(F299*G299,2)</f>
        <v>0</v>
      </c>
      <c r="K299" s="63" t="s">
        <v>203</v>
      </c>
      <c r="Z299" s="35">
        <f>ROUND(IF(AQ299="5",BJ299,0),2)</f>
        <v>0</v>
      </c>
      <c r="AB299" s="35">
        <f>ROUND(IF(AQ299="1",BH299,0),2)</f>
        <v>0</v>
      </c>
      <c r="AC299" s="35">
        <f>ROUND(IF(AQ299="1",BI299,0),2)</f>
        <v>0</v>
      </c>
      <c r="AD299" s="35">
        <f>ROUND(IF(AQ299="7",BH299,0),2)</f>
        <v>0</v>
      </c>
      <c r="AE299" s="35">
        <f>ROUND(IF(AQ299="7",BI299,0),2)</f>
        <v>0</v>
      </c>
      <c r="AF299" s="35">
        <f>ROUND(IF(AQ299="2",BH299,0),2)</f>
        <v>0</v>
      </c>
      <c r="AG299" s="35">
        <f>ROUND(IF(AQ299="2",BI299,0),2)</f>
        <v>0</v>
      </c>
      <c r="AH299" s="35">
        <f>ROUND(IF(AQ299="0",BJ299,0),2)</f>
        <v>0</v>
      </c>
      <c r="AI299" s="48" t="s">
        <v>85</v>
      </c>
      <c r="AJ299" s="35">
        <f>IF(AN299=0,J299,0)</f>
        <v>0</v>
      </c>
      <c r="AK299" s="35">
        <f>IF(AN299=12,J299,0)</f>
        <v>0</v>
      </c>
      <c r="AL299" s="35">
        <f>IF(AN299=21,J299,0)</f>
        <v>0</v>
      </c>
      <c r="AN299" s="35">
        <v>12</v>
      </c>
      <c r="AO299" s="35">
        <f>G299*0.244083879</f>
        <v>0</v>
      </c>
      <c r="AP299" s="35">
        <f>G299*(1-0.244083879)</f>
        <v>0</v>
      </c>
      <c r="AQ299" s="64" t="s">
        <v>204</v>
      </c>
      <c r="AV299" s="35">
        <f>ROUND(AW299+AX299,2)</f>
        <v>0</v>
      </c>
      <c r="AW299" s="35">
        <f>ROUND(F299*AO299,2)</f>
        <v>0</v>
      </c>
      <c r="AX299" s="35">
        <f>ROUND(F299*AP299,2)</f>
        <v>0</v>
      </c>
      <c r="AY299" s="64" t="s">
        <v>689</v>
      </c>
      <c r="AZ299" s="64" t="s">
        <v>690</v>
      </c>
      <c r="BA299" s="48" t="s">
        <v>676</v>
      </c>
      <c r="BB299" s="65">
        <v>100015</v>
      </c>
      <c r="BC299" s="35">
        <f>AW299+AX299</f>
        <v>0</v>
      </c>
      <c r="BD299" s="35">
        <f>G299/(100-BE299)*100</f>
        <v>0</v>
      </c>
      <c r="BE299" s="35">
        <v>0</v>
      </c>
      <c r="BF299" s="35">
        <f>299</f>
        <v>299</v>
      </c>
      <c r="BH299" s="35">
        <f>F299*AO299</f>
        <v>0</v>
      </c>
      <c r="BI299" s="35">
        <f>F299*AP299</f>
        <v>0</v>
      </c>
      <c r="BJ299" s="35">
        <f>F299*G299</f>
        <v>0</v>
      </c>
      <c r="BK299" s="64" t="s">
        <v>208</v>
      </c>
      <c r="BL299" s="35">
        <v>721</v>
      </c>
      <c r="BW299" s="35">
        <v>12</v>
      </c>
      <c r="BX299" s="3" t="s">
        <v>722</v>
      </c>
    </row>
    <row r="300" spans="1:76" x14ac:dyDescent="0.25">
      <c r="A300" s="66"/>
      <c r="C300" s="67" t="s">
        <v>723</v>
      </c>
      <c r="D300" s="68" t="s">
        <v>10</v>
      </c>
      <c r="F300" s="69">
        <v>3.5</v>
      </c>
      <c r="K300" s="70"/>
    </row>
    <row r="301" spans="1:76" x14ac:dyDescent="0.25">
      <c r="A301" s="1" t="s">
        <v>724</v>
      </c>
      <c r="B301" s="2" t="s">
        <v>725</v>
      </c>
      <c r="C301" s="86" t="s">
        <v>726</v>
      </c>
      <c r="D301" s="87"/>
      <c r="E301" s="2" t="s">
        <v>224</v>
      </c>
      <c r="F301" s="35">
        <v>3</v>
      </c>
      <c r="G301" s="35">
        <v>0</v>
      </c>
      <c r="H301" s="35">
        <f>ROUND(F301*AO301,2)</f>
        <v>0</v>
      </c>
      <c r="I301" s="35">
        <f>ROUND(F301*AP301,2)</f>
        <v>0</v>
      </c>
      <c r="J301" s="35">
        <f>ROUND(F301*G301,2)</f>
        <v>0</v>
      </c>
      <c r="K301" s="63" t="s">
        <v>203</v>
      </c>
      <c r="Z301" s="35">
        <f>ROUND(IF(AQ301="5",BJ301,0),2)</f>
        <v>0</v>
      </c>
      <c r="AB301" s="35">
        <f>ROUND(IF(AQ301="1",BH301,0),2)</f>
        <v>0</v>
      </c>
      <c r="AC301" s="35">
        <f>ROUND(IF(AQ301="1",BI301,0),2)</f>
        <v>0</v>
      </c>
      <c r="AD301" s="35">
        <f>ROUND(IF(AQ301="7",BH301,0),2)</f>
        <v>0</v>
      </c>
      <c r="AE301" s="35">
        <f>ROUND(IF(AQ301="7",BI301,0),2)</f>
        <v>0</v>
      </c>
      <c r="AF301" s="35">
        <f>ROUND(IF(AQ301="2",BH301,0),2)</f>
        <v>0</v>
      </c>
      <c r="AG301" s="35">
        <f>ROUND(IF(AQ301="2",BI301,0),2)</f>
        <v>0</v>
      </c>
      <c r="AH301" s="35">
        <f>ROUND(IF(AQ301="0",BJ301,0),2)</f>
        <v>0</v>
      </c>
      <c r="AI301" s="48" t="s">
        <v>85</v>
      </c>
      <c r="AJ301" s="35">
        <f>IF(AN301=0,J301,0)</f>
        <v>0</v>
      </c>
      <c r="AK301" s="35">
        <f>IF(AN301=12,J301,0)</f>
        <v>0</v>
      </c>
      <c r="AL301" s="35">
        <f>IF(AN301=21,J301,0)</f>
        <v>0</v>
      </c>
      <c r="AN301" s="35">
        <v>12</v>
      </c>
      <c r="AO301" s="35">
        <f>G301*0.571487414</f>
        <v>0</v>
      </c>
      <c r="AP301" s="35">
        <f>G301*(1-0.571487414)</f>
        <v>0</v>
      </c>
      <c r="AQ301" s="64" t="s">
        <v>204</v>
      </c>
      <c r="AV301" s="35">
        <f>ROUND(AW301+AX301,2)</f>
        <v>0</v>
      </c>
      <c r="AW301" s="35">
        <f>ROUND(F301*AO301,2)</f>
        <v>0</v>
      </c>
      <c r="AX301" s="35">
        <f>ROUND(F301*AP301,2)</f>
        <v>0</v>
      </c>
      <c r="AY301" s="64" t="s">
        <v>689</v>
      </c>
      <c r="AZ301" s="64" t="s">
        <v>690</v>
      </c>
      <c r="BA301" s="48" t="s">
        <v>676</v>
      </c>
      <c r="BB301" s="65">
        <v>100015</v>
      </c>
      <c r="BC301" s="35">
        <f>AW301+AX301</f>
        <v>0</v>
      </c>
      <c r="BD301" s="35">
        <f>G301/(100-BE301)*100</f>
        <v>0</v>
      </c>
      <c r="BE301" s="35">
        <v>0</v>
      </c>
      <c r="BF301" s="35">
        <f>301</f>
        <v>301</v>
      </c>
      <c r="BH301" s="35">
        <f>F301*AO301</f>
        <v>0</v>
      </c>
      <c r="BI301" s="35">
        <f>F301*AP301</f>
        <v>0</v>
      </c>
      <c r="BJ301" s="35">
        <f>F301*G301</f>
        <v>0</v>
      </c>
      <c r="BK301" s="64" t="s">
        <v>208</v>
      </c>
      <c r="BL301" s="35">
        <v>721</v>
      </c>
      <c r="BW301" s="35">
        <v>12</v>
      </c>
      <c r="BX301" s="3" t="s">
        <v>726</v>
      </c>
    </row>
    <row r="302" spans="1:76" x14ac:dyDescent="0.25">
      <c r="A302" s="1" t="s">
        <v>727</v>
      </c>
      <c r="B302" s="2" t="s">
        <v>728</v>
      </c>
      <c r="C302" s="86" t="s">
        <v>729</v>
      </c>
      <c r="D302" s="87"/>
      <c r="E302" s="2" t="s">
        <v>252</v>
      </c>
      <c r="F302" s="35">
        <v>4</v>
      </c>
      <c r="G302" s="35">
        <v>0</v>
      </c>
      <c r="H302" s="35">
        <f>ROUND(F302*AO302,2)</f>
        <v>0</v>
      </c>
      <c r="I302" s="35">
        <f>ROUND(F302*AP302,2)</f>
        <v>0</v>
      </c>
      <c r="J302" s="35">
        <f>ROUND(F302*G302,2)</f>
        <v>0</v>
      </c>
      <c r="K302" s="63" t="s">
        <v>203</v>
      </c>
      <c r="Z302" s="35">
        <f>ROUND(IF(AQ302="5",BJ302,0),2)</f>
        <v>0</v>
      </c>
      <c r="AB302" s="35">
        <f>ROUND(IF(AQ302="1",BH302,0),2)</f>
        <v>0</v>
      </c>
      <c r="AC302" s="35">
        <f>ROUND(IF(AQ302="1",BI302,0),2)</f>
        <v>0</v>
      </c>
      <c r="AD302" s="35">
        <f>ROUND(IF(AQ302="7",BH302,0),2)</f>
        <v>0</v>
      </c>
      <c r="AE302" s="35">
        <f>ROUND(IF(AQ302="7",BI302,0),2)</f>
        <v>0</v>
      </c>
      <c r="AF302" s="35">
        <f>ROUND(IF(AQ302="2",BH302,0),2)</f>
        <v>0</v>
      </c>
      <c r="AG302" s="35">
        <f>ROUND(IF(AQ302="2",BI302,0),2)</f>
        <v>0</v>
      </c>
      <c r="AH302" s="35">
        <f>ROUND(IF(AQ302="0",BJ302,0),2)</f>
        <v>0</v>
      </c>
      <c r="AI302" s="48" t="s">
        <v>85</v>
      </c>
      <c r="AJ302" s="35">
        <f>IF(AN302=0,J302,0)</f>
        <v>0</v>
      </c>
      <c r="AK302" s="35">
        <f>IF(AN302=12,J302,0)</f>
        <v>0</v>
      </c>
      <c r="AL302" s="35">
        <f>IF(AN302=21,J302,0)</f>
        <v>0</v>
      </c>
      <c r="AN302" s="35">
        <v>12</v>
      </c>
      <c r="AO302" s="35">
        <f>G302*0</f>
        <v>0</v>
      </c>
      <c r="AP302" s="35">
        <f>G302*(1-0)</f>
        <v>0</v>
      </c>
      <c r="AQ302" s="64" t="s">
        <v>204</v>
      </c>
      <c r="AV302" s="35">
        <f>ROUND(AW302+AX302,2)</f>
        <v>0</v>
      </c>
      <c r="AW302" s="35">
        <f>ROUND(F302*AO302,2)</f>
        <v>0</v>
      </c>
      <c r="AX302" s="35">
        <f>ROUND(F302*AP302,2)</f>
        <v>0</v>
      </c>
      <c r="AY302" s="64" t="s">
        <v>689</v>
      </c>
      <c r="AZ302" s="64" t="s">
        <v>690</v>
      </c>
      <c r="BA302" s="48" t="s">
        <v>676</v>
      </c>
      <c r="BB302" s="65">
        <v>100015</v>
      </c>
      <c r="BC302" s="35">
        <f>AW302+AX302</f>
        <v>0</v>
      </c>
      <c r="BD302" s="35">
        <f>G302/(100-BE302)*100</f>
        <v>0</v>
      </c>
      <c r="BE302" s="35">
        <v>0</v>
      </c>
      <c r="BF302" s="35">
        <f>302</f>
        <v>302</v>
      </c>
      <c r="BH302" s="35">
        <f>F302*AO302</f>
        <v>0</v>
      </c>
      <c r="BI302" s="35">
        <f>F302*AP302</f>
        <v>0</v>
      </c>
      <c r="BJ302" s="35">
        <f>F302*G302</f>
        <v>0</v>
      </c>
      <c r="BK302" s="64" t="s">
        <v>208</v>
      </c>
      <c r="BL302" s="35">
        <v>721</v>
      </c>
      <c r="BW302" s="35">
        <v>12</v>
      </c>
      <c r="BX302" s="3" t="s">
        <v>729</v>
      </c>
    </row>
    <row r="303" spans="1:76" x14ac:dyDescent="0.25">
      <c r="A303" s="66"/>
      <c r="C303" s="67" t="s">
        <v>730</v>
      </c>
      <c r="D303" s="68" t="s">
        <v>10</v>
      </c>
      <c r="F303" s="69">
        <v>4</v>
      </c>
      <c r="K303" s="70"/>
    </row>
    <row r="304" spans="1:76" x14ac:dyDescent="0.25">
      <c r="A304" s="1" t="s">
        <v>731</v>
      </c>
      <c r="B304" s="2" t="s">
        <v>732</v>
      </c>
      <c r="C304" s="86" t="s">
        <v>733</v>
      </c>
      <c r="D304" s="87"/>
      <c r="E304" s="2" t="s">
        <v>252</v>
      </c>
      <c r="F304" s="35">
        <v>2</v>
      </c>
      <c r="G304" s="35">
        <v>0</v>
      </c>
      <c r="H304" s="35">
        <f>ROUND(F304*AO304,2)</f>
        <v>0</v>
      </c>
      <c r="I304" s="35">
        <f>ROUND(F304*AP304,2)</f>
        <v>0</v>
      </c>
      <c r="J304" s="35">
        <f>ROUND(F304*G304,2)</f>
        <v>0</v>
      </c>
      <c r="K304" s="63" t="s">
        <v>203</v>
      </c>
      <c r="Z304" s="35">
        <f>ROUND(IF(AQ304="5",BJ304,0),2)</f>
        <v>0</v>
      </c>
      <c r="AB304" s="35">
        <f>ROUND(IF(AQ304="1",BH304,0),2)</f>
        <v>0</v>
      </c>
      <c r="AC304" s="35">
        <f>ROUND(IF(AQ304="1",BI304,0),2)</f>
        <v>0</v>
      </c>
      <c r="AD304" s="35">
        <f>ROUND(IF(AQ304="7",BH304,0),2)</f>
        <v>0</v>
      </c>
      <c r="AE304" s="35">
        <f>ROUND(IF(AQ304="7",BI304,0),2)</f>
        <v>0</v>
      </c>
      <c r="AF304" s="35">
        <f>ROUND(IF(AQ304="2",BH304,0),2)</f>
        <v>0</v>
      </c>
      <c r="AG304" s="35">
        <f>ROUND(IF(AQ304="2",BI304,0),2)</f>
        <v>0</v>
      </c>
      <c r="AH304" s="35">
        <f>ROUND(IF(AQ304="0",BJ304,0),2)</f>
        <v>0</v>
      </c>
      <c r="AI304" s="48" t="s">
        <v>85</v>
      </c>
      <c r="AJ304" s="35">
        <f>IF(AN304=0,J304,0)</f>
        <v>0</v>
      </c>
      <c r="AK304" s="35">
        <f>IF(AN304=12,J304,0)</f>
        <v>0</v>
      </c>
      <c r="AL304" s="35">
        <f>IF(AN304=21,J304,0)</f>
        <v>0</v>
      </c>
      <c r="AN304" s="35">
        <v>12</v>
      </c>
      <c r="AO304" s="35">
        <f>G304*0</f>
        <v>0</v>
      </c>
      <c r="AP304" s="35">
        <f>G304*(1-0)</f>
        <v>0</v>
      </c>
      <c r="AQ304" s="64" t="s">
        <v>204</v>
      </c>
      <c r="AV304" s="35">
        <f>ROUND(AW304+AX304,2)</f>
        <v>0</v>
      </c>
      <c r="AW304" s="35">
        <f>ROUND(F304*AO304,2)</f>
        <v>0</v>
      </c>
      <c r="AX304" s="35">
        <f>ROUND(F304*AP304,2)</f>
        <v>0</v>
      </c>
      <c r="AY304" s="64" t="s">
        <v>689</v>
      </c>
      <c r="AZ304" s="64" t="s">
        <v>690</v>
      </c>
      <c r="BA304" s="48" t="s">
        <v>676</v>
      </c>
      <c r="BB304" s="65">
        <v>100015</v>
      </c>
      <c r="BC304" s="35">
        <f>AW304+AX304</f>
        <v>0</v>
      </c>
      <c r="BD304" s="35">
        <f>G304/(100-BE304)*100</f>
        <v>0</v>
      </c>
      <c r="BE304" s="35">
        <v>0</v>
      </c>
      <c r="BF304" s="35">
        <f>304</f>
        <v>304</v>
      </c>
      <c r="BH304" s="35">
        <f>F304*AO304</f>
        <v>0</v>
      </c>
      <c r="BI304" s="35">
        <f>F304*AP304</f>
        <v>0</v>
      </c>
      <c r="BJ304" s="35">
        <f>F304*G304</f>
        <v>0</v>
      </c>
      <c r="BK304" s="64" t="s">
        <v>208</v>
      </c>
      <c r="BL304" s="35">
        <v>721</v>
      </c>
      <c r="BW304" s="35">
        <v>12</v>
      </c>
      <c r="BX304" s="3" t="s">
        <v>733</v>
      </c>
    </row>
    <row r="305" spans="1:76" x14ac:dyDescent="0.25">
      <c r="A305" s="66"/>
      <c r="C305" s="67" t="s">
        <v>411</v>
      </c>
      <c r="D305" s="68" t="s">
        <v>10</v>
      </c>
      <c r="F305" s="69">
        <v>2</v>
      </c>
      <c r="K305" s="70"/>
    </row>
    <row r="306" spans="1:76" x14ac:dyDescent="0.25">
      <c r="A306" s="1" t="s">
        <v>734</v>
      </c>
      <c r="B306" s="2" t="s">
        <v>735</v>
      </c>
      <c r="C306" s="86" t="s">
        <v>736</v>
      </c>
      <c r="D306" s="87"/>
      <c r="E306" s="2" t="s">
        <v>252</v>
      </c>
      <c r="F306" s="35">
        <v>2</v>
      </c>
      <c r="G306" s="35">
        <v>0</v>
      </c>
      <c r="H306" s="35">
        <f>ROUND(F306*AO306,2)</f>
        <v>0</v>
      </c>
      <c r="I306" s="35">
        <f>ROUND(F306*AP306,2)</f>
        <v>0</v>
      </c>
      <c r="J306" s="35">
        <f>ROUND(F306*G306,2)</f>
        <v>0</v>
      </c>
      <c r="K306" s="63" t="s">
        <v>203</v>
      </c>
      <c r="Z306" s="35">
        <f>ROUND(IF(AQ306="5",BJ306,0),2)</f>
        <v>0</v>
      </c>
      <c r="AB306" s="35">
        <f>ROUND(IF(AQ306="1",BH306,0),2)</f>
        <v>0</v>
      </c>
      <c r="AC306" s="35">
        <f>ROUND(IF(AQ306="1",BI306,0),2)</f>
        <v>0</v>
      </c>
      <c r="AD306" s="35">
        <f>ROUND(IF(AQ306="7",BH306,0),2)</f>
        <v>0</v>
      </c>
      <c r="AE306" s="35">
        <f>ROUND(IF(AQ306="7",BI306,0),2)</f>
        <v>0</v>
      </c>
      <c r="AF306" s="35">
        <f>ROUND(IF(AQ306="2",BH306,0),2)</f>
        <v>0</v>
      </c>
      <c r="AG306" s="35">
        <f>ROUND(IF(AQ306="2",BI306,0),2)</f>
        <v>0</v>
      </c>
      <c r="AH306" s="35">
        <f>ROUND(IF(AQ306="0",BJ306,0),2)</f>
        <v>0</v>
      </c>
      <c r="AI306" s="48" t="s">
        <v>85</v>
      </c>
      <c r="AJ306" s="35">
        <f>IF(AN306=0,J306,0)</f>
        <v>0</v>
      </c>
      <c r="AK306" s="35">
        <f>IF(AN306=12,J306,0)</f>
        <v>0</v>
      </c>
      <c r="AL306" s="35">
        <f>IF(AN306=21,J306,0)</f>
        <v>0</v>
      </c>
      <c r="AN306" s="35">
        <v>12</v>
      </c>
      <c r="AO306" s="35">
        <f>G306*0</f>
        <v>0</v>
      </c>
      <c r="AP306" s="35">
        <f>G306*(1-0)</f>
        <v>0</v>
      </c>
      <c r="AQ306" s="64" t="s">
        <v>204</v>
      </c>
      <c r="AV306" s="35">
        <f>ROUND(AW306+AX306,2)</f>
        <v>0</v>
      </c>
      <c r="AW306" s="35">
        <f>ROUND(F306*AO306,2)</f>
        <v>0</v>
      </c>
      <c r="AX306" s="35">
        <f>ROUND(F306*AP306,2)</f>
        <v>0</v>
      </c>
      <c r="AY306" s="64" t="s">
        <v>689</v>
      </c>
      <c r="AZ306" s="64" t="s">
        <v>690</v>
      </c>
      <c r="BA306" s="48" t="s">
        <v>676</v>
      </c>
      <c r="BB306" s="65">
        <v>100015</v>
      </c>
      <c r="BC306" s="35">
        <f>AW306+AX306</f>
        <v>0</v>
      </c>
      <c r="BD306" s="35">
        <f>G306/(100-BE306)*100</f>
        <v>0</v>
      </c>
      <c r="BE306" s="35">
        <v>0</v>
      </c>
      <c r="BF306" s="35">
        <f>306</f>
        <v>306</v>
      </c>
      <c r="BH306" s="35">
        <f>F306*AO306</f>
        <v>0</v>
      </c>
      <c r="BI306" s="35">
        <f>F306*AP306</f>
        <v>0</v>
      </c>
      <c r="BJ306" s="35">
        <f>F306*G306</f>
        <v>0</v>
      </c>
      <c r="BK306" s="64" t="s">
        <v>208</v>
      </c>
      <c r="BL306" s="35">
        <v>721</v>
      </c>
      <c r="BW306" s="35">
        <v>12</v>
      </c>
      <c r="BX306" s="3" t="s">
        <v>736</v>
      </c>
    </row>
    <row r="307" spans="1:76" x14ac:dyDescent="0.25">
      <c r="A307" s="66"/>
      <c r="C307" s="67" t="s">
        <v>411</v>
      </c>
      <c r="D307" s="68" t="s">
        <v>10</v>
      </c>
      <c r="F307" s="69">
        <v>2</v>
      </c>
      <c r="K307" s="70"/>
    </row>
    <row r="308" spans="1:76" x14ac:dyDescent="0.25">
      <c r="A308" s="1" t="s">
        <v>737</v>
      </c>
      <c r="B308" s="2" t="s">
        <v>738</v>
      </c>
      <c r="C308" s="86" t="s">
        <v>739</v>
      </c>
      <c r="D308" s="87"/>
      <c r="E308" s="2" t="s">
        <v>224</v>
      </c>
      <c r="F308" s="35">
        <v>20.6</v>
      </c>
      <c r="G308" s="35">
        <v>0</v>
      </c>
      <c r="H308" s="35">
        <f>ROUND(F308*AO308,2)</f>
        <v>0</v>
      </c>
      <c r="I308" s="35">
        <f>ROUND(F308*AP308,2)</f>
        <v>0</v>
      </c>
      <c r="J308" s="35">
        <f>ROUND(F308*G308,2)</f>
        <v>0</v>
      </c>
      <c r="K308" s="63" t="s">
        <v>203</v>
      </c>
      <c r="Z308" s="35">
        <f>ROUND(IF(AQ308="5",BJ308,0),2)</f>
        <v>0</v>
      </c>
      <c r="AB308" s="35">
        <f>ROUND(IF(AQ308="1",BH308,0),2)</f>
        <v>0</v>
      </c>
      <c r="AC308" s="35">
        <f>ROUND(IF(AQ308="1",BI308,0),2)</f>
        <v>0</v>
      </c>
      <c r="AD308" s="35">
        <f>ROUND(IF(AQ308="7",BH308,0),2)</f>
        <v>0</v>
      </c>
      <c r="AE308" s="35">
        <f>ROUND(IF(AQ308="7",BI308,0),2)</f>
        <v>0</v>
      </c>
      <c r="AF308" s="35">
        <f>ROUND(IF(AQ308="2",BH308,0),2)</f>
        <v>0</v>
      </c>
      <c r="AG308" s="35">
        <f>ROUND(IF(AQ308="2",BI308,0),2)</f>
        <v>0</v>
      </c>
      <c r="AH308" s="35">
        <f>ROUND(IF(AQ308="0",BJ308,0),2)</f>
        <v>0</v>
      </c>
      <c r="AI308" s="48" t="s">
        <v>85</v>
      </c>
      <c r="AJ308" s="35">
        <f>IF(AN308=0,J308,0)</f>
        <v>0</v>
      </c>
      <c r="AK308" s="35">
        <f>IF(AN308=12,J308,0)</f>
        <v>0</v>
      </c>
      <c r="AL308" s="35">
        <f>IF(AN308=21,J308,0)</f>
        <v>0</v>
      </c>
      <c r="AN308" s="35">
        <v>12</v>
      </c>
      <c r="AO308" s="35">
        <f>G308*0.026019227</f>
        <v>0</v>
      </c>
      <c r="AP308" s="35">
        <f>G308*(1-0.026019227)</f>
        <v>0</v>
      </c>
      <c r="AQ308" s="64" t="s">
        <v>204</v>
      </c>
      <c r="AV308" s="35">
        <f>ROUND(AW308+AX308,2)</f>
        <v>0</v>
      </c>
      <c r="AW308" s="35">
        <f>ROUND(F308*AO308,2)</f>
        <v>0</v>
      </c>
      <c r="AX308" s="35">
        <f>ROUND(F308*AP308,2)</f>
        <v>0</v>
      </c>
      <c r="AY308" s="64" t="s">
        <v>689</v>
      </c>
      <c r="AZ308" s="64" t="s">
        <v>690</v>
      </c>
      <c r="BA308" s="48" t="s">
        <v>676</v>
      </c>
      <c r="BB308" s="65">
        <v>100015</v>
      </c>
      <c r="BC308" s="35">
        <f>AW308+AX308</f>
        <v>0</v>
      </c>
      <c r="BD308" s="35">
        <f>G308/(100-BE308)*100</f>
        <v>0</v>
      </c>
      <c r="BE308" s="35">
        <v>0</v>
      </c>
      <c r="BF308" s="35">
        <f>308</f>
        <v>308</v>
      </c>
      <c r="BH308" s="35">
        <f>F308*AO308</f>
        <v>0</v>
      </c>
      <c r="BI308" s="35">
        <f>F308*AP308</f>
        <v>0</v>
      </c>
      <c r="BJ308" s="35">
        <f>F308*G308</f>
        <v>0</v>
      </c>
      <c r="BK308" s="64" t="s">
        <v>208</v>
      </c>
      <c r="BL308" s="35">
        <v>721</v>
      </c>
      <c r="BW308" s="35">
        <v>12</v>
      </c>
      <c r="BX308" s="3" t="s">
        <v>739</v>
      </c>
    </row>
    <row r="309" spans="1:76" x14ac:dyDescent="0.25">
      <c r="A309" s="66"/>
      <c r="C309" s="67" t="s">
        <v>740</v>
      </c>
      <c r="D309" s="68" t="s">
        <v>10</v>
      </c>
      <c r="F309" s="69">
        <v>20.6</v>
      </c>
      <c r="K309" s="70"/>
    </row>
    <row r="310" spans="1:76" x14ac:dyDescent="0.25">
      <c r="A310" s="59" t="s">
        <v>10</v>
      </c>
      <c r="B310" s="60" t="s">
        <v>139</v>
      </c>
      <c r="C310" s="177" t="s">
        <v>140</v>
      </c>
      <c r="D310" s="178"/>
      <c r="E310" s="61" t="s">
        <v>74</v>
      </c>
      <c r="F310" s="61" t="s">
        <v>74</v>
      </c>
      <c r="G310" s="61" t="s">
        <v>74</v>
      </c>
      <c r="H310" s="42">
        <f>SUM(H311:H337)</f>
        <v>0</v>
      </c>
      <c r="I310" s="42">
        <f>SUM(I311:I337)</f>
        <v>0</v>
      </c>
      <c r="J310" s="42">
        <f>SUM(J311:J337)</f>
        <v>0</v>
      </c>
      <c r="K310" s="62" t="s">
        <v>10</v>
      </c>
      <c r="AI310" s="48" t="s">
        <v>85</v>
      </c>
      <c r="AS310" s="42">
        <f>SUM(AJ311:AJ337)</f>
        <v>0</v>
      </c>
      <c r="AT310" s="42">
        <f>SUM(AK311:AK337)</f>
        <v>0</v>
      </c>
      <c r="AU310" s="42">
        <f>SUM(AL311:AL337)</f>
        <v>0</v>
      </c>
    </row>
    <row r="311" spans="1:76" x14ac:dyDescent="0.25">
      <c r="A311" s="1" t="s">
        <v>741</v>
      </c>
      <c r="B311" s="2" t="s">
        <v>742</v>
      </c>
      <c r="C311" s="86" t="s">
        <v>743</v>
      </c>
      <c r="D311" s="87"/>
      <c r="E311" s="2" t="s">
        <v>252</v>
      </c>
      <c r="F311" s="35">
        <v>2</v>
      </c>
      <c r="G311" s="35">
        <v>0</v>
      </c>
      <c r="H311" s="35">
        <f>ROUND(F311*AO311,2)</f>
        <v>0</v>
      </c>
      <c r="I311" s="35">
        <f>ROUND(F311*AP311,2)</f>
        <v>0</v>
      </c>
      <c r="J311" s="35">
        <f>ROUND(F311*G311,2)</f>
        <v>0</v>
      </c>
      <c r="K311" s="63" t="s">
        <v>203</v>
      </c>
      <c r="Z311" s="35">
        <f>ROUND(IF(AQ311="5",BJ311,0),2)</f>
        <v>0</v>
      </c>
      <c r="AB311" s="35">
        <f>ROUND(IF(AQ311="1",BH311,0),2)</f>
        <v>0</v>
      </c>
      <c r="AC311" s="35">
        <f>ROUND(IF(AQ311="1",BI311,0),2)</f>
        <v>0</v>
      </c>
      <c r="AD311" s="35">
        <f>ROUND(IF(AQ311="7",BH311,0),2)</f>
        <v>0</v>
      </c>
      <c r="AE311" s="35">
        <f>ROUND(IF(AQ311="7",BI311,0),2)</f>
        <v>0</v>
      </c>
      <c r="AF311" s="35">
        <f>ROUND(IF(AQ311="2",BH311,0),2)</f>
        <v>0</v>
      </c>
      <c r="AG311" s="35">
        <f>ROUND(IF(AQ311="2",BI311,0),2)</f>
        <v>0</v>
      </c>
      <c r="AH311" s="35">
        <f>ROUND(IF(AQ311="0",BJ311,0),2)</f>
        <v>0</v>
      </c>
      <c r="AI311" s="48" t="s">
        <v>85</v>
      </c>
      <c r="AJ311" s="35">
        <f>IF(AN311=0,J311,0)</f>
        <v>0</v>
      </c>
      <c r="AK311" s="35">
        <f>IF(AN311=12,J311,0)</f>
        <v>0</v>
      </c>
      <c r="AL311" s="35">
        <f>IF(AN311=21,J311,0)</f>
        <v>0</v>
      </c>
      <c r="AN311" s="35">
        <v>12</v>
      </c>
      <c r="AO311" s="35">
        <f>G311*0.56709107</f>
        <v>0</v>
      </c>
      <c r="AP311" s="35">
        <f>G311*(1-0.56709107)</f>
        <v>0</v>
      </c>
      <c r="AQ311" s="64" t="s">
        <v>204</v>
      </c>
      <c r="AV311" s="35">
        <f>ROUND(AW311+AX311,2)</f>
        <v>0</v>
      </c>
      <c r="AW311" s="35">
        <f>ROUND(F311*AO311,2)</f>
        <v>0</v>
      </c>
      <c r="AX311" s="35">
        <f>ROUND(F311*AP311,2)</f>
        <v>0</v>
      </c>
      <c r="AY311" s="64" t="s">
        <v>744</v>
      </c>
      <c r="AZ311" s="64" t="s">
        <v>690</v>
      </c>
      <c r="BA311" s="48" t="s">
        <v>676</v>
      </c>
      <c r="BB311" s="65">
        <v>100023</v>
      </c>
      <c r="BC311" s="35">
        <f>AW311+AX311</f>
        <v>0</v>
      </c>
      <c r="BD311" s="35">
        <f>G311/(100-BE311)*100</f>
        <v>0</v>
      </c>
      <c r="BE311" s="35">
        <v>0</v>
      </c>
      <c r="BF311" s="35">
        <f>311</f>
        <v>311</v>
      </c>
      <c r="BH311" s="35">
        <f>F311*AO311</f>
        <v>0</v>
      </c>
      <c r="BI311" s="35">
        <f>F311*AP311</f>
        <v>0</v>
      </c>
      <c r="BJ311" s="35">
        <f>F311*G311</f>
        <v>0</v>
      </c>
      <c r="BK311" s="64" t="s">
        <v>208</v>
      </c>
      <c r="BL311" s="35">
        <v>722</v>
      </c>
      <c r="BW311" s="35">
        <v>12</v>
      </c>
      <c r="BX311" s="3" t="s">
        <v>743</v>
      </c>
    </row>
    <row r="312" spans="1:76" x14ac:dyDescent="0.25">
      <c r="A312" s="66"/>
      <c r="C312" s="67" t="s">
        <v>211</v>
      </c>
      <c r="D312" s="68" t="s">
        <v>10</v>
      </c>
      <c r="F312" s="69">
        <v>2</v>
      </c>
      <c r="K312" s="70"/>
    </row>
    <row r="313" spans="1:76" x14ac:dyDescent="0.25">
      <c r="A313" s="1" t="s">
        <v>745</v>
      </c>
      <c r="B313" s="2" t="s">
        <v>746</v>
      </c>
      <c r="C313" s="86" t="s">
        <v>747</v>
      </c>
      <c r="D313" s="87"/>
      <c r="E313" s="2" t="s">
        <v>252</v>
      </c>
      <c r="F313" s="35">
        <v>4</v>
      </c>
      <c r="G313" s="35">
        <v>0</v>
      </c>
      <c r="H313" s="35">
        <f>ROUND(F313*AO313,2)</f>
        <v>0</v>
      </c>
      <c r="I313" s="35">
        <f>ROUND(F313*AP313,2)</f>
        <v>0</v>
      </c>
      <c r="J313" s="35">
        <f>ROUND(F313*G313,2)</f>
        <v>0</v>
      </c>
      <c r="K313" s="63" t="s">
        <v>203</v>
      </c>
      <c r="Z313" s="35">
        <f>ROUND(IF(AQ313="5",BJ313,0),2)</f>
        <v>0</v>
      </c>
      <c r="AB313" s="35">
        <f>ROUND(IF(AQ313="1",BH313,0),2)</f>
        <v>0</v>
      </c>
      <c r="AC313" s="35">
        <f>ROUND(IF(AQ313="1",BI313,0),2)</f>
        <v>0</v>
      </c>
      <c r="AD313" s="35">
        <f>ROUND(IF(AQ313="7",BH313,0),2)</f>
        <v>0</v>
      </c>
      <c r="AE313" s="35">
        <f>ROUND(IF(AQ313="7",BI313,0),2)</f>
        <v>0</v>
      </c>
      <c r="AF313" s="35">
        <f>ROUND(IF(AQ313="2",BH313,0),2)</f>
        <v>0</v>
      </c>
      <c r="AG313" s="35">
        <f>ROUND(IF(AQ313="2",BI313,0),2)</f>
        <v>0</v>
      </c>
      <c r="AH313" s="35">
        <f>ROUND(IF(AQ313="0",BJ313,0),2)</f>
        <v>0</v>
      </c>
      <c r="AI313" s="48" t="s">
        <v>85</v>
      </c>
      <c r="AJ313" s="35">
        <f>IF(AN313=0,J313,0)</f>
        <v>0</v>
      </c>
      <c r="AK313" s="35">
        <f>IF(AN313=12,J313,0)</f>
        <v>0</v>
      </c>
      <c r="AL313" s="35">
        <f>IF(AN313=21,J313,0)</f>
        <v>0</v>
      </c>
      <c r="AN313" s="35">
        <v>12</v>
      </c>
      <c r="AO313" s="35">
        <f>G313*0</f>
        <v>0</v>
      </c>
      <c r="AP313" s="35">
        <f>G313*(1-0)</f>
        <v>0</v>
      </c>
      <c r="AQ313" s="64" t="s">
        <v>204</v>
      </c>
      <c r="AV313" s="35">
        <f>ROUND(AW313+AX313,2)</f>
        <v>0</v>
      </c>
      <c r="AW313" s="35">
        <f>ROUND(F313*AO313,2)</f>
        <v>0</v>
      </c>
      <c r="AX313" s="35">
        <f>ROUND(F313*AP313,2)</f>
        <v>0</v>
      </c>
      <c r="AY313" s="64" t="s">
        <v>744</v>
      </c>
      <c r="AZ313" s="64" t="s">
        <v>690</v>
      </c>
      <c r="BA313" s="48" t="s">
        <v>676</v>
      </c>
      <c r="BB313" s="65">
        <v>100023</v>
      </c>
      <c r="BC313" s="35">
        <f>AW313+AX313</f>
        <v>0</v>
      </c>
      <c r="BD313" s="35">
        <f>G313/(100-BE313)*100</f>
        <v>0</v>
      </c>
      <c r="BE313" s="35">
        <v>0</v>
      </c>
      <c r="BF313" s="35">
        <f>313</f>
        <v>313</v>
      </c>
      <c r="BH313" s="35">
        <f>F313*AO313</f>
        <v>0</v>
      </c>
      <c r="BI313" s="35">
        <f>F313*AP313</f>
        <v>0</v>
      </c>
      <c r="BJ313" s="35">
        <f>F313*G313</f>
        <v>0</v>
      </c>
      <c r="BK313" s="64" t="s">
        <v>208</v>
      </c>
      <c r="BL313" s="35">
        <v>722</v>
      </c>
      <c r="BW313" s="35">
        <v>12</v>
      </c>
      <c r="BX313" s="3" t="s">
        <v>747</v>
      </c>
    </row>
    <row r="314" spans="1:76" x14ac:dyDescent="0.25">
      <c r="A314" s="1" t="s">
        <v>748</v>
      </c>
      <c r="B314" s="2" t="s">
        <v>749</v>
      </c>
      <c r="C314" s="86" t="s">
        <v>750</v>
      </c>
      <c r="D314" s="87"/>
      <c r="E314" s="2" t="s">
        <v>224</v>
      </c>
      <c r="F314" s="35">
        <v>27.1</v>
      </c>
      <c r="G314" s="35">
        <v>0</v>
      </c>
      <c r="H314" s="35">
        <f>ROUND(F314*AO314,2)</f>
        <v>0</v>
      </c>
      <c r="I314" s="35">
        <f>ROUND(F314*AP314,2)</f>
        <v>0</v>
      </c>
      <c r="J314" s="35">
        <f>ROUND(F314*G314,2)</f>
        <v>0</v>
      </c>
      <c r="K314" s="63" t="s">
        <v>203</v>
      </c>
      <c r="Z314" s="35">
        <f>ROUND(IF(AQ314="5",BJ314,0),2)</f>
        <v>0</v>
      </c>
      <c r="AB314" s="35">
        <f>ROUND(IF(AQ314="1",BH314,0),2)</f>
        <v>0</v>
      </c>
      <c r="AC314" s="35">
        <f>ROUND(IF(AQ314="1",BI314,0),2)</f>
        <v>0</v>
      </c>
      <c r="AD314" s="35">
        <f>ROUND(IF(AQ314="7",BH314,0),2)</f>
        <v>0</v>
      </c>
      <c r="AE314" s="35">
        <f>ROUND(IF(AQ314="7",BI314,0),2)</f>
        <v>0</v>
      </c>
      <c r="AF314" s="35">
        <f>ROUND(IF(AQ314="2",BH314,0),2)</f>
        <v>0</v>
      </c>
      <c r="AG314" s="35">
        <f>ROUND(IF(AQ314="2",BI314,0),2)</f>
        <v>0</v>
      </c>
      <c r="AH314" s="35">
        <f>ROUND(IF(AQ314="0",BJ314,0),2)</f>
        <v>0</v>
      </c>
      <c r="AI314" s="48" t="s">
        <v>85</v>
      </c>
      <c r="AJ314" s="35">
        <f>IF(AN314=0,J314,0)</f>
        <v>0</v>
      </c>
      <c r="AK314" s="35">
        <f>IF(AN314=12,J314,0)</f>
        <v>0</v>
      </c>
      <c r="AL314" s="35">
        <f>IF(AN314=21,J314,0)</f>
        <v>0</v>
      </c>
      <c r="AN314" s="35">
        <v>12</v>
      </c>
      <c r="AO314" s="35">
        <f>G314*0.225005473</f>
        <v>0</v>
      </c>
      <c r="AP314" s="35">
        <f>G314*(1-0.225005473)</f>
        <v>0</v>
      </c>
      <c r="AQ314" s="64" t="s">
        <v>204</v>
      </c>
      <c r="AV314" s="35">
        <f>ROUND(AW314+AX314,2)</f>
        <v>0</v>
      </c>
      <c r="AW314" s="35">
        <f>ROUND(F314*AO314,2)</f>
        <v>0</v>
      </c>
      <c r="AX314" s="35">
        <f>ROUND(F314*AP314,2)</f>
        <v>0</v>
      </c>
      <c r="AY314" s="64" t="s">
        <v>744</v>
      </c>
      <c r="AZ314" s="64" t="s">
        <v>690</v>
      </c>
      <c r="BA314" s="48" t="s">
        <v>676</v>
      </c>
      <c r="BB314" s="65">
        <v>100023</v>
      </c>
      <c r="BC314" s="35">
        <f>AW314+AX314</f>
        <v>0</v>
      </c>
      <c r="BD314" s="35">
        <f>G314/(100-BE314)*100</f>
        <v>0</v>
      </c>
      <c r="BE314" s="35">
        <v>0</v>
      </c>
      <c r="BF314" s="35">
        <f>314</f>
        <v>314</v>
      </c>
      <c r="BH314" s="35">
        <f>F314*AO314</f>
        <v>0</v>
      </c>
      <c r="BI314" s="35">
        <f>F314*AP314</f>
        <v>0</v>
      </c>
      <c r="BJ314" s="35">
        <f>F314*G314</f>
        <v>0</v>
      </c>
      <c r="BK314" s="64" t="s">
        <v>208</v>
      </c>
      <c r="BL314" s="35">
        <v>722</v>
      </c>
      <c r="BW314" s="35">
        <v>12</v>
      </c>
      <c r="BX314" s="3" t="s">
        <v>750</v>
      </c>
    </row>
    <row r="315" spans="1:76" x14ac:dyDescent="0.25">
      <c r="A315" s="66"/>
      <c r="C315" s="67" t="s">
        <v>751</v>
      </c>
      <c r="D315" s="68" t="s">
        <v>10</v>
      </c>
      <c r="F315" s="69">
        <v>27.1</v>
      </c>
      <c r="K315" s="70"/>
    </row>
    <row r="316" spans="1:76" x14ac:dyDescent="0.25">
      <c r="A316" s="1" t="s">
        <v>752</v>
      </c>
      <c r="B316" s="2" t="s">
        <v>753</v>
      </c>
      <c r="C316" s="86" t="s">
        <v>754</v>
      </c>
      <c r="D316" s="87"/>
      <c r="E316" s="2" t="s">
        <v>252</v>
      </c>
      <c r="F316" s="35">
        <v>5</v>
      </c>
      <c r="G316" s="35">
        <v>0</v>
      </c>
      <c r="H316" s="35">
        <f>ROUND(F316*AO316,2)</f>
        <v>0</v>
      </c>
      <c r="I316" s="35">
        <f>ROUND(F316*AP316,2)</f>
        <v>0</v>
      </c>
      <c r="J316" s="35">
        <f>ROUND(F316*G316,2)</f>
        <v>0</v>
      </c>
      <c r="K316" s="63" t="s">
        <v>203</v>
      </c>
      <c r="Z316" s="35">
        <f>ROUND(IF(AQ316="5",BJ316,0),2)</f>
        <v>0</v>
      </c>
      <c r="AB316" s="35">
        <f>ROUND(IF(AQ316="1",BH316,0),2)</f>
        <v>0</v>
      </c>
      <c r="AC316" s="35">
        <f>ROUND(IF(AQ316="1",BI316,0),2)</f>
        <v>0</v>
      </c>
      <c r="AD316" s="35">
        <f>ROUND(IF(AQ316="7",BH316,0),2)</f>
        <v>0</v>
      </c>
      <c r="AE316" s="35">
        <f>ROUND(IF(AQ316="7",BI316,0),2)</f>
        <v>0</v>
      </c>
      <c r="AF316" s="35">
        <f>ROUND(IF(AQ316="2",BH316,0),2)</f>
        <v>0</v>
      </c>
      <c r="AG316" s="35">
        <f>ROUND(IF(AQ316="2",BI316,0),2)</f>
        <v>0</v>
      </c>
      <c r="AH316" s="35">
        <f>ROUND(IF(AQ316="0",BJ316,0),2)</f>
        <v>0</v>
      </c>
      <c r="AI316" s="48" t="s">
        <v>85</v>
      </c>
      <c r="AJ316" s="35">
        <f>IF(AN316=0,J316,0)</f>
        <v>0</v>
      </c>
      <c r="AK316" s="35">
        <f>IF(AN316=12,J316,0)</f>
        <v>0</v>
      </c>
      <c r="AL316" s="35">
        <f>IF(AN316=21,J316,0)</f>
        <v>0</v>
      </c>
      <c r="AN316" s="35">
        <v>12</v>
      </c>
      <c r="AO316" s="35">
        <f>G316*0.2031562</f>
        <v>0</v>
      </c>
      <c r="AP316" s="35">
        <f>G316*(1-0.2031562)</f>
        <v>0</v>
      </c>
      <c r="AQ316" s="64" t="s">
        <v>204</v>
      </c>
      <c r="AV316" s="35">
        <f>ROUND(AW316+AX316,2)</f>
        <v>0</v>
      </c>
      <c r="AW316" s="35">
        <f>ROUND(F316*AO316,2)</f>
        <v>0</v>
      </c>
      <c r="AX316" s="35">
        <f>ROUND(F316*AP316,2)</f>
        <v>0</v>
      </c>
      <c r="AY316" s="64" t="s">
        <v>744</v>
      </c>
      <c r="AZ316" s="64" t="s">
        <v>690</v>
      </c>
      <c r="BA316" s="48" t="s">
        <v>676</v>
      </c>
      <c r="BB316" s="65">
        <v>100023</v>
      </c>
      <c r="BC316" s="35">
        <f>AW316+AX316</f>
        <v>0</v>
      </c>
      <c r="BD316" s="35">
        <f>G316/(100-BE316)*100</f>
        <v>0</v>
      </c>
      <c r="BE316" s="35">
        <v>0</v>
      </c>
      <c r="BF316" s="35">
        <f>316</f>
        <v>316</v>
      </c>
      <c r="BH316" s="35">
        <f>F316*AO316</f>
        <v>0</v>
      </c>
      <c r="BI316" s="35">
        <f>F316*AP316</f>
        <v>0</v>
      </c>
      <c r="BJ316" s="35">
        <f>F316*G316</f>
        <v>0</v>
      </c>
      <c r="BK316" s="64" t="s">
        <v>208</v>
      </c>
      <c r="BL316" s="35">
        <v>722</v>
      </c>
      <c r="BW316" s="35">
        <v>12</v>
      </c>
      <c r="BX316" s="3" t="s">
        <v>754</v>
      </c>
    </row>
    <row r="317" spans="1:76" x14ac:dyDescent="0.25">
      <c r="A317" s="66"/>
      <c r="C317" s="67" t="s">
        <v>233</v>
      </c>
      <c r="D317" s="68" t="s">
        <v>10</v>
      </c>
      <c r="F317" s="69">
        <v>5</v>
      </c>
      <c r="K317" s="70"/>
    </row>
    <row r="318" spans="1:76" x14ac:dyDescent="0.25">
      <c r="A318" s="1" t="s">
        <v>755</v>
      </c>
      <c r="B318" s="2" t="s">
        <v>756</v>
      </c>
      <c r="C318" s="86" t="s">
        <v>757</v>
      </c>
      <c r="D318" s="87"/>
      <c r="E318" s="2" t="s">
        <v>252</v>
      </c>
      <c r="F318" s="35">
        <v>12</v>
      </c>
      <c r="G318" s="35">
        <v>0</v>
      </c>
      <c r="H318" s="35">
        <f>ROUND(F318*AO318,2)</f>
        <v>0</v>
      </c>
      <c r="I318" s="35">
        <f>ROUND(F318*AP318,2)</f>
        <v>0</v>
      </c>
      <c r="J318" s="35">
        <f>ROUND(F318*G318,2)</f>
        <v>0</v>
      </c>
      <c r="K318" s="63" t="s">
        <v>203</v>
      </c>
      <c r="Z318" s="35">
        <f>ROUND(IF(AQ318="5",BJ318,0),2)</f>
        <v>0</v>
      </c>
      <c r="AB318" s="35">
        <f>ROUND(IF(AQ318="1",BH318,0),2)</f>
        <v>0</v>
      </c>
      <c r="AC318" s="35">
        <f>ROUND(IF(AQ318="1",BI318,0),2)</f>
        <v>0</v>
      </c>
      <c r="AD318" s="35">
        <f>ROUND(IF(AQ318="7",BH318,0),2)</f>
        <v>0</v>
      </c>
      <c r="AE318" s="35">
        <f>ROUND(IF(AQ318="7",BI318,0),2)</f>
        <v>0</v>
      </c>
      <c r="AF318" s="35">
        <f>ROUND(IF(AQ318="2",BH318,0),2)</f>
        <v>0</v>
      </c>
      <c r="AG318" s="35">
        <f>ROUND(IF(AQ318="2",BI318,0),2)</f>
        <v>0</v>
      </c>
      <c r="AH318" s="35">
        <f>ROUND(IF(AQ318="0",BJ318,0),2)</f>
        <v>0</v>
      </c>
      <c r="AI318" s="48" t="s">
        <v>85</v>
      </c>
      <c r="AJ318" s="35">
        <f>IF(AN318=0,J318,0)</f>
        <v>0</v>
      </c>
      <c r="AK318" s="35">
        <f>IF(AN318=12,J318,0)</f>
        <v>0</v>
      </c>
      <c r="AL318" s="35">
        <f>IF(AN318=21,J318,0)</f>
        <v>0</v>
      </c>
      <c r="AN318" s="35">
        <v>12</v>
      </c>
      <c r="AO318" s="35">
        <f>G318*0</f>
        <v>0</v>
      </c>
      <c r="AP318" s="35">
        <f>G318*(1-0)</f>
        <v>0</v>
      </c>
      <c r="AQ318" s="64" t="s">
        <v>204</v>
      </c>
      <c r="AV318" s="35">
        <f>ROUND(AW318+AX318,2)</f>
        <v>0</v>
      </c>
      <c r="AW318" s="35">
        <f>ROUND(F318*AO318,2)</f>
        <v>0</v>
      </c>
      <c r="AX318" s="35">
        <f>ROUND(F318*AP318,2)</f>
        <v>0</v>
      </c>
      <c r="AY318" s="64" t="s">
        <v>744</v>
      </c>
      <c r="AZ318" s="64" t="s">
        <v>690</v>
      </c>
      <c r="BA318" s="48" t="s">
        <v>676</v>
      </c>
      <c r="BB318" s="65">
        <v>100023</v>
      </c>
      <c r="BC318" s="35">
        <f>AW318+AX318</f>
        <v>0</v>
      </c>
      <c r="BD318" s="35">
        <f>G318/(100-BE318)*100</f>
        <v>0</v>
      </c>
      <c r="BE318" s="35">
        <v>0</v>
      </c>
      <c r="BF318" s="35">
        <f>318</f>
        <v>318</v>
      </c>
      <c r="BH318" s="35">
        <f>F318*AO318</f>
        <v>0</v>
      </c>
      <c r="BI318" s="35">
        <f>F318*AP318</f>
        <v>0</v>
      </c>
      <c r="BJ318" s="35">
        <f>F318*G318</f>
        <v>0</v>
      </c>
      <c r="BK318" s="64" t="s">
        <v>208</v>
      </c>
      <c r="BL318" s="35">
        <v>722</v>
      </c>
      <c r="BW318" s="35">
        <v>12</v>
      </c>
      <c r="BX318" s="3" t="s">
        <v>757</v>
      </c>
    </row>
    <row r="319" spans="1:76" x14ac:dyDescent="0.25">
      <c r="A319" s="66"/>
      <c r="C319" s="67" t="s">
        <v>270</v>
      </c>
      <c r="D319" s="68" t="s">
        <v>10</v>
      </c>
      <c r="F319" s="69">
        <v>12</v>
      </c>
      <c r="K319" s="70"/>
    </row>
    <row r="320" spans="1:76" x14ac:dyDescent="0.25">
      <c r="A320" s="1" t="s">
        <v>758</v>
      </c>
      <c r="B320" s="2" t="s">
        <v>759</v>
      </c>
      <c r="C320" s="86" t="s">
        <v>760</v>
      </c>
      <c r="D320" s="87"/>
      <c r="E320" s="2" t="s">
        <v>224</v>
      </c>
      <c r="F320" s="35">
        <v>12.1</v>
      </c>
      <c r="G320" s="35">
        <v>0</v>
      </c>
      <c r="H320" s="35">
        <f>ROUND(F320*AO320,2)</f>
        <v>0</v>
      </c>
      <c r="I320" s="35">
        <f>ROUND(F320*AP320,2)</f>
        <v>0</v>
      </c>
      <c r="J320" s="35">
        <f>ROUND(F320*G320,2)</f>
        <v>0</v>
      </c>
      <c r="K320" s="63" t="s">
        <v>203</v>
      </c>
      <c r="Z320" s="35">
        <f>ROUND(IF(AQ320="5",BJ320,0),2)</f>
        <v>0</v>
      </c>
      <c r="AB320" s="35">
        <f>ROUND(IF(AQ320="1",BH320,0),2)</f>
        <v>0</v>
      </c>
      <c r="AC320" s="35">
        <f>ROUND(IF(AQ320="1",BI320,0),2)</f>
        <v>0</v>
      </c>
      <c r="AD320" s="35">
        <f>ROUND(IF(AQ320="7",BH320,0),2)</f>
        <v>0</v>
      </c>
      <c r="AE320" s="35">
        <f>ROUND(IF(AQ320="7",BI320,0),2)</f>
        <v>0</v>
      </c>
      <c r="AF320" s="35">
        <f>ROUND(IF(AQ320="2",BH320,0),2)</f>
        <v>0</v>
      </c>
      <c r="AG320" s="35">
        <f>ROUND(IF(AQ320="2",BI320,0),2)</f>
        <v>0</v>
      </c>
      <c r="AH320" s="35">
        <f>ROUND(IF(AQ320="0",BJ320,0),2)</f>
        <v>0</v>
      </c>
      <c r="AI320" s="48" t="s">
        <v>85</v>
      </c>
      <c r="AJ320" s="35">
        <f>IF(AN320=0,J320,0)</f>
        <v>0</v>
      </c>
      <c r="AK320" s="35">
        <f>IF(AN320=12,J320,0)</f>
        <v>0</v>
      </c>
      <c r="AL320" s="35">
        <f>IF(AN320=21,J320,0)</f>
        <v>0</v>
      </c>
      <c r="AN320" s="35">
        <v>12</v>
      </c>
      <c r="AO320" s="35">
        <f>G320*0.213646156</f>
        <v>0</v>
      </c>
      <c r="AP320" s="35">
        <f>G320*(1-0.213646156)</f>
        <v>0</v>
      </c>
      <c r="AQ320" s="64" t="s">
        <v>204</v>
      </c>
      <c r="AV320" s="35">
        <f>ROUND(AW320+AX320,2)</f>
        <v>0</v>
      </c>
      <c r="AW320" s="35">
        <f>ROUND(F320*AO320,2)</f>
        <v>0</v>
      </c>
      <c r="AX320" s="35">
        <f>ROUND(F320*AP320,2)</f>
        <v>0</v>
      </c>
      <c r="AY320" s="64" t="s">
        <v>744</v>
      </c>
      <c r="AZ320" s="64" t="s">
        <v>690</v>
      </c>
      <c r="BA320" s="48" t="s">
        <v>676</v>
      </c>
      <c r="BB320" s="65">
        <v>100023</v>
      </c>
      <c r="BC320" s="35">
        <f>AW320+AX320</f>
        <v>0</v>
      </c>
      <c r="BD320" s="35">
        <f>G320/(100-BE320)*100</f>
        <v>0</v>
      </c>
      <c r="BE320" s="35">
        <v>0</v>
      </c>
      <c r="BF320" s="35">
        <f>320</f>
        <v>320</v>
      </c>
      <c r="BH320" s="35">
        <f>F320*AO320</f>
        <v>0</v>
      </c>
      <c r="BI320" s="35">
        <f>F320*AP320</f>
        <v>0</v>
      </c>
      <c r="BJ320" s="35">
        <f>F320*G320</f>
        <v>0</v>
      </c>
      <c r="BK320" s="64" t="s">
        <v>208</v>
      </c>
      <c r="BL320" s="35">
        <v>722</v>
      </c>
      <c r="BW320" s="35">
        <v>12</v>
      </c>
      <c r="BX320" s="3" t="s">
        <v>760</v>
      </c>
    </row>
    <row r="321" spans="1:76" ht="13.5" customHeight="1" x14ac:dyDescent="0.25">
      <c r="A321" s="66"/>
      <c r="C321" s="180" t="s">
        <v>761</v>
      </c>
      <c r="D321" s="181"/>
      <c r="E321" s="181"/>
      <c r="F321" s="181"/>
      <c r="G321" s="181"/>
      <c r="H321" s="181"/>
      <c r="I321" s="181"/>
      <c r="J321" s="181"/>
      <c r="K321" s="182"/>
    </row>
    <row r="322" spans="1:76" x14ac:dyDescent="0.25">
      <c r="A322" s="66"/>
      <c r="C322" s="67" t="s">
        <v>762</v>
      </c>
      <c r="D322" s="68" t="s">
        <v>10</v>
      </c>
      <c r="F322" s="69">
        <v>12.1</v>
      </c>
      <c r="K322" s="70"/>
    </row>
    <row r="323" spans="1:76" x14ac:dyDescent="0.25">
      <c r="A323" s="1" t="s">
        <v>763</v>
      </c>
      <c r="B323" s="2" t="s">
        <v>764</v>
      </c>
      <c r="C323" s="86" t="s">
        <v>765</v>
      </c>
      <c r="D323" s="87"/>
      <c r="E323" s="2" t="s">
        <v>224</v>
      </c>
      <c r="F323" s="35">
        <v>15</v>
      </c>
      <c r="G323" s="35">
        <v>0</v>
      </c>
      <c r="H323" s="35">
        <f>ROUND(F323*AO323,2)</f>
        <v>0</v>
      </c>
      <c r="I323" s="35">
        <f>ROUND(F323*AP323,2)</f>
        <v>0</v>
      </c>
      <c r="J323" s="35">
        <f>ROUND(F323*G323,2)</f>
        <v>0</v>
      </c>
      <c r="K323" s="63" t="s">
        <v>203</v>
      </c>
      <c r="Z323" s="35">
        <f>ROUND(IF(AQ323="5",BJ323,0),2)</f>
        <v>0</v>
      </c>
      <c r="AB323" s="35">
        <f>ROUND(IF(AQ323="1",BH323,0),2)</f>
        <v>0</v>
      </c>
      <c r="AC323" s="35">
        <f>ROUND(IF(AQ323="1",BI323,0),2)</f>
        <v>0</v>
      </c>
      <c r="AD323" s="35">
        <f>ROUND(IF(AQ323="7",BH323,0),2)</f>
        <v>0</v>
      </c>
      <c r="AE323" s="35">
        <f>ROUND(IF(AQ323="7",BI323,0),2)</f>
        <v>0</v>
      </c>
      <c r="AF323" s="35">
        <f>ROUND(IF(AQ323="2",BH323,0),2)</f>
        <v>0</v>
      </c>
      <c r="AG323" s="35">
        <f>ROUND(IF(AQ323="2",BI323,0),2)</f>
        <v>0</v>
      </c>
      <c r="AH323" s="35">
        <f>ROUND(IF(AQ323="0",BJ323,0),2)</f>
        <v>0</v>
      </c>
      <c r="AI323" s="48" t="s">
        <v>85</v>
      </c>
      <c r="AJ323" s="35">
        <f>IF(AN323=0,J323,0)</f>
        <v>0</v>
      </c>
      <c r="AK323" s="35">
        <f>IF(AN323=12,J323,0)</f>
        <v>0</v>
      </c>
      <c r="AL323" s="35">
        <f>IF(AN323=21,J323,0)</f>
        <v>0</v>
      </c>
      <c r="AN323" s="35">
        <v>12</v>
      </c>
      <c r="AO323" s="35">
        <f>G323*0.248868778</f>
        <v>0</v>
      </c>
      <c r="AP323" s="35">
        <f>G323*(1-0.248868778)</f>
        <v>0</v>
      </c>
      <c r="AQ323" s="64" t="s">
        <v>204</v>
      </c>
      <c r="AV323" s="35">
        <f>ROUND(AW323+AX323,2)</f>
        <v>0</v>
      </c>
      <c r="AW323" s="35">
        <f>ROUND(F323*AO323,2)</f>
        <v>0</v>
      </c>
      <c r="AX323" s="35">
        <f>ROUND(F323*AP323,2)</f>
        <v>0</v>
      </c>
      <c r="AY323" s="64" t="s">
        <v>744</v>
      </c>
      <c r="AZ323" s="64" t="s">
        <v>690</v>
      </c>
      <c r="BA323" s="48" t="s">
        <v>676</v>
      </c>
      <c r="BB323" s="65">
        <v>100023</v>
      </c>
      <c r="BC323" s="35">
        <f>AW323+AX323</f>
        <v>0</v>
      </c>
      <c r="BD323" s="35">
        <f>G323/(100-BE323)*100</f>
        <v>0</v>
      </c>
      <c r="BE323" s="35">
        <v>0</v>
      </c>
      <c r="BF323" s="35">
        <f>323</f>
        <v>323</v>
      </c>
      <c r="BH323" s="35">
        <f>F323*AO323</f>
        <v>0</v>
      </c>
      <c r="BI323" s="35">
        <f>F323*AP323</f>
        <v>0</v>
      </c>
      <c r="BJ323" s="35">
        <f>F323*G323</f>
        <v>0</v>
      </c>
      <c r="BK323" s="64" t="s">
        <v>208</v>
      </c>
      <c r="BL323" s="35">
        <v>722</v>
      </c>
      <c r="BW323" s="35">
        <v>12</v>
      </c>
      <c r="BX323" s="3" t="s">
        <v>765</v>
      </c>
    </row>
    <row r="324" spans="1:76" ht="13.5" customHeight="1" x14ac:dyDescent="0.25">
      <c r="A324" s="66"/>
      <c r="C324" s="180" t="s">
        <v>761</v>
      </c>
      <c r="D324" s="181"/>
      <c r="E324" s="181"/>
      <c r="F324" s="181"/>
      <c r="G324" s="181"/>
      <c r="H324" s="181"/>
      <c r="I324" s="181"/>
      <c r="J324" s="181"/>
      <c r="K324" s="182"/>
    </row>
    <row r="325" spans="1:76" x14ac:dyDescent="0.25">
      <c r="A325" s="66"/>
      <c r="C325" s="67" t="s">
        <v>766</v>
      </c>
      <c r="D325" s="68" t="s">
        <v>10</v>
      </c>
      <c r="F325" s="69">
        <v>15</v>
      </c>
      <c r="K325" s="70"/>
    </row>
    <row r="326" spans="1:76" x14ac:dyDescent="0.25">
      <c r="A326" s="1" t="s">
        <v>767</v>
      </c>
      <c r="B326" s="2" t="s">
        <v>768</v>
      </c>
      <c r="C326" s="86" t="s">
        <v>769</v>
      </c>
      <c r="D326" s="87"/>
      <c r="E326" s="2" t="s">
        <v>252</v>
      </c>
      <c r="F326" s="35">
        <v>12</v>
      </c>
      <c r="G326" s="35">
        <v>0</v>
      </c>
      <c r="H326" s="35">
        <f>ROUND(F326*AO326,2)</f>
        <v>0</v>
      </c>
      <c r="I326" s="35">
        <f>ROUND(F326*AP326,2)</f>
        <v>0</v>
      </c>
      <c r="J326" s="35">
        <f>ROUND(F326*G326,2)</f>
        <v>0</v>
      </c>
      <c r="K326" s="63" t="s">
        <v>203</v>
      </c>
      <c r="Z326" s="35">
        <f>ROUND(IF(AQ326="5",BJ326,0),2)</f>
        <v>0</v>
      </c>
      <c r="AB326" s="35">
        <f>ROUND(IF(AQ326="1",BH326,0),2)</f>
        <v>0</v>
      </c>
      <c r="AC326" s="35">
        <f>ROUND(IF(AQ326="1",BI326,0),2)</f>
        <v>0</v>
      </c>
      <c r="AD326" s="35">
        <f>ROUND(IF(AQ326="7",BH326,0),2)</f>
        <v>0</v>
      </c>
      <c r="AE326" s="35">
        <f>ROUND(IF(AQ326="7",BI326,0),2)</f>
        <v>0</v>
      </c>
      <c r="AF326" s="35">
        <f>ROUND(IF(AQ326="2",BH326,0),2)</f>
        <v>0</v>
      </c>
      <c r="AG326" s="35">
        <f>ROUND(IF(AQ326="2",BI326,0),2)</f>
        <v>0</v>
      </c>
      <c r="AH326" s="35">
        <f>ROUND(IF(AQ326="0",BJ326,0),2)</f>
        <v>0</v>
      </c>
      <c r="AI326" s="48" t="s">
        <v>85</v>
      </c>
      <c r="AJ326" s="35">
        <f>IF(AN326=0,J326,0)</f>
        <v>0</v>
      </c>
      <c r="AK326" s="35">
        <f>IF(AN326=12,J326,0)</f>
        <v>0</v>
      </c>
      <c r="AL326" s="35">
        <f>IF(AN326=21,J326,0)</f>
        <v>0</v>
      </c>
      <c r="AN326" s="35">
        <v>12</v>
      </c>
      <c r="AO326" s="35">
        <f>G326*0</f>
        <v>0</v>
      </c>
      <c r="AP326" s="35">
        <f>G326*(1-0)</f>
        <v>0</v>
      </c>
      <c r="AQ326" s="64" t="s">
        <v>204</v>
      </c>
      <c r="AV326" s="35">
        <f>ROUND(AW326+AX326,2)</f>
        <v>0</v>
      </c>
      <c r="AW326" s="35">
        <f>ROUND(F326*AO326,2)</f>
        <v>0</v>
      </c>
      <c r="AX326" s="35">
        <f>ROUND(F326*AP326,2)</f>
        <v>0</v>
      </c>
      <c r="AY326" s="64" t="s">
        <v>744</v>
      </c>
      <c r="AZ326" s="64" t="s">
        <v>690</v>
      </c>
      <c r="BA326" s="48" t="s">
        <v>676</v>
      </c>
      <c r="BB326" s="65">
        <v>100023</v>
      </c>
      <c r="BC326" s="35">
        <f>AW326+AX326</f>
        <v>0</v>
      </c>
      <c r="BD326" s="35">
        <f>G326/(100-BE326)*100</f>
        <v>0</v>
      </c>
      <c r="BE326" s="35">
        <v>0</v>
      </c>
      <c r="BF326" s="35">
        <f>326</f>
        <v>326</v>
      </c>
      <c r="BH326" s="35">
        <f>F326*AO326</f>
        <v>0</v>
      </c>
      <c r="BI326" s="35">
        <f>F326*AP326</f>
        <v>0</v>
      </c>
      <c r="BJ326" s="35">
        <f>F326*G326</f>
        <v>0</v>
      </c>
      <c r="BK326" s="64" t="s">
        <v>208</v>
      </c>
      <c r="BL326" s="35">
        <v>722</v>
      </c>
      <c r="BW326" s="35">
        <v>12</v>
      </c>
      <c r="BX326" s="3" t="s">
        <v>769</v>
      </c>
    </row>
    <row r="327" spans="1:76" x14ac:dyDescent="0.25">
      <c r="A327" s="66"/>
      <c r="C327" s="67" t="s">
        <v>270</v>
      </c>
      <c r="D327" s="68" t="s">
        <v>10</v>
      </c>
      <c r="F327" s="69">
        <v>12</v>
      </c>
      <c r="K327" s="70"/>
    </row>
    <row r="328" spans="1:76" x14ac:dyDescent="0.25">
      <c r="A328" s="1" t="s">
        <v>770</v>
      </c>
      <c r="B328" s="2" t="s">
        <v>771</v>
      </c>
      <c r="C328" s="86" t="s">
        <v>772</v>
      </c>
      <c r="D328" s="87"/>
      <c r="E328" s="2" t="s">
        <v>252</v>
      </c>
      <c r="F328" s="35">
        <v>2</v>
      </c>
      <c r="G328" s="35">
        <v>0</v>
      </c>
      <c r="H328" s="35">
        <f>ROUND(F328*AO328,2)</f>
        <v>0</v>
      </c>
      <c r="I328" s="35">
        <f>ROUND(F328*AP328,2)</f>
        <v>0</v>
      </c>
      <c r="J328" s="35">
        <f>ROUND(F328*G328,2)</f>
        <v>0</v>
      </c>
      <c r="K328" s="63" t="s">
        <v>203</v>
      </c>
      <c r="Z328" s="35">
        <f>ROUND(IF(AQ328="5",BJ328,0),2)</f>
        <v>0</v>
      </c>
      <c r="AB328" s="35">
        <f>ROUND(IF(AQ328="1",BH328,0),2)</f>
        <v>0</v>
      </c>
      <c r="AC328" s="35">
        <f>ROUND(IF(AQ328="1",BI328,0),2)</f>
        <v>0</v>
      </c>
      <c r="AD328" s="35">
        <f>ROUND(IF(AQ328="7",BH328,0),2)</f>
        <v>0</v>
      </c>
      <c r="AE328" s="35">
        <f>ROUND(IF(AQ328="7",BI328,0),2)</f>
        <v>0</v>
      </c>
      <c r="AF328" s="35">
        <f>ROUND(IF(AQ328="2",BH328,0),2)</f>
        <v>0</v>
      </c>
      <c r="AG328" s="35">
        <f>ROUND(IF(AQ328="2",BI328,0),2)</f>
        <v>0</v>
      </c>
      <c r="AH328" s="35">
        <f>ROUND(IF(AQ328="0",BJ328,0),2)</f>
        <v>0</v>
      </c>
      <c r="AI328" s="48" t="s">
        <v>85</v>
      </c>
      <c r="AJ328" s="35">
        <f>IF(AN328=0,J328,0)</f>
        <v>0</v>
      </c>
      <c r="AK328" s="35">
        <f>IF(AN328=12,J328,0)</f>
        <v>0</v>
      </c>
      <c r="AL328" s="35">
        <f>IF(AN328=21,J328,0)</f>
        <v>0</v>
      </c>
      <c r="AN328" s="35">
        <v>12</v>
      </c>
      <c r="AO328" s="35">
        <f>G328*0</f>
        <v>0</v>
      </c>
      <c r="AP328" s="35">
        <f>G328*(1-0)</f>
        <v>0</v>
      </c>
      <c r="AQ328" s="64" t="s">
        <v>204</v>
      </c>
      <c r="AV328" s="35">
        <f>ROUND(AW328+AX328,2)</f>
        <v>0</v>
      </c>
      <c r="AW328" s="35">
        <f>ROUND(F328*AO328,2)</f>
        <v>0</v>
      </c>
      <c r="AX328" s="35">
        <f>ROUND(F328*AP328,2)</f>
        <v>0</v>
      </c>
      <c r="AY328" s="64" t="s">
        <v>744</v>
      </c>
      <c r="AZ328" s="64" t="s">
        <v>690</v>
      </c>
      <c r="BA328" s="48" t="s">
        <v>676</v>
      </c>
      <c r="BB328" s="65">
        <v>100023</v>
      </c>
      <c r="BC328" s="35">
        <f>AW328+AX328</f>
        <v>0</v>
      </c>
      <c r="BD328" s="35">
        <f>G328/(100-BE328)*100</f>
        <v>0</v>
      </c>
      <c r="BE328" s="35">
        <v>0</v>
      </c>
      <c r="BF328" s="35">
        <f>328</f>
        <v>328</v>
      </c>
      <c r="BH328" s="35">
        <f>F328*AO328</f>
        <v>0</v>
      </c>
      <c r="BI328" s="35">
        <f>F328*AP328</f>
        <v>0</v>
      </c>
      <c r="BJ328" s="35">
        <f>F328*G328</f>
        <v>0</v>
      </c>
      <c r="BK328" s="64" t="s">
        <v>208</v>
      </c>
      <c r="BL328" s="35">
        <v>722</v>
      </c>
      <c r="BW328" s="35">
        <v>12</v>
      </c>
      <c r="BX328" s="3" t="s">
        <v>772</v>
      </c>
    </row>
    <row r="329" spans="1:76" x14ac:dyDescent="0.25">
      <c r="A329" s="1" t="s">
        <v>773</v>
      </c>
      <c r="B329" s="2" t="s">
        <v>774</v>
      </c>
      <c r="C329" s="86" t="s">
        <v>775</v>
      </c>
      <c r="D329" s="87"/>
      <c r="E329" s="2" t="s">
        <v>252</v>
      </c>
      <c r="F329" s="35">
        <v>2</v>
      </c>
      <c r="G329" s="35">
        <v>0</v>
      </c>
      <c r="H329" s="35">
        <f>ROUND(F329*AO329,2)</f>
        <v>0</v>
      </c>
      <c r="I329" s="35">
        <f>ROUND(F329*AP329,2)</f>
        <v>0</v>
      </c>
      <c r="J329" s="35">
        <f>ROUND(F329*G329,2)</f>
        <v>0</v>
      </c>
      <c r="K329" s="63" t="s">
        <v>203</v>
      </c>
      <c r="Z329" s="35">
        <f>ROUND(IF(AQ329="5",BJ329,0),2)</f>
        <v>0</v>
      </c>
      <c r="AB329" s="35">
        <f>ROUND(IF(AQ329="1",BH329,0),2)</f>
        <v>0</v>
      </c>
      <c r="AC329" s="35">
        <f>ROUND(IF(AQ329="1",BI329,0),2)</f>
        <v>0</v>
      </c>
      <c r="AD329" s="35">
        <f>ROUND(IF(AQ329="7",BH329,0),2)</f>
        <v>0</v>
      </c>
      <c r="AE329" s="35">
        <f>ROUND(IF(AQ329="7",BI329,0),2)</f>
        <v>0</v>
      </c>
      <c r="AF329" s="35">
        <f>ROUND(IF(AQ329="2",BH329,0),2)</f>
        <v>0</v>
      </c>
      <c r="AG329" s="35">
        <f>ROUND(IF(AQ329="2",BI329,0),2)</f>
        <v>0</v>
      </c>
      <c r="AH329" s="35">
        <f>ROUND(IF(AQ329="0",BJ329,0),2)</f>
        <v>0</v>
      </c>
      <c r="AI329" s="48" t="s">
        <v>85</v>
      </c>
      <c r="AJ329" s="35">
        <f>IF(AN329=0,J329,0)</f>
        <v>0</v>
      </c>
      <c r="AK329" s="35">
        <f>IF(AN329=12,J329,0)</f>
        <v>0</v>
      </c>
      <c r="AL329" s="35">
        <f>IF(AN329=21,J329,0)</f>
        <v>0</v>
      </c>
      <c r="AN329" s="35">
        <v>12</v>
      </c>
      <c r="AO329" s="35">
        <f>G329*0.497966616</f>
        <v>0</v>
      </c>
      <c r="AP329" s="35">
        <f>G329*(1-0.497966616)</f>
        <v>0</v>
      </c>
      <c r="AQ329" s="64" t="s">
        <v>204</v>
      </c>
      <c r="AV329" s="35">
        <f>ROUND(AW329+AX329,2)</f>
        <v>0</v>
      </c>
      <c r="AW329" s="35">
        <f>ROUND(F329*AO329,2)</f>
        <v>0</v>
      </c>
      <c r="AX329" s="35">
        <f>ROUND(F329*AP329,2)</f>
        <v>0</v>
      </c>
      <c r="AY329" s="64" t="s">
        <v>744</v>
      </c>
      <c r="AZ329" s="64" t="s">
        <v>690</v>
      </c>
      <c r="BA329" s="48" t="s">
        <v>676</v>
      </c>
      <c r="BB329" s="65">
        <v>100023</v>
      </c>
      <c r="BC329" s="35">
        <f>AW329+AX329</f>
        <v>0</v>
      </c>
      <c r="BD329" s="35">
        <f>G329/(100-BE329)*100</f>
        <v>0</v>
      </c>
      <c r="BE329" s="35">
        <v>0</v>
      </c>
      <c r="BF329" s="35">
        <f>329</f>
        <v>329</v>
      </c>
      <c r="BH329" s="35">
        <f>F329*AO329</f>
        <v>0</v>
      </c>
      <c r="BI329" s="35">
        <f>F329*AP329</f>
        <v>0</v>
      </c>
      <c r="BJ329" s="35">
        <f>F329*G329</f>
        <v>0</v>
      </c>
      <c r="BK329" s="64" t="s">
        <v>208</v>
      </c>
      <c r="BL329" s="35">
        <v>722</v>
      </c>
      <c r="BW329" s="35">
        <v>12</v>
      </c>
      <c r="BX329" s="3" t="s">
        <v>775</v>
      </c>
    </row>
    <row r="330" spans="1:76" x14ac:dyDescent="0.25">
      <c r="A330" s="66"/>
      <c r="C330" s="67" t="s">
        <v>211</v>
      </c>
      <c r="D330" s="68" t="s">
        <v>10</v>
      </c>
      <c r="F330" s="69">
        <v>2</v>
      </c>
      <c r="K330" s="70"/>
    </row>
    <row r="331" spans="1:76" x14ac:dyDescent="0.25">
      <c r="A331" s="1" t="s">
        <v>776</v>
      </c>
      <c r="B331" s="2" t="s">
        <v>777</v>
      </c>
      <c r="C331" s="86" t="s">
        <v>778</v>
      </c>
      <c r="D331" s="87"/>
      <c r="E331" s="2" t="s">
        <v>779</v>
      </c>
      <c r="F331" s="35">
        <v>5</v>
      </c>
      <c r="G331" s="35">
        <v>0</v>
      </c>
      <c r="H331" s="35">
        <f>ROUND(F331*AO331,2)</f>
        <v>0</v>
      </c>
      <c r="I331" s="35">
        <f>ROUND(F331*AP331,2)</f>
        <v>0</v>
      </c>
      <c r="J331" s="35">
        <f>ROUND(F331*G331,2)</f>
        <v>0</v>
      </c>
      <c r="K331" s="63" t="s">
        <v>203</v>
      </c>
      <c r="Z331" s="35">
        <f>ROUND(IF(AQ331="5",BJ331,0),2)</f>
        <v>0</v>
      </c>
      <c r="AB331" s="35">
        <f>ROUND(IF(AQ331="1",BH331,0),2)</f>
        <v>0</v>
      </c>
      <c r="AC331" s="35">
        <f>ROUND(IF(AQ331="1",BI331,0),2)</f>
        <v>0</v>
      </c>
      <c r="AD331" s="35">
        <f>ROUND(IF(AQ331="7",BH331,0),2)</f>
        <v>0</v>
      </c>
      <c r="AE331" s="35">
        <f>ROUND(IF(AQ331="7",BI331,0),2)</f>
        <v>0</v>
      </c>
      <c r="AF331" s="35">
        <f>ROUND(IF(AQ331="2",BH331,0),2)</f>
        <v>0</v>
      </c>
      <c r="AG331" s="35">
        <f>ROUND(IF(AQ331="2",BI331,0),2)</f>
        <v>0</v>
      </c>
      <c r="AH331" s="35">
        <f>ROUND(IF(AQ331="0",BJ331,0),2)</f>
        <v>0</v>
      </c>
      <c r="AI331" s="48" t="s">
        <v>85</v>
      </c>
      <c r="AJ331" s="35">
        <f>IF(AN331=0,J331,0)</f>
        <v>0</v>
      </c>
      <c r="AK331" s="35">
        <f>IF(AN331=12,J331,0)</f>
        <v>0</v>
      </c>
      <c r="AL331" s="35">
        <f>IF(AN331=21,J331,0)</f>
        <v>0</v>
      </c>
      <c r="AN331" s="35">
        <v>12</v>
      </c>
      <c r="AO331" s="35">
        <f>G331*0.503040847</f>
        <v>0</v>
      </c>
      <c r="AP331" s="35">
        <f>G331*(1-0.503040847)</f>
        <v>0</v>
      </c>
      <c r="AQ331" s="64" t="s">
        <v>204</v>
      </c>
      <c r="AV331" s="35">
        <f>ROUND(AW331+AX331,2)</f>
        <v>0</v>
      </c>
      <c r="AW331" s="35">
        <f>ROUND(F331*AO331,2)</f>
        <v>0</v>
      </c>
      <c r="AX331" s="35">
        <f>ROUND(F331*AP331,2)</f>
        <v>0</v>
      </c>
      <c r="AY331" s="64" t="s">
        <v>744</v>
      </c>
      <c r="AZ331" s="64" t="s">
        <v>690</v>
      </c>
      <c r="BA331" s="48" t="s">
        <v>676</v>
      </c>
      <c r="BB331" s="65">
        <v>100023</v>
      </c>
      <c r="BC331" s="35">
        <f>AW331+AX331</f>
        <v>0</v>
      </c>
      <c r="BD331" s="35">
        <f>G331/(100-BE331)*100</f>
        <v>0</v>
      </c>
      <c r="BE331" s="35">
        <v>0</v>
      </c>
      <c r="BF331" s="35">
        <f>331</f>
        <v>331</v>
      </c>
      <c r="BH331" s="35">
        <f>F331*AO331</f>
        <v>0</v>
      </c>
      <c r="BI331" s="35">
        <f>F331*AP331</f>
        <v>0</v>
      </c>
      <c r="BJ331" s="35">
        <f>F331*G331</f>
        <v>0</v>
      </c>
      <c r="BK331" s="64" t="s">
        <v>208</v>
      </c>
      <c r="BL331" s="35">
        <v>722</v>
      </c>
      <c r="BW331" s="35">
        <v>12</v>
      </c>
      <c r="BX331" s="3" t="s">
        <v>778</v>
      </c>
    </row>
    <row r="332" spans="1:76" x14ac:dyDescent="0.25">
      <c r="A332" s="66"/>
      <c r="C332" s="67" t="s">
        <v>233</v>
      </c>
      <c r="D332" s="68" t="s">
        <v>10</v>
      </c>
      <c r="F332" s="69">
        <v>5</v>
      </c>
      <c r="K332" s="70"/>
    </row>
    <row r="333" spans="1:76" x14ac:dyDescent="0.25">
      <c r="A333" s="1" t="s">
        <v>780</v>
      </c>
      <c r="B333" s="2" t="s">
        <v>781</v>
      </c>
      <c r="C333" s="86" t="s">
        <v>782</v>
      </c>
      <c r="D333" s="87"/>
      <c r="E333" s="2" t="s">
        <v>252</v>
      </c>
      <c r="F333" s="35">
        <v>2</v>
      </c>
      <c r="G333" s="35">
        <v>0</v>
      </c>
      <c r="H333" s="35">
        <f>ROUND(F333*AO333,2)</f>
        <v>0</v>
      </c>
      <c r="I333" s="35">
        <f>ROUND(F333*AP333,2)</f>
        <v>0</v>
      </c>
      <c r="J333" s="35">
        <f>ROUND(F333*G333,2)</f>
        <v>0</v>
      </c>
      <c r="K333" s="63" t="s">
        <v>203</v>
      </c>
      <c r="Z333" s="35">
        <f>ROUND(IF(AQ333="5",BJ333,0),2)</f>
        <v>0</v>
      </c>
      <c r="AB333" s="35">
        <f>ROUND(IF(AQ333="1",BH333,0),2)</f>
        <v>0</v>
      </c>
      <c r="AC333" s="35">
        <f>ROUND(IF(AQ333="1",BI333,0),2)</f>
        <v>0</v>
      </c>
      <c r="AD333" s="35">
        <f>ROUND(IF(AQ333="7",BH333,0),2)</f>
        <v>0</v>
      </c>
      <c r="AE333" s="35">
        <f>ROUND(IF(AQ333="7",BI333,0),2)</f>
        <v>0</v>
      </c>
      <c r="AF333" s="35">
        <f>ROUND(IF(AQ333="2",BH333,0),2)</f>
        <v>0</v>
      </c>
      <c r="AG333" s="35">
        <f>ROUND(IF(AQ333="2",BI333,0),2)</f>
        <v>0</v>
      </c>
      <c r="AH333" s="35">
        <f>ROUND(IF(AQ333="0",BJ333,0),2)</f>
        <v>0</v>
      </c>
      <c r="AI333" s="48" t="s">
        <v>85</v>
      </c>
      <c r="AJ333" s="35">
        <f>IF(AN333=0,J333,0)</f>
        <v>0</v>
      </c>
      <c r="AK333" s="35">
        <f>IF(AN333=12,J333,0)</f>
        <v>0</v>
      </c>
      <c r="AL333" s="35">
        <f>IF(AN333=21,J333,0)</f>
        <v>0</v>
      </c>
      <c r="AN333" s="35">
        <v>12</v>
      </c>
      <c r="AO333" s="35">
        <f>G333*0.67358885</f>
        <v>0</v>
      </c>
      <c r="AP333" s="35">
        <f>G333*(1-0.67358885)</f>
        <v>0</v>
      </c>
      <c r="AQ333" s="64" t="s">
        <v>204</v>
      </c>
      <c r="AV333" s="35">
        <f>ROUND(AW333+AX333,2)</f>
        <v>0</v>
      </c>
      <c r="AW333" s="35">
        <f>ROUND(F333*AO333,2)</f>
        <v>0</v>
      </c>
      <c r="AX333" s="35">
        <f>ROUND(F333*AP333,2)</f>
        <v>0</v>
      </c>
      <c r="AY333" s="64" t="s">
        <v>744</v>
      </c>
      <c r="AZ333" s="64" t="s">
        <v>690</v>
      </c>
      <c r="BA333" s="48" t="s">
        <v>676</v>
      </c>
      <c r="BB333" s="65">
        <v>100023</v>
      </c>
      <c r="BC333" s="35">
        <f>AW333+AX333</f>
        <v>0</v>
      </c>
      <c r="BD333" s="35">
        <f>G333/(100-BE333)*100</f>
        <v>0</v>
      </c>
      <c r="BE333" s="35">
        <v>0</v>
      </c>
      <c r="BF333" s="35">
        <f>333</f>
        <v>333</v>
      </c>
      <c r="BH333" s="35">
        <f>F333*AO333</f>
        <v>0</v>
      </c>
      <c r="BI333" s="35">
        <f>F333*AP333</f>
        <v>0</v>
      </c>
      <c r="BJ333" s="35">
        <f>F333*G333</f>
        <v>0</v>
      </c>
      <c r="BK333" s="64" t="s">
        <v>208</v>
      </c>
      <c r="BL333" s="35">
        <v>722</v>
      </c>
      <c r="BW333" s="35">
        <v>12</v>
      </c>
      <c r="BX333" s="3" t="s">
        <v>782</v>
      </c>
    </row>
    <row r="334" spans="1:76" x14ac:dyDescent="0.25">
      <c r="A334" s="66"/>
      <c r="C334" s="67" t="s">
        <v>211</v>
      </c>
      <c r="D334" s="68" t="s">
        <v>10</v>
      </c>
      <c r="F334" s="69">
        <v>2</v>
      </c>
      <c r="K334" s="70"/>
    </row>
    <row r="335" spans="1:76" x14ac:dyDescent="0.25">
      <c r="A335" s="1" t="s">
        <v>783</v>
      </c>
      <c r="B335" s="2" t="s">
        <v>784</v>
      </c>
      <c r="C335" s="86" t="s">
        <v>785</v>
      </c>
      <c r="D335" s="87"/>
      <c r="E335" s="2" t="s">
        <v>224</v>
      </c>
      <c r="F335" s="35">
        <v>27.1</v>
      </c>
      <c r="G335" s="35">
        <v>0</v>
      </c>
      <c r="H335" s="35">
        <f>ROUND(F335*AO335,2)</f>
        <v>0</v>
      </c>
      <c r="I335" s="35">
        <f>ROUND(F335*AP335,2)</f>
        <v>0</v>
      </c>
      <c r="J335" s="35">
        <f>ROUND(F335*G335,2)</f>
        <v>0</v>
      </c>
      <c r="K335" s="63" t="s">
        <v>203</v>
      </c>
      <c r="Z335" s="35">
        <f>ROUND(IF(AQ335="5",BJ335,0),2)</f>
        <v>0</v>
      </c>
      <c r="AB335" s="35">
        <f>ROUND(IF(AQ335="1",BH335,0),2)</f>
        <v>0</v>
      </c>
      <c r="AC335" s="35">
        <f>ROUND(IF(AQ335="1",BI335,0),2)</f>
        <v>0</v>
      </c>
      <c r="AD335" s="35">
        <f>ROUND(IF(AQ335="7",BH335,0),2)</f>
        <v>0</v>
      </c>
      <c r="AE335" s="35">
        <f>ROUND(IF(AQ335="7",BI335,0),2)</f>
        <v>0</v>
      </c>
      <c r="AF335" s="35">
        <f>ROUND(IF(AQ335="2",BH335,0),2)</f>
        <v>0</v>
      </c>
      <c r="AG335" s="35">
        <f>ROUND(IF(AQ335="2",BI335,0),2)</f>
        <v>0</v>
      </c>
      <c r="AH335" s="35">
        <f>ROUND(IF(AQ335="0",BJ335,0),2)</f>
        <v>0</v>
      </c>
      <c r="AI335" s="48" t="s">
        <v>85</v>
      </c>
      <c r="AJ335" s="35">
        <f>IF(AN335=0,J335,0)</f>
        <v>0</v>
      </c>
      <c r="AK335" s="35">
        <f>IF(AN335=12,J335,0)</f>
        <v>0</v>
      </c>
      <c r="AL335" s="35">
        <f>IF(AN335=21,J335,0)</f>
        <v>0</v>
      </c>
      <c r="AN335" s="35">
        <v>12</v>
      </c>
      <c r="AO335" s="35">
        <f>G335*0.013530135</f>
        <v>0</v>
      </c>
      <c r="AP335" s="35">
        <f>G335*(1-0.013530135)</f>
        <v>0</v>
      </c>
      <c r="AQ335" s="64" t="s">
        <v>204</v>
      </c>
      <c r="AV335" s="35">
        <f>ROUND(AW335+AX335,2)</f>
        <v>0</v>
      </c>
      <c r="AW335" s="35">
        <f>ROUND(F335*AO335,2)</f>
        <v>0</v>
      </c>
      <c r="AX335" s="35">
        <f>ROUND(F335*AP335,2)</f>
        <v>0</v>
      </c>
      <c r="AY335" s="64" t="s">
        <v>744</v>
      </c>
      <c r="AZ335" s="64" t="s">
        <v>690</v>
      </c>
      <c r="BA335" s="48" t="s">
        <v>676</v>
      </c>
      <c r="BB335" s="65">
        <v>100023</v>
      </c>
      <c r="BC335" s="35">
        <f>AW335+AX335</f>
        <v>0</v>
      </c>
      <c r="BD335" s="35">
        <f>G335/(100-BE335)*100</f>
        <v>0</v>
      </c>
      <c r="BE335" s="35">
        <v>0</v>
      </c>
      <c r="BF335" s="35">
        <f>335</f>
        <v>335</v>
      </c>
      <c r="BH335" s="35">
        <f>F335*AO335</f>
        <v>0</v>
      </c>
      <c r="BI335" s="35">
        <f>F335*AP335</f>
        <v>0</v>
      </c>
      <c r="BJ335" s="35">
        <f>F335*G335</f>
        <v>0</v>
      </c>
      <c r="BK335" s="64" t="s">
        <v>208</v>
      </c>
      <c r="BL335" s="35">
        <v>722</v>
      </c>
      <c r="BW335" s="35">
        <v>12</v>
      </c>
      <c r="BX335" s="3" t="s">
        <v>785</v>
      </c>
    </row>
    <row r="336" spans="1:76" x14ac:dyDescent="0.25">
      <c r="A336" s="66"/>
      <c r="C336" s="67" t="s">
        <v>786</v>
      </c>
      <c r="D336" s="68" t="s">
        <v>10</v>
      </c>
      <c r="F336" s="69">
        <v>27.1</v>
      </c>
      <c r="K336" s="70"/>
    </row>
    <row r="337" spans="1:76" x14ac:dyDescent="0.25">
      <c r="A337" s="1" t="s">
        <v>787</v>
      </c>
      <c r="B337" s="2" t="s">
        <v>788</v>
      </c>
      <c r="C337" s="86" t="s">
        <v>789</v>
      </c>
      <c r="D337" s="87"/>
      <c r="E337" s="2" t="s">
        <v>224</v>
      </c>
      <c r="F337" s="35">
        <v>27.1</v>
      </c>
      <c r="G337" s="35">
        <v>0</v>
      </c>
      <c r="H337" s="35">
        <f>ROUND(F337*AO337,2)</f>
        <v>0</v>
      </c>
      <c r="I337" s="35">
        <f>ROUND(F337*AP337,2)</f>
        <v>0</v>
      </c>
      <c r="J337" s="35">
        <f>ROUND(F337*G337,2)</f>
        <v>0</v>
      </c>
      <c r="K337" s="63" t="s">
        <v>203</v>
      </c>
      <c r="Z337" s="35">
        <f>ROUND(IF(AQ337="5",BJ337,0),2)</f>
        <v>0</v>
      </c>
      <c r="AB337" s="35">
        <f>ROUND(IF(AQ337="1",BH337,0),2)</f>
        <v>0</v>
      </c>
      <c r="AC337" s="35">
        <f>ROUND(IF(AQ337="1",BI337,0),2)</f>
        <v>0</v>
      </c>
      <c r="AD337" s="35">
        <f>ROUND(IF(AQ337="7",BH337,0),2)</f>
        <v>0</v>
      </c>
      <c r="AE337" s="35">
        <f>ROUND(IF(AQ337="7",BI337,0),2)</f>
        <v>0</v>
      </c>
      <c r="AF337" s="35">
        <f>ROUND(IF(AQ337="2",BH337,0),2)</f>
        <v>0</v>
      </c>
      <c r="AG337" s="35">
        <f>ROUND(IF(AQ337="2",BI337,0),2)</f>
        <v>0</v>
      </c>
      <c r="AH337" s="35">
        <f>ROUND(IF(AQ337="0",BJ337,0),2)</f>
        <v>0</v>
      </c>
      <c r="AI337" s="48" t="s">
        <v>85</v>
      </c>
      <c r="AJ337" s="35">
        <f>IF(AN337=0,J337,0)</f>
        <v>0</v>
      </c>
      <c r="AK337" s="35">
        <f>IF(AN337=12,J337,0)</f>
        <v>0</v>
      </c>
      <c r="AL337" s="35">
        <f>IF(AN337=21,J337,0)</f>
        <v>0</v>
      </c>
      <c r="AN337" s="35">
        <v>12</v>
      </c>
      <c r="AO337" s="35">
        <f>G337*0.047049989</f>
        <v>0</v>
      </c>
      <c r="AP337" s="35">
        <f>G337*(1-0.047049989)</f>
        <v>0</v>
      </c>
      <c r="AQ337" s="64" t="s">
        <v>204</v>
      </c>
      <c r="AV337" s="35">
        <f>ROUND(AW337+AX337,2)</f>
        <v>0</v>
      </c>
      <c r="AW337" s="35">
        <f>ROUND(F337*AO337,2)</f>
        <v>0</v>
      </c>
      <c r="AX337" s="35">
        <f>ROUND(F337*AP337,2)</f>
        <v>0</v>
      </c>
      <c r="AY337" s="64" t="s">
        <v>744</v>
      </c>
      <c r="AZ337" s="64" t="s">
        <v>690</v>
      </c>
      <c r="BA337" s="48" t="s">
        <v>676</v>
      </c>
      <c r="BB337" s="65">
        <v>100023</v>
      </c>
      <c r="BC337" s="35">
        <f>AW337+AX337</f>
        <v>0</v>
      </c>
      <c r="BD337" s="35">
        <f>G337/(100-BE337)*100</f>
        <v>0</v>
      </c>
      <c r="BE337" s="35">
        <v>0</v>
      </c>
      <c r="BF337" s="35">
        <f>337</f>
        <v>337</v>
      </c>
      <c r="BH337" s="35">
        <f>F337*AO337</f>
        <v>0</v>
      </c>
      <c r="BI337" s="35">
        <f>F337*AP337</f>
        <v>0</v>
      </c>
      <c r="BJ337" s="35">
        <f>F337*G337</f>
        <v>0</v>
      </c>
      <c r="BK337" s="64" t="s">
        <v>208</v>
      </c>
      <c r="BL337" s="35">
        <v>722</v>
      </c>
      <c r="BW337" s="35">
        <v>12</v>
      </c>
      <c r="BX337" s="3" t="s">
        <v>789</v>
      </c>
    </row>
    <row r="338" spans="1:76" x14ac:dyDescent="0.25">
      <c r="A338" s="66"/>
      <c r="C338" s="67" t="s">
        <v>786</v>
      </c>
      <c r="D338" s="68" t="s">
        <v>790</v>
      </c>
      <c r="F338" s="69">
        <v>27.1</v>
      </c>
      <c r="K338" s="70"/>
    </row>
    <row r="339" spans="1:76" x14ac:dyDescent="0.25">
      <c r="A339" s="59" t="s">
        <v>10</v>
      </c>
      <c r="B339" s="60" t="s">
        <v>141</v>
      </c>
      <c r="C339" s="177" t="s">
        <v>142</v>
      </c>
      <c r="D339" s="178"/>
      <c r="E339" s="61" t="s">
        <v>74</v>
      </c>
      <c r="F339" s="61" t="s">
        <v>74</v>
      </c>
      <c r="G339" s="61" t="s">
        <v>74</v>
      </c>
      <c r="H339" s="42">
        <f>SUM(H340:H391)</f>
        <v>0</v>
      </c>
      <c r="I339" s="42">
        <f>SUM(I340:I391)</f>
        <v>0</v>
      </c>
      <c r="J339" s="42">
        <f>SUM(J340:J391)</f>
        <v>0</v>
      </c>
      <c r="K339" s="62" t="s">
        <v>10</v>
      </c>
      <c r="AI339" s="48" t="s">
        <v>85</v>
      </c>
      <c r="AS339" s="42">
        <f>SUM(AJ340:AJ391)</f>
        <v>0</v>
      </c>
      <c r="AT339" s="42">
        <f>SUM(AK340:AK391)</f>
        <v>0</v>
      </c>
      <c r="AU339" s="42">
        <f>SUM(AL340:AL391)</f>
        <v>0</v>
      </c>
    </row>
    <row r="340" spans="1:76" x14ac:dyDescent="0.25">
      <c r="A340" s="1" t="s">
        <v>791</v>
      </c>
      <c r="B340" s="2" t="s">
        <v>792</v>
      </c>
      <c r="C340" s="86" t="s">
        <v>793</v>
      </c>
      <c r="D340" s="87"/>
      <c r="E340" s="2" t="s">
        <v>463</v>
      </c>
      <c r="F340" s="35">
        <v>1</v>
      </c>
      <c r="G340" s="35">
        <v>0</v>
      </c>
      <c r="H340" s="35">
        <f t="shared" ref="H340:H346" si="0">ROUND(F340*AO340,2)</f>
        <v>0</v>
      </c>
      <c r="I340" s="35">
        <f t="shared" ref="I340:I346" si="1">ROUND(F340*AP340,2)</f>
        <v>0</v>
      </c>
      <c r="J340" s="35">
        <f t="shared" ref="J340:J346" si="2">ROUND(F340*G340,2)</f>
        <v>0</v>
      </c>
      <c r="K340" s="63" t="s">
        <v>203</v>
      </c>
      <c r="Z340" s="35">
        <f t="shared" ref="Z340:Z346" si="3">ROUND(IF(AQ340="5",BJ340,0),2)</f>
        <v>0</v>
      </c>
      <c r="AB340" s="35">
        <f t="shared" ref="AB340:AB346" si="4">ROUND(IF(AQ340="1",BH340,0),2)</f>
        <v>0</v>
      </c>
      <c r="AC340" s="35">
        <f t="shared" ref="AC340:AC346" si="5">ROUND(IF(AQ340="1",BI340,0),2)</f>
        <v>0</v>
      </c>
      <c r="AD340" s="35">
        <f t="shared" ref="AD340:AD346" si="6">ROUND(IF(AQ340="7",BH340,0),2)</f>
        <v>0</v>
      </c>
      <c r="AE340" s="35">
        <f t="shared" ref="AE340:AE346" si="7">ROUND(IF(AQ340="7",BI340,0),2)</f>
        <v>0</v>
      </c>
      <c r="AF340" s="35">
        <f t="shared" ref="AF340:AF346" si="8">ROUND(IF(AQ340="2",BH340,0),2)</f>
        <v>0</v>
      </c>
      <c r="AG340" s="35">
        <f t="shared" ref="AG340:AG346" si="9">ROUND(IF(AQ340="2",BI340,0),2)</f>
        <v>0</v>
      </c>
      <c r="AH340" s="35">
        <f t="shared" ref="AH340:AH346" si="10">ROUND(IF(AQ340="0",BJ340,0),2)</f>
        <v>0</v>
      </c>
      <c r="AI340" s="48" t="s">
        <v>85</v>
      </c>
      <c r="AJ340" s="35">
        <f t="shared" ref="AJ340:AJ346" si="11">IF(AN340=0,J340,0)</f>
        <v>0</v>
      </c>
      <c r="AK340" s="35">
        <f t="shared" ref="AK340:AK346" si="12">IF(AN340=12,J340,0)</f>
        <v>0</v>
      </c>
      <c r="AL340" s="35">
        <f t="shared" ref="AL340:AL346" si="13">IF(AN340=21,J340,0)</f>
        <v>0</v>
      </c>
      <c r="AN340" s="35">
        <v>12</v>
      </c>
      <c r="AO340" s="35">
        <f t="shared" ref="AO340:AO346" si="14">G340*0</f>
        <v>0</v>
      </c>
      <c r="AP340" s="35">
        <f t="shared" ref="AP340:AP346" si="15">G340*(1-0)</f>
        <v>0</v>
      </c>
      <c r="AQ340" s="64" t="s">
        <v>204</v>
      </c>
      <c r="AV340" s="35">
        <f t="shared" ref="AV340:AV346" si="16">ROUND(AW340+AX340,2)</f>
        <v>0</v>
      </c>
      <c r="AW340" s="35">
        <f t="shared" ref="AW340:AW346" si="17">ROUND(F340*AO340,2)</f>
        <v>0</v>
      </c>
      <c r="AX340" s="35">
        <f t="shared" ref="AX340:AX346" si="18">ROUND(F340*AP340,2)</f>
        <v>0</v>
      </c>
      <c r="AY340" s="64" t="s">
        <v>794</v>
      </c>
      <c r="AZ340" s="64" t="s">
        <v>690</v>
      </c>
      <c r="BA340" s="48" t="s">
        <v>676</v>
      </c>
      <c r="BB340" s="65">
        <v>100004</v>
      </c>
      <c r="BC340" s="35">
        <f t="shared" ref="BC340:BC346" si="19">AW340+AX340</f>
        <v>0</v>
      </c>
      <c r="BD340" s="35">
        <f t="shared" ref="BD340:BD346" si="20">G340/(100-BE340)*100</f>
        <v>0</v>
      </c>
      <c r="BE340" s="35">
        <v>0</v>
      </c>
      <c r="BF340" s="35">
        <f>340</f>
        <v>340</v>
      </c>
      <c r="BH340" s="35">
        <f t="shared" ref="BH340:BH346" si="21">F340*AO340</f>
        <v>0</v>
      </c>
      <c r="BI340" s="35">
        <f t="shared" ref="BI340:BI346" si="22">F340*AP340</f>
        <v>0</v>
      </c>
      <c r="BJ340" s="35">
        <f t="shared" ref="BJ340:BJ346" si="23">F340*G340</f>
        <v>0</v>
      </c>
      <c r="BK340" s="64" t="s">
        <v>208</v>
      </c>
      <c r="BL340" s="35">
        <v>725</v>
      </c>
      <c r="BW340" s="35">
        <v>12</v>
      </c>
      <c r="BX340" s="3" t="s">
        <v>793</v>
      </c>
    </row>
    <row r="341" spans="1:76" x14ac:dyDescent="0.25">
      <c r="A341" s="1" t="s">
        <v>795</v>
      </c>
      <c r="B341" s="2" t="s">
        <v>796</v>
      </c>
      <c r="C341" s="86" t="s">
        <v>797</v>
      </c>
      <c r="D341" s="87"/>
      <c r="E341" s="2" t="s">
        <v>463</v>
      </c>
      <c r="F341" s="35">
        <v>1</v>
      </c>
      <c r="G341" s="35">
        <v>0</v>
      </c>
      <c r="H341" s="35">
        <f t="shared" si="0"/>
        <v>0</v>
      </c>
      <c r="I341" s="35">
        <f t="shared" si="1"/>
        <v>0</v>
      </c>
      <c r="J341" s="35">
        <f t="shared" si="2"/>
        <v>0</v>
      </c>
      <c r="K341" s="63" t="s">
        <v>203</v>
      </c>
      <c r="Z341" s="35">
        <f t="shared" si="3"/>
        <v>0</v>
      </c>
      <c r="AB341" s="35">
        <f t="shared" si="4"/>
        <v>0</v>
      </c>
      <c r="AC341" s="35">
        <f t="shared" si="5"/>
        <v>0</v>
      </c>
      <c r="AD341" s="35">
        <f t="shared" si="6"/>
        <v>0</v>
      </c>
      <c r="AE341" s="35">
        <f t="shared" si="7"/>
        <v>0</v>
      </c>
      <c r="AF341" s="35">
        <f t="shared" si="8"/>
        <v>0</v>
      </c>
      <c r="AG341" s="35">
        <f t="shared" si="9"/>
        <v>0</v>
      </c>
      <c r="AH341" s="35">
        <f t="shared" si="10"/>
        <v>0</v>
      </c>
      <c r="AI341" s="48" t="s">
        <v>85</v>
      </c>
      <c r="AJ341" s="35">
        <f t="shared" si="11"/>
        <v>0</v>
      </c>
      <c r="AK341" s="35">
        <f t="shared" si="12"/>
        <v>0</v>
      </c>
      <c r="AL341" s="35">
        <f t="shared" si="13"/>
        <v>0</v>
      </c>
      <c r="AN341" s="35">
        <v>12</v>
      </c>
      <c r="AO341" s="35">
        <f t="shared" si="14"/>
        <v>0</v>
      </c>
      <c r="AP341" s="35">
        <f t="shared" si="15"/>
        <v>0</v>
      </c>
      <c r="AQ341" s="64" t="s">
        <v>204</v>
      </c>
      <c r="AV341" s="35">
        <f t="shared" si="16"/>
        <v>0</v>
      </c>
      <c r="AW341" s="35">
        <f t="shared" si="17"/>
        <v>0</v>
      </c>
      <c r="AX341" s="35">
        <f t="shared" si="18"/>
        <v>0</v>
      </c>
      <c r="AY341" s="64" t="s">
        <v>794</v>
      </c>
      <c r="AZ341" s="64" t="s">
        <v>690</v>
      </c>
      <c r="BA341" s="48" t="s">
        <v>676</v>
      </c>
      <c r="BB341" s="65">
        <v>100004</v>
      </c>
      <c r="BC341" s="35">
        <f t="shared" si="19"/>
        <v>0</v>
      </c>
      <c r="BD341" s="35">
        <f t="shared" si="20"/>
        <v>0</v>
      </c>
      <c r="BE341" s="35">
        <v>0</v>
      </c>
      <c r="BF341" s="35">
        <f>341</f>
        <v>341</v>
      </c>
      <c r="BH341" s="35">
        <f t="shared" si="21"/>
        <v>0</v>
      </c>
      <c r="BI341" s="35">
        <f t="shared" si="22"/>
        <v>0</v>
      </c>
      <c r="BJ341" s="35">
        <f t="shared" si="23"/>
        <v>0</v>
      </c>
      <c r="BK341" s="64" t="s">
        <v>208</v>
      </c>
      <c r="BL341" s="35">
        <v>725</v>
      </c>
      <c r="BW341" s="35">
        <v>12</v>
      </c>
      <c r="BX341" s="3" t="s">
        <v>797</v>
      </c>
    </row>
    <row r="342" spans="1:76" x14ac:dyDescent="0.25">
      <c r="A342" s="1" t="s">
        <v>798</v>
      </c>
      <c r="B342" s="2" t="s">
        <v>799</v>
      </c>
      <c r="C342" s="86" t="s">
        <v>800</v>
      </c>
      <c r="D342" s="87"/>
      <c r="E342" s="2" t="s">
        <v>463</v>
      </c>
      <c r="F342" s="35">
        <v>1</v>
      </c>
      <c r="G342" s="35">
        <v>0</v>
      </c>
      <c r="H342" s="35">
        <f t="shared" si="0"/>
        <v>0</v>
      </c>
      <c r="I342" s="35">
        <f t="shared" si="1"/>
        <v>0</v>
      </c>
      <c r="J342" s="35">
        <f t="shared" si="2"/>
        <v>0</v>
      </c>
      <c r="K342" s="63" t="s">
        <v>203</v>
      </c>
      <c r="Z342" s="35">
        <f t="shared" si="3"/>
        <v>0</v>
      </c>
      <c r="AB342" s="35">
        <f t="shared" si="4"/>
        <v>0</v>
      </c>
      <c r="AC342" s="35">
        <f t="shared" si="5"/>
        <v>0</v>
      </c>
      <c r="AD342" s="35">
        <f t="shared" si="6"/>
        <v>0</v>
      </c>
      <c r="AE342" s="35">
        <f t="shared" si="7"/>
        <v>0</v>
      </c>
      <c r="AF342" s="35">
        <f t="shared" si="8"/>
        <v>0</v>
      </c>
      <c r="AG342" s="35">
        <f t="shared" si="9"/>
        <v>0</v>
      </c>
      <c r="AH342" s="35">
        <f t="shared" si="10"/>
        <v>0</v>
      </c>
      <c r="AI342" s="48" t="s">
        <v>85</v>
      </c>
      <c r="AJ342" s="35">
        <f t="shared" si="11"/>
        <v>0</v>
      </c>
      <c r="AK342" s="35">
        <f t="shared" si="12"/>
        <v>0</v>
      </c>
      <c r="AL342" s="35">
        <f t="shared" si="13"/>
        <v>0</v>
      </c>
      <c r="AN342" s="35">
        <v>12</v>
      </c>
      <c r="AO342" s="35">
        <f t="shared" si="14"/>
        <v>0</v>
      </c>
      <c r="AP342" s="35">
        <f t="shared" si="15"/>
        <v>0</v>
      </c>
      <c r="AQ342" s="64" t="s">
        <v>204</v>
      </c>
      <c r="AV342" s="35">
        <f t="shared" si="16"/>
        <v>0</v>
      </c>
      <c r="AW342" s="35">
        <f t="shared" si="17"/>
        <v>0</v>
      </c>
      <c r="AX342" s="35">
        <f t="shared" si="18"/>
        <v>0</v>
      </c>
      <c r="AY342" s="64" t="s">
        <v>794</v>
      </c>
      <c r="AZ342" s="64" t="s">
        <v>690</v>
      </c>
      <c r="BA342" s="48" t="s">
        <v>676</v>
      </c>
      <c r="BB342" s="65">
        <v>100004</v>
      </c>
      <c r="BC342" s="35">
        <f t="shared" si="19"/>
        <v>0</v>
      </c>
      <c r="BD342" s="35">
        <f t="shared" si="20"/>
        <v>0</v>
      </c>
      <c r="BE342" s="35">
        <v>0</v>
      </c>
      <c r="BF342" s="35">
        <f>342</f>
        <v>342</v>
      </c>
      <c r="BH342" s="35">
        <f t="shared" si="21"/>
        <v>0</v>
      </c>
      <c r="BI342" s="35">
        <f t="shared" si="22"/>
        <v>0</v>
      </c>
      <c r="BJ342" s="35">
        <f t="shared" si="23"/>
        <v>0</v>
      </c>
      <c r="BK342" s="64" t="s">
        <v>208</v>
      </c>
      <c r="BL342" s="35">
        <v>725</v>
      </c>
      <c r="BW342" s="35">
        <v>12</v>
      </c>
      <c r="BX342" s="3" t="s">
        <v>800</v>
      </c>
    </row>
    <row r="343" spans="1:76" x14ac:dyDescent="0.25">
      <c r="A343" s="1" t="s">
        <v>801</v>
      </c>
      <c r="B343" s="2" t="s">
        <v>802</v>
      </c>
      <c r="C343" s="86" t="s">
        <v>803</v>
      </c>
      <c r="D343" s="87"/>
      <c r="E343" s="2" t="s">
        <v>463</v>
      </c>
      <c r="F343" s="35">
        <v>1</v>
      </c>
      <c r="G343" s="35">
        <v>0</v>
      </c>
      <c r="H343" s="35">
        <f t="shared" si="0"/>
        <v>0</v>
      </c>
      <c r="I343" s="35">
        <f t="shared" si="1"/>
        <v>0</v>
      </c>
      <c r="J343" s="35">
        <f t="shared" si="2"/>
        <v>0</v>
      </c>
      <c r="K343" s="63" t="s">
        <v>203</v>
      </c>
      <c r="Z343" s="35">
        <f t="shared" si="3"/>
        <v>0</v>
      </c>
      <c r="AB343" s="35">
        <f t="shared" si="4"/>
        <v>0</v>
      </c>
      <c r="AC343" s="35">
        <f t="shared" si="5"/>
        <v>0</v>
      </c>
      <c r="AD343" s="35">
        <f t="shared" si="6"/>
        <v>0</v>
      </c>
      <c r="AE343" s="35">
        <f t="shared" si="7"/>
        <v>0</v>
      </c>
      <c r="AF343" s="35">
        <f t="shared" si="8"/>
        <v>0</v>
      </c>
      <c r="AG343" s="35">
        <f t="shared" si="9"/>
        <v>0</v>
      </c>
      <c r="AH343" s="35">
        <f t="shared" si="10"/>
        <v>0</v>
      </c>
      <c r="AI343" s="48" t="s">
        <v>85</v>
      </c>
      <c r="AJ343" s="35">
        <f t="shared" si="11"/>
        <v>0</v>
      </c>
      <c r="AK343" s="35">
        <f t="shared" si="12"/>
        <v>0</v>
      </c>
      <c r="AL343" s="35">
        <f t="shared" si="13"/>
        <v>0</v>
      </c>
      <c r="AN343" s="35">
        <v>12</v>
      </c>
      <c r="AO343" s="35">
        <f t="shared" si="14"/>
        <v>0</v>
      </c>
      <c r="AP343" s="35">
        <f t="shared" si="15"/>
        <v>0</v>
      </c>
      <c r="AQ343" s="64" t="s">
        <v>204</v>
      </c>
      <c r="AV343" s="35">
        <f t="shared" si="16"/>
        <v>0</v>
      </c>
      <c r="AW343" s="35">
        <f t="shared" si="17"/>
        <v>0</v>
      </c>
      <c r="AX343" s="35">
        <f t="shared" si="18"/>
        <v>0</v>
      </c>
      <c r="AY343" s="64" t="s">
        <v>794</v>
      </c>
      <c r="AZ343" s="64" t="s">
        <v>690</v>
      </c>
      <c r="BA343" s="48" t="s">
        <v>676</v>
      </c>
      <c r="BB343" s="65">
        <v>100004</v>
      </c>
      <c r="BC343" s="35">
        <f t="shared" si="19"/>
        <v>0</v>
      </c>
      <c r="BD343" s="35">
        <f t="shared" si="20"/>
        <v>0</v>
      </c>
      <c r="BE343" s="35">
        <v>0</v>
      </c>
      <c r="BF343" s="35">
        <f>343</f>
        <v>343</v>
      </c>
      <c r="BH343" s="35">
        <f t="shared" si="21"/>
        <v>0</v>
      </c>
      <c r="BI343" s="35">
        <f t="shared" si="22"/>
        <v>0</v>
      </c>
      <c r="BJ343" s="35">
        <f t="shared" si="23"/>
        <v>0</v>
      </c>
      <c r="BK343" s="64" t="s">
        <v>208</v>
      </c>
      <c r="BL343" s="35">
        <v>725</v>
      </c>
      <c r="BW343" s="35">
        <v>12</v>
      </c>
      <c r="BX343" s="3" t="s">
        <v>803</v>
      </c>
    </row>
    <row r="344" spans="1:76" x14ac:dyDescent="0.25">
      <c r="A344" s="1" t="s">
        <v>804</v>
      </c>
      <c r="B344" s="2" t="s">
        <v>805</v>
      </c>
      <c r="C344" s="86" t="s">
        <v>806</v>
      </c>
      <c r="D344" s="87"/>
      <c r="E344" s="2" t="s">
        <v>463</v>
      </c>
      <c r="F344" s="35">
        <v>1</v>
      </c>
      <c r="G344" s="35">
        <v>0</v>
      </c>
      <c r="H344" s="35">
        <f t="shared" si="0"/>
        <v>0</v>
      </c>
      <c r="I344" s="35">
        <f t="shared" si="1"/>
        <v>0</v>
      </c>
      <c r="J344" s="35">
        <f t="shared" si="2"/>
        <v>0</v>
      </c>
      <c r="K344" s="63" t="s">
        <v>203</v>
      </c>
      <c r="Z344" s="35">
        <f t="shared" si="3"/>
        <v>0</v>
      </c>
      <c r="AB344" s="35">
        <f t="shared" si="4"/>
        <v>0</v>
      </c>
      <c r="AC344" s="35">
        <f t="shared" si="5"/>
        <v>0</v>
      </c>
      <c r="AD344" s="35">
        <f t="shared" si="6"/>
        <v>0</v>
      </c>
      <c r="AE344" s="35">
        <f t="shared" si="7"/>
        <v>0</v>
      </c>
      <c r="AF344" s="35">
        <f t="shared" si="8"/>
        <v>0</v>
      </c>
      <c r="AG344" s="35">
        <f t="shared" si="9"/>
        <v>0</v>
      </c>
      <c r="AH344" s="35">
        <f t="shared" si="10"/>
        <v>0</v>
      </c>
      <c r="AI344" s="48" t="s">
        <v>85</v>
      </c>
      <c r="AJ344" s="35">
        <f t="shared" si="11"/>
        <v>0</v>
      </c>
      <c r="AK344" s="35">
        <f t="shared" si="12"/>
        <v>0</v>
      </c>
      <c r="AL344" s="35">
        <f t="shared" si="13"/>
        <v>0</v>
      </c>
      <c r="AN344" s="35">
        <v>12</v>
      </c>
      <c r="AO344" s="35">
        <f t="shared" si="14"/>
        <v>0</v>
      </c>
      <c r="AP344" s="35">
        <f t="shared" si="15"/>
        <v>0</v>
      </c>
      <c r="AQ344" s="64" t="s">
        <v>204</v>
      </c>
      <c r="AV344" s="35">
        <f t="shared" si="16"/>
        <v>0</v>
      </c>
      <c r="AW344" s="35">
        <f t="shared" si="17"/>
        <v>0</v>
      </c>
      <c r="AX344" s="35">
        <f t="shared" si="18"/>
        <v>0</v>
      </c>
      <c r="AY344" s="64" t="s">
        <v>794</v>
      </c>
      <c r="AZ344" s="64" t="s">
        <v>690</v>
      </c>
      <c r="BA344" s="48" t="s">
        <v>676</v>
      </c>
      <c r="BB344" s="65">
        <v>100004</v>
      </c>
      <c r="BC344" s="35">
        <f t="shared" si="19"/>
        <v>0</v>
      </c>
      <c r="BD344" s="35">
        <f t="shared" si="20"/>
        <v>0</v>
      </c>
      <c r="BE344" s="35">
        <v>0</v>
      </c>
      <c r="BF344" s="35">
        <f>344</f>
        <v>344</v>
      </c>
      <c r="BH344" s="35">
        <f t="shared" si="21"/>
        <v>0</v>
      </c>
      <c r="BI344" s="35">
        <f t="shared" si="22"/>
        <v>0</v>
      </c>
      <c r="BJ344" s="35">
        <f t="shared" si="23"/>
        <v>0</v>
      </c>
      <c r="BK344" s="64" t="s">
        <v>208</v>
      </c>
      <c r="BL344" s="35">
        <v>725</v>
      </c>
      <c r="BW344" s="35">
        <v>12</v>
      </c>
      <c r="BX344" s="3" t="s">
        <v>806</v>
      </c>
    </row>
    <row r="345" spans="1:76" x14ac:dyDescent="0.25">
      <c r="A345" s="1" t="s">
        <v>807</v>
      </c>
      <c r="B345" s="2" t="s">
        <v>808</v>
      </c>
      <c r="C345" s="86" t="s">
        <v>809</v>
      </c>
      <c r="D345" s="87"/>
      <c r="E345" s="2" t="s">
        <v>252</v>
      </c>
      <c r="F345" s="35">
        <v>2</v>
      </c>
      <c r="G345" s="35">
        <v>0</v>
      </c>
      <c r="H345" s="35">
        <f t="shared" si="0"/>
        <v>0</v>
      </c>
      <c r="I345" s="35">
        <f t="shared" si="1"/>
        <v>0</v>
      </c>
      <c r="J345" s="35">
        <f t="shared" si="2"/>
        <v>0</v>
      </c>
      <c r="K345" s="63" t="s">
        <v>203</v>
      </c>
      <c r="Z345" s="35">
        <f t="shared" si="3"/>
        <v>0</v>
      </c>
      <c r="AB345" s="35">
        <f t="shared" si="4"/>
        <v>0</v>
      </c>
      <c r="AC345" s="35">
        <f t="shared" si="5"/>
        <v>0</v>
      </c>
      <c r="AD345" s="35">
        <f t="shared" si="6"/>
        <v>0</v>
      </c>
      <c r="AE345" s="35">
        <f t="shared" si="7"/>
        <v>0</v>
      </c>
      <c r="AF345" s="35">
        <f t="shared" si="8"/>
        <v>0</v>
      </c>
      <c r="AG345" s="35">
        <f t="shared" si="9"/>
        <v>0</v>
      </c>
      <c r="AH345" s="35">
        <f t="shared" si="10"/>
        <v>0</v>
      </c>
      <c r="AI345" s="48" t="s">
        <v>85</v>
      </c>
      <c r="AJ345" s="35">
        <f t="shared" si="11"/>
        <v>0</v>
      </c>
      <c r="AK345" s="35">
        <f t="shared" si="12"/>
        <v>0</v>
      </c>
      <c r="AL345" s="35">
        <f t="shared" si="13"/>
        <v>0</v>
      </c>
      <c r="AN345" s="35">
        <v>12</v>
      </c>
      <c r="AO345" s="35">
        <f t="shared" si="14"/>
        <v>0</v>
      </c>
      <c r="AP345" s="35">
        <f t="shared" si="15"/>
        <v>0</v>
      </c>
      <c r="AQ345" s="64" t="s">
        <v>204</v>
      </c>
      <c r="AV345" s="35">
        <f t="shared" si="16"/>
        <v>0</v>
      </c>
      <c r="AW345" s="35">
        <f t="shared" si="17"/>
        <v>0</v>
      </c>
      <c r="AX345" s="35">
        <f t="shared" si="18"/>
        <v>0</v>
      </c>
      <c r="AY345" s="64" t="s">
        <v>794</v>
      </c>
      <c r="AZ345" s="64" t="s">
        <v>690</v>
      </c>
      <c r="BA345" s="48" t="s">
        <v>676</v>
      </c>
      <c r="BB345" s="65">
        <v>100004</v>
      </c>
      <c r="BC345" s="35">
        <f t="shared" si="19"/>
        <v>0</v>
      </c>
      <c r="BD345" s="35">
        <f t="shared" si="20"/>
        <v>0</v>
      </c>
      <c r="BE345" s="35">
        <v>0</v>
      </c>
      <c r="BF345" s="35">
        <f>345</f>
        <v>345</v>
      </c>
      <c r="BH345" s="35">
        <f t="shared" si="21"/>
        <v>0</v>
      </c>
      <c r="BI345" s="35">
        <f t="shared" si="22"/>
        <v>0</v>
      </c>
      <c r="BJ345" s="35">
        <f t="shared" si="23"/>
        <v>0</v>
      </c>
      <c r="BK345" s="64" t="s">
        <v>208</v>
      </c>
      <c r="BL345" s="35">
        <v>725</v>
      </c>
      <c r="BW345" s="35">
        <v>12</v>
      </c>
      <c r="BX345" s="3" t="s">
        <v>809</v>
      </c>
    </row>
    <row r="346" spans="1:76" x14ac:dyDescent="0.25">
      <c r="A346" s="1" t="s">
        <v>810</v>
      </c>
      <c r="B346" s="2" t="s">
        <v>811</v>
      </c>
      <c r="C346" s="86" t="s">
        <v>812</v>
      </c>
      <c r="D346" s="87"/>
      <c r="E346" s="2" t="s">
        <v>252</v>
      </c>
      <c r="F346" s="35">
        <v>2</v>
      </c>
      <c r="G346" s="35">
        <v>0</v>
      </c>
      <c r="H346" s="35">
        <f t="shared" si="0"/>
        <v>0</v>
      </c>
      <c r="I346" s="35">
        <f t="shared" si="1"/>
        <v>0</v>
      </c>
      <c r="J346" s="35">
        <f t="shared" si="2"/>
        <v>0</v>
      </c>
      <c r="K346" s="63" t="s">
        <v>203</v>
      </c>
      <c r="Z346" s="35">
        <f t="shared" si="3"/>
        <v>0</v>
      </c>
      <c r="AB346" s="35">
        <f t="shared" si="4"/>
        <v>0</v>
      </c>
      <c r="AC346" s="35">
        <f t="shared" si="5"/>
        <v>0</v>
      </c>
      <c r="AD346" s="35">
        <f t="shared" si="6"/>
        <v>0</v>
      </c>
      <c r="AE346" s="35">
        <f t="shared" si="7"/>
        <v>0</v>
      </c>
      <c r="AF346" s="35">
        <f t="shared" si="8"/>
        <v>0</v>
      </c>
      <c r="AG346" s="35">
        <f t="shared" si="9"/>
        <v>0</v>
      </c>
      <c r="AH346" s="35">
        <f t="shared" si="10"/>
        <v>0</v>
      </c>
      <c r="AI346" s="48" t="s">
        <v>85</v>
      </c>
      <c r="AJ346" s="35">
        <f t="shared" si="11"/>
        <v>0</v>
      </c>
      <c r="AK346" s="35">
        <f t="shared" si="12"/>
        <v>0</v>
      </c>
      <c r="AL346" s="35">
        <f t="shared" si="13"/>
        <v>0</v>
      </c>
      <c r="AN346" s="35">
        <v>12</v>
      </c>
      <c r="AO346" s="35">
        <f t="shared" si="14"/>
        <v>0</v>
      </c>
      <c r="AP346" s="35">
        <f t="shared" si="15"/>
        <v>0</v>
      </c>
      <c r="AQ346" s="64" t="s">
        <v>204</v>
      </c>
      <c r="AV346" s="35">
        <f t="shared" si="16"/>
        <v>0</v>
      </c>
      <c r="AW346" s="35">
        <f t="shared" si="17"/>
        <v>0</v>
      </c>
      <c r="AX346" s="35">
        <f t="shared" si="18"/>
        <v>0</v>
      </c>
      <c r="AY346" s="64" t="s">
        <v>794</v>
      </c>
      <c r="AZ346" s="64" t="s">
        <v>690</v>
      </c>
      <c r="BA346" s="48" t="s">
        <v>676</v>
      </c>
      <c r="BB346" s="65">
        <v>100004</v>
      </c>
      <c r="BC346" s="35">
        <f t="shared" si="19"/>
        <v>0</v>
      </c>
      <c r="BD346" s="35">
        <f t="shared" si="20"/>
        <v>0</v>
      </c>
      <c r="BE346" s="35">
        <v>0</v>
      </c>
      <c r="BF346" s="35">
        <f>346</f>
        <v>346</v>
      </c>
      <c r="BH346" s="35">
        <f t="shared" si="21"/>
        <v>0</v>
      </c>
      <c r="BI346" s="35">
        <f t="shared" si="22"/>
        <v>0</v>
      </c>
      <c r="BJ346" s="35">
        <f t="shared" si="23"/>
        <v>0</v>
      </c>
      <c r="BK346" s="64" t="s">
        <v>208</v>
      </c>
      <c r="BL346" s="35">
        <v>725</v>
      </c>
      <c r="BW346" s="35">
        <v>12</v>
      </c>
      <c r="BX346" s="3" t="s">
        <v>812</v>
      </c>
    </row>
    <row r="347" spans="1:76" x14ac:dyDescent="0.25">
      <c r="A347" s="66"/>
      <c r="C347" s="67" t="s">
        <v>211</v>
      </c>
      <c r="D347" s="68" t="s">
        <v>10</v>
      </c>
      <c r="F347" s="69">
        <v>2</v>
      </c>
      <c r="K347" s="70"/>
    </row>
    <row r="348" spans="1:76" x14ac:dyDescent="0.25">
      <c r="A348" s="1" t="s">
        <v>813</v>
      </c>
      <c r="B348" s="2" t="s">
        <v>814</v>
      </c>
      <c r="C348" s="86" t="s">
        <v>815</v>
      </c>
      <c r="D348" s="87"/>
      <c r="E348" s="2" t="s">
        <v>816</v>
      </c>
      <c r="F348" s="35">
        <v>2</v>
      </c>
      <c r="G348" s="35">
        <v>0</v>
      </c>
      <c r="H348" s="35">
        <f>ROUND(F348*AO348,2)</f>
        <v>0</v>
      </c>
      <c r="I348" s="35">
        <f>ROUND(F348*AP348,2)</f>
        <v>0</v>
      </c>
      <c r="J348" s="35">
        <f>ROUND(F348*G348,2)</f>
        <v>0</v>
      </c>
      <c r="K348" s="63" t="s">
        <v>292</v>
      </c>
      <c r="Z348" s="35">
        <f>ROUND(IF(AQ348="5",BJ348,0),2)</f>
        <v>0</v>
      </c>
      <c r="AB348" s="35">
        <f>ROUND(IF(AQ348="1",BH348,0),2)</f>
        <v>0</v>
      </c>
      <c r="AC348" s="35">
        <f>ROUND(IF(AQ348="1",BI348,0),2)</f>
        <v>0</v>
      </c>
      <c r="AD348" s="35">
        <f>ROUND(IF(AQ348="7",BH348,0),2)</f>
        <v>0</v>
      </c>
      <c r="AE348" s="35">
        <f>ROUND(IF(AQ348="7",BI348,0),2)</f>
        <v>0</v>
      </c>
      <c r="AF348" s="35">
        <f>ROUND(IF(AQ348="2",BH348,0),2)</f>
        <v>0</v>
      </c>
      <c r="AG348" s="35">
        <f>ROUND(IF(AQ348="2",BI348,0),2)</f>
        <v>0</v>
      </c>
      <c r="AH348" s="35">
        <f>ROUND(IF(AQ348="0",BJ348,0),2)</f>
        <v>0</v>
      </c>
      <c r="AI348" s="48" t="s">
        <v>85</v>
      </c>
      <c r="AJ348" s="35">
        <f>IF(AN348=0,J348,0)</f>
        <v>0</v>
      </c>
      <c r="AK348" s="35">
        <f>IF(AN348=12,J348,0)</f>
        <v>0</v>
      </c>
      <c r="AL348" s="35">
        <f>IF(AN348=21,J348,0)</f>
        <v>0</v>
      </c>
      <c r="AN348" s="35">
        <v>12</v>
      </c>
      <c r="AO348" s="35">
        <f>G348*0</f>
        <v>0</v>
      </c>
      <c r="AP348" s="35">
        <f>G348*(1-0)</f>
        <v>0</v>
      </c>
      <c r="AQ348" s="64" t="s">
        <v>204</v>
      </c>
      <c r="AV348" s="35">
        <f>ROUND(AW348+AX348,2)</f>
        <v>0</v>
      </c>
      <c r="AW348" s="35">
        <f>ROUND(F348*AO348,2)</f>
        <v>0</v>
      </c>
      <c r="AX348" s="35">
        <f>ROUND(F348*AP348,2)</f>
        <v>0</v>
      </c>
      <c r="AY348" s="64" t="s">
        <v>794</v>
      </c>
      <c r="AZ348" s="64" t="s">
        <v>690</v>
      </c>
      <c r="BA348" s="48" t="s">
        <v>676</v>
      </c>
      <c r="BB348" s="65">
        <v>100004</v>
      </c>
      <c r="BC348" s="35">
        <f>AW348+AX348</f>
        <v>0</v>
      </c>
      <c r="BD348" s="35">
        <f>G348/(100-BE348)*100</f>
        <v>0</v>
      </c>
      <c r="BE348" s="35">
        <v>0</v>
      </c>
      <c r="BF348" s="35">
        <f>348</f>
        <v>348</v>
      </c>
      <c r="BH348" s="35">
        <f>F348*AO348</f>
        <v>0</v>
      </c>
      <c r="BI348" s="35">
        <f>F348*AP348</f>
        <v>0</v>
      </c>
      <c r="BJ348" s="35">
        <f>F348*G348</f>
        <v>0</v>
      </c>
      <c r="BK348" s="64" t="s">
        <v>208</v>
      </c>
      <c r="BL348" s="35">
        <v>725</v>
      </c>
      <c r="BW348" s="35">
        <v>12</v>
      </c>
      <c r="BX348" s="3" t="s">
        <v>815</v>
      </c>
    </row>
    <row r="349" spans="1:76" x14ac:dyDescent="0.25">
      <c r="A349" s="66"/>
      <c r="C349" s="67" t="s">
        <v>211</v>
      </c>
      <c r="D349" s="68" t="s">
        <v>817</v>
      </c>
      <c r="F349" s="69">
        <v>2</v>
      </c>
      <c r="K349" s="70"/>
    </row>
    <row r="350" spans="1:76" x14ac:dyDescent="0.25">
      <c r="A350" s="1" t="s">
        <v>818</v>
      </c>
      <c r="B350" s="2" t="s">
        <v>819</v>
      </c>
      <c r="C350" s="86" t="s">
        <v>820</v>
      </c>
      <c r="D350" s="87"/>
      <c r="E350" s="2" t="s">
        <v>463</v>
      </c>
      <c r="F350" s="35">
        <v>2</v>
      </c>
      <c r="G350" s="35">
        <v>0</v>
      </c>
      <c r="H350" s="35">
        <f>ROUND(F350*AO350,2)</f>
        <v>0</v>
      </c>
      <c r="I350" s="35">
        <f>ROUND(F350*AP350,2)</f>
        <v>0</v>
      </c>
      <c r="J350" s="35">
        <f>ROUND(F350*G350,2)</f>
        <v>0</v>
      </c>
      <c r="K350" s="63" t="s">
        <v>203</v>
      </c>
      <c r="Z350" s="35">
        <f>ROUND(IF(AQ350="5",BJ350,0),2)</f>
        <v>0</v>
      </c>
      <c r="AB350" s="35">
        <f>ROUND(IF(AQ350="1",BH350,0),2)</f>
        <v>0</v>
      </c>
      <c r="AC350" s="35">
        <f>ROUND(IF(AQ350="1",BI350,0),2)</f>
        <v>0</v>
      </c>
      <c r="AD350" s="35">
        <f>ROUND(IF(AQ350="7",BH350,0),2)</f>
        <v>0</v>
      </c>
      <c r="AE350" s="35">
        <f>ROUND(IF(AQ350="7",BI350,0),2)</f>
        <v>0</v>
      </c>
      <c r="AF350" s="35">
        <f>ROUND(IF(AQ350="2",BH350,0),2)</f>
        <v>0</v>
      </c>
      <c r="AG350" s="35">
        <f>ROUND(IF(AQ350="2",BI350,0),2)</f>
        <v>0</v>
      </c>
      <c r="AH350" s="35">
        <f>ROUND(IF(AQ350="0",BJ350,0),2)</f>
        <v>0</v>
      </c>
      <c r="AI350" s="48" t="s">
        <v>85</v>
      </c>
      <c r="AJ350" s="35">
        <f>IF(AN350=0,J350,0)</f>
        <v>0</v>
      </c>
      <c r="AK350" s="35">
        <f>IF(AN350=12,J350,0)</f>
        <v>0</v>
      </c>
      <c r="AL350" s="35">
        <f>IF(AN350=21,J350,0)</f>
        <v>0</v>
      </c>
      <c r="AN350" s="35">
        <v>12</v>
      </c>
      <c r="AO350" s="35">
        <f>G350*0.136845966</f>
        <v>0</v>
      </c>
      <c r="AP350" s="35">
        <f>G350*(1-0.136845966)</f>
        <v>0</v>
      </c>
      <c r="AQ350" s="64" t="s">
        <v>204</v>
      </c>
      <c r="AV350" s="35">
        <f>ROUND(AW350+AX350,2)</f>
        <v>0</v>
      </c>
      <c r="AW350" s="35">
        <f>ROUND(F350*AO350,2)</f>
        <v>0</v>
      </c>
      <c r="AX350" s="35">
        <f>ROUND(F350*AP350,2)</f>
        <v>0</v>
      </c>
      <c r="AY350" s="64" t="s">
        <v>794</v>
      </c>
      <c r="AZ350" s="64" t="s">
        <v>690</v>
      </c>
      <c r="BA350" s="48" t="s">
        <v>676</v>
      </c>
      <c r="BB350" s="65">
        <v>100004</v>
      </c>
      <c r="BC350" s="35">
        <f>AW350+AX350</f>
        <v>0</v>
      </c>
      <c r="BD350" s="35">
        <f>G350/(100-BE350)*100</f>
        <v>0</v>
      </c>
      <c r="BE350" s="35">
        <v>0</v>
      </c>
      <c r="BF350" s="35">
        <f>350</f>
        <v>350</v>
      </c>
      <c r="BH350" s="35">
        <f>F350*AO350</f>
        <v>0</v>
      </c>
      <c r="BI350" s="35">
        <f>F350*AP350</f>
        <v>0</v>
      </c>
      <c r="BJ350" s="35">
        <f>F350*G350</f>
        <v>0</v>
      </c>
      <c r="BK350" s="64" t="s">
        <v>208</v>
      </c>
      <c r="BL350" s="35">
        <v>725</v>
      </c>
      <c r="BW350" s="35">
        <v>12</v>
      </c>
      <c r="BX350" s="3" t="s">
        <v>820</v>
      </c>
    </row>
    <row r="351" spans="1:76" ht="13.5" customHeight="1" x14ac:dyDescent="0.25">
      <c r="A351" s="66"/>
      <c r="C351" s="180" t="s">
        <v>821</v>
      </c>
      <c r="D351" s="181"/>
      <c r="E351" s="181"/>
      <c r="F351" s="181"/>
      <c r="G351" s="181"/>
      <c r="H351" s="181"/>
      <c r="I351" s="181"/>
      <c r="J351" s="181"/>
      <c r="K351" s="182"/>
    </row>
    <row r="352" spans="1:76" x14ac:dyDescent="0.25">
      <c r="A352" s="66"/>
      <c r="C352" s="67" t="s">
        <v>211</v>
      </c>
      <c r="D352" s="68" t="s">
        <v>10</v>
      </c>
      <c r="F352" s="69">
        <v>2</v>
      </c>
      <c r="K352" s="70"/>
    </row>
    <row r="353" spans="1:76" x14ac:dyDescent="0.25">
      <c r="A353" s="76" t="s">
        <v>822</v>
      </c>
      <c r="B353" s="77" t="s">
        <v>823</v>
      </c>
      <c r="C353" s="185" t="s">
        <v>824</v>
      </c>
      <c r="D353" s="186"/>
      <c r="E353" s="77" t="s">
        <v>252</v>
      </c>
      <c r="F353" s="79">
        <v>2</v>
      </c>
      <c r="G353" s="79">
        <v>0</v>
      </c>
      <c r="H353" s="79">
        <f>ROUND(F353*AO353,2)</f>
        <v>0</v>
      </c>
      <c r="I353" s="79">
        <f>ROUND(F353*AP353,2)</f>
        <v>0</v>
      </c>
      <c r="J353" s="79">
        <f>ROUND(F353*G353,2)</f>
        <v>0</v>
      </c>
      <c r="K353" s="80" t="s">
        <v>203</v>
      </c>
      <c r="Z353" s="35">
        <f>ROUND(IF(AQ353="5",BJ353,0),2)</f>
        <v>0</v>
      </c>
      <c r="AB353" s="35">
        <f>ROUND(IF(AQ353="1",BH353,0),2)</f>
        <v>0</v>
      </c>
      <c r="AC353" s="35">
        <f>ROUND(IF(AQ353="1",BI353,0),2)</f>
        <v>0</v>
      </c>
      <c r="AD353" s="35">
        <f>ROUND(IF(AQ353="7",BH353,0),2)</f>
        <v>0</v>
      </c>
      <c r="AE353" s="35">
        <f>ROUND(IF(AQ353="7",BI353,0),2)</f>
        <v>0</v>
      </c>
      <c r="AF353" s="35">
        <f>ROUND(IF(AQ353="2",BH353,0),2)</f>
        <v>0</v>
      </c>
      <c r="AG353" s="35">
        <f>ROUND(IF(AQ353="2",BI353,0),2)</f>
        <v>0</v>
      </c>
      <c r="AH353" s="35">
        <f>ROUND(IF(AQ353="0",BJ353,0),2)</f>
        <v>0</v>
      </c>
      <c r="AI353" s="48" t="s">
        <v>85</v>
      </c>
      <c r="AJ353" s="79">
        <f>IF(AN353=0,J353,0)</f>
        <v>0</v>
      </c>
      <c r="AK353" s="79">
        <f>IF(AN353=12,J353,0)</f>
        <v>0</v>
      </c>
      <c r="AL353" s="79">
        <f>IF(AN353=21,J353,0)</f>
        <v>0</v>
      </c>
      <c r="AN353" s="35">
        <v>12</v>
      </c>
      <c r="AO353" s="35">
        <f>G353*1</f>
        <v>0</v>
      </c>
      <c r="AP353" s="35">
        <f>G353*(1-1)</f>
        <v>0</v>
      </c>
      <c r="AQ353" s="81" t="s">
        <v>204</v>
      </c>
      <c r="AV353" s="35">
        <f>ROUND(AW353+AX353,2)</f>
        <v>0</v>
      </c>
      <c r="AW353" s="35">
        <f>ROUND(F353*AO353,2)</f>
        <v>0</v>
      </c>
      <c r="AX353" s="35">
        <f>ROUND(F353*AP353,2)</f>
        <v>0</v>
      </c>
      <c r="AY353" s="64" t="s">
        <v>794</v>
      </c>
      <c r="AZ353" s="64" t="s">
        <v>690</v>
      </c>
      <c r="BA353" s="48" t="s">
        <v>676</v>
      </c>
      <c r="BC353" s="35">
        <f>AW353+AX353</f>
        <v>0</v>
      </c>
      <c r="BD353" s="35">
        <f>G353/(100-BE353)*100</f>
        <v>0</v>
      </c>
      <c r="BE353" s="35">
        <v>0</v>
      </c>
      <c r="BF353" s="35">
        <f>353</f>
        <v>353</v>
      </c>
      <c r="BH353" s="79">
        <f>F353*AO353</f>
        <v>0</v>
      </c>
      <c r="BI353" s="79">
        <f>F353*AP353</f>
        <v>0</v>
      </c>
      <c r="BJ353" s="79">
        <f>F353*G353</f>
        <v>0</v>
      </c>
      <c r="BK353" s="81" t="s">
        <v>464</v>
      </c>
      <c r="BL353" s="35">
        <v>725</v>
      </c>
      <c r="BW353" s="35">
        <v>12</v>
      </c>
      <c r="BX353" s="78" t="s">
        <v>824</v>
      </c>
    </row>
    <row r="354" spans="1:76" x14ac:dyDescent="0.25">
      <c r="A354" s="66"/>
      <c r="C354" s="67" t="s">
        <v>211</v>
      </c>
      <c r="D354" s="68" t="s">
        <v>10</v>
      </c>
      <c r="F354" s="69">
        <v>2</v>
      </c>
      <c r="K354" s="70"/>
    </row>
    <row r="355" spans="1:76" x14ac:dyDescent="0.25">
      <c r="A355" s="1" t="s">
        <v>825</v>
      </c>
      <c r="B355" s="2" t="s">
        <v>826</v>
      </c>
      <c r="C355" s="86" t="s">
        <v>827</v>
      </c>
      <c r="D355" s="87"/>
      <c r="E355" s="2" t="s">
        <v>463</v>
      </c>
      <c r="F355" s="35">
        <v>2</v>
      </c>
      <c r="G355" s="35">
        <v>0</v>
      </c>
      <c r="H355" s="35">
        <f>ROUND(F355*AO355,2)</f>
        <v>0</v>
      </c>
      <c r="I355" s="35">
        <f>ROUND(F355*AP355,2)</f>
        <v>0</v>
      </c>
      <c r="J355" s="35">
        <f>ROUND(F355*G355,2)</f>
        <v>0</v>
      </c>
      <c r="K355" s="63" t="s">
        <v>203</v>
      </c>
      <c r="Z355" s="35">
        <f>ROUND(IF(AQ355="5",BJ355,0),2)</f>
        <v>0</v>
      </c>
      <c r="AB355" s="35">
        <f>ROUND(IF(AQ355="1",BH355,0),2)</f>
        <v>0</v>
      </c>
      <c r="AC355" s="35">
        <f>ROUND(IF(AQ355="1",BI355,0),2)</f>
        <v>0</v>
      </c>
      <c r="AD355" s="35">
        <f>ROUND(IF(AQ355="7",BH355,0),2)</f>
        <v>0</v>
      </c>
      <c r="AE355" s="35">
        <f>ROUND(IF(AQ355="7",BI355,0),2)</f>
        <v>0</v>
      </c>
      <c r="AF355" s="35">
        <f>ROUND(IF(AQ355="2",BH355,0),2)</f>
        <v>0</v>
      </c>
      <c r="AG355" s="35">
        <f>ROUND(IF(AQ355="2",BI355,0),2)</f>
        <v>0</v>
      </c>
      <c r="AH355" s="35">
        <f>ROUND(IF(AQ355="0",BJ355,0),2)</f>
        <v>0</v>
      </c>
      <c r="AI355" s="48" t="s">
        <v>85</v>
      </c>
      <c r="AJ355" s="35">
        <f>IF(AN355=0,J355,0)</f>
        <v>0</v>
      </c>
      <c r="AK355" s="35">
        <f>IF(AN355=12,J355,0)</f>
        <v>0</v>
      </c>
      <c r="AL355" s="35">
        <f>IF(AN355=21,J355,0)</f>
        <v>0</v>
      </c>
      <c r="AN355" s="35">
        <v>12</v>
      </c>
      <c r="AO355" s="35">
        <f>G355*0.146793761</f>
        <v>0</v>
      </c>
      <c r="AP355" s="35">
        <f>G355*(1-0.146793761)</f>
        <v>0</v>
      </c>
      <c r="AQ355" s="64" t="s">
        <v>204</v>
      </c>
      <c r="AV355" s="35">
        <f>ROUND(AW355+AX355,2)</f>
        <v>0</v>
      </c>
      <c r="AW355" s="35">
        <f>ROUND(F355*AO355,2)</f>
        <v>0</v>
      </c>
      <c r="AX355" s="35">
        <f>ROUND(F355*AP355,2)</f>
        <v>0</v>
      </c>
      <c r="AY355" s="64" t="s">
        <v>794</v>
      </c>
      <c r="AZ355" s="64" t="s">
        <v>690</v>
      </c>
      <c r="BA355" s="48" t="s">
        <v>676</v>
      </c>
      <c r="BB355" s="65">
        <v>100004</v>
      </c>
      <c r="BC355" s="35">
        <f>AW355+AX355</f>
        <v>0</v>
      </c>
      <c r="BD355" s="35">
        <f>G355/(100-BE355)*100</f>
        <v>0</v>
      </c>
      <c r="BE355" s="35">
        <v>0</v>
      </c>
      <c r="BF355" s="35">
        <f>355</f>
        <v>355</v>
      </c>
      <c r="BH355" s="35">
        <f>F355*AO355</f>
        <v>0</v>
      </c>
      <c r="BI355" s="35">
        <f>F355*AP355</f>
        <v>0</v>
      </c>
      <c r="BJ355" s="35">
        <f>F355*G355</f>
        <v>0</v>
      </c>
      <c r="BK355" s="64" t="s">
        <v>208</v>
      </c>
      <c r="BL355" s="35">
        <v>725</v>
      </c>
      <c r="BW355" s="35">
        <v>12</v>
      </c>
      <c r="BX355" s="3" t="s">
        <v>827</v>
      </c>
    </row>
    <row r="356" spans="1:76" x14ac:dyDescent="0.25">
      <c r="A356" s="66"/>
      <c r="C356" s="67" t="s">
        <v>211</v>
      </c>
      <c r="D356" s="68" t="s">
        <v>10</v>
      </c>
      <c r="F356" s="69">
        <v>2</v>
      </c>
      <c r="K356" s="70"/>
    </row>
    <row r="357" spans="1:76" x14ac:dyDescent="0.25">
      <c r="A357" s="76" t="s">
        <v>828</v>
      </c>
      <c r="B357" s="77" t="s">
        <v>829</v>
      </c>
      <c r="C357" s="185" t="s">
        <v>830</v>
      </c>
      <c r="D357" s="186"/>
      <c r="E357" s="77" t="s">
        <v>252</v>
      </c>
      <c r="F357" s="79">
        <v>2</v>
      </c>
      <c r="G357" s="79">
        <v>0</v>
      </c>
      <c r="H357" s="79">
        <f>ROUND(F357*AO357,2)</f>
        <v>0</v>
      </c>
      <c r="I357" s="79">
        <f>ROUND(F357*AP357,2)</f>
        <v>0</v>
      </c>
      <c r="J357" s="79">
        <f>ROUND(F357*G357,2)</f>
        <v>0</v>
      </c>
      <c r="K357" s="80" t="s">
        <v>203</v>
      </c>
      <c r="Z357" s="35">
        <f>ROUND(IF(AQ357="5",BJ357,0),2)</f>
        <v>0</v>
      </c>
      <c r="AB357" s="35">
        <f>ROUND(IF(AQ357="1",BH357,0),2)</f>
        <v>0</v>
      </c>
      <c r="AC357" s="35">
        <f>ROUND(IF(AQ357="1",BI357,0),2)</f>
        <v>0</v>
      </c>
      <c r="AD357" s="35">
        <f>ROUND(IF(AQ357="7",BH357,0),2)</f>
        <v>0</v>
      </c>
      <c r="AE357" s="35">
        <f>ROUND(IF(AQ357="7",BI357,0),2)</f>
        <v>0</v>
      </c>
      <c r="AF357" s="35">
        <f>ROUND(IF(AQ357="2",BH357,0),2)</f>
        <v>0</v>
      </c>
      <c r="AG357" s="35">
        <f>ROUND(IF(AQ357="2",BI357,0),2)</f>
        <v>0</v>
      </c>
      <c r="AH357" s="35">
        <f>ROUND(IF(AQ357="0",BJ357,0),2)</f>
        <v>0</v>
      </c>
      <c r="AI357" s="48" t="s">
        <v>85</v>
      </c>
      <c r="AJ357" s="79">
        <f>IF(AN357=0,J357,0)</f>
        <v>0</v>
      </c>
      <c r="AK357" s="79">
        <f>IF(AN357=12,J357,0)</f>
        <v>0</v>
      </c>
      <c r="AL357" s="79">
        <f>IF(AN357=21,J357,0)</f>
        <v>0</v>
      </c>
      <c r="AN357" s="35">
        <v>12</v>
      </c>
      <c r="AO357" s="35">
        <f>G357*1</f>
        <v>0</v>
      </c>
      <c r="AP357" s="35">
        <f>G357*(1-1)</f>
        <v>0</v>
      </c>
      <c r="AQ357" s="81" t="s">
        <v>204</v>
      </c>
      <c r="AV357" s="35">
        <f>ROUND(AW357+AX357,2)</f>
        <v>0</v>
      </c>
      <c r="AW357" s="35">
        <f>ROUND(F357*AO357,2)</f>
        <v>0</v>
      </c>
      <c r="AX357" s="35">
        <f>ROUND(F357*AP357,2)</f>
        <v>0</v>
      </c>
      <c r="AY357" s="64" t="s">
        <v>794</v>
      </c>
      <c r="AZ357" s="64" t="s">
        <v>690</v>
      </c>
      <c r="BA357" s="48" t="s">
        <v>676</v>
      </c>
      <c r="BC357" s="35">
        <f>AW357+AX357</f>
        <v>0</v>
      </c>
      <c r="BD357" s="35">
        <f>G357/(100-BE357)*100</f>
        <v>0</v>
      </c>
      <c r="BE357" s="35">
        <v>0</v>
      </c>
      <c r="BF357" s="35">
        <f>357</f>
        <v>357</v>
      </c>
      <c r="BH357" s="79">
        <f>F357*AO357</f>
        <v>0</v>
      </c>
      <c r="BI357" s="79">
        <f>F357*AP357</f>
        <v>0</v>
      </c>
      <c r="BJ357" s="79">
        <f>F357*G357</f>
        <v>0</v>
      </c>
      <c r="BK357" s="81" t="s">
        <v>464</v>
      </c>
      <c r="BL357" s="35">
        <v>725</v>
      </c>
      <c r="BW357" s="35">
        <v>12</v>
      </c>
      <c r="BX357" s="78" t="s">
        <v>830</v>
      </c>
    </row>
    <row r="358" spans="1:76" x14ac:dyDescent="0.25">
      <c r="A358" s="66"/>
      <c r="C358" s="67" t="s">
        <v>211</v>
      </c>
      <c r="D358" s="68" t="s">
        <v>10</v>
      </c>
      <c r="F358" s="69">
        <v>2</v>
      </c>
      <c r="K358" s="70"/>
    </row>
    <row r="359" spans="1:76" x14ac:dyDescent="0.25">
      <c r="A359" s="1" t="s">
        <v>831</v>
      </c>
      <c r="B359" s="2" t="s">
        <v>832</v>
      </c>
      <c r="C359" s="86" t="s">
        <v>833</v>
      </c>
      <c r="D359" s="87"/>
      <c r="E359" s="2" t="s">
        <v>252</v>
      </c>
      <c r="F359" s="35">
        <v>2</v>
      </c>
      <c r="G359" s="35">
        <v>0</v>
      </c>
      <c r="H359" s="35">
        <f>ROUND(F359*AO359,2)</f>
        <v>0</v>
      </c>
      <c r="I359" s="35">
        <f>ROUND(F359*AP359,2)</f>
        <v>0</v>
      </c>
      <c r="J359" s="35">
        <f>ROUND(F359*G359,2)</f>
        <v>0</v>
      </c>
      <c r="K359" s="63" t="s">
        <v>203</v>
      </c>
      <c r="Z359" s="35">
        <f>ROUND(IF(AQ359="5",BJ359,0),2)</f>
        <v>0</v>
      </c>
      <c r="AB359" s="35">
        <f>ROUND(IF(AQ359="1",BH359,0),2)</f>
        <v>0</v>
      </c>
      <c r="AC359" s="35">
        <f>ROUND(IF(AQ359="1",BI359,0),2)</f>
        <v>0</v>
      </c>
      <c r="AD359" s="35">
        <f>ROUND(IF(AQ359="7",BH359,0),2)</f>
        <v>0</v>
      </c>
      <c r="AE359" s="35">
        <f>ROUND(IF(AQ359="7",BI359,0),2)</f>
        <v>0</v>
      </c>
      <c r="AF359" s="35">
        <f>ROUND(IF(AQ359="2",BH359,0),2)</f>
        <v>0</v>
      </c>
      <c r="AG359" s="35">
        <f>ROUND(IF(AQ359="2",BI359,0),2)</f>
        <v>0</v>
      </c>
      <c r="AH359" s="35">
        <f>ROUND(IF(AQ359="0",BJ359,0),2)</f>
        <v>0</v>
      </c>
      <c r="AI359" s="48" t="s">
        <v>85</v>
      </c>
      <c r="AJ359" s="35">
        <f>IF(AN359=0,J359,0)</f>
        <v>0</v>
      </c>
      <c r="AK359" s="35">
        <f>IF(AN359=12,J359,0)</f>
        <v>0</v>
      </c>
      <c r="AL359" s="35">
        <f>IF(AN359=21,J359,0)</f>
        <v>0</v>
      </c>
      <c r="AN359" s="35">
        <v>12</v>
      </c>
      <c r="AO359" s="35">
        <f>G359*0.190851428</f>
        <v>0</v>
      </c>
      <c r="AP359" s="35">
        <f>G359*(1-0.190851428)</f>
        <v>0</v>
      </c>
      <c r="AQ359" s="64" t="s">
        <v>204</v>
      </c>
      <c r="AV359" s="35">
        <f>ROUND(AW359+AX359,2)</f>
        <v>0</v>
      </c>
      <c r="AW359" s="35">
        <f>ROUND(F359*AO359,2)</f>
        <v>0</v>
      </c>
      <c r="AX359" s="35">
        <f>ROUND(F359*AP359,2)</f>
        <v>0</v>
      </c>
      <c r="AY359" s="64" t="s">
        <v>794</v>
      </c>
      <c r="AZ359" s="64" t="s">
        <v>690</v>
      </c>
      <c r="BA359" s="48" t="s">
        <v>676</v>
      </c>
      <c r="BB359" s="65">
        <v>100004</v>
      </c>
      <c r="BC359" s="35">
        <f>AW359+AX359</f>
        <v>0</v>
      </c>
      <c r="BD359" s="35">
        <f>G359/(100-BE359)*100</f>
        <v>0</v>
      </c>
      <c r="BE359" s="35">
        <v>0</v>
      </c>
      <c r="BF359" s="35">
        <f>359</f>
        <v>359</v>
      </c>
      <c r="BH359" s="35">
        <f>F359*AO359</f>
        <v>0</v>
      </c>
      <c r="BI359" s="35">
        <f>F359*AP359</f>
        <v>0</v>
      </c>
      <c r="BJ359" s="35">
        <f>F359*G359</f>
        <v>0</v>
      </c>
      <c r="BK359" s="64" t="s">
        <v>208</v>
      </c>
      <c r="BL359" s="35">
        <v>725</v>
      </c>
      <c r="BW359" s="35">
        <v>12</v>
      </c>
      <c r="BX359" s="3" t="s">
        <v>833</v>
      </c>
    </row>
    <row r="360" spans="1:76" x14ac:dyDescent="0.25">
      <c r="A360" s="66"/>
      <c r="C360" s="67" t="s">
        <v>211</v>
      </c>
      <c r="D360" s="68" t="s">
        <v>10</v>
      </c>
      <c r="F360" s="69">
        <v>2</v>
      </c>
      <c r="K360" s="70"/>
    </row>
    <row r="361" spans="1:76" x14ac:dyDescent="0.25">
      <c r="A361" s="76" t="s">
        <v>834</v>
      </c>
      <c r="B361" s="77" t="s">
        <v>835</v>
      </c>
      <c r="C361" s="185" t="s">
        <v>836</v>
      </c>
      <c r="D361" s="186"/>
      <c r="E361" s="77" t="s">
        <v>252</v>
      </c>
      <c r="F361" s="79">
        <v>2</v>
      </c>
      <c r="G361" s="79">
        <v>0</v>
      </c>
      <c r="H361" s="79">
        <f>ROUND(F361*AO361,2)</f>
        <v>0</v>
      </c>
      <c r="I361" s="79">
        <f>ROUND(F361*AP361,2)</f>
        <v>0</v>
      </c>
      <c r="J361" s="79">
        <f>ROUND(F361*G361,2)</f>
        <v>0</v>
      </c>
      <c r="K361" s="80" t="s">
        <v>203</v>
      </c>
      <c r="Z361" s="35">
        <f>ROUND(IF(AQ361="5",BJ361,0),2)</f>
        <v>0</v>
      </c>
      <c r="AB361" s="35">
        <f>ROUND(IF(AQ361="1",BH361,0),2)</f>
        <v>0</v>
      </c>
      <c r="AC361" s="35">
        <f>ROUND(IF(AQ361="1",BI361,0),2)</f>
        <v>0</v>
      </c>
      <c r="AD361" s="35">
        <f>ROUND(IF(AQ361="7",BH361,0),2)</f>
        <v>0</v>
      </c>
      <c r="AE361" s="35">
        <f>ROUND(IF(AQ361="7",BI361,0),2)</f>
        <v>0</v>
      </c>
      <c r="AF361" s="35">
        <f>ROUND(IF(AQ361="2",BH361,0),2)</f>
        <v>0</v>
      </c>
      <c r="AG361" s="35">
        <f>ROUND(IF(AQ361="2",BI361,0),2)</f>
        <v>0</v>
      </c>
      <c r="AH361" s="35">
        <f>ROUND(IF(AQ361="0",BJ361,0),2)</f>
        <v>0</v>
      </c>
      <c r="AI361" s="48" t="s">
        <v>85</v>
      </c>
      <c r="AJ361" s="79">
        <f>IF(AN361=0,J361,0)</f>
        <v>0</v>
      </c>
      <c r="AK361" s="79">
        <f>IF(AN361=12,J361,0)</f>
        <v>0</v>
      </c>
      <c r="AL361" s="79">
        <f>IF(AN361=21,J361,0)</f>
        <v>0</v>
      </c>
      <c r="AN361" s="35">
        <v>12</v>
      </c>
      <c r="AO361" s="35">
        <f>G361*1</f>
        <v>0</v>
      </c>
      <c r="AP361" s="35">
        <f>G361*(1-1)</f>
        <v>0</v>
      </c>
      <c r="AQ361" s="81" t="s">
        <v>204</v>
      </c>
      <c r="AV361" s="35">
        <f>ROUND(AW361+AX361,2)</f>
        <v>0</v>
      </c>
      <c r="AW361" s="35">
        <f>ROUND(F361*AO361,2)</f>
        <v>0</v>
      </c>
      <c r="AX361" s="35">
        <f>ROUND(F361*AP361,2)</f>
        <v>0</v>
      </c>
      <c r="AY361" s="64" t="s">
        <v>794</v>
      </c>
      <c r="AZ361" s="64" t="s">
        <v>690</v>
      </c>
      <c r="BA361" s="48" t="s">
        <v>676</v>
      </c>
      <c r="BC361" s="35">
        <f>AW361+AX361</f>
        <v>0</v>
      </c>
      <c r="BD361" s="35">
        <f>G361/(100-BE361)*100</f>
        <v>0</v>
      </c>
      <c r="BE361" s="35">
        <v>0</v>
      </c>
      <c r="BF361" s="35">
        <f>361</f>
        <v>361</v>
      </c>
      <c r="BH361" s="79">
        <f>F361*AO361</f>
        <v>0</v>
      </c>
      <c r="BI361" s="79">
        <f>F361*AP361</f>
        <v>0</v>
      </c>
      <c r="BJ361" s="79">
        <f>F361*G361</f>
        <v>0</v>
      </c>
      <c r="BK361" s="81" t="s">
        <v>464</v>
      </c>
      <c r="BL361" s="35">
        <v>725</v>
      </c>
      <c r="BW361" s="35">
        <v>12</v>
      </c>
      <c r="BX361" s="78" t="s">
        <v>836</v>
      </c>
    </row>
    <row r="362" spans="1:76" x14ac:dyDescent="0.25">
      <c r="A362" s="66"/>
      <c r="C362" s="67" t="s">
        <v>211</v>
      </c>
      <c r="D362" s="68" t="s">
        <v>10</v>
      </c>
      <c r="F362" s="69">
        <v>2</v>
      </c>
      <c r="K362" s="70"/>
    </row>
    <row r="363" spans="1:76" x14ac:dyDescent="0.25">
      <c r="A363" s="1" t="s">
        <v>837</v>
      </c>
      <c r="B363" s="2" t="s">
        <v>838</v>
      </c>
      <c r="C363" s="86" t="s">
        <v>839</v>
      </c>
      <c r="D363" s="87"/>
      <c r="E363" s="2" t="s">
        <v>252</v>
      </c>
      <c r="F363" s="35">
        <v>2</v>
      </c>
      <c r="G363" s="35">
        <v>0</v>
      </c>
      <c r="H363" s="35">
        <f>ROUND(F363*AO363,2)</f>
        <v>0</v>
      </c>
      <c r="I363" s="35">
        <f>ROUND(F363*AP363,2)</f>
        <v>0</v>
      </c>
      <c r="J363" s="35">
        <f>ROUND(F363*G363,2)</f>
        <v>0</v>
      </c>
      <c r="K363" s="63" t="s">
        <v>203</v>
      </c>
      <c r="Z363" s="35">
        <f>ROUND(IF(AQ363="5",BJ363,0),2)</f>
        <v>0</v>
      </c>
      <c r="AB363" s="35">
        <f>ROUND(IF(AQ363="1",BH363,0),2)</f>
        <v>0</v>
      </c>
      <c r="AC363" s="35">
        <f>ROUND(IF(AQ363="1",BI363,0),2)</f>
        <v>0</v>
      </c>
      <c r="AD363" s="35">
        <f>ROUND(IF(AQ363="7",BH363,0),2)</f>
        <v>0</v>
      </c>
      <c r="AE363" s="35">
        <f>ROUND(IF(AQ363="7",BI363,0),2)</f>
        <v>0</v>
      </c>
      <c r="AF363" s="35">
        <f>ROUND(IF(AQ363="2",BH363,0),2)</f>
        <v>0</v>
      </c>
      <c r="AG363" s="35">
        <f>ROUND(IF(AQ363="2",BI363,0),2)</f>
        <v>0</v>
      </c>
      <c r="AH363" s="35">
        <f>ROUND(IF(AQ363="0",BJ363,0),2)</f>
        <v>0</v>
      </c>
      <c r="AI363" s="48" t="s">
        <v>85</v>
      </c>
      <c r="AJ363" s="35">
        <f>IF(AN363=0,J363,0)</f>
        <v>0</v>
      </c>
      <c r="AK363" s="35">
        <f>IF(AN363=12,J363,0)</f>
        <v>0</v>
      </c>
      <c r="AL363" s="35">
        <f>IF(AN363=21,J363,0)</f>
        <v>0</v>
      </c>
      <c r="AN363" s="35">
        <v>12</v>
      </c>
      <c r="AO363" s="35">
        <f>G363*0.029006211</f>
        <v>0</v>
      </c>
      <c r="AP363" s="35">
        <f>G363*(1-0.029006211)</f>
        <v>0</v>
      </c>
      <c r="AQ363" s="64" t="s">
        <v>204</v>
      </c>
      <c r="AV363" s="35">
        <f>ROUND(AW363+AX363,2)</f>
        <v>0</v>
      </c>
      <c r="AW363" s="35">
        <f>ROUND(F363*AO363,2)</f>
        <v>0</v>
      </c>
      <c r="AX363" s="35">
        <f>ROUND(F363*AP363,2)</f>
        <v>0</v>
      </c>
      <c r="AY363" s="64" t="s">
        <v>794</v>
      </c>
      <c r="AZ363" s="64" t="s">
        <v>690</v>
      </c>
      <c r="BA363" s="48" t="s">
        <v>676</v>
      </c>
      <c r="BB363" s="65">
        <v>100004</v>
      </c>
      <c r="BC363" s="35">
        <f>AW363+AX363</f>
        <v>0</v>
      </c>
      <c r="BD363" s="35">
        <f>G363/(100-BE363)*100</f>
        <v>0</v>
      </c>
      <c r="BE363" s="35">
        <v>0</v>
      </c>
      <c r="BF363" s="35">
        <f>363</f>
        <v>363</v>
      </c>
      <c r="BH363" s="35">
        <f>F363*AO363</f>
        <v>0</v>
      </c>
      <c r="BI363" s="35">
        <f>F363*AP363</f>
        <v>0</v>
      </c>
      <c r="BJ363" s="35">
        <f>F363*G363</f>
        <v>0</v>
      </c>
      <c r="BK363" s="64" t="s">
        <v>208</v>
      </c>
      <c r="BL363" s="35">
        <v>725</v>
      </c>
      <c r="BW363" s="35">
        <v>12</v>
      </c>
      <c r="BX363" s="3" t="s">
        <v>839</v>
      </c>
    </row>
    <row r="364" spans="1:76" x14ac:dyDescent="0.25">
      <c r="A364" s="66"/>
      <c r="C364" s="67" t="s">
        <v>211</v>
      </c>
      <c r="D364" s="68" t="s">
        <v>10</v>
      </c>
      <c r="F364" s="69">
        <v>2</v>
      </c>
      <c r="K364" s="70"/>
    </row>
    <row r="365" spans="1:76" x14ac:dyDescent="0.25">
      <c r="A365" s="76" t="s">
        <v>840</v>
      </c>
      <c r="B365" s="77" t="s">
        <v>841</v>
      </c>
      <c r="C365" s="185" t="s">
        <v>842</v>
      </c>
      <c r="D365" s="186"/>
      <c r="E365" s="77" t="s">
        <v>252</v>
      </c>
      <c r="F365" s="79">
        <v>2</v>
      </c>
      <c r="G365" s="79">
        <v>0</v>
      </c>
      <c r="H365" s="79">
        <f>ROUND(F365*AO365,2)</f>
        <v>0</v>
      </c>
      <c r="I365" s="79">
        <f>ROUND(F365*AP365,2)</f>
        <v>0</v>
      </c>
      <c r="J365" s="79">
        <f>ROUND(F365*G365,2)</f>
        <v>0</v>
      </c>
      <c r="K365" s="80" t="s">
        <v>203</v>
      </c>
      <c r="Z365" s="35">
        <f>ROUND(IF(AQ365="5",BJ365,0),2)</f>
        <v>0</v>
      </c>
      <c r="AB365" s="35">
        <f>ROUND(IF(AQ365="1",BH365,0),2)</f>
        <v>0</v>
      </c>
      <c r="AC365" s="35">
        <f>ROUND(IF(AQ365="1",BI365,0),2)</f>
        <v>0</v>
      </c>
      <c r="AD365" s="35">
        <f>ROUND(IF(AQ365="7",BH365,0),2)</f>
        <v>0</v>
      </c>
      <c r="AE365" s="35">
        <f>ROUND(IF(AQ365="7",BI365,0),2)</f>
        <v>0</v>
      </c>
      <c r="AF365" s="35">
        <f>ROUND(IF(AQ365="2",BH365,0),2)</f>
        <v>0</v>
      </c>
      <c r="AG365" s="35">
        <f>ROUND(IF(AQ365="2",BI365,0),2)</f>
        <v>0</v>
      </c>
      <c r="AH365" s="35">
        <f>ROUND(IF(AQ365="0",BJ365,0),2)</f>
        <v>0</v>
      </c>
      <c r="AI365" s="48" t="s">
        <v>85</v>
      </c>
      <c r="AJ365" s="79">
        <f>IF(AN365=0,J365,0)</f>
        <v>0</v>
      </c>
      <c r="AK365" s="79">
        <f>IF(AN365=12,J365,0)</f>
        <v>0</v>
      </c>
      <c r="AL365" s="79">
        <f>IF(AN365=21,J365,0)</f>
        <v>0</v>
      </c>
      <c r="AN365" s="35">
        <v>12</v>
      </c>
      <c r="AO365" s="35">
        <f>G365*1</f>
        <v>0</v>
      </c>
      <c r="AP365" s="35">
        <f>G365*(1-1)</f>
        <v>0</v>
      </c>
      <c r="AQ365" s="81" t="s">
        <v>204</v>
      </c>
      <c r="AV365" s="35">
        <f>ROUND(AW365+AX365,2)</f>
        <v>0</v>
      </c>
      <c r="AW365" s="35">
        <f>ROUND(F365*AO365,2)</f>
        <v>0</v>
      </c>
      <c r="AX365" s="35">
        <f>ROUND(F365*AP365,2)</f>
        <v>0</v>
      </c>
      <c r="AY365" s="64" t="s">
        <v>794</v>
      </c>
      <c r="AZ365" s="64" t="s">
        <v>690</v>
      </c>
      <c r="BA365" s="48" t="s">
        <v>676</v>
      </c>
      <c r="BC365" s="35">
        <f>AW365+AX365</f>
        <v>0</v>
      </c>
      <c r="BD365" s="35">
        <f>G365/(100-BE365)*100</f>
        <v>0</v>
      </c>
      <c r="BE365" s="35">
        <v>0</v>
      </c>
      <c r="BF365" s="35">
        <f>365</f>
        <v>365</v>
      </c>
      <c r="BH365" s="79">
        <f>F365*AO365</f>
        <v>0</v>
      </c>
      <c r="BI365" s="79">
        <f>F365*AP365</f>
        <v>0</v>
      </c>
      <c r="BJ365" s="79">
        <f>F365*G365</f>
        <v>0</v>
      </c>
      <c r="BK365" s="81" t="s">
        <v>464</v>
      </c>
      <c r="BL365" s="35">
        <v>725</v>
      </c>
      <c r="BW365" s="35">
        <v>12</v>
      </c>
      <c r="BX365" s="78" t="s">
        <v>842</v>
      </c>
    </row>
    <row r="366" spans="1:76" x14ac:dyDescent="0.25">
      <c r="A366" s="66"/>
      <c r="C366" s="67" t="s">
        <v>211</v>
      </c>
      <c r="D366" s="68" t="s">
        <v>10</v>
      </c>
      <c r="F366" s="69">
        <v>2</v>
      </c>
      <c r="K366" s="70"/>
    </row>
    <row r="367" spans="1:76" x14ac:dyDescent="0.25">
      <c r="A367" s="1" t="s">
        <v>843</v>
      </c>
      <c r="B367" s="2" t="s">
        <v>844</v>
      </c>
      <c r="C367" s="86" t="s">
        <v>845</v>
      </c>
      <c r="D367" s="87"/>
      <c r="E367" s="2" t="s">
        <v>463</v>
      </c>
      <c r="F367" s="35">
        <v>2</v>
      </c>
      <c r="G367" s="35">
        <v>0</v>
      </c>
      <c r="H367" s="35">
        <f>ROUND(F367*AO367,2)</f>
        <v>0</v>
      </c>
      <c r="I367" s="35">
        <f>ROUND(F367*AP367,2)</f>
        <v>0</v>
      </c>
      <c r="J367" s="35">
        <f>ROUND(F367*G367,2)</f>
        <v>0</v>
      </c>
      <c r="K367" s="63" t="s">
        <v>203</v>
      </c>
      <c r="Z367" s="35">
        <f>ROUND(IF(AQ367="5",BJ367,0),2)</f>
        <v>0</v>
      </c>
      <c r="AB367" s="35">
        <f>ROUND(IF(AQ367="1",BH367,0),2)</f>
        <v>0</v>
      </c>
      <c r="AC367" s="35">
        <f>ROUND(IF(AQ367="1",BI367,0),2)</f>
        <v>0</v>
      </c>
      <c r="AD367" s="35">
        <f>ROUND(IF(AQ367="7",BH367,0),2)</f>
        <v>0</v>
      </c>
      <c r="AE367" s="35">
        <f>ROUND(IF(AQ367="7",BI367,0),2)</f>
        <v>0</v>
      </c>
      <c r="AF367" s="35">
        <f>ROUND(IF(AQ367="2",BH367,0),2)</f>
        <v>0</v>
      </c>
      <c r="AG367" s="35">
        <f>ROUND(IF(AQ367="2",BI367,0),2)</f>
        <v>0</v>
      </c>
      <c r="AH367" s="35">
        <f>ROUND(IF(AQ367="0",BJ367,0),2)</f>
        <v>0</v>
      </c>
      <c r="AI367" s="48" t="s">
        <v>85</v>
      </c>
      <c r="AJ367" s="35">
        <f>IF(AN367=0,J367,0)</f>
        <v>0</v>
      </c>
      <c r="AK367" s="35">
        <f>IF(AN367=12,J367,0)</f>
        <v>0</v>
      </c>
      <c r="AL367" s="35">
        <f>IF(AN367=21,J367,0)</f>
        <v>0</v>
      </c>
      <c r="AN367" s="35">
        <v>12</v>
      </c>
      <c r="AO367" s="35">
        <f>G367*0.049356643</f>
        <v>0</v>
      </c>
      <c r="AP367" s="35">
        <f>G367*(1-0.049356643)</f>
        <v>0</v>
      </c>
      <c r="AQ367" s="64" t="s">
        <v>204</v>
      </c>
      <c r="AV367" s="35">
        <f>ROUND(AW367+AX367,2)</f>
        <v>0</v>
      </c>
      <c r="AW367" s="35">
        <f>ROUND(F367*AO367,2)</f>
        <v>0</v>
      </c>
      <c r="AX367" s="35">
        <f>ROUND(F367*AP367,2)</f>
        <v>0</v>
      </c>
      <c r="AY367" s="64" t="s">
        <v>794</v>
      </c>
      <c r="AZ367" s="64" t="s">
        <v>690</v>
      </c>
      <c r="BA367" s="48" t="s">
        <v>676</v>
      </c>
      <c r="BB367" s="65">
        <v>100004</v>
      </c>
      <c r="BC367" s="35">
        <f>AW367+AX367</f>
        <v>0</v>
      </c>
      <c r="BD367" s="35">
        <f>G367/(100-BE367)*100</f>
        <v>0</v>
      </c>
      <c r="BE367" s="35">
        <v>0</v>
      </c>
      <c r="BF367" s="35">
        <f>367</f>
        <v>367</v>
      </c>
      <c r="BH367" s="35">
        <f>F367*AO367</f>
        <v>0</v>
      </c>
      <c r="BI367" s="35">
        <f>F367*AP367</f>
        <v>0</v>
      </c>
      <c r="BJ367" s="35">
        <f>F367*G367</f>
        <v>0</v>
      </c>
      <c r="BK367" s="64" t="s">
        <v>208</v>
      </c>
      <c r="BL367" s="35">
        <v>725</v>
      </c>
      <c r="BW367" s="35">
        <v>12</v>
      </c>
      <c r="BX367" s="3" t="s">
        <v>845</v>
      </c>
    </row>
    <row r="368" spans="1:76" x14ac:dyDescent="0.25">
      <c r="A368" s="66"/>
      <c r="C368" s="67" t="s">
        <v>211</v>
      </c>
      <c r="D368" s="68" t="s">
        <v>10</v>
      </c>
      <c r="F368" s="69">
        <v>2</v>
      </c>
      <c r="K368" s="70"/>
    </row>
    <row r="369" spans="1:76" x14ac:dyDescent="0.25">
      <c r="A369" s="76" t="s">
        <v>846</v>
      </c>
      <c r="B369" s="77" t="s">
        <v>847</v>
      </c>
      <c r="C369" s="185" t="s">
        <v>848</v>
      </c>
      <c r="D369" s="186"/>
      <c r="E369" s="77" t="s">
        <v>252</v>
      </c>
      <c r="F369" s="79">
        <v>2</v>
      </c>
      <c r="G369" s="79">
        <v>0</v>
      </c>
      <c r="H369" s="79">
        <f>ROUND(F369*AO369,2)</f>
        <v>0</v>
      </c>
      <c r="I369" s="79">
        <f>ROUND(F369*AP369,2)</f>
        <v>0</v>
      </c>
      <c r="J369" s="79">
        <f>ROUND(F369*G369,2)</f>
        <v>0</v>
      </c>
      <c r="K369" s="80" t="s">
        <v>203</v>
      </c>
      <c r="Z369" s="35">
        <f>ROUND(IF(AQ369="5",BJ369,0),2)</f>
        <v>0</v>
      </c>
      <c r="AB369" s="35">
        <f>ROUND(IF(AQ369="1",BH369,0),2)</f>
        <v>0</v>
      </c>
      <c r="AC369" s="35">
        <f>ROUND(IF(AQ369="1",BI369,0),2)</f>
        <v>0</v>
      </c>
      <c r="AD369" s="35">
        <f>ROUND(IF(AQ369="7",BH369,0),2)</f>
        <v>0</v>
      </c>
      <c r="AE369" s="35">
        <f>ROUND(IF(AQ369="7",BI369,0),2)</f>
        <v>0</v>
      </c>
      <c r="AF369" s="35">
        <f>ROUND(IF(AQ369="2",BH369,0),2)</f>
        <v>0</v>
      </c>
      <c r="AG369" s="35">
        <f>ROUND(IF(AQ369="2",BI369,0),2)</f>
        <v>0</v>
      </c>
      <c r="AH369" s="35">
        <f>ROUND(IF(AQ369="0",BJ369,0),2)</f>
        <v>0</v>
      </c>
      <c r="AI369" s="48" t="s">
        <v>85</v>
      </c>
      <c r="AJ369" s="79">
        <f>IF(AN369=0,J369,0)</f>
        <v>0</v>
      </c>
      <c r="AK369" s="79">
        <f>IF(AN369=12,J369,0)</f>
        <v>0</v>
      </c>
      <c r="AL369" s="79">
        <f>IF(AN369=21,J369,0)</f>
        <v>0</v>
      </c>
      <c r="AN369" s="35">
        <v>12</v>
      </c>
      <c r="AO369" s="35">
        <f>G369*1</f>
        <v>0</v>
      </c>
      <c r="AP369" s="35">
        <f>G369*(1-1)</f>
        <v>0</v>
      </c>
      <c r="AQ369" s="81" t="s">
        <v>204</v>
      </c>
      <c r="AV369" s="35">
        <f>ROUND(AW369+AX369,2)</f>
        <v>0</v>
      </c>
      <c r="AW369" s="35">
        <f>ROUND(F369*AO369,2)</f>
        <v>0</v>
      </c>
      <c r="AX369" s="35">
        <f>ROUND(F369*AP369,2)</f>
        <v>0</v>
      </c>
      <c r="AY369" s="64" t="s">
        <v>794</v>
      </c>
      <c r="AZ369" s="64" t="s">
        <v>690</v>
      </c>
      <c r="BA369" s="48" t="s">
        <v>676</v>
      </c>
      <c r="BC369" s="35">
        <f>AW369+AX369</f>
        <v>0</v>
      </c>
      <c r="BD369" s="35">
        <f>G369/(100-BE369)*100</f>
        <v>0</v>
      </c>
      <c r="BE369" s="35">
        <v>0</v>
      </c>
      <c r="BF369" s="35">
        <f>369</f>
        <v>369</v>
      </c>
      <c r="BH369" s="79">
        <f>F369*AO369</f>
        <v>0</v>
      </c>
      <c r="BI369" s="79">
        <f>F369*AP369</f>
        <v>0</v>
      </c>
      <c r="BJ369" s="79">
        <f>F369*G369</f>
        <v>0</v>
      </c>
      <c r="BK369" s="81" t="s">
        <v>464</v>
      </c>
      <c r="BL369" s="35">
        <v>725</v>
      </c>
      <c r="BW369" s="35">
        <v>12</v>
      </c>
      <c r="BX369" s="78" t="s">
        <v>848</v>
      </c>
    </row>
    <row r="370" spans="1:76" x14ac:dyDescent="0.25">
      <c r="A370" s="66"/>
      <c r="C370" s="67" t="s">
        <v>211</v>
      </c>
      <c r="D370" s="68" t="s">
        <v>10</v>
      </c>
      <c r="F370" s="69">
        <v>2</v>
      </c>
      <c r="K370" s="70"/>
    </row>
    <row r="371" spans="1:76" x14ac:dyDescent="0.25">
      <c r="A371" s="1" t="s">
        <v>849</v>
      </c>
      <c r="B371" s="2" t="s">
        <v>850</v>
      </c>
      <c r="C371" s="86" t="s">
        <v>851</v>
      </c>
      <c r="D371" s="87"/>
      <c r="E371" s="2" t="s">
        <v>252</v>
      </c>
      <c r="F371" s="35">
        <v>24</v>
      </c>
      <c r="G371" s="35">
        <v>0</v>
      </c>
      <c r="H371" s="35">
        <f>ROUND(F371*AO371,2)</f>
        <v>0</v>
      </c>
      <c r="I371" s="35">
        <f>ROUND(F371*AP371,2)</f>
        <v>0</v>
      </c>
      <c r="J371" s="35">
        <f>ROUND(F371*G371,2)</f>
        <v>0</v>
      </c>
      <c r="K371" s="63" t="s">
        <v>203</v>
      </c>
      <c r="Z371" s="35">
        <f>ROUND(IF(AQ371="5",BJ371,0),2)</f>
        <v>0</v>
      </c>
      <c r="AB371" s="35">
        <f>ROUND(IF(AQ371="1",BH371,0),2)</f>
        <v>0</v>
      </c>
      <c r="AC371" s="35">
        <f>ROUND(IF(AQ371="1",BI371,0),2)</f>
        <v>0</v>
      </c>
      <c r="AD371" s="35">
        <f>ROUND(IF(AQ371="7",BH371,0),2)</f>
        <v>0</v>
      </c>
      <c r="AE371" s="35">
        <f>ROUND(IF(AQ371="7",BI371,0),2)</f>
        <v>0</v>
      </c>
      <c r="AF371" s="35">
        <f>ROUND(IF(AQ371="2",BH371,0),2)</f>
        <v>0</v>
      </c>
      <c r="AG371" s="35">
        <f>ROUND(IF(AQ371="2",BI371,0),2)</f>
        <v>0</v>
      </c>
      <c r="AH371" s="35">
        <f>ROUND(IF(AQ371="0",BJ371,0),2)</f>
        <v>0</v>
      </c>
      <c r="AI371" s="48" t="s">
        <v>85</v>
      </c>
      <c r="AJ371" s="35">
        <f>IF(AN371=0,J371,0)</f>
        <v>0</v>
      </c>
      <c r="AK371" s="35">
        <f>IF(AN371=12,J371,0)</f>
        <v>0</v>
      </c>
      <c r="AL371" s="35">
        <f>IF(AN371=21,J371,0)</f>
        <v>0</v>
      </c>
      <c r="AN371" s="35">
        <v>12</v>
      </c>
      <c r="AO371" s="35">
        <f>G371*0.101509486</f>
        <v>0</v>
      </c>
      <c r="AP371" s="35">
        <f>G371*(1-0.101509486)</f>
        <v>0</v>
      </c>
      <c r="AQ371" s="64" t="s">
        <v>204</v>
      </c>
      <c r="AV371" s="35">
        <f>ROUND(AW371+AX371,2)</f>
        <v>0</v>
      </c>
      <c r="AW371" s="35">
        <f>ROUND(F371*AO371,2)</f>
        <v>0</v>
      </c>
      <c r="AX371" s="35">
        <f>ROUND(F371*AP371,2)</f>
        <v>0</v>
      </c>
      <c r="AY371" s="64" t="s">
        <v>794</v>
      </c>
      <c r="AZ371" s="64" t="s">
        <v>690</v>
      </c>
      <c r="BA371" s="48" t="s">
        <v>676</v>
      </c>
      <c r="BB371" s="65">
        <v>100004</v>
      </c>
      <c r="BC371" s="35">
        <f>AW371+AX371</f>
        <v>0</v>
      </c>
      <c r="BD371" s="35">
        <f>G371/(100-BE371)*100</f>
        <v>0</v>
      </c>
      <c r="BE371" s="35">
        <v>0</v>
      </c>
      <c r="BF371" s="35">
        <f>371</f>
        <v>371</v>
      </c>
      <c r="BH371" s="35">
        <f>F371*AO371</f>
        <v>0</v>
      </c>
      <c r="BI371" s="35">
        <f>F371*AP371</f>
        <v>0</v>
      </c>
      <c r="BJ371" s="35">
        <f>F371*G371</f>
        <v>0</v>
      </c>
      <c r="BK371" s="64" t="s">
        <v>208</v>
      </c>
      <c r="BL371" s="35">
        <v>725</v>
      </c>
      <c r="BW371" s="35">
        <v>12</v>
      </c>
      <c r="BX371" s="3" t="s">
        <v>851</v>
      </c>
    </row>
    <row r="372" spans="1:76" x14ac:dyDescent="0.25">
      <c r="A372" s="66"/>
      <c r="C372" s="67" t="s">
        <v>852</v>
      </c>
      <c r="D372" s="68" t="s">
        <v>10</v>
      </c>
      <c r="F372" s="69">
        <v>24</v>
      </c>
      <c r="K372" s="70"/>
    </row>
    <row r="373" spans="1:76" x14ac:dyDescent="0.25">
      <c r="A373" s="76" t="s">
        <v>853</v>
      </c>
      <c r="B373" s="77" t="s">
        <v>854</v>
      </c>
      <c r="C373" s="185" t="s">
        <v>855</v>
      </c>
      <c r="D373" s="186"/>
      <c r="E373" s="77" t="s">
        <v>252</v>
      </c>
      <c r="F373" s="79">
        <v>2.4</v>
      </c>
      <c r="G373" s="79">
        <v>0</v>
      </c>
      <c r="H373" s="79">
        <f>ROUND(F373*AO373,2)</f>
        <v>0</v>
      </c>
      <c r="I373" s="79">
        <f>ROUND(F373*AP373,2)</f>
        <v>0</v>
      </c>
      <c r="J373" s="79">
        <f>ROUND(F373*G373,2)</f>
        <v>0</v>
      </c>
      <c r="K373" s="80" t="s">
        <v>203</v>
      </c>
      <c r="Z373" s="35">
        <f>ROUND(IF(AQ373="5",BJ373,0),2)</f>
        <v>0</v>
      </c>
      <c r="AB373" s="35">
        <f>ROUND(IF(AQ373="1",BH373,0),2)</f>
        <v>0</v>
      </c>
      <c r="AC373" s="35">
        <f>ROUND(IF(AQ373="1",BI373,0),2)</f>
        <v>0</v>
      </c>
      <c r="AD373" s="35">
        <f>ROUND(IF(AQ373="7",BH373,0),2)</f>
        <v>0</v>
      </c>
      <c r="AE373" s="35">
        <f>ROUND(IF(AQ373="7",BI373,0),2)</f>
        <v>0</v>
      </c>
      <c r="AF373" s="35">
        <f>ROUND(IF(AQ373="2",BH373,0),2)</f>
        <v>0</v>
      </c>
      <c r="AG373" s="35">
        <f>ROUND(IF(AQ373="2",BI373,0),2)</f>
        <v>0</v>
      </c>
      <c r="AH373" s="35">
        <f>ROUND(IF(AQ373="0",BJ373,0),2)</f>
        <v>0</v>
      </c>
      <c r="AI373" s="48" t="s">
        <v>85</v>
      </c>
      <c r="AJ373" s="79">
        <f>IF(AN373=0,J373,0)</f>
        <v>0</v>
      </c>
      <c r="AK373" s="79">
        <f>IF(AN373=12,J373,0)</f>
        <v>0</v>
      </c>
      <c r="AL373" s="79">
        <f>IF(AN373=21,J373,0)</f>
        <v>0</v>
      </c>
      <c r="AN373" s="35">
        <v>12</v>
      </c>
      <c r="AO373" s="35">
        <f>G373*1</f>
        <v>0</v>
      </c>
      <c r="AP373" s="35">
        <f>G373*(1-1)</f>
        <v>0</v>
      </c>
      <c r="AQ373" s="81" t="s">
        <v>204</v>
      </c>
      <c r="AV373" s="35">
        <f>ROUND(AW373+AX373,2)</f>
        <v>0</v>
      </c>
      <c r="AW373" s="35">
        <f>ROUND(F373*AO373,2)</f>
        <v>0</v>
      </c>
      <c r="AX373" s="35">
        <f>ROUND(F373*AP373,2)</f>
        <v>0</v>
      </c>
      <c r="AY373" s="64" t="s">
        <v>794</v>
      </c>
      <c r="AZ373" s="64" t="s">
        <v>690</v>
      </c>
      <c r="BA373" s="48" t="s">
        <v>676</v>
      </c>
      <c r="BC373" s="35">
        <f>AW373+AX373</f>
        <v>0</v>
      </c>
      <c r="BD373" s="35">
        <f>G373/(100-BE373)*100</f>
        <v>0</v>
      </c>
      <c r="BE373" s="35">
        <v>0</v>
      </c>
      <c r="BF373" s="35">
        <f>373</f>
        <v>373</v>
      </c>
      <c r="BH373" s="79">
        <f>F373*AO373</f>
        <v>0</v>
      </c>
      <c r="BI373" s="79">
        <f>F373*AP373</f>
        <v>0</v>
      </c>
      <c r="BJ373" s="79">
        <f>F373*G373</f>
        <v>0</v>
      </c>
      <c r="BK373" s="81" t="s">
        <v>464</v>
      </c>
      <c r="BL373" s="35">
        <v>725</v>
      </c>
      <c r="BW373" s="35">
        <v>12</v>
      </c>
      <c r="BX373" s="78" t="s">
        <v>855</v>
      </c>
    </row>
    <row r="374" spans="1:76" x14ac:dyDescent="0.25">
      <c r="A374" s="76" t="s">
        <v>856</v>
      </c>
      <c r="B374" s="77" t="s">
        <v>857</v>
      </c>
      <c r="C374" s="185" t="s">
        <v>858</v>
      </c>
      <c r="D374" s="186"/>
      <c r="E374" s="77" t="s">
        <v>252</v>
      </c>
      <c r="F374" s="79">
        <v>1.2</v>
      </c>
      <c r="G374" s="79">
        <v>0</v>
      </c>
      <c r="H374" s="79">
        <f>ROUND(F374*AO374,2)</f>
        <v>0</v>
      </c>
      <c r="I374" s="79">
        <f>ROUND(F374*AP374,2)</f>
        <v>0</v>
      </c>
      <c r="J374" s="79">
        <f>ROUND(F374*G374,2)</f>
        <v>0</v>
      </c>
      <c r="K374" s="80" t="s">
        <v>203</v>
      </c>
      <c r="Z374" s="35">
        <f>ROUND(IF(AQ374="5",BJ374,0),2)</f>
        <v>0</v>
      </c>
      <c r="AB374" s="35">
        <f>ROUND(IF(AQ374="1",BH374,0),2)</f>
        <v>0</v>
      </c>
      <c r="AC374" s="35">
        <f>ROUND(IF(AQ374="1",BI374,0),2)</f>
        <v>0</v>
      </c>
      <c r="AD374" s="35">
        <f>ROUND(IF(AQ374="7",BH374,0),2)</f>
        <v>0</v>
      </c>
      <c r="AE374" s="35">
        <f>ROUND(IF(AQ374="7",BI374,0),2)</f>
        <v>0</v>
      </c>
      <c r="AF374" s="35">
        <f>ROUND(IF(AQ374="2",BH374,0),2)</f>
        <v>0</v>
      </c>
      <c r="AG374" s="35">
        <f>ROUND(IF(AQ374="2",BI374,0),2)</f>
        <v>0</v>
      </c>
      <c r="AH374" s="35">
        <f>ROUND(IF(AQ374="0",BJ374,0),2)</f>
        <v>0</v>
      </c>
      <c r="AI374" s="48" t="s">
        <v>85</v>
      </c>
      <c r="AJ374" s="79">
        <f>IF(AN374=0,J374,0)</f>
        <v>0</v>
      </c>
      <c r="AK374" s="79">
        <f>IF(AN374=12,J374,0)</f>
        <v>0</v>
      </c>
      <c r="AL374" s="79">
        <f>IF(AN374=21,J374,0)</f>
        <v>0</v>
      </c>
      <c r="AN374" s="35">
        <v>12</v>
      </c>
      <c r="AO374" s="35">
        <f>G374*1</f>
        <v>0</v>
      </c>
      <c r="AP374" s="35">
        <f>G374*(1-1)</f>
        <v>0</v>
      </c>
      <c r="AQ374" s="81" t="s">
        <v>204</v>
      </c>
      <c r="AV374" s="35">
        <f>ROUND(AW374+AX374,2)</f>
        <v>0</v>
      </c>
      <c r="AW374" s="35">
        <f>ROUND(F374*AO374,2)</f>
        <v>0</v>
      </c>
      <c r="AX374" s="35">
        <f>ROUND(F374*AP374,2)</f>
        <v>0</v>
      </c>
      <c r="AY374" s="64" t="s">
        <v>794</v>
      </c>
      <c r="AZ374" s="64" t="s">
        <v>690</v>
      </c>
      <c r="BA374" s="48" t="s">
        <v>676</v>
      </c>
      <c r="BC374" s="35">
        <f>AW374+AX374</f>
        <v>0</v>
      </c>
      <c r="BD374" s="35">
        <f>G374/(100-BE374)*100</f>
        <v>0</v>
      </c>
      <c r="BE374" s="35">
        <v>0</v>
      </c>
      <c r="BF374" s="35">
        <f>374</f>
        <v>374</v>
      </c>
      <c r="BH374" s="79">
        <f>F374*AO374</f>
        <v>0</v>
      </c>
      <c r="BI374" s="79">
        <f>F374*AP374</f>
        <v>0</v>
      </c>
      <c r="BJ374" s="79">
        <f>F374*G374</f>
        <v>0</v>
      </c>
      <c r="BK374" s="81" t="s">
        <v>464</v>
      </c>
      <c r="BL374" s="35">
        <v>725</v>
      </c>
      <c r="BW374" s="35">
        <v>12</v>
      </c>
      <c r="BX374" s="78" t="s">
        <v>858</v>
      </c>
    </row>
    <row r="375" spans="1:76" x14ac:dyDescent="0.25">
      <c r="A375" s="66"/>
      <c r="C375" s="67" t="s">
        <v>199</v>
      </c>
      <c r="D375" s="68" t="s">
        <v>10</v>
      </c>
      <c r="F375" s="69">
        <v>1</v>
      </c>
      <c r="K375" s="70"/>
    </row>
    <row r="376" spans="1:76" x14ac:dyDescent="0.25">
      <c r="A376" s="76" t="s">
        <v>859</v>
      </c>
      <c r="B376" s="77" t="s">
        <v>860</v>
      </c>
      <c r="C376" s="185" t="s">
        <v>861</v>
      </c>
      <c r="D376" s="186"/>
      <c r="E376" s="77" t="s">
        <v>252</v>
      </c>
      <c r="F376" s="79">
        <v>1.2</v>
      </c>
      <c r="G376" s="79">
        <v>0</v>
      </c>
      <c r="H376" s="79">
        <f>ROUND(F376*AO376,2)</f>
        <v>0</v>
      </c>
      <c r="I376" s="79">
        <f>ROUND(F376*AP376,2)</f>
        <v>0</v>
      </c>
      <c r="J376" s="79">
        <f>ROUND(F376*G376,2)</f>
        <v>0</v>
      </c>
      <c r="K376" s="80" t="s">
        <v>203</v>
      </c>
      <c r="Z376" s="35">
        <f>ROUND(IF(AQ376="5",BJ376,0),2)</f>
        <v>0</v>
      </c>
      <c r="AB376" s="35">
        <f>ROUND(IF(AQ376="1",BH376,0),2)</f>
        <v>0</v>
      </c>
      <c r="AC376" s="35">
        <f>ROUND(IF(AQ376="1",BI376,0),2)</f>
        <v>0</v>
      </c>
      <c r="AD376" s="35">
        <f>ROUND(IF(AQ376="7",BH376,0),2)</f>
        <v>0</v>
      </c>
      <c r="AE376" s="35">
        <f>ROUND(IF(AQ376="7",BI376,0),2)</f>
        <v>0</v>
      </c>
      <c r="AF376" s="35">
        <f>ROUND(IF(AQ376="2",BH376,0),2)</f>
        <v>0</v>
      </c>
      <c r="AG376" s="35">
        <f>ROUND(IF(AQ376="2",BI376,0),2)</f>
        <v>0</v>
      </c>
      <c r="AH376" s="35">
        <f>ROUND(IF(AQ376="0",BJ376,0),2)</f>
        <v>0</v>
      </c>
      <c r="AI376" s="48" t="s">
        <v>85</v>
      </c>
      <c r="AJ376" s="79">
        <f>IF(AN376=0,J376,0)</f>
        <v>0</v>
      </c>
      <c r="AK376" s="79">
        <f>IF(AN376=12,J376,0)</f>
        <v>0</v>
      </c>
      <c r="AL376" s="79">
        <f>IF(AN376=21,J376,0)</f>
        <v>0</v>
      </c>
      <c r="AN376" s="35">
        <v>12</v>
      </c>
      <c r="AO376" s="35">
        <f>G376*1</f>
        <v>0</v>
      </c>
      <c r="AP376" s="35">
        <f>G376*(1-1)</f>
        <v>0</v>
      </c>
      <c r="AQ376" s="81" t="s">
        <v>204</v>
      </c>
      <c r="AV376" s="35">
        <f>ROUND(AW376+AX376,2)</f>
        <v>0</v>
      </c>
      <c r="AW376" s="35">
        <f>ROUND(F376*AO376,2)</f>
        <v>0</v>
      </c>
      <c r="AX376" s="35">
        <f>ROUND(F376*AP376,2)</f>
        <v>0</v>
      </c>
      <c r="AY376" s="64" t="s">
        <v>794</v>
      </c>
      <c r="AZ376" s="64" t="s">
        <v>690</v>
      </c>
      <c r="BA376" s="48" t="s">
        <v>676</v>
      </c>
      <c r="BC376" s="35">
        <f>AW376+AX376</f>
        <v>0</v>
      </c>
      <c r="BD376" s="35">
        <f>G376/(100-BE376)*100</f>
        <v>0</v>
      </c>
      <c r="BE376" s="35">
        <v>0</v>
      </c>
      <c r="BF376" s="35">
        <f>376</f>
        <v>376</v>
      </c>
      <c r="BH376" s="79">
        <f>F376*AO376</f>
        <v>0</v>
      </c>
      <c r="BI376" s="79">
        <f>F376*AP376</f>
        <v>0</v>
      </c>
      <c r="BJ376" s="79">
        <f>F376*G376</f>
        <v>0</v>
      </c>
      <c r="BK376" s="81" t="s">
        <v>464</v>
      </c>
      <c r="BL376" s="35">
        <v>725</v>
      </c>
      <c r="BW376" s="35">
        <v>12</v>
      </c>
      <c r="BX376" s="78" t="s">
        <v>861</v>
      </c>
    </row>
    <row r="377" spans="1:76" x14ac:dyDescent="0.25">
      <c r="A377" s="76" t="s">
        <v>862</v>
      </c>
      <c r="B377" s="77" t="s">
        <v>863</v>
      </c>
      <c r="C377" s="185" t="s">
        <v>864</v>
      </c>
      <c r="D377" s="186"/>
      <c r="E377" s="77" t="s">
        <v>252</v>
      </c>
      <c r="F377" s="79">
        <v>2.4</v>
      </c>
      <c r="G377" s="79">
        <v>0</v>
      </c>
      <c r="H377" s="79">
        <f>ROUND(F377*AO377,2)</f>
        <v>0</v>
      </c>
      <c r="I377" s="79">
        <f>ROUND(F377*AP377,2)</f>
        <v>0</v>
      </c>
      <c r="J377" s="79">
        <f>ROUND(F377*G377,2)</f>
        <v>0</v>
      </c>
      <c r="K377" s="80" t="s">
        <v>292</v>
      </c>
      <c r="Z377" s="35">
        <f>ROUND(IF(AQ377="5",BJ377,0),2)</f>
        <v>0</v>
      </c>
      <c r="AB377" s="35">
        <f>ROUND(IF(AQ377="1",BH377,0),2)</f>
        <v>0</v>
      </c>
      <c r="AC377" s="35">
        <f>ROUND(IF(AQ377="1",BI377,0),2)</f>
        <v>0</v>
      </c>
      <c r="AD377" s="35">
        <f>ROUND(IF(AQ377="7",BH377,0),2)</f>
        <v>0</v>
      </c>
      <c r="AE377" s="35">
        <f>ROUND(IF(AQ377="7",BI377,0),2)</f>
        <v>0</v>
      </c>
      <c r="AF377" s="35">
        <f>ROUND(IF(AQ377="2",BH377,0),2)</f>
        <v>0</v>
      </c>
      <c r="AG377" s="35">
        <f>ROUND(IF(AQ377="2",BI377,0),2)</f>
        <v>0</v>
      </c>
      <c r="AH377" s="35">
        <f>ROUND(IF(AQ377="0",BJ377,0),2)</f>
        <v>0</v>
      </c>
      <c r="AI377" s="48" t="s">
        <v>85</v>
      </c>
      <c r="AJ377" s="79">
        <f>IF(AN377=0,J377,0)</f>
        <v>0</v>
      </c>
      <c r="AK377" s="79">
        <f>IF(AN377=12,J377,0)</f>
        <v>0</v>
      </c>
      <c r="AL377" s="79">
        <f>IF(AN377=21,J377,0)</f>
        <v>0</v>
      </c>
      <c r="AN377" s="35">
        <v>12</v>
      </c>
      <c r="AO377" s="35">
        <f>G377*1</f>
        <v>0</v>
      </c>
      <c r="AP377" s="35">
        <f>G377*(1-1)</f>
        <v>0</v>
      </c>
      <c r="AQ377" s="81" t="s">
        <v>204</v>
      </c>
      <c r="AV377" s="35">
        <f>ROUND(AW377+AX377,2)</f>
        <v>0</v>
      </c>
      <c r="AW377" s="35">
        <f>ROUND(F377*AO377,2)</f>
        <v>0</v>
      </c>
      <c r="AX377" s="35">
        <f>ROUND(F377*AP377,2)</f>
        <v>0</v>
      </c>
      <c r="AY377" s="64" t="s">
        <v>794</v>
      </c>
      <c r="AZ377" s="64" t="s">
        <v>690</v>
      </c>
      <c r="BA377" s="48" t="s">
        <v>676</v>
      </c>
      <c r="BC377" s="35">
        <f>AW377+AX377</f>
        <v>0</v>
      </c>
      <c r="BD377" s="35">
        <f>G377/(100-BE377)*100</f>
        <v>0</v>
      </c>
      <c r="BE377" s="35">
        <v>0</v>
      </c>
      <c r="BF377" s="35">
        <f>377</f>
        <v>377</v>
      </c>
      <c r="BH377" s="79">
        <f>F377*AO377</f>
        <v>0</v>
      </c>
      <c r="BI377" s="79">
        <f>F377*AP377</f>
        <v>0</v>
      </c>
      <c r="BJ377" s="79">
        <f>F377*G377</f>
        <v>0</v>
      </c>
      <c r="BK377" s="81" t="s">
        <v>464</v>
      </c>
      <c r="BL377" s="35">
        <v>725</v>
      </c>
      <c r="BW377" s="35">
        <v>12</v>
      </c>
      <c r="BX377" s="78" t="s">
        <v>864</v>
      </c>
    </row>
    <row r="378" spans="1:76" x14ac:dyDescent="0.25">
      <c r="A378" s="66"/>
      <c r="C378" s="67" t="s">
        <v>211</v>
      </c>
      <c r="D378" s="68" t="s">
        <v>865</v>
      </c>
      <c r="F378" s="69">
        <v>2</v>
      </c>
      <c r="K378" s="70"/>
    </row>
    <row r="379" spans="1:76" x14ac:dyDescent="0.25">
      <c r="A379" s="76" t="s">
        <v>866</v>
      </c>
      <c r="B379" s="77" t="s">
        <v>867</v>
      </c>
      <c r="C379" s="185" t="s">
        <v>868</v>
      </c>
      <c r="D379" s="186"/>
      <c r="E379" s="77" t="s">
        <v>252</v>
      </c>
      <c r="F379" s="79">
        <v>9.6</v>
      </c>
      <c r="G379" s="79">
        <v>0</v>
      </c>
      <c r="H379" s="79">
        <f>ROUND(F379*AO379,2)</f>
        <v>0</v>
      </c>
      <c r="I379" s="79">
        <f>ROUND(F379*AP379,2)</f>
        <v>0</v>
      </c>
      <c r="J379" s="79">
        <f>ROUND(F379*G379,2)</f>
        <v>0</v>
      </c>
      <c r="K379" s="80" t="s">
        <v>292</v>
      </c>
      <c r="Z379" s="35">
        <f>ROUND(IF(AQ379="5",BJ379,0),2)</f>
        <v>0</v>
      </c>
      <c r="AB379" s="35">
        <f>ROUND(IF(AQ379="1",BH379,0),2)</f>
        <v>0</v>
      </c>
      <c r="AC379" s="35">
        <f>ROUND(IF(AQ379="1",BI379,0),2)</f>
        <v>0</v>
      </c>
      <c r="AD379" s="35">
        <f>ROUND(IF(AQ379="7",BH379,0),2)</f>
        <v>0</v>
      </c>
      <c r="AE379" s="35">
        <f>ROUND(IF(AQ379="7",BI379,0),2)</f>
        <v>0</v>
      </c>
      <c r="AF379" s="35">
        <f>ROUND(IF(AQ379="2",BH379,0),2)</f>
        <v>0</v>
      </c>
      <c r="AG379" s="35">
        <f>ROUND(IF(AQ379="2",BI379,0),2)</f>
        <v>0</v>
      </c>
      <c r="AH379" s="35">
        <f>ROUND(IF(AQ379="0",BJ379,0),2)</f>
        <v>0</v>
      </c>
      <c r="AI379" s="48" t="s">
        <v>85</v>
      </c>
      <c r="AJ379" s="79">
        <f>IF(AN379=0,J379,0)</f>
        <v>0</v>
      </c>
      <c r="AK379" s="79">
        <f>IF(AN379=12,J379,0)</f>
        <v>0</v>
      </c>
      <c r="AL379" s="79">
        <f>IF(AN379=21,J379,0)</f>
        <v>0</v>
      </c>
      <c r="AN379" s="35">
        <v>12</v>
      </c>
      <c r="AO379" s="35">
        <f>G379*1</f>
        <v>0</v>
      </c>
      <c r="AP379" s="35">
        <f>G379*(1-1)</f>
        <v>0</v>
      </c>
      <c r="AQ379" s="81" t="s">
        <v>204</v>
      </c>
      <c r="AV379" s="35">
        <f>ROUND(AW379+AX379,2)</f>
        <v>0</v>
      </c>
      <c r="AW379" s="35">
        <f>ROUND(F379*AO379,2)</f>
        <v>0</v>
      </c>
      <c r="AX379" s="35">
        <f>ROUND(F379*AP379,2)</f>
        <v>0</v>
      </c>
      <c r="AY379" s="64" t="s">
        <v>794</v>
      </c>
      <c r="AZ379" s="64" t="s">
        <v>690</v>
      </c>
      <c r="BA379" s="48" t="s">
        <v>676</v>
      </c>
      <c r="BC379" s="35">
        <f>AW379+AX379</f>
        <v>0</v>
      </c>
      <c r="BD379" s="35">
        <f>G379/(100-BE379)*100</f>
        <v>0</v>
      </c>
      <c r="BE379" s="35">
        <v>0</v>
      </c>
      <c r="BF379" s="35">
        <f>379</f>
        <v>379</v>
      </c>
      <c r="BH379" s="79">
        <f>F379*AO379</f>
        <v>0</v>
      </c>
      <c r="BI379" s="79">
        <f>F379*AP379</f>
        <v>0</v>
      </c>
      <c r="BJ379" s="79">
        <f>F379*G379</f>
        <v>0</v>
      </c>
      <c r="BK379" s="81" t="s">
        <v>464</v>
      </c>
      <c r="BL379" s="35">
        <v>725</v>
      </c>
      <c r="BW379" s="35">
        <v>12</v>
      </c>
      <c r="BX379" s="78" t="s">
        <v>868</v>
      </c>
    </row>
    <row r="380" spans="1:76" x14ac:dyDescent="0.25">
      <c r="A380" s="76" t="s">
        <v>869</v>
      </c>
      <c r="B380" s="77" t="s">
        <v>870</v>
      </c>
      <c r="C380" s="185" t="s">
        <v>871</v>
      </c>
      <c r="D380" s="186"/>
      <c r="E380" s="77" t="s">
        <v>252</v>
      </c>
      <c r="F380" s="79">
        <v>2.4</v>
      </c>
      <c r="G380" s="79">
        <v>0</v>
      </c>
      <c r="H380" s="79">
        <f>ROUND(F380*AO380,2)</f>
        <v>0</v>
      </c>
      <c r="I380" s="79">
        <f>ROUND(F380*AP380,2)</f>
        <v>0</v>
      </c>
      <c r="J380" s="79">
        <f>ROUND(F380*G380,2)</f>
        <v>0</v>
      </c>
      <c r="K380" s="80" t="s">
        <v>203</v>
      </c>
      <c r="Z380" s="35">
        <f>ROUND(IF(AQ380="5",BJ380,0),2)</f>
        <v>0</v>
      </c>
      <c r="AB380" s="35">
        <f>ROUND(IF(AQ380="1",BH380,0),2)</f>
        <v>0</v>
      </c>
      <c r="AC380" s="35">
        <f>ROUND(IF(AQ380="1",BI380,0),2)</f>
        <v>0</v>
      </c>
      <c r="AD380" s="35">
        <f>ROUND(IF(AQ380="7",BH380,0),2)</f>
        <v>0</v>
      </c>
      <c r="AE380" s="35">
        <f>ROUND(IF(AQ380="7",BI380,0),2)</f>
        <v>0</v>
      </c>
      <c r="AF380" s="35">
        <f>ROUND(IF(AQ380="2",BH380,0),2)</f>
        <v>0</v>
      </c>
      <c r="AG380" s="35">
        <f>ROUND(IF(AQ380="2",BI380,0),2)</f>
        <v>0</v>
      </c>
      <c r="AH380" s="35">
        <f>ROUND(IF(AQ380="0",BJ380,0),2)</f>
        <v>0</v>
      </c>
      <c r="AI380" s="48" t="s">
        <v>85</v>
      </c>
      <c r="AJ380" s="79">
        <f>IF(AN380=0,J380,0)</f>
        <v>0</v>
      </c>
      <c r="AK380" s="79">
        <f>IF(AN380=12,J380,0)</f>
        <v>0</v>
      </c>
      <c r="AL380" s="79">
        <f>IF(AN380=21,J380,0)</f>
        <v>0</v>
      </c>
      <c r="AN380" s="35">
        <v>12</v>
      </c>
      <c r="AO380" s="35">
        <f>G380*1</f>
        <v>0</v>
      </c>
      <c r="AP380" s="35">
        <f>G380*(1-1)</f>
        <v>0</v>
      </c>
      <c r="AQ380" s="81" t="s">
        <v>204</v>
      </c>
      <c r="AV380" s="35">
        <f>ROUND(AW380+AX380,2)</f>
        <v>0</v>
      </c>
      <c r="AW380" s="35">
        <f>ROUND(F380*AO380,2)</f>
        <v>0</v>
      </c>
      <c r="AX380" s="35">
        <f>ROUND(F380*AP380,2)</f>
        <v>0</v>
      </c>
      <c r="AY380" s="64" t="s">
        <v>794</v>
      </c>
      <c r="AZ380" s="64" t="s">
        <v>690</v>
      </c>
      <c r="BA380" s="48" t="s">
        <v>676</v>
      </c>
      <c r="BC380" s="35">
        <f>AW380+AX380</f>
        <v>0</v>
      </c>
      <c r="BD380" s="35">
        <f>G380/(100-BE380)*100</f>
        <v>0</v>
      </c>
      <c r="BE380" s="35">
        <v>0</v>
      </c>
      <c r="BF380" s="35">
        <f>380</f>
        <v>380</v>
      </c>
      <c r="BH380" s="79">
        <f>F380*AO380</f>
        <v>0</v>
      </c>
      <c r="BI380" s="79">
        <f>F380*AP380</f>
        <v>0</v>
      </c>
      <c r="BJ380" s="79">
        <f>F380*G380</f>
        <v>0</v>
      </c>
      <c r="BK380" s="81" t="s">
        <v>464</v>
      </c>
      <c r="BL380" s="35">
        <v>725</v>
      </c>
      <c r="BW380" s="35">
        <v>12</v>
      </c>
      <c r="BX380" s="78" t="s">
        <v>871</v>
      </c>
    </row>
    <row r="381" spans="1:76" x14ac:dyDescent="0.25">
      <c r="A381" s="66"/>
      <c r="C381" s="67" t="s">
        <v>211</v>
      </c>
      <c r="D381" s="68" t="s">
        <v>872</v>
      </c>
      <c r="F381" s="69">
        <v>2</v>
      </c>
      <c r="K381" s="70"/>
    </row>
    <row r="382" spans="1:76" x14ac:dyDescent="0.25">
      <c r="A382" s="1" t="s">
        <v>873</v>
      </c>
      <c r="B382" s="2" t="s">
        <v>874</v>
      </c>
      <c r="C382" s="86" t="s">
        <v>875</v>
      </c>
      <c r="D382" s="87"/>
      <c r="E382" s="2" t="s">
        <v>252</v>
      </c>
      <c r="F382" s="35">
        <v>1</v>
      </c>
      <c r="G382" s="35">
        <v>0</v>
      </c>
      <c r="H382" s="35">
        <f>ROUND(F382*AO382,2)</f>
        <v>0</v>
      </c>
      <c r="I382" s="35">
        <f>ROUND(F382*AP382,2)</f>
        <v>0</v>
      </c>
      <c r="J382" s="35">
        <f>ROUND(F382*G382,2)</f>
        <v>0</v>
      </c>
      <c r="K382" s="63" t="s">
        <v>203</v>
      </c>
      <c r="Z382" s="35">
        <f>ROUND(IF(AQ382="5",BJ382,0),2)</f>
        <v>0</v>
      </c>
      <c r="AB382" s="35">
        <f>ROUND(IF(AQ382="1",BH382,0),2)</f>
        <v>0</v>
      </c>
      <c r="AC382" s="35">
        <f>ROUND(IF(AQ382="1",BI382,0),2)</f>
        <v>0</v>
      </c>
      <c r="AD382" s="35">
        <f>ROUND(IF(AQ382="7",BH382,0),2)</f>
        <v>0</v>
      </c>
      <c r="AE382" s="35">
        <f>ROUND(IF(AQ382="7",BI382,0),2)</f>
        <v>0</v>
      </c>
      <c r="AF382" s="35">
        <f>ROUND(IF(AQ382="2",BH382,0),2)</f>
        <v>0</v>
      </c>
      <c r="AG382" s="35">
        <f>ROUND(IF(AQ382="2",BI382,0),2)</f>
        <v>0</v>
      </c>
      <c r="AH382" s="35">
        <f>ROUND(IF(AQ382="0",BJ382,0),2)</f>
        <v>0</v>
      </c>
      <c r="AI382" s="48" t="s">
        <v>85</v>
      </c>
      <c r="AJ382" s="35">
        <f>IF(AN382=0,J382,0)</f>
        <v>0</v>
      </c>
      <c r="AK382" s="35">
        <f>IF(AN382=12,J382,0)</f>
        <v>0</v>
      </c>
      <c r="AL382" s="35">
        <f>IF(AN382=21,J382,0)</f>
        <v>0</v>
      </c>
      <c r="AN382" s="35">
        <v>12</v>
      </c>
      <c r="AO382" s="35">
        <f>G382*0.296833559</f>
        <v>0</v>
      </c>
      <c r="AP382" s="35">
        <f>G382*(1-0.296833559)</f>
        <v>0</v>
      </c>
      <c r="AQ382" s="64" t="s">
        <v>204</v>
      </c>
      <c r="AV382" s="35">
        <f>ROUND(AW382+AX382,2)</f>
        <v>0</v>
      </c>
      <c r="AW382" s="35">
        <f>ROUND(F382*AO382,2)</f>
        <v>0</v>
      </c>
      <c r="AX382" s="35">
        <f>ROUND(F382*AP382,2)</f>
        <v>0</v>
      </c>
      <c r="AY382" s="64" t="s">
        <v>794</v>
      </c>
      <c r="AZ382" s="64" t="s">
        <v>690</v>
      </c>
      <c r="BA382" s="48" t="s">
        <v>676</v>
      </c>
      <c r="BB382" s="65">
        <v>100004</v>
      </c>
      <c r="BC382" s="35">
        <f>AW382+AX382</f>
        <v>0</v>
      </c>
      <c r="BD382" s="35">
        <f>G382/(100-BE382)*100</f>
        <v>0</v>
      </c>
      <c r="BE382" s="35">
        <v>0</v>
      </c>
      <c r="BF382" s="35">
        <f>382</f>
        <v>382</v>
      </c>
      <c r="BH382" s="35">
        <f>F382*AO382</f>
        <v>0</v>
      </c>
      <c r="BI382" s="35">
        <f>F382*AP382</f>
        <v>0</v>
      </c>
      <c r="BJ382" s="35">
        <f>F382*G382</f>
        <v>0</v>
      </c>
      <c r="BK382" s="64" t="s">
        <v>208</v>
      </c>
      <c r="BL382" s="35">
        <v>725</v>
      </c>
      <c r="BW382" s="35">
        <v>12</v>
      </c>
      <c r="BX382" s="3" t="s">
        <v>875</v>
      </c>
    </row>
    <row r="383" spans="1:76" x14ac:dyDescent="0.25">
      <c r="A383" s="1" t="s">
        <v>876</v>
      </c>
      <c r="B383" s="2" t="s">
        <v>877</v>
      </c>
      <c r="C383" s="86" t="s">
        <v>878</v>
      </c>
      <c r="D383" s="87"/>
      <c r="E383" s="2" t="s">
        <v>463</v>
      </c>
      <c r="F383" s="35">
        <v>2</v>
      </c>
      <c r="G383" s="35">
        <v>0</v>
      </c>
      <c r="H383" s="35">
        <f>ROUND(F383*AO383,2)</f>
        <v>0</v>
      </c>
      <c r="I383" s="35">
        <f>ROUND(F383*AP383,2)</f>
        <v>0</v>
      </c>
      <c r="J383" s="35">
        <f>ROUND(F383*G383,2)</f>
        <v>0</v>
      </c>
      <c r="K383" s="63" t="s">
        <v>203</v>
      </c>
      <c r="Z383" s="35">
        <f>ROUND(IF(AQ383="5",BJ383,0),2)</f>
        <v>0</v>
      </c>
      <c r="AB383" s="35">
        <f>ROUND(IF(AQ383="1",BH383,0),2)</f>
        <v>0</v>
      </c>
      <c r="AC383" s="35">
        <f>ROUND(IF(AQ383="1",BI383,0),2)</f>
        <v>0</v>
      </c>
      <c r="AD383" s="35">
        <f>ROUND(IF(AQ383="7",BH383,0),2)</f>
        <v>0</v>
      </c>
      <c r="AE383" s="35">
        <f>ROUND(IF(AQ383="7",BI383,0),2)</f>
        <v>0</v>
      </c>
      <c r="AF383" s="35">
        <f>ROUND(IF(AQ383="2",BH383,0),2)</f>
        <v>0</v>
      </c>
      <c r="AG383" s="35">
        <f>ROUND(IF(AQ383="2",BI383,0),2)</f>
        <v>0</v>
      </c>
      <c r="AH383" s="35">
        <f>ROUND(IF(AQ383="0",BJ383,0),2)</f>
        <v>0</v>
      </c>
      <c r="AI383" s="48" t="s">
        <v>85</v>
      </c>
      <c r="AJ383" s="35">
        <f>IF(AN383=0,J383,0)</f>
        <v>0</v>
      </c>
      <c r="AK383" s="35">
        <f>IF(AN383=12,J383,0)</f>
        <v>0</v>
      </c>
      <c r="AL383" s="35">
        <f>IF(AN383=21,J383,0)</f>
        <v>0</v>
      </c>
      <c r="AN383" s="35">
        <v>12</v>
      </c>
      <c r="AO383" s="35">
        <f>G383*0</f>
        <v>0</v>
      </c>
      <c r="AP383" s="35">
        <f>G383*(1-0)</f>
        <v>0</v>
      </c>
      <c r="AQ383" s="64" t="s">
        <v>204</v>
      </c>
      <c r="AV383" s="35">
        <f>ROUND(AW383+AX383,2)</f>
        <v>0</v>
      </c>
      <c r="AW383" s="35">
        <f>ROUND(F383*AO383,2)</f>
        <v>0</v>
      </c>
      <c r="AX383" s="35">
        <f>ROUND(F383*AP383,2)</f>
        <v>0</v>
      </c>
      <c r="AY383" s="64" t="s">
        <v>794</v>
      </c>
      <c r="AZ383" s="64" t="s">
        <v>690</v>
      </c>
      <c r="BA383" s="48" t="s">
        <v>676</v>
      </c>
      <c r="BB383" s="65">
        <v>100004</v>
      </c>
      <c r="BC383" s="35">
        <f>AW383+AX383</f>
        <v>0</v>
      </c>
      <c r="BD383" s="35">
        <f>G383/(100-BE383)*100</f>
        <v>0</v>
      </c>
      <c r="BE383" s="35">
        <v>0</v>
      </c>
      <c r="BF383" s="35">
        <f>383</f>
        <v>383</v>
      </c>
      <c r="BH383" s="35">
        <f>F383*AO383</f>
        <v>0</v>
      </c>
      <c r="BI383" s="35">
        <f>F383*AP383</f>
        <v>0</v>
      </c>
      <c r="BJ383" s="35">
        <f>F383*G383</f>
        <v>0</v>
      </c>
      <c r="BK383" s="64" t="s">
        <v>208</v>
      </c>
      <c r="BL383" s="35">
        <v>725</v>
      </c>
      <c r="BW383" s="35">
        <v>12</v>
      </c>
      <c r="BX383" s="3" t="s">
        <v>878</v>
      </c>
    </row>
    <row r="384" spans="1:76" x14ac:dyDescent="0.25">
      <c r="A384" s="66"/>
      <c r="C384" s="67" t="s">
        <v>211</v>
      </c>
      <c r="D384" s="68" t="s">
        <v>10</v>
      </c>
      <c r="F384" s="69">
        <v>2</v>
      </c>
      <c r="K384" s="70"/>
    </row>
    <row r="385" spans="1:76" x14ac:dyDescent="0.25">
      <c r="A385" s="76" t="s">
        <v>879</v>
      </c>
      <c r="B385" s="77" t="s">
        <v>880</v>
      </c>
      <c r="C385" s="185" t="s">
        <v>881</v>
      </c>
      <c r="D385" s="186"/>
      <c r="E385" s="77" t="s">
        <v>252</v>
      </c>
      <c r="F385" s="79">
        <v>2</v>
      </c>
      <c r="G385" s="79">
        <v>0</v>
      </c>
      <c r="H385" s="79">
        <f>ROUND(F385*AO385,2)</f>
        <v>0</v>
      </c>
      <c r="I385" s="79">
        <f>ROUND(F385*AP385,2)</f>
        <v>0</v>
      </c>
      <c r="J385" s="79">
        <f>ROUND(F385*G385,2)</f>
        <v>0</v>
      </c>
      <c r="K385" s="80" t="s">
        <v>203</v>
      </c>
      <c r="Z385" s="35">
        <f>ROUND(IF(AQ385="5",BJ385,0),2)</f>
        <v>0</v>
      </c>
      <c r="AB385" s="35">
        <f>ROUND(IF(AQ385="1",BH385,0),2)</f>
        <v>0</v>
      </c>
      <c r="AC385" s="35">
        <f>ROUND(IF(AQ385="1",BI385,0),2)</f>
        <v>0</v>
      </c>
      <c r="AD385" s="35">
        <f>ROUND(IF(AQ385="7",BH385,0),2)</f>
        <v>0</v>
      </c>
      <c r="AE385" s="35">
        <f>ROUND(IF(AQ385="7",BI385,0),2)</f>
        <v>0</v>
      </c>
      <c r="AF385" s="35">
        <f>ROUND(IF(AQ385="2",BH385,0),2)</f>
        <v>0</v>
      </c>
      <c r="AG385" s="35">
        <f>ROUND(IF(AQ385="2",BI385,0),2)</f>
        <v>0</v>
      </c>
      <c r="AH385" s="35">
        <f>ROUND(IF(AQ385="0",BJ385,0),2)</f>
        <v>0</v>
      </c>
      <c r="AI385" s="48" t="s">
        <v>85</v>
      </c>
      <c r="AJ385" s="79">
        <f>IF(AN385=0,J385,0)</f>
        <v>0</v>
      </c>
      <c r="AK385" s="79">
        <f>IF(AN385=12,J385,0)</f>
        <v>0</v>
      </c>
      <c r="AL385" s="79">
        <f>IF(AN385=21,J385,0)</f>
        <v>0</v>
      </c>
      <c r="AN385" s="35">
        <v>12</v>
      </c>
      <c r="AO385" s="35">
        <f>G385*1</f>
        <v>0</v>
      </c>
      <c r="AP385" s="35">
        <f>G385*(1-1)</f>
        <v>0</v>
      </c>
      <c r="AQ385" s="81" t="s">
        <v>204</v>
      </c>
      <c r="AV385" s="35">
        <f>ROUND(AW385+AX385,2)</f>
        <v>0</v>
      </c>
      <c r="AW385" s="35">
        <f>ROUND(F385*AO385,2)</f>
        <v>0</v>
      </c>
      <c r="AX385" s="35">
        <f>ROUND(F385*AP385,2)</f>
        <v>0</v>
      </c>
      <c r="AY385" s="64" t="s">
        <v>794</v>
      </c>
      <c r="AZ385" s="64" t="s">
        <v>690</v>
      </c>
      <c r="BA385" s="48" t="s">
        <v>676</v>
      </c>
      <c r="BC385" s="35">
        <f>AW385+AX385</f>
        <v>0</v>
      </c>
      <c r="BD385" s="35">
        <f>G385/(100-BE385)*100</f>
        <v>0</v>
      </c>
      <c r="BE385" s="35">
        <v>0</v>
      </c>
      <c r="BF385" s="35">
        <f>385</f>
        <v>385</v>
      </c>
      <c r="BH385" s="79">
        <f>F385*AO385</f>
        <v>0</v>
      </c>
      <c r="BI385" s="79">
        <f>F385*AP385</f>
        <v>0</v>
      </c>
      <c r="BJ385" s="79">
        <f>F385*G385</f>
        <v>0</v>
      </c>
      <c r="BK385" s="81" t="s">
        <v>464</v>
      </c>
      <c r="BL385" s="35">
        <v>725</v>
      </c>
      <c r="BW385" s="35">
        <v>12</v>
      </c>
      <c r="BX385" s="78" t="s">
        <v>881</v>
      </c>
    </row>
    <row r="386" spans="1:76" x14ac:dyDescent="0.25">
      <c r="A386" s="66"/>
      <c r="C386" s="67" t="s">
        <v>411</v>
      </c>
      <c r="D386" s="68" t="s">
        <v>10</v>
      </c>
      <c r="F386" s="69">
        <v>2</v>
      </c>
      <c r="K386" s="70"/>
    </row>
    <row r="387" spans="1:76" x14ac:dyDescent="0.25">
      <c r="A387" s="76" t="s">
        <v>882</v>
      </c>
      <c r="B387" s="77" t="s">
        <v>883</v>
      </c>
      <c r="C387" s="185" t="s">
        <v>884</v>
      </c>
      <c r="D387" s="186"/>
      <c r="E387" s="77" t="s">
        <v>252</v>
      </c>
      <c r="F387" s="79">
        <v>2</v>
      </c>
      <c r="G387" s="79">
        <v>0</v>
      </c>
      <c r="H387" s="79">
        <f>ROUND(F387*AO387,2)</f>
        <v>0</v>
      </c>
      <c r="I387" s="79">
        <f>ROUND(F387*AP387,2)</f>
        <v>0</v>
      </c>
      <c r="J387" s="79">
        <f>ROUND(F387*G387,2)</f>
        <v>0</v>
      </c>
      <c r="K387" s="80" t="s">
        <v>203</v>
      </c>
      <c r="Z387" s="35">
        <f>ROUND(IF(AQ387="5",BJ387,0),2)</f>
        <v>0</v>
      </c>
      <c r="AB387" s="35">
        <f>ROUND(IF(AQ387="1",BH387,0),2)</f>
        <v>0</v>
      </c>
      <c r="AC387" s="35">
        <f>ROUND(IF(AQ387="1",BI387,0),2)</f>
        <v>0</v>
      </c>
      <c r="AD387" s="35">
        <f>ROUND(IF(AQ387="7",BH387,0),2)</f>
        <v>0</v>
      </c>
      <c r="AE387" s="35">
        <f>ROUND(IF(AQ387="7",BI387,0),2)</f>
        <v>0</v>
      </c>
      <c r="AF387" s="35">
        <f>ROUND(IF(AQ387="2",BH387,0),2)</f>
        <v>0</v>
      </c>
      <c r="AG387" s="35">
        <f>ROUND(IF(AQ387="2",BI387,0),2)</f>
        <v>0</v>
      </c>
      <c r="AH387" s="35">
        <f>ROUND(IF(AQ387="0",BJ387,0),2)</f>
        <v>0</v>
      </c>
      <c r="AI387" s="48" t="s">
        <v>85</v>
      </c>
      <c r="AJ387" s="79">
        <f>IF(AN387=0,J387,0)</f>
        <v>0</v>
      </c>
      <c r="AK387" s="79">
        <f>IF(AN387=12,J387,0)</f>
        <v>0</v>
      </c>
      <c r="AL387" s="79">
        <f>IF(AN387=21,J387,0)</f>
        <v>0</v>
      </c>
      <c r="AN387" s="35">
        <v>12</v>
      </c>
      <c r="AO387" s="35">
        <f>G387*1</f>
        <v>0</v>
      </c>
      <c r="AP387" s="35">
        <f>G387*(1-1)</f>
        <v>0</v>
      </c>
      <c r="AQ387" s="81" t="s">
        <v>204</v>
      </c>
      <c r="AV387" s="35">
        <f>ROUND(AW387+AX387,2)</f>
        <v>0</v>
      </c>
      <c r="AW387" s="35">
        <f>ROUND(F387*AO387,2)</f>
        <v>0</v>
      </c>
      <c r="AX387" s="35">
        <f>ROUND(F387*AP387,2)</f>
        <v>0</v>
      </c>
      <c r="AY387" s="64" t="s">
        <v>794</v>
      </c>
      <c r="AZ387" s="64" t="s">
        <v>690</v>
      </c>
      <c r="BA387" s="48" t="s">
        <v>676</v>
      </c>
      <c r="BC387" s="35">
        <f>AW387+AX387</f>
        <v>0</v>
      </c>
      <c r="BD387" s="35">
        <f>G387/(100-BE387)*100</f>
        <v>0</v>
      </c>
      <c r="BE387" s="35">
        <v>0</v>
      </c>
      <c r="BF387" s="35">
        <f>387</f>
        <v>387</v>
      </c>
      <c r="BH387" s="79">
        <f>F387*AO387</f>
        <v>0</v>
      </c>
      <c r="BI387" s="79">
        <f>F387*AP387</f>
        <v>0</v>
      </c>
      <c r="BJ387" s="79">
        <f>F387*G387</f>
        <v>0</v>
      </c>
      <c r="BK387" s="81" t="s">
        <v>464</v>
      </c>
      <c r="BL387" s="35">
        <v>725</v>
      </c>
      <c r="BW387" s="35">
        <v>12</v>
      </c>
      <c r="BX387" s="78" t="s">
        <v>884</v>
      </c>
    </row>
    <row r="388" spans="1:76" x14ac:dyDescent="0.25">
      <c r="A388" s="66"/>
      <c r="C388" s="67" t="s">
        <v>411</v>
      </c>
      <c r="D388" s="68" t="s">
        <v>10</v>
      </c>
      <c r="F388" s="69">
        <v>2</v>
      </c>
      <c r="K388" s="70"/>
    </row>
    <row r="389" spans="1:76" x14ac:dyDescent="0.25">
      <c r="A389" s="1" t="s">
        <v>885</v>
      </c>
      <c r="B389" s="2" t="s">
        <v>886</v>
      </c>
      <c r="C389" s="86" t="s">
        <v>887</v>
      </c>
      <c r="D389" s="87"/>
      <c r="E389" s="2" t="s">
        <v>463</v>
      </c>
      <c r="F389" s="35">
        <v>2</v>
      </c>
      <c r="G389" s="35">
        <v>0</v>
      </c>
      <c r="H389" s="35">
        <f>ROUND(F389*AO389,2)</f>
        <v>0</v>
      </c>
      <c r="I389" s="35">
        <f>ROUND(F389*AP389,2)</f>
        <v>0</v>
      </c>
      <c r="J389" s="35">
        <f>ROUND(F389*G389,2)</f>
        <v>0</v>
      </c>
      <c r="K389" s="63" t="s">
        <v>203</v>
      </c>
      <c r="Z389" s="35">
        <f>ROUND(IF(AQ389="5",BJ389,0),2)</f>
        <v>0</v>
      </c>
      <c r="AB389" s="35">
        <f>ROUND(IF(AQ389="1",BH389,0),2)</f>
        <v>0</v>
      </c>
      <c r="AC389" s="35">
        <f>ROUND(IF(AQ389="1",BI389,0),2)</f>
        <v>0</v>
      </c>
      <c r="AD389" s="35">
        <f>ROUND(IF(AQ389="7",BH389,0),2)</f>
        <v>0</v>
      </c>
      <c r="AE389" s="35">
        <f>ROUND(IF(AQ389="7",BI389,0),2)</f>
        <v>0</v>
      </c>
      <c r="AF389" s="35">
        <f>ROUND(IF(AQ389="2",BH389,0),2)</f>
        <v>0</v>
      </c>
      <c r="AG389" s="35">
        <f>ROUND(IF(AQ389="2",BI389,0),2)</f>
        <v>0</v>
      </c>
      <c r="AH389" s="35">
        <f>ROUND(IF(AQ389="0",BJ389,0),2)</f>
        <v>0</v>
      </c>
      <c r="AI389" s="48" t="s">
        <v>85</v>
      </c>
      <c r="AJ389" s="35">
        <f>IF(AN389=0,J389,0)</f>
        <v>0</v>
      </c>
      <c r="AK389" s="35">
        <f>IF(AN389=12,J389,0)</f>
        <v>0</v>
      </c>
      <c r="AL389" s="35">
        <f>IF(AN389=21,J389,0)</f>
        <v>0</v>
      </c>
      <c r="AN389" s="35">
        <v>12</v>
      </c>
      <c r="AO389" s="35">
        <f>G389*0.201205273</f>
        <v>0</v>
      </c>
      <c r="AP389" s="35">
        <f>G389*(1-0.201205273)</f>
        <v>0</v>
      </c>
      <c r="AQ389" s="64" t="s">
        <v>204</v>
      </c>
      <c r="AV389" s="35">
        <f>ROUND(AW389+AX389,2)</f>
        <v>0</v>
      </c>
      <c r="AW389" s="35">
        <f>ROUND(F389*AO389,2)</f>
        <v>0</v>
      </c>
      <c r="AX389" s="35">
        <f>ROUND(F389*AP389,2)</f>
        <v>0</v>
      </c>
      <c r="AY389" s="64" t="s">
        <v>794</v>
      </c>
      <c r="AZ389" s="64" t="s">
        <v>690</v>
      </c>
      <c r="BA389" s="48" t="s">
        <v>676</v>
      </c>
      <c r="BB389" s="65">
        <v>100004</v>
      </c>
      <c r="BC389" s="35">
        <f>AW389+AX389</f>
        <v>0</v>
      </c>
      <c r="BD389" s="35">
        <f>G389/(100-BE389)*100</f>
        <v>0</v>
      </c>
      <c r="BE389" s="35">
        <v>0</v>
      </c>
      <c r="BF389" s="35">
        <f>389</f>
        <v>389</v>
      </c>
      <c r="BH389" s="35">
        <f>F389*AO389</f>
        <v>0</v>
      </c>
      <c r="BI389" s="35">
        <f>F389*AP389</f>
        <v>0</v>
      </c>
      <c r="BJ389" s="35">
        <f>F389*G389</f>
        <v>0</v>
      </c>
      <c r="BK389" s="64" t="s">
        <v>208</v>
      </c>
      <c r="BL389" s="35">
        <v>725</v>
      </c>
      <c r="BW389" s="35">
        <v>12</v>
      </c>
      <c r="BX389" s="3" t="s">
        <v>887</v>
      </c>
    </row>
    <row r="390" spans="1:76" x14ac:dyDescent="0.25">
      <c r="A390" s="66"/>
      <c r="C390" s="67" t="s">
        <v>211</v>
      </c>
      <c r="D390" s="68" t="s">
        <v>10</v>
      </c>
      <c r="F390" s="69">
        <v>2</v>
      </c>
      <c r="K390" s="70"/>
    </row>
    <row r="391" spans="1:76" x14ac:dyDescent="0.25">
      <c r="A391" s="76" t="s">
        <v>888</v>
      </c>
      <c r="B391" s="77" t="s">
        <v>889</v>
      </c>
      <c r="C391" s="185" t="s">
        <v>890</v>
      </c>
      <c r="D391" s="186"/>
      <c r="E391" s="77" t="s">
        <v>252</v>
      </c>
      <c r="F391" s="79">
        <v>2</v>
      </c>
      <c r="G391" s="79">
        <v>0</v>
      </c>
      <c r="H391" s="79">
        <f>ROUND(F391*AO391,2)</f>
        <v>0</v>
      </c>
      <c r="I391" s="79">
        <f>ROUND(F391*AP391,2)</f>
        <v>0</v>
      </c>
      <c r="J391" s="79">
        <f>ROUND(F391*G391,2)</f>
        <v>0</v>
      </c>
      <c r="K391" s="80" t="s">
        <v>203</v>
      </c>
      <c r="Z391" s="35">
        <f>ROUND(IF(AQ391="5",BJ391,0),2)</f>
        <v>0</v>
      </c>
      <c r="AB391" s="35">
        <f>ROUND(IF(AQ391="1",BH391,0),2)</f>
        <v>0</v>
      </c>
      <c r="AC391" s="35">
        <f>ROUND(IF(AQ391="1",BI391,0),2)</f>
        <v>0</v>
      </c>
      <c r="AD391" s="35">
        <f>ROUND(IF(AQ391="7",BH391,0),2)</f>
        <v>0</v>
      </c>
      <c r="AE391" s="35">
        <f>ROUND(IF(AQ391="7",BI391,0),2)</f>
        <v>0</v>
      </c>
      <c r="AF391" s="35">
        <f>ROUND(IF(AQ391="2",BH391,0),2)</f>
        <v>0</v>
      </c>
      <c r="AG391" s="35">
        <f>ROUND(IF(AQ391="2",BI391,0),2)</f>
        <v>0</v>
      </c>
      <c r="AH391" s="35">
        <f>ROUND(IF(AQ391="0",BJ391,0),2)</f>
        <v>0</v>
      </c>
      <c r="AI391" s="48" t="s">
        <v>85</v>
      </c>
      <c r="AJ391" s="79">
        <f>IF(AN391=0,J391,0)</f>
        <v>0</v>
      </c>
      <c r="AK391" s="79">
        <f>IF(AN391=12,J391,0)</f>
        <v>0</v>
      </c>
      <c r="AL391" s="79">
        <f>IF(AN391=21,J391,0)</f>
        <v>0</v>
      </c>
      <c r="AN391" s="35">
        <v>12</v>
      </c>
      <c r="AO391" s="35">
        <f>G391*1</f>
        <v>0</v>
      </c>
      <c r="AP391" s="35">
        <f>G391*(1-1)</f>
        <v>0</v>
      </c>
      <c r="AQ391" s="81" t="s">
        <v>204</v>
      </c>
      <c r="AV391" s="35">
        <f>ROUND(AW391+AX391,2)</f>
        <v>0</v>
      </c>
      <c r="AW391" s="35">
        <f>ROUND(F391*AO391,2)</f>
        <v>0</v>
      </c>
      <c r="AX391" s="35">
        <f>ROUND(F391*AP391,2)</f>
        <v>0</v>
      </c>
      <c r="AY391" s="64" t="s">
        <v>794</v>
      </c>
      <c r="AZ391" s="64" t="s">
        <v>690</v>
      </c>
      <c r="BA391" s="48" t="s">
        <v>676</v>
      </c>
      <c r="BC391" s="35">
        <f>AW391+AX391</f>
        <v>0</v>
      </c>
      <c r="BD391" s="35">
        <f>G391/(100-BE391)*100</f>
        <v>0</v>
      </c>
      <c r="BE391" s="35">
        <v>0</v>
      </c>
      <c r="BF391" s="35">
        <f>391</f>
        <v>391</v>
      </c>
      <c r="BH391" s="79">
        <f>F391*AO391</f>
        <v>0</v>
      </c>
      <c r="BI391" s="79">
        <f>F391*AP391</f>
        <v>0</v>
      </c>
      <c r="BJ391" s="79">
        <f>F391*G391</f>
        <v>0</v>
      </c>
      <c r="BK391" s="81" t="s">
        <v>464</v>
      </c>
      <c r="BL391" s="35">
        <v>725</v>
      </c>
      <c r="BW391" s="35">
        <v>12</v>
      </c>
      <c r="BX391" s="78" t="s">
        <v>890</v>
      </c>
    </row>
    <row r="392" spans="1:76" x14ac:dyDescent="0.25">
      <c r="A392" s="66"/>
      <c r="C392" s="67" t="s">
        <v>211</v>
      </c>
      <c r="D392" s="68" t="s">
        <v>891</v>
      </c>
      <c r="F392" s="69">
        <v>2</v>
      </c>
      <c r="K392" s="70"/>
    </row>
    <row r="393" spans="1:76" x14ac:dyDescent="0.25">
      <c r="A393" s="59" t="s">
        <v>10</v>
      </c>
      <c r="B393" s="60" t="s">
        <v>143</v>
      </c>
      <c r="C393" s="177" t="s">
        <v>144</v>
      </c>
      <c r="D393" s="178"/>
      <c r="E393" s="61" t="s">
        <v>74</v>
      </c>
      <c r="F393" s="61" t="s">
        <v>74</v>
      </c>
      <c r="G393" s="61" t="s">
        <v>74</v>
      </c>
      <c r="H393" s="42">
        <f>SUM(H394:H422)</f>
        <v>0</v>
      </c>
      <c r="I393" s="42">
        <f>SUM(I394:I422)</f>
        <v>0</v>
      </c>
      <c r="J393" s="42">
        <f>SUM(J394:J422)</f>
        <v>0</v>
      </c>
      <c r="K393" s="62" t="s">
        <v>10</v>
      </c>
      <c r="AI393" s="48" t="s">
        <v>85</v>
      </c>
      <c r="AS393" s="42">
        <f>SUM(AJ394:AJ422)</f>
        <v>0</v>
      </c>
      <c r="AT393" s="42">
        <f>SUM(AK394:AK422)</f>
        <v>0</v>
      </c>
      <c r="AU393" s="42">
        <f>SUM(AL394:AL422)</f>
        <v>0</v>
      </c>
    </row>
    <row r="394" spans="1:76" x14ac:dyDescent="0.25">
      <c r="A394" s="1" t="s">
        <v>892</v>
      </c>
      <c r="B394" s="2" t="s">
        <v>893</v>
      </c>
      <c r="C394" s="86" t="s">
        <v>894</v>
      </c>
      <c r="D394" s="87"/>
      <c r="E394" s="2" t="s">
        <v>252</v>
      </c>
      <c r="F394" s="35">
        <v>1</v>
      </c>
      <c r="G394" s="35">
        <v>0</v>
      </c>
      <c r="H394" s="35">
        <f>ROUND(F394*AO394,2)</f>
        <v>0</v>
      </c>
      <c r="I394" s="35">
        <f>ROUND(F394*AP394,2)</f>
        <v>0</v>
      </c>
      <c r="J394" s="35">
        <f>ROUND(F394*G394,2)</f>
        <v>0</v>
      </c>
      <c r="K394" s="63" t="s">
        <v>203</v>
      </c>
      <c r="Z394" s="35">
        <f>ROUND(IF(AQ394="5",BJ394,0),2)</f>
        <v>0</v>
      </c>
      <c r="AB394" s="35">
        <f>ROUND(IF(AQ394="1",BH394,0),2)</f>
        <v>0</v>
      </c>
      <c r="AC394" s="35">
        <f>ROUND(IF(AQ394="1",BI394,0),2)</f>
        <v>0</v>
      </c>
      <c r="AD394" s="35">
        <f>ROUND(IF(AQ394="7",BH394,0),2)</f>
        <v>0</v>
      </c>
      <c r="AE394" s="35">
        <f>ROUND(IF(AQ394="7",BI394,0),2)</f>
        <v>0</v>
      </c>
      <c r="AF394" s="35">
        <f>ROUND(IF(AQ394="2",BH394,0),2)</f>
        <v>0</v>
      </c>
      <c r="AG394" s="35">
        <f>ROUND(IF(AQ394="2",BI394,0),2)</f>
        <v>0</v>
      </c>
      <c r="AH394" s="35">
        <f>ROUND(IF(AQ394="0",BJ394,0),2)</f>
        <v>0</v>
      </c>
      <c r="AI394" s="48" t="s">
        <v>85</v>
      </c>
      <c r="AJ394" s="35">
        <f>IF(AN394=0,J394,0)</f>
        <v>0</v>
      </c>
      <c r="AK394" s="35">
        <f>IF(AN394=12,J394,0)</f>
        <v>0</v>
      </c>
      <c r="AL394" s="35">
        <f>IF(AN394=21,J394,0)</f>
        <v>0</v>
      </c>
      <c r="AN394" s="35">
        <v>12</v>
      </c>
      <c r="AO394" s="35">
        <f>G394*0</f>
        <v>0</v>
      </c>
      <c r="AP394" s="35">
        <f>G394*(1-0)</f>
        <v>0</v>
      </c>
      <c r="AQ394" s="64" t="s">
        <v>204</v>
      </c>
      <c r="AV394" s="35">
        <f>ROUND(AW394+AX394,2)</f>
        <v>0</v>
      </c>
      <c r="AW394" s="35">
        <f>ROUND(F394*AO394,2)</f>
        <v>0</v>
      </c>
      <c r="AX394" s="35">
        <f>ROUND(F394*AP394,2)</f>
        <v>0</v>
      </c>
      <c r="AY394" s="64" t="s">
        <v>895</v>
      </c>
      <c r="AZ394" s="64" t="s">
        <v>690</v>
      </c>
      <c r="BA394" s="48" t="s">
        <v>676</v>
      </c>
      <c r="BB394" s="65">
        <v>100006</v>
      </c>
      <c r="BC394" s="35">
        <f>AW394+AX394</f>
        <v>0</v>
      </c>
      <c r="BD394" s="35">
        <f>G394/(100-BE394)*100</f>
        <v>0</v>
      </c>
      <c r="BE394" s="35">
        <v>0</v>
      </c>
      <c r="BF394" s="35">
        <f>394</f>
        <v>394</v>
      </c>
      <c r="BH394" s="35">
        <f>F394*AO394</f>
        <v>0</v>
      </c>
      <c r="BI394" s="35">
        <f>F394*AP394</f>
        <v>0</v>
      </c>
      <c r="BJ394" s="35">
        <f>F394*G394</f>
        <v>0</v>
      </c>
      <c r="BK394" s="64" t="s">
        <v>208</v>
      </c>
      <c r="BL394" s="35">
        <v>728</v>
      </c>
      <c r="BW394" s="35">
        <v>12</v>
      </c>
      <c r="BX394" s="3" t="s">
        <v>894</v>
      </c>
    </row>
    <row r="395" spans="1:76" x14ac:dyDescent="0.25">
      <c r="A395" s="66"/>
      <c r="C395" s="67" t="s">
        <v>199</v>
      </c>
      <c r="D395" s="68" t="s">
        <v>896</v>
      </c>
      <c r="F395" s="69">
        <v>1</v>
      </c>
      <c r="K395" s="70"/>
    </row>
    <row r="396" spans="1:76" x14ac:dyDescent="0.25">
      <c r="A396" s="1" t="s">
        <v>897</v>
      </c>
      <c r="B396" s="2" t="s">
        <v>898</v>
      </c>
      <c r="C396" s="86" t="s">
        <v>899</v>
      </c>
      <c r="D396" s="87"/>
      <c r="E396" s="2" t="s">
        <v>224</v>
      </c>
      <c r="F396" s="35">
        <v>6.5</v>
      </c>
      <c r="G396" s="35">
        <v>0</v>
      </c>
      <c r="H396" s="35">
        <f>ROUND(F396*AO396,2)</f>
        <v>0</v>
      </c>
      <c r="I396" s="35">
        <f>ROUND(F396*AP396,2)</f>
        <v>0</v>
      </c>
      <c r="J396" s="35">
        <f>ROUND(F396*G396,2)</f>
        <v>0</v>
      </c>
      <c r="K396" s="63" t="s">
        <v>203</v>
      </c>
      <c r="Z396" s="35">
        <f>ROUND(IF(AQ396="5",BJ396,0),2)</f>
        <v>0</v>
      </c>
      <c r="AB396" s="35">
        <f>ROUND(IF(AQ396="1",BH396,0),2)</f>
        <v>0</v>
      </c>
      <c r="AC396" s="35">
        <f>ROUND(IF(AQ396="1",BI396,0),2)</f>
        <v>0</v>
      </c>
      <c r="AD396" s="35">
        <f>ROUND(IF(AQ396="7",BH396,0),2)</f>
        <v>0</v>
      </c>
      <c r="AE396" s="35">
        <f>ROUND(IF(AQ396="7",BI396,0),2)</f>
        <v>0</v>
      </c>
      <c r="AF396" s="35">
        <f>ROUND(IF(AQ396="2",BH396,0),2)</f>
        <v>0</v>
      </c>
      <c r="AG396" s="35">
        <f>ROUND(IF(AQ396="2",BI396,0),2)</f>
        <v>0</v>
      </c>
      <c r="AH396" s="35">
        <f>ROUND(IF(AQ396="0",BJ396,0),2)</f>
        <v>0</v>
      </c>
      <c r="AI396" s="48" t="s">
        <v>85</v>
      </c>
      <c r="AJ396" s="35">
        <f>IF(AN396=0,J396,0)</f>
        <v>0</v>
      </c>
      <c r="AK396" s="35">
        <f>IF(AN396=12,J396,0)</f>
        <v>0</v>
      </c>
      <c r="AL396" s="35">
        <f>IF(AN396=21,J396,0)</f>
        <v>0</v>
      </c>
      <c r="AN396" s="35">
        <v>12</v>
      </c>
      <c r="AO396" s="35">
        <f>G396*0.128522808</f>
        <v>0</v>
      </c>
      <c r="AP396" s="35">
        <f>G396*(1-0.128522808)</f>
        <v>0</v>
      </c>
      <c r="AQ396" s="64" t="s">
        <v>204</v>
      </c>
      <c r="AV396" s="35">
        <f>ROUND(AW396+AX396,2)</f>
        <v>0</v>
      </c>
      <c r="AW396" s="35">
        <f>ROUND(F396*AO396,2)</f>
        <v>0</v>
      </c>
      <c r="AX396" s="35">
        <f>ROUND(F396*AP396,2)</f>
        <v>0</v>
      </c>
      <c r="AY396" s="64" t="s">
        <v>895</v>
      </c>
      <c r="AZ396" s="64" t="s">
        <v>690</v>
      </c>
      <c r="BA396" s="48" t="s">
        <v>676</v>
      </c>
      <c r="BB396" s="65">
        <v>100006</v>
      </c>
      <c r="BC396" s="35">
        <f>AW396+AX396</f>
        <v>0</v>
      </c>
      <c r="BD396" s="35">
        <f>G396/(100-BE396)*100</f>
        <v>0</v>
      </c>
      <c r="BE396" s="35">
        <v>0</v>
      </c>
      <c r="BF396" s="35">
        <f>396</f>
        <v>396</v>
      </c>
      <c r="BH396" s="35">
        <f>F396*AO396</f>
        <v>0</v>
      </c>
      <c r="BI396" s="35">
        <f>F396*AP396</f>
        <v>0</v>
      </c>
      <c r="BJ396" s="35">
        <f>F396*G396</f>
        <v>0</v>
      </c>
      <c r="BK396" s="64" t="s">
        <v>208</v>
      </c>
      <c r="BL396" s="35">
        <v>728</v>
      </c>
      <c r="BW396" s="35">
        <v>12</v>
      </c>
      <c r="BX396" s="3" t="s">
        <v>899</v>
      </c>
    </row>
    <row r="397" spans="1:76" ht="27" customHeight="1" x14ac:dyDescent="0.25">
      <c r="A397" s="66"/>
      <c r="C397" s="180" t="s">
        <v>900</v>
      </c>
      <c r="D397" s="181"/>
      <c r="E397" s="181"/>
      <c r="F397" s="181"/>
      <c r="G397" s="181"/>
      <c r="H397" s="181"/>
      <c r="I397" s="181"/>
      <c r="J397" s="181"/>
      <c r="K397" s="182"/>
    </row>
    <row r="398" spans="1:76" x14ac:dyDescent="0.25">
      <c r="A398" s="66"/>
      <c r="C398" s="67" t="s">
        <v>901</v>
      </c>
      <c r="D398" s="68" t="s">
        <v>10</v>
      </c>
      <c r="F398" s="69">
        <v>6.5</v>
      </c>
      <c r="K398" s="70"/>
    </row>
    <row r="399" spans="1:76" x14ac:dyDescent="0.25">
      <c r="A399" s="76" t="s">
        <v>902</v>
      </c>
      <c r="B399" s="77" t="s">
        <v>903</v>
      </c>
      <c r="C399" s="185" t="s">
        <v>904</v>
      </c>
      <c r="D399" s="186"/>
      <c r="E399" s="77" t="s">
        <v>224</v>
      </c>
      <c r="F399" s="79">
        <v>8.25</v>
      </c>
      <c r="G399" s="79">
        <v>0</v>
      </c>
      <c r="H399" s="79">
        <f>ROUND(F399*AO399,2)</f>
        <v>0</v>
      </c>
      <c r="I399" s="79">
        <f>ROUND(F399*AP399,2)</f>
        <v>0</v>
      </c>
      <c r="J399" s="79">
        <f>ROUND(F399*G399,2)</f>
        <v>0</v>
      </c>
      <c r="K399" s="80" t="s">
        <v>292</v>
      </c>
      <c r="Z399" s="35">
        <f>ROUND(IF(AQ399="5",BJ399,0),2)</f>
        <v>0</v>
      </c>
      <c r="AB399" s="35">
        <f>ROUND(IF(AQ399="1",BH399,0),2)</f>
        <v>0</v>
      </c>
      <c r="AC399" s="35">
        <f>ROUND(IF(AQ399="1",BI399,0),2)</f>
        <v>0</v>
      </c>
      <c r="AD399" s="35">
        <f>ROUND(IF(AQ399="7",BH399,0),2)</f>
        <v>0</v>
      </c>
      <c r="AE399" s="35">
        <f>ROUND(IF(AQ399="7",BI399,0),2)</f>
        <v>0</v>
      </c>
      <c r="AF399" s="35">
        <f>ROUND(IF(AQ399="2",BH399,0),2)</f>
        <v>0</v>
      </c>
      <c r="AG399" s="35">
        <f>ROUND(IF(AQ399="2",BI399,0),2)</f>
        <v>0</v>
      </c>
      <c r="AH399" s="35">
        <f>ROUND(IF(AQ399="0",BJ399,0),2)</f>
        <v>0</v>
      </c>
      <c r="AI399" s="48" t="s">
        <v>85</v>
      </c>
      <c r="AJ399" s="79">
        <f>IF(AN399=0,J399,0)</f>
        <v>0</v>
      </c>
      <c r="AK399" s="79">
        <f>IF(AN399=12,J399,0)</f>
        <v>0</v>
      </c>
      <c r="AL399" s="79">
        <f>IF(AN399=21,J399,0)</f>
        <v>0</v>
      </c>
      <c r="AN399" s="35">
        <v>12</v>
      </c>
      <c r="AO399" s="35">
        <f>G399*1</f>
        <v>0</v>
      </c>
      <c r="AP399" s="35">
        <f>G399*(1-1)</f>
        <v>0</v>
      </c>
      <c r="AQ399" s="81" t="s">
        <v>204</v>
      </c>
      <c r="AV399" s="35">
        <f>ROUND(AW399+AX399,2)</f>
        <v>0</v>
      </c>
      <c r="AW399" s="35">
        <f>ROUND(F399*AO399,2)</f>
        <v>0</v>
      </c>
      <c r="AX399" s="35">
        <f>ROUND(F399*AP399,2)</f>
        <v>0</v>
      </c>
      <c r="AY399" s="64" t="s">
        <v>895</v>
      </c>
      <c r="AZ399" s="64" t="s">
        <v>690</v>
      </c>
      <c r="BA399" s="48" t="s">
        <v>676</v>
      </c>
      <c r="BC399" s="35">
        <f>AW399+AX399</f>
        <v>0</v>
      </c>
      <c r="BD399" s="35">
        <f>G399/(100-BE399)*100</f>
        <v>0</v>
      </c>
      <c r="BE399" s="35">
        <v>0</v>
      </c>
      <c r="BF399" s="35">
        <f>399</f>
        <v>399</v>
      </c>
      <c r="BH399" s="79">
        <f>F399*AO399</f>
        <v>0</v>
      </c>
      <c r="BI399" s="79">
        <f>F399*AP399</f>
        <v>0</v>
      </c>
      <c r="BJ399" s="79">
        <f>F399*G399</f>
        <v>0</v>
      </c>
      <c r="BK399" s="81" t="s">
        <v>464</v>
      </c>
      <c r="BL399" s="35">
        <v>728</v>
      </c>
      <c r="BW399" s="35">
        <v>12</v>
      </c>
      <c r="BX399" s="78" t="s">
        <v>904</v>
      </c>
    </row>
    <row r="400" spans="1:76" x14ac:dyDescent="0.25">
      <c r="A400" s="66"/>
      <c r="C400" s="67" t="s">
        <v>905</v>
      </c>
      <c r="D400" s="68" t="s">
        <v>10</v>
      </c>
      <c r="F400" s="69">
        <v>7.5</v>
      </c>
      <c r="K400" s="70"/>
    </row>
    <row r="401" spans="1:76" x14ac:dyDescent="0.25">
      <c r="A401" s="66"/>
      <c r="C401" s="67" t="s">
        <v>906</v>
      </c>
      <c r="D401" s="68" t="s">
        <v>10</v>
      </c>
      <c r="F401" s="69">
        <v>0.75</v>
      </c>
      <c r="K401" s="70"/>
    </row>
    <row r="402" spans="1:76" x14ac:dyDescent="0.25">
      <c r="A402" s="76" t="s">
        <v>907</v>
      </c>
      <c r="B402" s="77" t="s">
        <v>908</v>
      </c>
      <c r="C402" s="185" t="s">
        <v>909</v>
      </c>
      <c r="D402" s="186"/>
      <c r="E402" s="77" t="s">
        <v>252</v>
      </c>
      <c r="F402" s="79">
        <v>4</v>
      </c>
      <c r="G402" s="79">
        <v>0</v>
      </c>
      <c r="H402" s="79">
        <f>ROUND(F402*AO402,2)</f>
        <v>0</v>
      </c>
      <c r="I402" s="79">
        <f>ROUND(F402*AP402,2)</f>
        <v>0</v>
      </c>
      <c r="J402" s="79">
        <f>ROUND(F402*G402,2)</f>
        <v>0</v>
      </c>
      <c r="K402" s="80" t="s">
        <v>292</v>
      </c>
      <c r="Z402" s="35">
        <f>ROUND(IF(AQ402="5",BJ402,0),2)</f>
        <v>0</v>
      </c>
      <c r="AB402" s="35">
        <f>ROUND(IF(AQ402="1",BH402,0),2)</f>
        <v>0</v>
      </c>
      <c r="AC402" s="35">
        <f>ROUND(IF(AQ402="1",BI402,0),2)</f>
        <v>0</v>
      </c>
      <c r="AD402" s="35">
        <f>ROUND(IF(AQ402="7",BH402,0),2)</f>
        <v>0</v>
      </c>
      <c r="AE402" s="35">
        <f>ROUND(IF(AQ402="7",BI402,0),2)</f>
        <v>0</v>
      </c>
      <c r="AF402" s="35">
        <f>ROUND(IF(AQ402="2",BH402,0),2)</f>
        <v>0</v>
      </c>
      <c r="AG402" s="35">
        <f>ROUND(IF(AQ402="2",BI402,0),2)</f>
        <v>0</v>
      </c>
      <c r="AH402" s="35">
        <f>ROUND(IF(AQ402="0",BJ402,0),2)</f>
        <v>0</v>
      </c>
      <c r="AI402" s="48" t="s">
        <v>85</v>
      </c>
      <c r="AJ402" s="79">
        <f>IF(AN402=0,J402,0)</f>
        <v>0</v>
      </c>
      <c r="AK402" s="79">
        <f>IF(AN402=12,J402,0)</f>
        <v>0</v>
      </c>
      <c r="AL402" s="79">
        <f>IF(AN402=21,J402,0)</f>
        <v>0</v>
      </c>
      <c r="AN402" s="35">
        <v>12</v>
      </c>
      <c r="AO402" s="35">
        <f>G402*1</f>
        <v>0</v>
      </c>
      <c r="AP402" s="35">
        <f>G402*(1-1)</f>
        <v>0</v>
      </c>
      <c r="AQ402" s="81" t="s">
        <v>204</v>
      </c>
      <c r="AV402" s="35">
        <f>ROUND(AW402+AX402,2)</f>
        <v>0</v>
      </c>
      <c r="AW402" s="35">
        <f>ROUND(F402*AO402,2)</f>
        <v>0</v>
      </c>
      <c r="AX402" s="35">
        <f>ROUND(F402*AP402,2)</f>
        <v>0</v>
      </c>
      <c r="AY402" s="64" t="s">
        <v>895</v>
      </c>
      <c r="AZ402" s="64" t="s">
        <v>690</v>
      </c>
      <c r="BA402" s="48" t="s">
        <v>676</v>
      </c>
      <c r="BC402" s="35">
        <f>AW402+AX402</f>
        <v>0</v>
      </c>
      <c r="BD402" s="35">
        <f>G402/(100-BE402)*100</f>
        <v>0</v>
      </c>
      <c r="BE402" s="35">
        <v>0</v>
      </c>
      <c r="BF402" s="35">
        <f>402</f>
        <v>402</v>
      </c>
      <c r="BH402" s="79">
        <f>F402*AO402</f>
        <v>0</v>
      </c>
      <c r="BI402" s="79">
        <f>F402*AP402</f>
        <v>0</v>
      </c>
      <c r="BJ402" s="79">
        <f>F402*G402</f>
        <v>0</v>
      </c>
      <c r="BK402" s="81" t="s">
        <v>464</v>
      </c>
      <c r="BL402" s="35">
        <v>728</v>
      </c>
      <c r="BW402" s="35">
        <v>12</v>
      </c>
      <c r="BX402" s="78" t="s">
        <v>909</v>
      </c>
    </row>
    <row r="403" spans="1:76" x14ac:dyDescent="0.25">
      <c r="A403" s="66"/>
      <c r="C403" s="67" t="s">
        <v>730</v>
      </c>
      <c r="D403" s="68" t="s">
        <v>10</v>
      </c>
      <c r="F403" s="69">
        <v>4</v>
      </c>
      <c r="K403" s="70"/>
    </row>
    <row r="404" spans="1:76" x14ac:dyDescent="0.25">
      <c r="A404" s="1" t="s">
        <v>910</v>
      </c>
      <c r="B404" s="2" t="s">
        <v>911</v>
      </c>
      <c r="C404" s="86" t="s">
        <v>912</v>
      </c>
      <c r="D404" s="87"/>
      <c r="E404" s="2" t="s">
        <v>252</v>
      </c>
      <c r="F404" s="35">
        <v>4</v>
      </c>
      <c r="G404" s="35">
        <v>0</v>
      </c>
      <c r="H404" s="35">
        <f>ROUND(F404*AO404,2)</f>
        <v>0</v>
      </c>
      <c r="I404" s="35">
        <f>ROUND(F404*AP404,2)</f>
        <v>0</v>
      </c>
      <c r="J404" s="35">
        <f>ROUND(F404*G404,2)</f>
        <v>0</v>
      </c>
      <c r="K404" s="63" t="s">
        <v>203</v>
      </c>
      <c r="Z404" s="35">
        <f>ROUND(IF(AQ404="5",BJ404,0),2)</f>
        <v>0</v>
      </c>
      <c r="AB404" s="35">
        <f>ROUND(IF(AQ404="1",BH404,0),2)</f>
        <v>0</v>
      </c>
      <c r="AC404" s="35">
        <f>ROUND(IF(AQ404="1",BI404,0),2)</f>
        <v>0</v>
      </c>
      <c r="AD404" s="35">
        <f>ROUND(IF(AQ404="7",BH404,0),2)</f>
        <v>0</v>
      </c>
      <c r="AE404" s="35">
        <f>ROUND(IF(AQ404="7",BI404,0),2)</f>
        <v>0</v>
      </c>
      <c r="AF404" s="35">
        <f>ROUND(IF(AQ404="2",BH404,0),2)</f>
        <v>0</v>
      </c>
      <c r="AG404" s="35">
        <f>ROUND(IF(AQ404="2",BI404,0),2)</f>
        <v>0</v>
      </c>
      <c r="AH404" s="35">
        <f>ROUND(IF(AQ404="0",BJ404,0),2)</f>
        <v>0</v>
      </c>
      <c r="AI404" s="48" t="s">
        <v>85</v>
      </c>
      <c r="AJ404" s="35">
        <f>IF(AN404=0,J404,0)</f>
        <v>0</v>
      </c>
      <c r="AK404" s="35">
        <f>IF(AN404=12,J404,0)</f>
        <v>0</v>
      </c>
      <c r="AL404" s="35">
        <f>IF(AN404=21,J404,0)</f>
        <v>0</v>
      </c>
      <c r="AN404" s="35">
        <v>12</v>
      </c>
      <c r="AO404" s="35">
        <f>G404*0</f>
        <v>0</v>
      </c>
      <c r="AP404" s="35">
        <f>G404*(1-0)</f>
        <v>0</v>
      </c>
      <c r="AQ404" s="64" t="s">
        <v>204</v>
      </c>
      <c r="AV404" s="35">
        <f>ROUND(AW404+AX404,2)</f>
        <v>0</v>
      </c>
      <c r="AW404" s="35">
        <f>ROUND(F404*AO404,2)</f>
        <v>0</v>
      </c>
      <c r="AX404" s="35">
        <f>ROUND(F404*AP404,2)</f>
        <v>0</v>
      </c>
      <c r="AY404" s="64" t="s">
        <v>895</v>
      </c>
      <c r="AZ404" s="64" t="s">
        <v>690</v>
      </c>
      <c r="BA404" s="48" t="s">
        <v>676</v>
      </c>
      <c r="BB404" s="65">
        <v>100006</v>
      </c>
      <c r="BC404" s="35">
        <f>AW404+AX404</f>
        <v>0</v>
      </c>
      <c r="BD404" s="35">
        <f>G404/(100-BE404)*100</f>
        <v>0</v>
      </c>
      <c r="BE404" s="35">
        <v>0</v>
      </c>
      <c r="BF404" s="35">
        <f>404</f>
        <v>404</v>
      </c>
      <c r="BH404" s="35">
        <f>F404*AO404</f>
        <v>0</v>
      </c>
      <c r="BI404" s="35">
        <f>F404*AP404</f>
        <v>0</v>
      </c>
      <c r="BJ404" s="35">
        <f>F404*G404</f>
        <v>0</v>
      </c>
      <c r="BK404" s="64" t="s">
        <v>208</v>
      </c>
      <c r="BL404" s="35">
        <v>728</v>
      </c>
      <c r="BW404" s="35">
        <v>12</v>
      </c>
      <c r="BX404" s="3" t="s">
        <v>912</v>
      </c>
    </row>
    <row r="405" spans="1:76" x14ac:dyDescent="0.25">
      <c r="A405" s="66"/>
      <c r="C405" s="67" t="s">
        <v>227</v>
      </c>
      <c r="D405" s="68" t="s">
        <v>10</v>
      </c>
      <c r="F405" s="69">
        <v>4</v>
      </c>
      <c r="K405" s="70"/>
    </row>
    <row r="406" spans="1:76" x14ac:dyDescent="0.25">
      <c r="A406" s="1" t="s">
        <v>913</v>
      </c>
      <c r="B406" s="2" t="s">
        <v>914</v>
      </c>
      <c r="C406" s="86" t="s">
        <v>915</v>
      </c>
      <c r="D406" s="87"/>
      <c r="E406" s="2" t="s">
        <v>252</v>
      </c>
      <c r="F406" s="35">
        <v>2</v>
      </c>
      <c r="G406" s="35">
        <v>0</v>
      </c>
      <c r="H406" s="35">
        <f>ROUND(F406*AO406,2)</f>
        <v>0</v>
      </c>
      <c r="I406" s="35">
        <f>ROUND(F406*AP406,2)</f>
        <v>0</v>
      </c>
      <c r="J406" s="35">
        <f>ROUND(F406*G406,2)</f>
        <v>0</v>
      </c>
      <c r="K406" s="63" t="s">
        <v>203</v>
      </c>
      <c r="Z406" s="35">
        <f>ROUND(IF(AQ406="5",BJ406,0),2)</f>
        <v>0</v>
      </c>
      <c r="AB406" s="35">
        <f>ROUND(IF(AQ406="1",BH406,0),2)</f>
        <v>0</v>
      </c>
      <c r="AC406" s="35">
        <f>ROUND(IF(AQ406="1",BI406,0),2)</f>
        <v>0</v>
      </c>
      <c r="AD406" s="35">
        <f>ROUND(IF(AQ406="7",BH406,0),2)</f>
        <v>0</v>
      </c>
      <c r="AE406" s="35">
        <f>ROUND(IF(AQ406="7",BI406,0),2)</f>
        <v>0</v>
      </c>
      <c r="AF406" s="35">
        <f>ROUND(IF(AQ406="2",BH406,0),2)</f>
        <v>0</v>
      </c>
      <c r="AG406" s="35">
        <f>ROUND(IF(AQ406="2",BI406,0),2)</f>
        <v>0</v>
      </c>
      <c r="AH406" s="35">
        <f>ROUND(IF(AQ406="0",BJ406,0),2)</f>
        <v>0</v>
      </c>
      <c r="AI406" s="48" t="s">
        <v>85</v>
      </c>
      <c r="AJ406" s="35">
        <f>IF(AN406=0,J406,0)</f>
        <v>0</v>
      </c>
      <c r="AK406" s="35">
        <f>IF(AN406=12,J406,0)</f>
        <v>0</v>
      </c>
      <c r="AL406" s="35">
        <f>IF(AN406=21,J406,0)</f>
        <v>0</v>
      </c>
      <c r="AN406" s="35">
        <v>12</v>
      </c>
      <c r="AO406" s="35">
        <f>G406*0</f>
        <v>0</v>
      </c>
      <c r="AP406" s="35">
        <f>G406*(1-0)</f>
        <v>0</v>
      </c>
      <c r="AQ406" s="64" t="s">
        <v>204</v>
      </c>
      <c r="AV406" s="35">
        <f>ROUND(AW406+AX406,2)</f>
        <v>0</v>
      </c>
      <c r="AW406" s="35">
        <f>ROUND(F406*AO406,2)</f>
        <v>0</v>
      </c>
      <c r="AX406" s="35">
        <f>ROUND(F406*AP406,2)</f>
        <v>0</v>
      </c>
      <c r="AY406" s="64" t="s">
        <v>895</v>
      </c>
      <c r="AZ406" s="64" t="s">
        <v>690</v>
      </c>
      <c r="BA406" s="48" t="s">
        <v>676</v>
      </c>
      <c r="BB406" s="65">
        <v>100006</v>
      </c>
      <c r="BC406" s="35">
        <f>AW406+AX406</f>
        <v>0</v>
      </c>
      <c r="BD406" s="35">
        <f>G406/(100-BE406)*100</f>
        <v>0</v>
      </c>
      <c r="BE406" s="35">
        <v>0</v>
      </c>
      <c r="BF406" s="35">
        <f>406</f>
        <v>406</v>
      </c>
      <c r="BH406" s="35">
        <f>F406*AO406</f>
        <v>0</v>
      </c>
      <c r="BI406" s="35">
        <f>F406*AP406</f>
        <v>0</v>
      </c>
      <c r="BJ406" s="35">
        <f>F406*G406</f>
        <v>0</v>
      </c>
      <c r="BK406" s="64" t="s">
        <v>208</v>
      </c>
      <c r="BL406" s="35">
        <v>728</v>
      </c>
      <c r="BW406" s="35">
        <v>12</v>
      </c>
      <c r="BX406" s="3" t="s">
        <v>915</v>
      </c>
    </row>
    <row r="407" spans="1:76" x14ac:dyDescent="0.25">
      <c r="A407" s="66"/>
      <c r="C407" s="67" t="s">
        <v>211</v>
      </c>
      <c r="D407" s="68" t="s">
        <v>10</v>
      </c>
      <c r="F407" s="69">
        <v>2</v>
      </c>
      <c r="K407" s="70"/>
    </row>
    <row r="408" spans="1:76" x14ac:dyDescent="0.25">
      <c r="A408" s="1" t="s">
        <v>916</v>
      </c>
      <c r="B408" s="2" t="s">
        <v>917</v>
      </c>
      <c r="C408" s="86" t="s">
        <v>918</v>
      </c>
      <c r="D408" s="87"/>
      <c r="E408" s="2" t="s">
        <v>252</v>
      </c>
      <c r="F408" s="35">
        <v>2</v>
      </c>
      <c r="G408" s="35">
        <v>0</v>
      </c>
      <c r="H408" s="35">
        <f>ROUND(F408*AO408,2)</f>
        <v>0</v>
      </c>
      <c r="I408" s="35">
        <f>ROUND(F408*AP408,2)</f>
        <v>0</v>
      </c>
      <c r="J408" s="35">
        <f>ROUND(F408*G408,2)</f>
        <v>0</v>
      </c>
      <c r="K408" s="63" t="s">
        <v>203</v>
      </c>
      <c r="Z408" s="35">
        <f>ROUND(IF(AQ408="5",BJ408,0),2)</f>
        <v>0</v>
      </c>
      <c r="AB408" s="35">
        <f>ROUND(IF(AQ408="1",BH408,0),2)</f>
        <v>0</v>
      </c>
      <c r="AC408" s="35">
        <f>ROUND(IF(AQ408="1",BI408,0),2)</f>
        <v>0</v>
      </c>
      <c r="AD408" s="35">
        <f>ROUND(IF(AQ408="7",BH408,0),2)</f>
        <v>0</v>
      </c>
      <c r="AE408" s="35">
        <f>ROUND(IF(AQ408="7",BI408,0),2)</f>
        <v>0</v>
      </c>
      <c r="AF408" s="35">
        <f>ROUND(IF(AQ408="2",BH408,0),2)</f>
        <v>0</v>
      </c>
      <c r="AG408" s="35">
        <f>ROUND(IF(AQ408="2",BI408,0),2)</f>
        <v>0</v>
      </c>
      <c r="AH408" s="35">
        <f>ROUND(IF(AQ408="0",BJ408,0),2)</f>
        <v>0</v>
      </c>
      <c r="AI408" s="48" t="s">
        <v>85</v>
      </c>
      <c r="AJ408" s="35">
        <f>IF(AN408=0,J408,0)</f>
        <v>0</v>
      </c>
      <c r="AK408" s="35">
        <f>IF(AN408=12,J408,0)</f>
        <v>0</v>
      </c>
      <c r="AL408" s="35">
        <f>IF(AN408=21,J408,0)</f>
        <v>0</v>
      </c>
      <c r="AN408" s="35">
        <v>12</v>
      </c>
      <c r="AO408" s="35">
        <f>G408*0</f>
        <v>0</v>
      </c>
      <c r="AP408" s="35">
        <f>G408*(1-0)</f>
        <v>0</v>
      </c>
      <c r="AQ408" s="64" t="s">
        <v>204</v>
      </c>
      <c r="AV408" s="35">
        <f>ROUND(AW408+AX408,2)</f>
        <v>0</v>
      </c>
      <c r="AW408" s="35">
        <f>ROUND(F408*AO408,2)</f>
        <v>0</v>
      </c>
      <c r="AX408" s="35">
        <f>ROUND(F408*AP408,2)</f>
        <v>0</v>
      </c>
      <c r="AY408" s="64" t="s">
        <v>895</v>
      </c>
      <c r="AZ408" s="64" t="s">
        <v>690</v>
      </c>
      <c r="BA408" s="48" t="s">
        <v>676</v>
      </c>
      <c r="BB408" s="65">
        <v>100006</v>
      </c>
      <c r="BC408" s="35">
        <f>AW408+AX408</f>
        <v>0</v>
      </c>
      <c r="BD408" s="35">
        <f>G408/(100-BE408)*100</f>
        <v>0</v>
      </c>
      <c r="BE408" s="35">
        <v>0</v>
      </c>
      <c r="BF408" s="35">
        <f>408</f>
        <v>408</v>
      </c>
      <c r="BH408" s="35">
        <f>F408*AO408</f>
        <v>0</v>
      </c>
      <c r="BI408" s="35">
        <f>F408*AP408</f>
        <v>0</v>
      </c>
      <c r="BJ408" s="35">
        <f>F408*G408</f>
        <v>0</v>
      </c>
      <c r="BK408" s="64" t="s">
        <v>208</v>
      </c>
      <c r="BL408" s="35">
        <v>728</v>
      </c>
      <c r="BW408" s="35">
        <v>12</v>
      </c>
      <c r="BX408" s="3" t="s">
        <v>918</v>
      </c>
    </row>
    <row r="409" spans="1:76" x14ac:dyDescent="0.25">
      <c r="A409" s="66"/>
      <c r="C409" s="67" t="s">
        <v>211</v>
      </c>
      <c r="D409" s="68" t="s">
        <v>10</v>
      </c>
      <c r="F409" s="69">
        <v>2</v>
      </c>
      <c r="K409" s="70"/>
    </row>
    <row r="410" spans="1:76" x14ac:dyDescent="0.25">
      <c r="A410" s="1" t="s">
        <v>919</v>
      </c>
      <c r="B410" s="2" t="s">
        <v>920</v>
      </c>
      <c r="C410" s="86" t="s">
        <v>921</v>
      </c>
      <c r="D410" s="87"/>
      <c r="E410" s="2" t="s">
        <v>252</v>
      </c>
      <c r="F410" s="35">
        <v>1</v>
      </c>
      <c r="G410" s="35">
        <v>0</v>
      </c>
      <c r="H410" s="35">
        <f>ROUND(F410*AO410,2)</f>
        <v>0</v>
      </c>
      <c r="I410" s="35">
        <f>ROUND(F410*AP410,2)</f>
        <v>0</v>
      </c>
      <c r="J410" s="35">
        <f>ROUND(F410*G410,2)</f>
        <v>0</v>
      </c>
      <c r="K410" s="63" t="s">
        <v>203</v>
      </c>
      <c r="Z410" s="35">
        <f>ROUND(IF(AQ410="5",BJ410,0),2)</f>
        <v>0</v>
      </c>
      <c r="AB410" s="35">
        <f>ROUND(IF(AQ410="1",BH410,0),2)</f>
        <v>0</v>
      </c>
      <c r="AC410" s="35">
        <f>ROUND(IF(AQ410="1",BI410,0),2)</f>
        <v>0</v>
      </c>
      <c r="AD410" s="35">
        <f>ROUND(IF(AQ410="7",BH410,0),2)</f>
        <v>0</v>
      </c>
      <c r="AE410" s="35">
        <f>ROUND(IF(AQ410="7",BI410,0),2)</f>
        <v>0</v>
      </c>
      <c r="AF410" s="35">
        <f>ROUND(IF(AQ410="2",BH410,0),2)</f>
        <v>0</v>
      </c>
      <c r="AG410" s="35">
        <f>ROUND(IF(AQ410="2",BI410,0),2)</f>
        <v>0</v>
      </c>
      <c r="AH410" s="35">
        <f>ROUND(IF(AQ410="0",BJ410,0),2)</f>
        <v>0</v>
      </c>
      <c r="AI410" s="48" t="s">
        <v>85</v>
      </c>
      <c r="AJ410" s="35">
        <f>IF(AN410=0,J410,0)</f>
        <v>0</v>
      </c>
      <c r="AK410" s="35">
        <f>IF(AN410=12,J410,0)</f>
        <v>0</v>
      </c>
      <c r="AL410" s="35">
        <f>IF(AN410=21,J410,0)</f>
        <v>0</v>
      </c>
      <c r="AN410" s="35">
        <v>12</v>
      </c>
      <c r="AO410" s="35">
        <f>G410*0</f>
        <v>0</v>
      </c>
      <c r="AP410" s="35">
        <f>G410*(1-0)</f>
        <v>0</v>
      </c>
      <c r="AQ410" s="64" t="s">
        <v>204</v>
      </c>
      <c r="AV410" s="35">
        <f>ROUND(AW410+AX410,2)</f>
        <v>0</v>
      </c>
      <c r="AW410" s="35">
        <f>ROUND(F410*AO410,2)</f>
        <v>0</v>
      </c>
      <c r="AX410" s="35">
        <f>ROUND(F410*AP410,2)</f>
        <v>0</v>
      </c>
      <c r="AY410" s="64" t="s">
        <v>895</v>
      </c>
      <c r="AZ410" s="64" t="s">
        <v>690</v>
      </c>
      <c r="BA410" s="48" t="s">
        <v>676</v>
      </c>
      <c r="BB410" s="65">
        <v>100006</v>
      </c>
      <c r="BC410" s="35">
        <f>AW410+AX410</f>
        <v>0</v>
      </c>
      <c r="BD410" s="35">
        <f>G410/(100-BE410)*100</f>
        <v>0</v>
      </c>
      <c r="BE410" s="35">
        <v>0</v>
      </c>
      <c r="BF410" s="35">
        <f>410</f>
        <v>410</v>
      </c>
      <c r="BH410" s="35">
        <f>F410*AO410</f>
        <v>0</v>
      </c>
      <c r="BI410" s="35">
        <f>F410*AP410</f>
        <v>0</v>
      </c>
      <c r="BJ410" s="35">
        <f>F410*G410</f>
        <v>0</v>
      </c>
      <c r="BK410" s="64" t="s">
        <v>208</v>
      </c>
      <c r="BL410" s="35">
        <v>728</v>
      </c>
      <c r="BW410" s="35">
        <v>12</v>
      </c>
      <c r="BX410" s="3" t="s">
        <v>921</v>
      </c>
    </row>
    <row r="411" spans="1:76" x14ac:dyDescent="0.25">
      <c r="A411" s="1" t="s">
        <v>922</v>
      </c>
      <c r="B411" s="2" t="s">
        <v>923</v>
      </c>
      <c r="C411" s="86" t="s">
        <v>924</v>
      </c>
      <c r="D411" s="87"/>
      <c r="E411" s="2" t="s">
        <v>252</v>
      </c>
      <c r="F411" s="35">
        <v>1</v>
      </c>
      <c r="G411" s="35">
        <v>0</v>
      </c>
      <c r="H411" s="35">
        <f>ROUND(F411*AO411,2)</f>
        <v>0</v>
      </c>
      <c r="I411" s="35">
        <f>ROUND(F411*AP411,2)</f>
        <v>0</v>
      </c>
      <c r="J411" s="35">
        <f>ROUND(F411*G411,2)</f>
        <v>0</v>
      </c>
      <c r="K411" s="63" t="s">
        <v>203</v>
      </c>
      <c r="Z411" s="35">
        <f>ROUND(IF(AQ411="5",BJ411,0),2)</f>
        <v>0</v>
      </c>
      <c r="AB411" s="35">
        <f>ROUND(IF(AQ411="1",BH411,0),2)</f>
        <v>0</v>
      </c>
      <c r="AC411" s="35">
        <f>ROUND(IF(AQ411="1",BI411,0),2)</f>
        <v>0</v>
      </c>
      <c r="AD411" s="35">
        <f>ROUND(IF(AQ411="7",BH411,0),2)</f>
        <v>0</v>
      </c>
      <c r="AE411" s="35">
        <f>ROUND(IF(AQ411="7",BI411,0),2)</f>
        <v>0</v>
      </c>
      <c r="AF411" s="35">
        <f>ROUND(IF(AQ411="2",BH411,0),2)</f>
        <v>0</v>
      </c>
      <c r="AG411" s="35">
        <f>ROUND(IF(AQ411="2",BI411,0),2)</f>
        <v>0</v>
      </c>
      <c r="AH411" s="35">
        <f>ROUND(IF(AQ411="0",BJ411,0),2)</f>
        <v>0</v>
      </c>
      <c r="AI411" s="48" t="s">
        <v>85</v>
      </c>
      <c r="AJ411" s="35">
        <f>IF(AN411=0,J411,0)</f>
        <v>0</v>
      </c>
      <c r="AK411" s="35">
        <f>IF(AN411=12,J411,0)</f>
        <v>0</v>
      </c>
      <c r="AL411" s="35">
        <f>IF(AN411=21,J411,0)</f>
        <v>0</v>
      </c>
      <c r="AN411" s="35">
        <v>12</v>
      </c>
      <c r="AO411" s="35">
        <f>G411*0</f>
        <v>0</v>
      </c>
      <c r="AP411" s="35">
        <f>G411*(1-0)</f>
        <v>0</v>
      </c>
      <c r="AQ411" s="64" t="s">
        <v>204</v>
      </c>
      <c r="AV411" s="35">
        <f>ROUND(AW411+AX411,2)</f>
        <v>0</v>
      </c>
      <c r="AW411" s="35">
        <f>ROUND(F411*AO411,2)</f>
        <v>0</v>
      </c>
      <c r="AX411" s="35">
        <f>ROUND(F411*AP411,2)</f>
        <v>0</v>
      </c>
      <c r="AY411" s="64" t="s">
        <v>895</v>
      </c>
      <c r="AZ411" s="64" t="s">
        <v>690</v>
      </c>
      <c r="BA411" s="48" t="s">
        <v>676</v>
      </c>
      <c r="BB411" s="65">
        <v>100006</v>
      </c>
      <c r="BC411" s="35">
        <f>AW411+AX411</f>
        <v>0</v>
      </c>
      <c r="BD411" s="35">
        <f>G411/(100-BE411)*100</f>
        <v>0</v>
      </c>
      <c r="BE411" s="35">
        <v>0</v>
      </c>
      <c r="BF411" s="35">
        <f>411</f>
        <v>411</v>
      </c>
      <c r="BH411" s="35">
        <f>F411*AO411</f>
        <v>0</v>
      </c>
      <c r="BI411" s="35">
        <f>F411*AP411</f>
        <v>0</v>
      </c>
      <c r="BJ411" s="35">
        <f>F411*G411</f>
        <v>0</v>
      </c>
      <c r="BK411" s="64" t="s">
        <v>208</v>
      </c>
      <c r="BL411" s="35">
        <v>728</v>
      </c>
      <c r="BW411" s="35">
        <v>12</v>
      </c>
      <c r="BX411" s="3" t="s">
        <v>924</v>
      </c>
    </row>
    <row r="412" spans="1:76" x14ac:dyDescent="0.25">
      <c r="A412" s="1" t="s">
        <v>925</v>
      </c>
      <c r="B412" s="2" t="s">
        <v>926</v>
      </c>
      <c r="C412" s="86" t="s">
        <v>927</v>
      </c>
      <c r="D412" s="87"/>
      <c r="E412" s="2" t="s">
        <v>252</v>
      </c>
      <c r="F412" s="35">
        <v>4</v>
      </c>
      <c r="G412" s="35">
        <v>0</v>
      </c>
      <c r="H412" s="35">
        <f>ROUND(F412*AO412,2)</f>
        <v>0</v>
      </c>
      <c r="I412" s="35">
        <f>ROUND(F412*AP412,2)</f>
        <v>0</v>
      </c>
      <c r="J412" s="35">
        <f>ROUND(F412*G412,2)</f>
        <v>0</v>
      </c>
      <c r="K412" s="63" t="s">
        <v>203</v>
      </c>
      <c r="Z412" s="35">
        <f>ROUND(IF(AQ412="5",BJ412,0),2)</f>
        <v>0</v>
      </c>
      <c r="AB412" s="35">
        <f>ROUND(IF(AQ412="1",BH412,0),2)</f>
        <v>0</v>
      </c>
      <c r="AC412" s="35">
        <f>ROUND(IF(AQ412="1",BI412,0),2)</f>
        <v>0</v>
      </c>
      <c r="AD412" s="35">
        <f>ROUND(IF(AQ412="7",BH412,0),2)</f>
        <v>0</v>
      </c>
      <c r="AE412" s="35">
        <f>ROUND(IF(AQ412="7",BI412,0),2)</f>
        <v>0</v>
      </c>
      <c r="AF412" s="35">
        <f>ROUND(IF(AQ412="2",BH412,0),2)</f>
        <v>0</v>
      </c>
      <c r="AG412" s="35">
        <f>ROUND(IF(AQ412="2",BI412,0),2)</f>
        <v>0</v>
      </c>
      <c r="AH412" s="35">
        <f>ROUND(IF(AQ412="0",BJ412,0),2)</f>
        <v>0</v>
      </c>
      <c r="AI412" s="48" t="s">
        <v>85</v>
      </c>
      <c r="AJ412" s="35">
        <f>IF(AN412=0,J412,0)</f>
        <v>0</v>
      </c>
      <c r="AK412" s="35">
        <f>IF(AN412=12,J412,0)</f>
        <v>0</v>
      </c>
      <c r="AL412" s="35">
        <f>IF(AN412=21,J412,0)</f>
        <v>0</v>
      </c>
      <c r="AN412" s="35">
        <v>12</v>
      </c>
      <c r="AO412" s="35">
        <f>G412*0</f>
        <v>0</v>
      </c>
      <c r="AP412" s="35">
        <f>G412*(1-0)</f>
        <v>0</v>
      </c>
      <c r="AQ412" s="64" t="s">
        <v>204</v>
      </c>
      <c r="AV412" s="35">
        <f>ROUND(AW412+AX412,2)</f>
        <v>0</v>
      </c>
      <c r="AW412" s="35">
        <f>ROUND(F412*AO412,2)</f>
        <v>0</v>
      </c>
      <c r="AX412" s="35">
        <f>ROUND(F412*AP412,2)</f>
        <v>0</v>
      </c>
      <c r="AY412" s="64" t="s">
        <v>895</v>
      </c>
      <c r="AZ412" s="64" t="s">
        <v>690</v>
      </c>
      <c r="BA412" s="48" t="s">
        <v>676</v>
      </c>
      <c r="BB412" s="65">
        <v>100006</v>
      </c>
      <c r="BC412" s="35">
        <f>AW412+AX412</f>
        <v>0</v>
      </c>
      <c r="BD412" s="35">
        <f>G412/(100-BE412)*100</f>
        <v>0</v>
      </c>
      <c r="BE412" s="35">
        <v>0</v>
      </c>
      <c r="BF412" s="35">
        <f>412</f>
        <v>412</v>
      </c>
      <c r="BH412" s="35">
        <f>F412*AO412</f>
        <v>0</v>
      </c>
      <c r="BI412" s="35">
        <f>F412*AP412</f>
        <v>0</v>
      </c>
      <c r="BJ412" s="35">
        <f>F412*G412</f>
        <v>0</v>
      </c>
      <c r="BK412" s="64" t="s">
        <v>208</v>
      </c>
      <c r="BL412" s="35">
        <v>728</v>
      </c>
      <c r="BW412" s="35">
        <v>12</v>
      </c>
      <c r="BX412" s="3" t="s">
        <v>927</v>
      </c>
    </row>
    <row r="413" spans="1:76" x14ac:dyDescent="0.25">
      <c r="A413" s="66"/>
      <c r="C413" s="67" t="s">
        <v>730</v>
      </c>
      <c r="D413" s="68" t="s">
        <v>10</v>
      </c>
      <c r="F413" s="69">
        <v>4</v>
      </c>
      <c r="K413" s="70"/>
    </row>
    <row r="414" spans="1:76" x14ac:dyDescent="0.25">
      <c r="A414" s="76" t="s">
        <v>928</v>
      </c>
      <c r="B414" s="77" t="s">
        <v>929</v>
      </c>
      <c r="C414" s="185" t="s">
        <v>930</v>
      </c>
      <c r="D414" s="186"/>
      <c r="E414" s="77" t="s">
        <v>252</v>
      </c>
      <c r="F414" s="79">
        <v>2</v>
      </c>
      <c r="G414" s="79">
        <v>0</v>
      </c>
      <c r="H414" s="79">
        <f>ROUND(F414*AO414,2)</f>
        <v>0</v>
      </c>
      <c r="I414" s="79">
        <f>ROUND(F414*AP414,2)</f>
        <v>0</v>
      </c>
      <c r="J414" s="79">
        <f>ROUND(F414*G414,2)</f>
        <v>0</v>
      </c>
      <c r="K414" s="80" t="s">
        <v>203</v>
      </c>
      <c r="Z414" s="35">
        <f>ROUND(IF(AQ414="5",BJ414,0),2)</f>
        <v>0</v>
      </c>
      <c r="AB414" s="35">
        <f>ROUND(IF(AQ414="1",BH414,0),2)</f>
        <v>0</v>
      </c>
      <c r="AC414" s="35">
        <f>ROUND(IF(AQ414="1",BI414,0),2)</f>
        <v>0</v>
      </c>
      <c r="AD414" s="35">
        <f>ROUND(IF(AQ414="7",BH414,0),2)</f>
        <v>0</v>
      </c>
      <c r="AE414" s="35">
        <f>ROUND(IF(AQ414="7",BI414,0),2)</f>
        <v>0</v>
      </c>
      <c r="AF414" s="35">
        <f>ROUND(IF(AQ414="2",BH414,0),2)</f>
        <v>0</v>
      </c>
      <c r="AG414" s="35">
        <f>ROUND(IF(AQ414="2",BI414,0),2)</f>
        <v>0</v>
      </c>
      <c r="AH414" s="35">
        <f>ROUND(IF(AQ414="0",BJ414,0),2)</f>
        <v>0</v>
      </c>
      <c r="AI414" s="48" t="s">
        <v>85</v>
      </c>
      <c r="AJ414" s="79">
        <f>IF(AN414=0,J414,0)</f>
        <v>0</v>
      </c>
      <c r="AK414" s="79">
        <f>IF(AN414=12,J414,0)</f>
        <v>0</v>
      </c>
      <c r="AL414" s="79">
        <f>IF(AN414=21,J414,0)</f>
        <v>0</v>
      </c>
      <c r="AN414" s="35">
        <v>12</v>
      </c>
      <c r="AO414" s="35">
        <f>G414*1</f>
        <v>0</v>
      </c>
      <c r="AP414" s="35">
        <f>G414*(1-1)</f>
        <v>0</v>
      </c>
      <c r="AQ414" s="81" t="s">
        <v>204</v>
      </c>
      <c r="AV414" s="35">
        <f>ROUND(AW414+AX414,2)</f>
        <v>0</v>
      </c>
      <c r="AW414" s="35">
        <f>ROUND(F414*AO414,2)</f>
        <v>0</v>
      </c>
      <c r="AX414" s="35">
        <f>ROUND(F414*AP414,2)</f>
        <v>0</v>
      </c>
      <c r="AY414" s="64" t="s">
        <v>895</v>
      </c>
      <c r="AZ414" s="64" t="s">
        <v>690</v>
      </c>
      <c r="BA414" s="48" t="s">
        <v>676</v>
      </c>
      <c r="BC414" s="35">
        <f>AW414+AX414</f>
        <v>0</v>
      </c>
      <c r="BD414" s="35">
        <f>G414/(100-BE414)*100</f>
        <v>0</v>
      </c>
      <c r="BE414" s="35">
        <v>0</v>
      </c>
      <c r="BF414" s="35">
        <f>414</f>
        <v>414</v>
      </c>
      <c r="BH414" s="79">
        <f>F414*AO414</f>
        <v>0</v>
      </c>
      <c r="BI414" s="79">
        <f>F414*AP414</f>
        <v>0</v>
      </c>
      <c r="BJ414" s="79">
        <f>F414*G414</f>
        <v>0</v>
      </c>
      <c r="BK414" s="81" t="s">
        <v>464</v>
      </c>
      <c r="BL414" s="35">
        <v>728</v>
      </c>
      <c r="BW414" s="35">
        <v>12</v>
      </c>
      <c r="BX414" s="78" t="s">
        <v>930</v>
      </c>
    </row>
    <row r="415" spans="1:76" x14ac:dyDescent="0.25">
      <c r="A415" s="66"/>
      <c r="C415" s="67" t="s">
        <v>211</v>
      </c>
      <c r="D415" s="68" t="s">
        <v>10</v>
      </c>
      <c r="F415" s="69">
        <v>2</v>
      </c>
      <c r="K415" s="70"/>
    </row>
    <row r="416" spans="1:76" x14ac:dyDescent="0.25">
      <c r="A416" s="76" t="s">
        <v>931</v>
      </c>
      <c r="B416" s="77" t="s">
        <v>932</v>
      </c>
      <c r="C416" s="185" t="s">
        <v>933</v>
      </c>
      <c r="D416" s="186"/>
      <c r="E416" s="77" t="s">
        <v>252</v>
      </c>
      <c r="F416" s="79">
        <v>2</v>
      </c>
      <c r="G416" s="79">
        <v>0</v>
      </c>
      <c r="H416" s="79">
        <f>ROUND(F416*AO416,2)</f>
        <v>0</v>
      </c>
      <c r="I416" s="79">
        <f>ROUND(F416*AP416,2)</f>
        <v>0</v>
      </c>
      <c r="J416" s="79">
        <f>ROUND(F416*G416,2)</f>
        <v>0</v>
      </c>
      <c r="K416" s="80" t="s">
        <v>203</v>
      </c>
      <c r="Z416" s="35">
        <f>ROUND(IF(AQ416="5",BJ416,0),2)</f>
        <v>0</v>
      </c>
      <c r="AB416" s="35">
        <f>ROUND(IF(AQ416="1",BH416,0),2)</f>
        <v>0</v>
      </c>
      <c r="AC416" s="35">
        <f>ROUND(IF(AQ416="1",BI416,0),2)</f>
        <v>0</v>
      </c>
      <c r="AD416" s="35">
        <f>ROUND(IF(AQ416="7",BH416,0),2)</f>
        <v>0</v>
      </c>
      <c r="AE416" s="35">
        <f>ROUND(IF(AQ416="7",BI416,0),2)</f>
        <v>0</v>
      </c>
      <c r="AF416" s="35">
        <f>ROUND(IF(AQ416="2",BH416,0),2)</f>
        <v>0</v>
      </c>
      <c r="AG416" s="35">
        <f>ROUND(IF(AQ416="2",BI416,0),2)</f>
        <v>0</v>
      </c>
      <c r="AH416" s="35">
        <f>ROUND(IF(AQ416="0",BJ416,0),2)</f>
        <v>0</v>
      </c>
      <c r="AI416" s="48" t="s">
        <v>85</v>
      </c>
      <c r="AJ416" s="79">
        <f>IF(AN416=0,J416,0)</f>
        <v>0</v>
      </c>
      <c r="AK416" s="79">
        <f>IF(AN416=12,J416,0)</f>
        <v>0</v>
      </c>
      <c r="AL416" s="79">
        <f>IF(AN416=21,J416,0)</f>
        <v>0</v>
      </c>
      <c r="AN416" s="35">
        <v>12</v>
      </c>
      <c r="AO416" s="35">
        <f>G416*1</f>
        <v>0</v>
      </c>
      <c r="AP416" s="35">
        <f>G416*(1-1)</f>
        <v>0</v>
      </c>
      <c r="AQ416" s="81" t="s">
        <v>204</v>
      </c>
      <c r="AV416" s="35">
        <f>ROUND(AW416+AX416,2)</f>
        <v>0</v>
      </c>
      <c r="AW416" s="35">
        <f>ROUND(F416*AO416,2)</f>
        <v>0</v>
      </c>
      <c r="AX416" s="35">
        <f>ROUND(F416*AP416,2)</f>
        <v>0</v>
      </c>
      <c r="AY416" s="64" t="s">
        <v>895</v>
      </c>
      <c r="AZ416" s="64" t="s">
        <v>690</v>
      </c>
      <c r="BA416" s="48" t="s">
        <v>676</v>
      </c>
      <c r="BC416" s="35">
        <f>AW416+AX416</f>
        <v>0</v>
      </c>
      <c r="BD416" s="35">
        <f>G416/(100-BE416)*100</f>
        <v>0</v>
      </c>
      <c r="BE416" s="35">
        <v>0</v>
      </c>
      <c r="BF416" s="35">
        <f>416</f>
        <v>416</v>
      </c>
      <c r="BH416" s="79">
        <f>F416*AO416</f>
        <v>0</v>
      </c>
      <c r="BI416" s="79">
        <f>F416*AP416</f>
        <v>0</v>
      </c>
      <c r="BJ416" s="79">
        <f>F416*G416</f>
        <v>0</v>
      </c>
      <c r="BK416" s="81" t="s">
        <v>464</v>
      </c>
      <c r="BL416" s="35">
        <v>728</v>
      </c>
      <c r="BW416" s="35">
        <v>12</v>
      </c>
      <c r="BX416" s="78" t="s">
        <v>933</v>
      </c>
    </row>
    <row r="417" spans="1:76" x14ac:dyDescent="0.25">
      <c r="A417" s="66"/>
      <c r="C417" s="67" t="s">
        <v>211</v>
      </c>
      <c r="D417" s="68" t="s">
        <v>10</v>
      </c>
      <c r="F417" s="69">
        <v>2</v>
      </c>
      <c r="K417" s="70"/>
    </row>
    <row r="418" spans="1:76" x14ac:dyDescent="0.25">
      <c r="A418" s="1" t="s">
        <v>934</v>
      </c>
      <c r="B418" s="2" t="s">
        <v>935</v>
      </c>
      <c r="C418" s="86" t="s">
        <v>936</v>
      </c>
      <c r="D418" s="87"/>
      <c r="E418" s="2" t="s">
        <v>252</v>
      </c>
      <c r="F418" s="35">
        <v>1</v>
      </c>
      <c r="G418" s="35">
        <v>0</v>
      </c>
      <c r="H418" s="35">
        <f>ROUND(F418*AO418,2)</f>
        <v>0</v>
      </c>
      <c r="I418" s="35">
        <f>ROUND(F418*AP418,2)</f>
        <v>0</v>
      </c>
      <c r="J418" s="35">
        <f>ROUND(F418*G418,2)</f>
        <v>0</v>
      </c>
      <c r="K418" s="63" t="s">
        <v>203</v>
      </c>
      <c r="Z418" s="35">
        <f>ROUND(IF(AQ418="5",BJ418,0),2)</f>
        <v>0</v>
      </c>
      <c r="AB418" s="35">
        <f>ROUND(IF(AQ418="1",BH418,0),2)</f>
        <v>0</v>
      </c>
      <c r="AC418" s="35">
        <f>ROUND(IF(AQ418="1",BI418,0),2)</f>
        <v>0</v>
      </c>
      <c r="AD418" s="35">
        <f>ROUND(IF(AQ418="7",BH418,0),2)</f>
        <v>0</v>
      </c>
      <c r="AE418" s="35">
        <f>ROUND(IF(AQ418="7",BI418,0),2)</f>
        <v>0</v>
      </c>
      <c r="AF418" s="35">
        <f>ROUND(IF(AQ418="2",BH418,0),2)</f>
        <v>0</v>
      </c>
      <c r="AG418" s="35">
        <f>ROUND(IF(AQ418="2",BI418,0),2)</f>
        <v>0</v>
      </c>
      <c r="AH418" s="35">
        <f>ROUND(IF(AQ418="0",BJ418,0),2)</f>
        <v>0</v>
      </c>
      <c r="AI418" s="48" t="s">
        <v>85</v>
      </c>
      <c r="AJ418" s="35">
        <f>IF(AN418=0,J418,0)</f>
        <v>0</v>
      </c>
      <c r="AK418" s="35">
        <f>IF(AN418=12,J418,0)</f>
        <v>0</v>
      </c>
      <c r="AL418" s="35">
        <f>IF(AN418=21,J418,0)</f>
        <v>0</v>
      </c>
      <c r="AN418" s="35">
        <v>12</v>
      </c>
      <c r="AO418" s="35">
        <f>G418*0</f>
        <v>0</v>
      </c>
      <c r="AP418" s="35">
        <f>G418*(1-0)</f>
        <v>0</v>
      </c>
      <c r="AQ418" s="64" t="s">
        <v>204</v>
      </c>
      <c r="AV418" s="35">
        <f>ROUND(AW418+AX418,2)</f>
        <v>0</v>
      </c>
      <c r="AW418" s="35">
        <f>ROUND(F418*AO418,2)</f>
        <v>0</v>
      </c>
      <c r="AX418" s="35">
        <f>ROUND(F418*AP418,2)</f>
        <v>0</v>
      </c>
      <c r="AY418" s="64" t="s">
        <v>895</v>
      </c>
      <c r="AZ418" s="64" t="s">
        <v>690</v>
      </c>
      <c r="BA418" s="48" t="s">
        <v>676</v>
      </c>
      <c r="BB418" s="65">
        <v>100006</v>
      </c>
      <c r="BC418" s="35">
        <f>AW418+AX418</f>
        <v>0</v>
      </c>
      <c r="BD418" s="35">
        <f>G418/(100-BE418)*100</f>
        <v>0</v>
      </c>
      <c r="BE418" s="35">
        <v>0</v>
      </c>
      <c r="BF418" s="35">
        <f>418</f>
        <v>418</v>
      </c>
      <c r="BH418" s="35">
        <f>F418*AO418</f>
        <v>0</v>
      </c>
      <c r="BI418" s="35">
        <f>F418*AP418</f>
        <v>0</v>
      </c>
      <c r="BJ418" s="35">
        <f>F418*G418</f>
        <v>0</v>
      </c>
      <c r="BK418" s="64" t="s">
        <v>208</v>
      </c>
      <c r="BL418" s="35">
        <v>728</v>
      </c>
      <c r="BW418" s="35">
        <v>12</v>
      </c>
      <c r="BX418" s="3" t="s">
        <v>936</v>
      </c>
    </row>
    <row r="419" spans="1:76" x14ac:dyDescent="0.25">
      <c r="A419" s="76" t="s">
        <v>937</v>
      </c>
      <c r="B419" s="77" t="s">
        <v>938</v>
      </c>
      <c r="C419" s="185" t="s">
        <v>939</v>
      </c>
      <c r="D419" s="186"/>
      <c r="E419" s="77" t="s">
        <v>252</v>
      </c>
      <c r="F419" s="79">
        <v>1</v>
      </c>
      <c r="G419" s="79">
        <v>0</v>
      </c>
      <c r="H419" s="79">
        <f>ROUND(F419*AO419,2)</f>
        <v>0</v>
      </c>
      <c r="I419" s="79">
        <f>ROUND(F419*AP419,2)</f>
        <v>0</v>
      </c>
      <c r="J419" s="79">
        <f>ROUND(F419*G419,2)</f>
        <v>0</v>
      </c>
      <c r="K419" s="80" t="s">
        <v>292</v>
      </c>
      <c r="Z419" s="35">
        <f>ROUND(IF(AQ419="5",BJ419,0),2)</f>
        <v>0</v>
      </c>
      <c r="AB419" s="35">
        <f>ROUND(IF(AQ419="1",BH419,0),2)</f>
        <v>0</v>
      </c>
      <c r="AC419" s="35">
        <f>ROUND(IF(AQ419="1",BI419,0),2)</f>
        <v>0</v>
      </c>
      <c r="AD419" s="35">
        <f>ROUND(IF(AQ419="7",BH419,0),2)</f>
        <v>0</v>
      </c>
      <c r="AE419" s="35">
        <f>ROUND(IF(AQ419="7",BI419,0),2)</f>
        <v>0</v>
      </c>
      <c r="AF419" s="35">
        <f>ROUND(IF(AQ419="2",BH419,0),2)</f>
        <v>0</v>
      </c>
      <c r="AG419" s="35">
        <f>ROUND(IF(AQ419="2",BI419,0),2)</f>
        <v>0</v>
      </c>
      <c r="AH419" s="35">
        <f>ROUND(IF(AQ419="0",BJ419,0),2)</f>
        <v>0</v>
      </c>
      <c r="AI419" s="48" t="s">
        <v>85</v>
      </c>
      <c r="AJ419" s="79">
        <f>IF(AN419=0,J419,0)</f>
        <v>0</v>
      </c>
      <c r="AK419" s="79">
        <f>IF(AN419=12,J419,0)</f>
        <v>0</v>
      </c>
      <c r="AL419" s="79">
        <f>IF(AN419=21,J419,0)</f>
        <v>0</v>
      </c>
      <c r="AN419" s="35">
        <v>12</v>
      </c>
      <c r="AO419" s="35">
        <f>G419*1</f>
        <v>0</v>
      </c>
      <c r="AP419" s="35">
        <f>G419*(1-1)</f>
        <v>0</v>
      </c>
      <c r="AQ419" s="81" t="s">
        <v>204</v>
      </c>
      <c r="AV419" s="35">
        <f>ROUND(AW419+AX419,2)</f>
        <v>0</v>
      </c>
      <c r="AW419" s="35">
        <f>ROUND(F419*AO419,2)</f>
        <v>0</v>
      </c>
      <c r="AX419" s="35">
        <f>ROUND(F419*AP419,2)</f>
        <v>0</v>
      </c>
      <c r="AY419" s="64" t="s">
        <v>895</v>
      </c>
      <c r="AZ419" s="64" t="s">
        <v>690</v>
      </c>
      <c r="BA419" s="48" t="s">
        <v>676</v>
      </c>
      <c r="BC419" s="35">
        <f>AW419+AX419</f>
        <v>0</v>
      </c>
      <c r="BD419" s="35">
        <f>G419/(100-BE419)*100</f>
        <v>0</v>
      </c>
      <c r="BE419" s="35">
        <v>0</v>
      </c>
      <c r="BF419" s="35">
        <f>419</f>
        <v>419</v>
      </c>
      <c r="BH419" s="79">
        <f>F419*AO419</f>
        <v>0</v>
      </c>
      <c r="BI419" s="79">
        <f>F419*AP419</f>
        <v>0</v>
      </c>
      <c r="BJ419" s="79">
        <f>F419*G419</f>
        <v>0</v>
      </c>
      <c r="BK419" s="81" t="s">
        <v>464</v>
      </c>
      <c r="BL419" s="35">
        <v>728</v>
      </c>
      <c r="BW419" s="35">
        <v>12</v>
      </c>
      <c r="BX419" s="78" t="s">
        <v>939</v>
      </c>
    </row>
    <row r="420" spans="1:76" x14ac:dyDescent="0.25">
      <c r="A420" s="1" t="s">
        <v>940</v>
      </c>
      <c r="B420" s="2" t="s">
        <v>941</v>
      </c>
      <c r="C420" s="86" t="s">
        <v>942</v>
      </c>
      <c r="D420" s="87"/>
      <c r="E420" s="2" t="s">
        <v>252</v>
      </c>
      <c r="F420" s="35">
        <v>1</v>
      </c>
      <c r="G420" s="35">
        <v>0</v>
      </c>
      <c r="H420" s="35">
        <f>ROUND(F420*AO420,2)</f>
        <v>0</v>
      </c>
      <c r="I420" s="35">
        <f>ROUND(F420*AP420,2)</f>
        <v>0</v>
      </c>
      <c r="J420" s="35">
        <f>ROUND(F420*G420,2)</f>
        <v>0</v>
      </c>
      <c r="K420" s="63" t="s">
        <v>203</v>
      </c>
      <c r="Z420" s="35">
        <f>ROUND(IF(AQ420="5",BJ420,0),2)</f>
        <v>0</v>
      </c>
      <c r="AB420" s="35">
        <f>ROUND(IF(AQ420="1",BH420,0),2)</f>
        <v>0</v>
      </c>
      <c r="AC420" s="35">
        <f>ROUND(IF(AQ420="1",BI420,0),2)</f>
        <v>0</v>
      </c>
      <c r="AD420" s="35">
        <f>ROUND(IF(AQ420="7",BH420,0),2)</f>
        <v>0</v>
      </c>
      <c r="AE420" s="35">
        <f>ROUND(IF(AQ420="7",BI420,0),2)</f>
        <v>0</v>
      </c>
      <c r="AF420" s="35">
        <f>ROUND(IF(AQ420="2",BH420,0),2)</f>
        <v>0</v>
      </c>
      <c r="AG420" s="35">
        <f>ROUND(IF(AQ420="2",BI420,0),2)</f>
        <v>0</v>
      </c>
      <c r="AH420" s="35">
        <f>ROUND(IF(AQ420="0",BJ420,0),2)</f>
        <v>0</v>
      </c>
      <c r="AI420" s="48" t="s">
        <v>85</v>
      </c>
      <c r="AJ420" s="35">
        <f>IF(AN420=0,J420,0)</f>
        <v>0</v>
      </c>
      <c r="AK420" s="35">
        <f>IF(AN420=12,J420,0)</f>
        <v>0</v>
      </c>
      <c r="AL420" s="35">
        <f>IF(AN420=21,J420,0)</f>
        <v>0</v>
      </c>
      <c r="AN420" s="35">
        <v>12</v>
      </c>
      <c r="AO420" s="35">
        <f>G420*0</f>
        <v>0</v>
      </c>
      <c r="AP420" s="35">
        <f>G420*(1-0)</f>
        <v>0</v>
      </c>
      <c r="AQ420" s="64" t="s">
        <v>204</v>
      </c>
      <c r="AV420" s="35">
        <f>ROUND(AW420+AX420,2)</f>
        <v>0</v>
      </c>
      <c r="AW420" s="35">
        <f>ROUND(F420*AO420,2)</f>
        <v>0</v>
      </c>
      <c r="AX420" s="35">
        <f>ROUND(F420*AP420,2)</f>
        <v>0</v>
      </c>
      <c r="AY420" s="64" t="s">
        <v>895</v>
      </c>
      <c r="AZ420" s="64" t="s">
        <v>690</v>
      </c>
      <c r="BA420" s="48" t="s">
        <v>676</v>
      </c>
      <c r="BB420" s="65">
        <v>100006</v>
      </c>
      <c r="BC420" s="35">
        <f>AW420+AX420</f>
        <v>0</v>
      </c>
      <c r="BD420" s="35">
        <f>G420/(100-BE420)*100</f>
        <v>0</v>
      </c>
      <c r="BE420" s="35">
        <v>0</v>
      </c>
      <c r="BF420" s="35">
        <f>420</f>
        <v>420</v>
      </c>
      <c r="BH420" s="35">
        <f>F420*AO420</f>
        <v>0</v>
      </c>
      <c r="BI420" s="35">
        <f>F420*AP420</f>
        <v>0</v>
      </c>
      <c r="BJ420" s="35">
        <f>F420*G420</f>
        <v>0</v>
      </c>
      <c r="BK420" s="64" t="s">
        <v>208</v>
      </c>
      <c r="BL420" s="35">
        <v>728</v>
      </c>
      <c r="BW420" s="35">
        <v>12</v>
      </c>
      <c r="BX420" s="3" t="s">
        <v>942</v>
      </c>
    </row>
    <row r="421" spans="1:76" x14ac:dyDescent="0.25">
      <c r="A421" s="66"/>
      <c r="C421" s="67" t="s">
        <v>199</v>
      </c>
      <c r="D421" s="68" t="s">
        <v>10</v>
      </c>
      <c r="F421" s="69">
        <v>1</v>
      </c>
      <c r="K421" s="70"/>
    </row>
    <row r="422" spans="1:76" x14ac:dyDescent="0.25">
      <c r="A422" s="76" t="s">
        <v>943</v>
      </c>
      <c r="B422" s="77" t="s">
        <v>944</v>
      </c>
      <c r="C422" s="185" t="s">
        <v>945</v>
      </c>
      <c r="D422" s="186"/>
      <c r="E422" s="77" t="s">
        <v>252</v>
      </c>
      <c r="F422" s="79">
        <v>1</v>
      </c>
      <c r="G422" s="79">
        <v>0</v>
      </c>
      <c r="H422" s="79">
        <f>ROUND(F422*AO422,2)</f>
        <v>0</v>
      </c>
      <c r="I422" s="79">
        <f>ROUND(F422*AP422,2)</f>
        <v>0</v>
      </c>
      <c r="J422" s="79">
        <f>ROUND(F422*G422,2)</f>
        <v>0</v>
      </c>
      <c r="K422" s="80" t="s">
        <v>292</v>
      </c>
      <c r="Z422" s="35">
        <f>ROUND(IF(AQ422="5",BJ422,0),2)</f>
        <v>0</v>
      </c>
      <c r="AB422" s="35">
        <f>ROUND(IF(AQ422="1",BH422,0),2)</f>
        <v>0</v>
      </c>
      <c r="AC422" s="35">
        <f>ROUND(IF(AQ422="1",BI422,0),2)</f>
        <v>0</v>
      </c>
      <c r="AD422" s="35">
        <f>ROUND(IF(AQ422="7",BH422,0),2)</f>
        <v>0</v>
      </c>
      <c r="AE422" s="35">
        <f>ROUND(IF(AQ422="7",BI422,0),2)</f>
        <v>0</v>
      </c>
      <c r="AF422" s="35">
        <f>ROUND(IF(AQ422="2",BH422,0),2)</f>
        <v>0</v>
      </c>
      <c r="AG422" s="35">
        <f>ROUND(IF(AQ422="2",BI422,0),2)</f>
        <v>0</v>
      </c>
      <c r="AH422" s="35">
        <f>ROUND(IF(AQ422="0",BJ422,0),2)</f>
        <v>0</v>
      </c>
      <c r="AI422" s="48" t="s">
        <v>85</v>
      </c>
      <c r="AJ422" s="79">
        <f>IF(AN422=0,J422,0)</f>
        <v>0</v>
      </c>
      <c r="AK422" s="79">
        <f>IF(AN422=12,J422,0)</f>
        <v>0</v>
      </c>
      <c r="AL422" s="79">
        <f>IF(AN422=21,J422,0)</f>
        <v>0</v>
      </c>
      <c r="AN422" s="35">
        <v>12</v>
      </c>
      <c r="AO422" s="35">
        <f>G422*1</f>
        <v>0</v>
      </c>
      <c r="AP422" s="35">
        <f>G422*(1-1)</f>
        <v>0</v>
      </c>
      <c r="AQ422" s="81" t="s">
        <v>204</v>
      </c>
      <c r="AV422" s="35">
        <f>ROUND(AW422+AX422,2)</f>
        <v>0</v>
      </c>
      <c r="AW422" s="35">
        <f>ROUND(F422*AO422,2)</f>
        <v>0</v>
      </c>
      <c r="AX422" s="35">
        <f>ROUND(F422*AP422,2)</f>
        <v>0</v>
      </c>
      <c r="AY422" s="64" t="s">
        <v>895</v>
      </c>
      <c r="AZ422" s="64" t="s">
        <v>690</v>
      </c>
      <c r="BA422" s="48" t="s">
        <v>676</v>
      </c>
      <c r="BC422" s="35">
        <f>AW422+AX422</f>
        <v>0</v>
      </c>
      <c r="BD422" s="35">
        <f>G422/(100-BE422)*100</f>
        <v>0</v>
      </c>
      <c r="BE422" s="35">
        <v>0</v>
      </c>
      <c r="BF422" s="35">
        <f>422</f>
        <v>422</v>
      </c>
      <c r="BH422" s="79">
        <f>F422*AO422</f>
        <v>0</v>
      </c>
      <c r="BI422" s="79">
        <f>F422*AP422</f>
        <v>0</v>
      </c>
      <c r="BJ422" s="79">
        <f>F422*G422</f>
        <v>0</v>
      </c>
      <c r="BK422" s="81" t="s">
        <v>464</v>
      </c>
      <c r="BL422" s="35">
        <v>728</v>
      </c>
      <c r="BW422" s="35">
        <v>12</v>
      </c>
      <c r="BX422" s="78" t="s">
        <v>945</v>
      </c>
    </row>
    <row r="423" spans="1:76" x14ac:dyDescent="0.25">
      <c r="A423" s="59" t="s">
        <v>10</v>
      </c>
      <c r="B423" s="60" t="s">
        <v>145</v>
      </c>
      <c r="C423" s="177" t="s">
        <v>146</v>
      </c>
      <c r="D423" s="178"/>
      <c r="E423" s="61" t="s">
        <v>74</v>
      </c>
      <c r="F423" s="61" t="s">
        <v>74</v>
      </c>
      <c r="G423" s="61" t="s">
        <v>74</v>
      </c>
      <c r="H423" s="42">
        <f>SUM(H424:H426)</f>
        <v>0</v>
      </c>
      <c r="I423" s="42">
        <f>SUM(I424:I426)</f>
        <v>0</v>
      </c>
      <c r="J423" s="42">
        <f>SUM(J424:J426)</f>
        <v>0</v>
      </c>
      <c r="K423" s="62" t="s">
        <v>10</v>
      </c>
      <c r="AI423" s="48" t="s">
        <v>85</v>
      </c>
      <c r="AS423" s="42">
        <f>SUM(AJ424:AJ426)</f>
        <v>0</v>
      </c>
      <c r="AT423" s="42">
        <f>SUM(AK424:AK426)</f>
        <v>0</v>
      </c>
      <c r="AU423" s="42">
        <f>SUM(AL424:AL426)</f>
        <v>0</v>
      </c>
    </row>
    <row r="424" spans="1:76" x14ac:dyDescent="0.25">
      <c r="A424" s="1" t="s">
        <v>946</v>
      </c>
      <c r="B424" s="2" t="s">
        <v>947</v>
      </c>
      <c r="C424" s="86" t="s">
        <v>948</v>
      </c>
      <c r="D424" s="87"/>
      <c r="E424" s="2" t="s">
        <v>252</v>
      </c>
      <c r="F424" s="35">
        <v>6</v>
      </c>
      <c r="G424" s="35">
        <v>0</v>
      </c>
      <c r="H424" s="35">
        <f>ROUND(F424*AO424,2)</f>
        <v>0</v>
      </c>
      <c r="I424" s="35">
        <f>ROUND(F424*AP424,2)</f>
        <v>0</v>
      </c>
      <c r="J424" s="35">
        <f>ROUND(F424*G424,2)</f>
        <v>0</v>
      </c>
      <c r="K424" s="63" t="s">
        <v>203</v>
      </c>
      <c r="Z424" s="35">
        <f>ROUND(IF(AQ424="5",BJ424,0),2)</f>
        <v>0</v>
      </c>
      <c r="AB424" s="35">
        <f>ROUND(IF(AQ424="1",BH424,0),2)</f>
        <v>0</v>
      </c>
      <c r="AC424" s="35">
        <f>ROUND(IF(AQ424="1",BI424,0),2)</f>
        <v>0</v>
      </c>
      <c r="AD424" s="35">
        <f>ROUND(IF(AQ424="7",BH424,0),2)</f>
        <v>0</v>
      </c>
      <c r="AE424" s="35">
        <f>ROUND(IF(AQ424="7",BI424,0),2)</f>
        <v>0</v>
      </c>
      <c r="AF424" s="35">
        <f>ROUND(IF(AQ424="2",BH424,0),2)</f>
        <v>0</v>
      </c>
      <c r="AG424" s="35">
        <f>ROUND(IF(AQ424="2",BI424,0),2)</f>
        <v>0</v>
      </c>
      <c r="AH424" s="35">
        <f>ROUND(IF(AQ424="0",BJ424,0),2)</f>
        <v>0</v>
      </c>
      <c r="AI424" s="48" t="s">
        <v>85</v>
      </c>
      <c r="AJ424" s="35">
        <f>IF(AN424=0,J424,0)</f>
        <v>0</v>
      </c>
      <c r="AK424" s="35">
        <f>IF(AN424=12,J424,0)</f>
        <v>0</v>
      </c>
      <c r="AL424" s="35">
        <f>IF(AN424=21,J424,0)</f>
        <v>0</v>
      </c>
      <c r="AN424" s="35">
        <v>12</v>
      </c>
      <c r="AO424" s="35">
        <f>G424*0.115068493</f>
        <v>0</v>
      </c>
      <c r="AP424" s="35">
        <f>G424*(1-0.115068493)</f>
        <v>0</v>
      </c>
      <c r="AQ424" s="64" t="s">
        <v>204</v>
      </c>
      <c r="AV424" s="35">
        <f>ROUND(AW424+AX424,2)</f>
        <v>0</v>
      </c>
      <c r="AW424" s="35">
        <f>ROUND(F424*AO424,2)</f>
        <v>0</v>
      </c>
      <c r="AX424" s="35">
        <f>ROUND(F424*AP424,2)</f>
        <v>0</v>
      </c>
      <c r="AY424" s="64" t="s">
        <v>949</v>
      </c>
      <c r="AZ424" s="64" t="s">
        <v>950</v>
      </c>
      <c r="BA424" s="48" t="s">
        <v>676</v>
      </c>
      <c r="BB424" s="65">
        <v>100016</v>
      </c>
      <c r="BC424" s="35">
        <f>AW424+AX424</f>
        <v>0</v>
      </c>
      <c r="BD424" s="35">
        <f>G424/(100-BE424)*100</f>
        <v>0</v>
      </c>
      <c r="BE424" s="35">
        <v>0</v>
      </c>
      <c r="BF424" s="35">
        <f>424</f>
        <v>424</v>
      </c>
      <c r="BH424" s="35">
        <f>F424*AO424</f>
        <v>0</v>
      </c>
      <c r="BI424" s="35">
        <f>F424*AP424</f>
        <v>0</v>
      </c>
      <c r="BJ424" s="35">
        <f>F424*G424</f>
        <v>0</v>
      </c>
      <c r="BK424" s="64" t="s">
        <v>208</v>
      </c>
      <c r="BL424" s="35">
        <v>733</v>
      </c>
      <c r="BW424" s="35">
        <v>12</v>
      </c>
      <c r="BX424" s="3" t="s">
        <v>948</v>
      </c>
    </row>
    <row r="425" spans="1:76" x14ac:dyDescent="0.25">
      <c r="A425" s="66"/>
      <c r="C425" s="67" t="s">
        <v>951</v>
      </c>
      <c r="D425" s="68" t="s">
        <v>10</v>
      </c>
      <c r="F425" s="69">
        <v>6</v>
      </c>
      <c r="K425" s="70"/>
    </row>
    <row r="426" spans="1:76" x14ac:dyDescent="0.25">
      <c r="A426" s="1" t="s">
        <v>952</v>
      </c>
      <c r="B426" s="2" t="s">
        <v>953</v>
      </c>
      <c r="C426" s="86" t="s">
        <v>954</v>
      </c>
      <c r="D426" s="87"/>
      <c r="E426" s="2" t="s">
        <v>224</v>
      </c>
      <c r="F426" s="35">
        <v>19.54</v>
      </c>
      <c r="G426" s="35">
        <v>0</v>
      </c>
      <c r="H426" s="35">
        <f>ROUND(F426*AO426,2)</f>
        <v>0</v>
      </c>
      <c r="I426" s="35">
        <f>ROUND(F426*AP426,2)</f>
        <v>0</v>
      </c>
      <c r="J426" s="35">
        <f>ROUND(F426*G426,2)</f>
        <v>0</v>
      </c>
      <c r="K426" s="63" t="s">
        <v>203</v>
      </c>
      <c r="Z426" s="35">
        <f>ROUND(IF(AQ426="5",BJ426,0),2)</f>
        <v>0</v>
      </c>
      <c r="AB426" s="35">
        <f>ROUND(IF(AQ426="1",BH426,0),2)</f>
        <v>0</v>
      </c>
      <c r="AC426" s="35">
        <f>ROUND(IF(AQ426="1",BI426,0),2)</f>
        <v>0</v>
      </c>
      <c r="AD426" s="35">
        <f>ROUND(IF(AQ426="7",BH426,0),2)</f>
        <v>0</v>
      </c>
      <c r="AE426" s="35">
        <f>ROUND(IF(AQ426="7",BI426,0),2)</f>
        <v>0</v>
      </c>
      <c r="AF426" s="35">
        <f>ROUND(IF(AQ426="2",BH426,0),2)</f>
        <v>0</v>
      </c>
      <c r="AG426" s="35">
        <f>ROUND(IF(AQ426="2",BI426,0),2)</f>
        <v>0</v>
      </c>
      <c r="AH426" s="35">
        <f>ROUND(IF(AQ426="0",BJ426,0),2)</f>
        <v>0</v>
      </c>
      <c r="AI426" s="48" t="s">
        <v>85</v>
      </c>
      <c r="AJ426" s="35">
        <f>IF(AN426=0,J426,0)</f>
        <v>0</v>
      </c>
      <c r="AK426" s="35">
        <f>IF(AN426=12,J426,0)</f>
        <v>0</v>
      </c>
      <c r="AL426" s="35">
        <f>IF(AN426=21,J426,0)</f>
        <v>0</v>
      </c>
      <c r="AN426" s="35">
        <v>12</v>
      </c>
      <c r="AO426" s="35">
        <f>G426*0.170068112</f>
        <v>0</v>
      </c>
      <c r="AP426" s="35">
        <f>G426*(1-0.170068112)</f>
        <v>0</v>
      </c>
      <c r="AQ426" s="64" t="s">
        <v>204</v>
      </c>
      <c r="AV426" s="35">
        <f>ROUND(AW426+AX426,2)</f>
        <v>0</v>
      </c>
      <c r="AW426" s="35">
        <f>ROUND(F426*AO426,2)</f>
        <v>0</v>
      </c>
      <c r="AX426" s="35">
        <f>ROUND(F426*AP426,2)</f>
        <v>0</v>
      </c>
      <c r="AY426" s="64" t="s">
        <v>949</v>
      </c>
      <c r="AZ426" s="64" t="s">
        <v>950</v>
      </c>
      <c r="BA426" s="48" t="s">
        <v>676</v>
      </c>
      <c r="BB426" s="65">
        <v>100016</v>
      </c>
      <c r="BC426" s="35">
        <f>AW426+AX426</f>
        <v>0</v>
      </c>
      <c r="BD426" s="35">
        <f>G426/(100-BE426)*100</f>
        <v>0</v>
      </c>
      <c r="BE426" s="35">
        <v>0</v>
      </c>
      <c r="BF426" s="35">
        <f>426</f>
        <v>426</v>
      </c>
      <c r="BH426" s="35">
        <f>F426*AO426</f>
        <v>0</v>
      </c>
      <c r="BI426" s="35">
        <f>F426*AP426</f>
        <v>0</v>
      </c>
      <c r="BJ426" s="35">
        <f>F426*G426</f>
        <v>0</v>
      </c>
      <c r="BK426" s="64" t="s">
        <v>208</v>
      </c>
      <c r="BL426" s="35">
        <v>733</v>
      </c>
      <c r="BW426" s="35">
        <v>12</v>
      </c>
      <c r="BX426" s="3" t="s">
        <v>954</v>
      </c>
    </row>
    <row r="427" spans="1:76" x14ac:dyDescent="0.25">
      <c r="A427" s="66"/>
      <c r="C427" s="67" t="s">
        <v>955</v>
      </c>
      <c r="D427" s="68" t="s">
        <v>956</v>
      </c>
      <c r="F427" s="69">
        <v>19.54</v>
      </c>
      <c r="K427" s="70"/>
    </row>
    <row r="428" spans="1:76" x14ac:dyDescent="0.25">
      <c r="A428" s="59" t="s">
        <v>10</v>
      </c>
      <c r="B428" s="60" t="s">
        <v>147</v>
      </c>
      <c r="C428" s="177" t="s">
        <v>148</v>
      </c>
      <c r="D428" s="178"/>
      <c r="E428" s="61" t="s">
        <v>74</v>
      </c>
      <c r="F428" s="61" t="s">
        <v>74</v>
      </c>
      <c r="G428" s="61" t="s">
        <v>74</v>
      </c>
      <c r="H428" s="42">
        <f>SUM(H429:H429)</f>
        <v>0</v>
      </c>
      <c r="I428" s="42">
        <f>SUM(I429:I429)</f>
        <v>0</v>
      </c>
      <c r="J428" s="42">
        <f>SUM(J429:J429)</f>
        <v>0</v>
      </c>
      <c r="K428" s="62" t="s">
        <v>10</v>
      </c>
      <c r="AI428" s="48" t="s">
        <v>85</v>
      </c>
      <c r="AS428" s="42">
        <f>SUM(AJ429:AJ429)</f>
        <v>0</v>
      </c>
      <c r="AT428" s="42">
        <f>SUM(AK429:AK429)</f>
        <v>0</v>
      </c>
      <c r="AU428" s="42">
        <f>SUM(AL429:AL429)</f>
        <v>0</v>
      </c>
    </row>
    <row r="429" spans="1:76" x14ac:dyDescent="0.25">
      <c r="A429" s="1" t="s">
        <v>957</v>
      </c>
      <c r="B429" s="2" t="s">
        <v>958</v>
      </c>
      <c r="C429" s="86" t="s">
        <v>959</v>
      </c>
      <c r="D429" s="87"/>
      <c r="E429" s="2" t="s">
        <v>297</v>
      </c>
      <c r="F429" s="35">
        <v>1.0029999999999999</v>
      </c>
      <c r="G429" s="35">
        <v>0</v>
      </c>
      <c r="H429" s="35">
        <f>ROUND(F429*AO429,2)</f>
        <v>0</v>
      </c>
      <c r="I429" s="35">
        <f>ROUND(F429*AP429,2)</f>
        <v>0</v>
      </c>
      <c r="J429" s="35">
        <f>ROUND(F429*G429,2)</f>
        <v>0</v>
      </c>
      <c r="K429" s="63" t="s">
        <v>203</v>
      </c>
      <c r="Z429" s="35">
        <f>ROUND(IF(AQ429="5",BJ429,0),2)</f>
        <v>0</v>
      </c>
      <c r="AB429" s="35">
        <f>ROUND(IF(AQ429="1",BH429,0),2)</f>
        <v>0</v>
      </c>
      <c r="AC429" s="35">
        <f>ROUND(IF(AQ429="1",BI429,0),2)</f>
        <v>0</v>
      </c>
      <c r="AD429" s="35">
        <f>ROUND(IF(AQ429="7",BH429,0),2)</f>
        <v>0</v>
      </c>
      <c r="AE429" s="35">
        <f>ROUND(IF(AQ429="7",BI429,0),2)</f>
        <v>0</v>
      </c>
      <c r="AF429" s="35">
        <f>ROUND(IF(AQ429="2",BH429,0),2)</f>
        <v>0</v>
      </c>
      <c r="AG429" s="35">
        <f>ROUND(IF(AQ429="2",BI429,0),2)</f>
        <v>0</v>
      </c>
      <c r="AH429" s="35">
        <f>ROUND(IF(AQ429="0",BJ429,0),2)</f>
        <v>0</v>
      </c>
      <c r="AI429" s="48" t="s">
        <v>85</v>
      </c>
      <c r="AJ429" s="35">
        <f>IF(AN429=0,J429,0)</f>
        <v>0</v>
      </c>
      <c r="AK429" s="35">
        <f>IF(AN429=12,J429,0)</f>
        <v>0</v>
      </c>
      <c r="AL429" s="35">
        <f>IF(AN429=21,J429,0)</f>
        <v>0</v>
      </c>
      <c r="AN429" s="35">
        <v>12</v>
      </c>
      <c r="AO429" s="35">
        <f>G429*0</f>
        <v>0</v>
      </c>
      <c r="AP429" s="35">
        <f>G429*(1-0)</f>
        <v>0</v>
      </c>
      <c r="AQ429" s="64" t="s">
        <v>233</v>
      </c>
      <c r="AV429" s="35">
        <f>ROUND(AW429+AX429,2)</f>
        <v>0</v>
      </c>
      <c r="AW429" s="35">
        <f>ROUND(F429*AO429,2)</f>
        <v>0</v>
      </c>
      <c r="AX429" s="35">
        <f>ROUND(F429*AP429,2)</f>
        <v>0</v>
      </c>
      <c r="AY429" s="64" t="s">
        <v>960</v>
      </c>
      <c r="AZ429" s="64" t="s">
        <v>961</v>
      </c>
      <c r="BA429" s="48" t="s">
        <v>676</v>
      </c>
      <c r="BB429" s="65">
        <v>100032</v>
      </c>
      <c r="BC429" s="35">
        <f>AW429+AX429</f>
        <v>0</v>
      </c>
      <c r="BD429" s="35">
        <f>G429/(100-BE429)*100</f>
        <v>0</v>
      </c>
      <c r="BE429" s="35">
        <v>0</v>
      </c>
      <c r="BF429" s="35">
        <f>429</f>
        <v>429</v>
      </c>
      <c r="BH429" s="35">
        <f>F429*AO429</f>
        <v>0</v>
      </c>
      <c r="BI429" s="35">
        <f>F429*AP429</f>
        <v>0</v>
      </c>
      <c r="BJ429" s="35">
        <f>F429*G429</f>
        <v>0</v>
      </c>
      <c r="BK429" s="64" t="s">
        <v>208</v>
      </c>
      <c r="BL429" s="35"/>
      <c r="BW429" s="35">
        <v>12</v>
      </c>
      <c r="BX429" s="3" t="s">
        <v>959</v>
      </c>
    </row>
    <row r="430" spans="1:76" x14ac:dyDescent="0.25">
      <c r="A430" s="59" t="s">
        <v>10</v>
      </c>
      <c r="B430" s="60" t="s">
        <v>149</v>
      </c>
      <c r="C430" s="177" t="s">
        <v>138</v>
      </c>
      <c r="D430" s="178"/>
      <c r="E430" s="61" t="s">
        <v>74</v>
      </c>
      <c r="F430" s="61" t="s">
        <v>74</v>
      </c>
      <c r="G430" s="61" t="s">
        <v>74</v>
      </c>
      <c r="H430" s="42">
        <f>SUM(H431:H433)</f>
        <v>0</v>
      </c>
      <c r="I430" s="42">
        <f>SUM(I431:I433)</f>
        <v>0</v>
      </c>
      <c r="J430" s="42">
        <f>SUM(J431:J433)</f>
        <v>0</v>
      </c>
      <c r="K430" s="62" t="s">
        <v>10</v>
      </c>
      <c r="AI430" s="48" t="s">
        <v>85</v>
      </c>
      <c r="AS430" s="42">
        <f>SUM(AJ431:AJ433)</f>
        <v>0</v>
      </c>
      <c r="AT430" s="42">
        <f>SUM(AK431:AK433)</f>
        <v>0</v>
      </c>
      <c r="AU430" s="42">
        <f>SUM(AL431:AL433)</f>
        <v>0</v>
      </c>
    </row>
    <row r="431" spans="1:76" x14ac:dyDescent="0.25">
      <c r="A431" s="1" t="s">
        <v>962</v>
      </c>
      <c r="B431" s="2" t="s">
        <v>963</v>
      </c>
      <c r="C431" s="86" t="s">
        <v>964</v>
      </c>
      <c r="D431" s="87"/>
      <c r="E431" s="2" t="s">
        <v>297</v>
      </c>
      <c r="F431" s="35">
        <v>0.15140000000000001</v>
      </c>
      <c r="G431" s="35">
        <v>0</v>
      </c>
      <c r="H431" s="35">
        <f>ROUND(F431*AO431,2)</f>
        <v>0</v>
      </c>
      <c r="I431" s="35">
        <f>ROUND(F431*AP431,2)</f>
        <v>0</v>
      </c>
      <c r="J431" s="35">
        <f>ROUND(F431*G431,2)</f>
        <v>0</v>
      </c>
      <c r="K431" s="63" t="s">
        <v>203</v>
      </c>
      <c r="Z431" s="35">
        <f>ROUND(IF(AQ431="5",BJ431,0),2)</f>
        <v>0</v>
      </c>
      <c r="AB431" s="35">
        <f>ROUND(IF(AQ431="1",BH431,0),2)</f>
        <v>0</v>
      </c>
      <c r="AC431" s="35">
        <f>ROUND(IF(AQ431="1",BI431,0),2)</f>
        <v>0</v>
      </c>
      <c r="AD431" s="35">
        <f>ROUND(IF(AQ431="7",BH431,0),2)</f>
        <v>0</v>
      </c>
      <c r="AE431" s="35">
        <f>ROUND(IF(AQ431="7",BI431,0),2)</f>
        <v>0</v>
      </c>
      <c r="AF431" s="35">
        <f>ROUND(IF(AQ431="2",BH431,0),2)</f>
        <v>0</v>
      </c>
      <c r="AG431" s="35">
        <f>ROUND(IF(AQ431="2",BI431,0),2)</f>
        <v>0</v>
      </c>
      <c r="AH431" s="35">
        <f>ROUND(IF(AQ431="0",BJ431,0),2)</f>
        <v>0</v>
      </c>
      <c r="AI431" s="48" t="s">
        <v>85</v>
      </c>
      <c r="AJ431" s="35">
        <f>IF(AN431=0,J431,0)</f>
        <v>0</v>
      </c>
      <c r="AK431" s="35">
        <f>IF(AN431=12,J431,0)</f>
        <v>0</v>
      </c>
      <c r="AL431" s="35">
        <f>IF(AN431=21,J431,0)</f>
        <v>0</v>
      </c>
      <c r="AN431" s="35">
        <v>12</v>
      </c>
      <c r="AO431" s="35">
        <f>G431*0</f>
        <v>0</v>
      </c>
      <c r="AP431" s="35">
        <f>G431*(1-0)</f>
        <v>0</v>
      </c>
      <c r="AQ431" s="64" t="s">
        <v>233</v>
      </c>
      <c r="AV431" s="35">
        <f>ROUND(AW431+AX431,2)</f>
        <v>0</v>
      </c>
      <c r="AW431" s="35">
        <f>ROUND(F431*AO431,2)</f>
        <v>0</v>
      </c>
      <c r="AX431" s="35">
        <f>ROUND(F431*AP431,2)</f>
        <v>0</v>
      </c>
      <c r="AY431" s="64" t="s">
        <v>965</v>
      </c>
      <c r="AZ431" s="64" t="s">
        <v>961</v>
      </c>
      <c r="BA431" s="48" t="s">
        <v>676</v>
      </c>
      <c r="BB431" s="65">
        <v>100024</v>
      </c>
      <c r="BC431" s="35">
        <f>AW431+AX431</f>
        <v>0</v>
      </c>
      <c r="BD431" s="35">
        <f>G431/(100-BE431)*100</f>
        <v>0</v>
      </c>
      <c r="BE431" s="35">
        <v>0</v>
      </c>
      <c r="BF431" s="35">
        <f>431</f>
        <v>431</v>
      </c>
      <c r="BH431" s="35">
        <f>F431*AO431</f>
        <v>0</v>
      </c>
      <c r="BI431" s="35">
        <f>F431*AP431</f>
        <v>0</v>
      </c>
      <c r="BJ431" s="35">
        <f>F431*G431</f>
        <v>0</v>
      </c>
      <c r="BK431" s="64" t="s">
        <v>208</v>
      </c>
      <c r="BL431" s="35"/>
      <c r="BW431" s="35">
        <v>12</v>
      </c>
      <c r="BX431" s="3" t="s">
        <v>964</v>
      </c>
    </row>
    <row r="432" spans="1:76" x14ac:dyDescent="0.25">
      <c r="A432" s="66"/>
      <c r="C432" s="67" t="s">
        <v>966</v>
      </c>
      <c r="D432" s="68" t="s">
        <v>10</v>
      </c>
      <c r="F432" s="69">
        <v>0.15140000000000001</v>
      </c>
      <c r="K432" s="70"/>
    </row>
    <row r="433" spans="1:76" x14ac:dyDescent="0.25">
      <c r="A433" s="1" t="s">
        <v>967</v>
      </c>
      <c r="B433" s="2" t="s">
        <v>968</v>
      </c>
      <c r="C433" s="86" t="s">
        <v>969</v>
      </c>
      <c r="D433" s="87"/>
      <c r="E433" s="2" t="s">
        <v>297</v>
      </c>
      <c r="F433" s="35">
        <v>0.15140000000000001</v>
      </c>
      <c r="G433" s="35">
        <v>0</v>
      </c>
      <c r="H433" s="35">
        <f>ROUND(F433*AO433,2)</f>
        <v>0</v>
      </c>
      <c r="I433" s="35">
        <f>ROUND(F433*AP433,2)</f>
        <v>0</v>
      </c>
      <c r="J433" s="35">
        <f>ROUND(F433*G433,2)</f>
        <v>0</v>
      </c>
      <c r="K433" s="63" t="s">
        <v>203</v>
      </c>
      <c r="Z433" s="35">
        <f>ROUND(IF(AQ433="5",BJ433,0),2)</f>
        <v>0</v>
      </c>
      <c r="AB433" s="35">
        <f>ROUND(IF(AQ433="1",BH433,0),2)</f>
        <v>0</v>
      </c>
      <c r="AC433" s="35">
        <f>ROUND(IF(AQ433="1",BI433,0),2)</f>
        <v>0</v>
      </c>
      <c r="AD433" s="35">
        <f>ROUND(IF(AQ433="7",BH433,0),2)</f>
        <v>0</v>
      </c>
      <c r="AE433" s="35">
        <f>ROUND(IF(AQ433="7",BI433,0),2)</f>
        <v>0</v>
      </c>
      <c r="AF433" s="35">
        <f>ROUND(IF(AQ433="2",BH433,0),2)</f>
        <v>0</v>
      </c>
      <c r="AG433" s="35">
        <f>ROUND(IF(AQ433="2",BI433,0),2)</f>
        <v>0</v>
      </c>
      <c r="AH433" s="35">
        <f>ROUND(IF(AQ433="0",BJ433,0),2)</f>
        <v>0</v>
      </c>
      <c r="AI433" s="48" t="s">
        <v>85</v>
      </c>
      <c r="AJ433" s="35">
        <f>IF(AN433=0,J433,0)</f>
        <v>0</v>
      </c>
      <c r="AK433" s="35">
        <f>IF(AN433=12,J433,0)</f>
        <v>0</v>
      </c>
      <c r="AL433" s="35">
        <f>IF(AN433=21,J433,0)</f>
        <v>0</v>
      </c>
      <c r="AN433" s="35">
        <v>12</v>
      </c>
      <c r="AO433" s="35">
        <f>G433*0</f>
        <v>0</v>
      </c>
      <c r="AP433" s="35">
        <f>G433*(1-0)</f>
        <v>0</v>
      </c>
      <c r="AQ433" s="64" t="s">
        <v>233</v>
      </c>
      <c r="AV433" s="35">
        <f>ROUND(AW433+AX433,2)</f>
        <v>0</v>
      </c>
      <c r="AW433" s="35">
        <f>ROUND(F433*AO433,2)</f>
        <v>0</v>
      </c>
      <c r="AX433" s="35">
        <f>ROUND(F433*AP433,2)</f>
        <v>0</v>
      </c>
      <c r="AY433" s="64" t="s">
        <v>965</v>
      </c>
      <c r="AZ433" s="64" t="s">
        <v>961</v>
      </c>
      <c r="BA433" s="48" t="s">
        <v>676</v>
      </c>
      <c r="BB433" s="65">
        <v>100024</v>
      </c>
      <c r="BC433" s="35">
        <f>AW433+AX433</f>
        <v>0</v>
      </c>
      <c r="BD433" s="35">
        <f>G433/(100-BE433)*100</f>
        <v>0</v>
      </c>
      <c r="BE433" s="35">
        <v>0</v>
      </c>
      <c r="BF433" s="35">
        <f>433</f>
        <v>433</v>
      </c>
      <c r="BH433" s="35">
        <f>F433*AO433</f>
        <v>0</v>
      </c>
      <c r="BI433" s="35">
        <f>F433*AP433</f>
        <v>0</v>
      </c>
      <c r="BJ433" s="35">
        <f>F433*G433</f>
        <v>0</v>
      </c>
      <c r="BK433" s="64" t="s">
        <v>208</v>
      </c>
      <c r="BL433" s="35"/>
      <c r="BW433" s="35">
        <v>12</v>
      </c>
      <c r="BX433" s="3" t="s">
        <v>969</v>
      </c>
    </row>
    <row r="434" spans="1:76" x14ac:dyDescent="0.25">
      <c r="A434" s="66"/>
      <c r="C434" s="67" t="s">
        <v>966</v>
      </c>
      <c r="D434" s="68" t="s">
        <v>10</v>
      </c>
      <c r="F434" s="69">
        <v>0.15140000000000001</v>
      </c>
      <c r="K434" s="70"/>
    </row>
    <row r="435" spans="1:76" x14ac:dyDescent="0.25">
      <c r="A435" s="59" t="s">
        <v>10</v>
      </c>
      <c r="B435" s="60" t="s">
        <v>150</v>
      </c>
      <c r="C435" s="177" t="s">
        <v>140</v>
      </c>
      <c r="D435" s="178"/>
      <c r="E435" s="61" t="s">
        <v>74</v>
      </c>
      <c r="F435" s="61" t="s">
        <v>74</v>
      </c>
      <c r="G435" s="61" t="s">
        <v>74</v>
      </c>
      <c r="H435" s="42">
        <f>SUM(H436:H438)</f>
        <v>0</v>
      </c>
      <c r="I435" s="42">
        <f>SUM(I436:I438)</f>
        <v>0</v>
      </c>
      <c r="J435" s="42">
        <f>SUM(J436:J438)</f>
        <v>0</v>
      </c>
      <c r="K435" s="62" t="s">
        <v>10</v>
      </c>
      <c r="AI435" s="48" t="s">
        <v>85</v>
      </c>
      <c r="AS435" s="42">
        <f>SUM(AJ436:AJ438)</f>
        <v>0</v>
      </c>
      <c r="AT435" s="42">
        <f>SUM(AK436:AK438)</f>
        <v>0</v>
      </c>
      <c r="AU435" s="42">
        <f>SUM(AL436:AL438)</f>
        <v>0</v>
      </c>
    </row>
    <row r="436" spans="1:76" x14ac:dyDescent="0.25">
      <c r="A436" s="1" t="s">
        <v>970</v>
      </c>
      <c r="B436" s="2" t="s">
        <v>971</v>
      </c>
      <c r="C436" s="86" t="s">
        <v>972</v>
      </c>
      <c r="D436" s="87"/>
      <c r="E436" s="2" t="s">
        <v>297</v>
      </c>
      <c r="F436" s="35">
        <v>0.13239999999999999</v>
      </c>
      <c r="G436" s="35">
        <v>0</v>
      </c>
      <c r="H436" s="35">
        <f>ROUND(F436*AO436,2)</f>
        <v>0</v>
      </c>
      <c r="I436" s="35">
        <f>ROUND(F436*AP436,2)</f>
        <v>0</v>
      </c>
      <c r="J436" s="35">
        <f>ROUND(F436*G436,2)</f>
        <v>0</v>
      </c>
      <c r="K436" s="63" t="s">
        <v>203</v>
      </c>
      <c r="Z436" s="35">
        <f>ROUND(IF(AQ436="5",BJ436,0),2)</f>
        <v>0</v>
      </c>
      <c r="AB436" s="35">
        <f>ROUND(IF(AQ436="1",BH436,0),2)</f>
        <v>0</v>
      </c>
      <c r="AC436" s="35">
        <f>ROUND(IF(AQ436="1",BI436,0),2)</f>
        <v>0</v>
      </c>
      <c r="AD436" s="35">
        <f>ROUND(IF(AQ436="7",BH436,0),2)</f>
        <v>0</v>
      </c>
      <c r="AE436" s="35">
        <f>ROUND(IF(AQ436="7",BI436,0),2)</f>
        <v>0</v>
      </c>
      <c r="AF436" s="35">
        <f>ROUND(IF(AQ436="2",BH436,0),2)</f>
        <v>0</v>
      </c>
      <c r="AG436" s="35">
        <f>ROUND(IF(AQ436="2",BI436,0),2)</f>
        <v>0</v>
      </c>
      <c r="AH436" s="35">
        <f>ROUND(IF(AQ436="0",BJ436,0),2)</f>
        <v>0</v>
      </c>
      <c r="AI436" s="48" t="s">
        <v>85</v>
      </c>
      <c r="AJ436" s="35">
        <f>IF(AN436=0,J436,0)</f>
        <v>0</v>
      </c>
      <c r="AK436" s="35">
        <f>IF(AN436=12,J436,0)</f>
        <v>0</v>
      </c>
      <c r="AL436" s="35">
        <f>IF(AN436=21,J436,0)</f>
        <v>0</v>
      </c>
      <c r="AN436" s="35">
        <v>12</v>
      </c>
      <c r="AO436" s="35">
        <f>G436*0</f>
        <v>0</v>
      </c>
      <c r="AP436" s="35">
        <f>G436*(1-0)</f>
        <v>0</v>
      </c>
      <c r="AQ436" s="64" t="s">
        <v>233</v>
      </c>
      <c r="AV436" s="35">
        <f>ROUND(AW436+AX436,2)</f>
        <v>0</v>
      </c>
      <c r="AW436" s="35">
        <f>ROUND(F436*AO436,2)</f>
        <v>0</v>
      </c>
      <c r="AX436" s="35">
        <f>ROUND(F436*AP436,2)</f>
        <v>0</v>
      </c>
      <c r="AY436" s="64" t="s">
        <v>973</v>
      </c>
      <c r="AZ436" s="64" t="s">
        <v>961</v>
      </c>
      <c r="BA436" s="48" t="s">
        <v>676</v>
      </c>
      <c r="BB436" s="65">
        <v>100025</v>
      </c>
      <c r="BC436" s="35">
        <f>AW436+AX436</f>
        <v>0</v>
      </c>
      <c r="BD436" s="35">
        <f>G436/(100-BE436)*100</f>
        <v>0</v>
      </c>
      <c r="BE436" s="35">
        <v>0</v>
      </c>
      <c r="BF436" s="35">
        <f>436</f>
        <v>436</v>
      </c>
      <c r="BH436" s="35">
        <f>F436*AO436</f>
        <v>0</v>
      </c>
      <c r="BI436" s="35">
        <f>F436*AP436</f>
        <v>0</v>
      </c>
      <c r="BJ436" s="35">
        <f>F436*G436</f>
        <v>0</v>
      </c>
      <c r="BK436" s="64" t="s">
        <v>208</v>
      </c>
      <c r="BL436" s="35"/>
      <c r="BW436" s="35">
        <v>12</v>
      </c>
      <c r="BX436" s="3" t="s">
        <v>972</v>
      </c>
    </row>
    <row r="437" spans="1:76" x14ac:dyDescent="0.25">
      <c r="A437" s="66"/>
      <c r="C437" s="67" t="s">
        <v>974</v>
      </c>
      <c r="D437" s="68" t="s">
        <v>10</v>
      </c>
      <c r="F437" s="69">
        <v>0.13239999999999999</v>
      </c>
      <c r="K437" s="70"/>
    </row>
    <row r="438" spans="1:76" x14ac:dyDescent="0.25">
      <c r="A438" s="1" t="s">
        <v>975</v>
      </c>
      <c r="B438" s="2" t="s">
        <v>976</v>
      </c>
      <c r="C438" s="86" t="s">
        <v>977</v>
      </c>
      <c r="D438" s="87"/>
      <c r="E438" s="2" t="s">
        <v>297</v>
      </c>
      <c r="F438" s="35">
        <v>0.13239999999999999</v>
      </c>
      <c r="G438" s="35">
        <v>0</v>
      </c>
      <c r="H438" s="35">
        <f>ROUND(F438*AO438,2)</f>
        <v>0</v>
      </c>
      <c r="I438" s="35">
        <f>ROUND(F438*AP438,2)</f>
        <v>0</v>
      </c>
      <c r="J438" s="35">
        <f>ROUND(F438*G438,2)</f>
        <v>0</v>
      </c>
      <c r="K438" s="63" t="s">
        <v>203</v>
      </c>
      <c r="Z438" s="35">
        <f>ROUND(IF(AQ438="5",BJ438,0),2)</f>
        <v>0</v>
      </c>
      <c r="AB438" s="35">
        <f>ROUND(IF(AQ438="1",BH438,0),2)</f>
        <v>0</v>
      </c>
      <c r="AC438" s="35">
        <f>ROUND(IF(AQ438="1",BI438,0),2)</f>
        <v>0</v>
      </c>
      <c r="AD438" s="35">
        <f>ROUND(IF(AQ438="7",BH438,0),2)</f>
        <v>0</v>
      </c>
      <c r="AE438" s="35">
        <f>ROUND(IF(AQ438="7",BI438,0),2)</f>
        <v>0</v>
      </c>
      <c r="AF438" s="35">
        <f>ROUND(IF(AQ438="2",BH438,0),2)</f>
        <v>0</v>
      </c>
      <c r="AG438" s="35">
        <f>ROUND(IF(AQ438="2",BI438,0),2)</f>
        <v>0</v>
      </c>
      <c r="AH438" s="35">
        <f>ROUND(IF(AQ438="0",BJ438,0),2)</f>
        <v>0</v>
      </c>
      <c r="AI438" s="48" t="s">
        <v>85</v>
      </c>
      <c r="AJ438" s="35">
        <f>IF(AN438=0,J438,0)</f>
        <v>0</v>
      </c>
      <c r="AK438" s="35">
        <f>IF(AN438=12,J438,0)</f>
        <v>0</v>
      </c>
      <c r="AL438" s="35">
        <f>IF(AN438=21,J438,0)</f>
        <v>0</v>
      </c>
      <c r="AN438" s="35">
        <v>12</v>
      </c>
      <c r="AO438" s="35">
        <f>G438*0</f>
        <v>0</v>
      </c>
      <c r="AP438" s="35">
        <f>G438*(1-0)</f>
        <v>0</v>
      </c>
      <c r="AQ438" s="64" t="s">
        <v>233</v>
      </c>
      <c r="AV438" s="35">
        <f>ROUND(AW438+AX438,2)</f>
        <v>0</v>
      </c>
      <c r="AW438" s="35">
        <f>ROUND(F438*AO438,2)</f>
        <v>0</v>
      </c>
      <c r="AX438" s="35">
        <f>ROUND(F438*AP438,2)</f>
        <v>0</v>
      </c>
      <c r="AY438" s="64" t="s">
        <v>973</v>
      </c>
      <c r="AZ438" s="64" t="s">
        <v>961</v>
      </c>
      <c r="BA438" s="48" t="s">
        <v>676</v>
      </c>
      <c r="BB438" s="65">
        <v>100025</v>
      </c>
      <c r="BC438" s="35">
        <f>AW438+AX438</f>
        <v>0</v>
      </c>
      <c r="BD438" s="35">
        <f>G438/(100-BE438)*100</f>
        <v>0</v>
      </c>
      <c r="BE438" s="35">
        <v>0</v>
      </c>
      <c r="BF438" s="35">
        <f>438</f>
        <v>438</v>
      </c>
      <c r="BH438" s="35">
        <f>F438*AO438</f>
        <v>0</v>
      </c>
      <c r="BI438" s="35">
        <f>F438*AP438</f>
        <v>0</v>
      </c>
      <c r="BJ438" s="35">
        <f>F438*G438</f>
        <v>0</v>
      </c>
      <c r="BK438" s="64" t="s">
        <v>208</v>
      </c>
      <c r="BL438" s="35"/>
      <c r="BW438" s="35">
        <v>12</v>
      </c>
      <c r="BX438" s="3" t="s">
        <v>977</v>
      </c>
    </row>
    <row r="439" spans="1:76" x14ac:dyDescent="0.25">
      <c r="A439" s="66"/>
      <c r="C439" s="67" t="s">
        <v>974</v>
      </c>
      <c r="D439" s="68" t="s">
        <v>10</v>
      </c>
      <c r="F439" s="69">
        <v>0.13239999999999999</v>
      </c>
      <c r="K439" s="70"/>
    </row>
    <row r="440" spans="1:76" x14ac:dyDescent="0.25">
      <c r="A440" s="59" t="s">
        <v>10</v>
      </c>
      <c r="B440" s="60" t="s">
        <v>151</v>
      </c>
      <c r="C440" s="177" t="s">
        <v>142</v>
      </c>
      <c r="D440" s="178"/>
      <c r="E440" s="61" t="s">
        <v>74</v>
      </c>
      <c r="F440" s="61" t="s">
        <v>74</v>
      </c>
      <c r="G440" s="61" t="s">
        <v>74</v>
      </c>
      <c r="H440" s="42">
        <f>SUM(H441:H443)</f>
        <v>0</v>
      </c>
      <c r="I440" s="42">
        <f>SUM(I441:I443)</f>
        <v>0</v>
      </c>
      <c r="J440" s="42">
        <f>SUM(J441:J443)</f>
        <v>0</v>
      </c>
      <c r="K440" s="62" t="s">
        <v>10</v>
      </c>
      <c r="AI440" s="48" t="s">
        <v>85</v>
      </c>
      <c r="AS440" s="42">
        <f>SUM(AJ441:AJ443)</f>
        <v>0</v>
      </c>
      <c r="AT440" s="42">
        <f>SUM(AK441:AK443)</f>
        <v>0</v>
      </c>
      <c r="AU440" s="42">
        <f>SUM(AL441:AL443)</f>
        <v>0</v>
      </c>
    </row>
    <row r="441" spans="1:76" x14ac:dyDescent="0.25">
      <c r="A441" s="1" t="s">
        <v>978</v>
      </c>
      <c r="B441" s="2" t="s">
        <v>979</v>
      </c>
      <c r="C441" s="86" t="s">
        <v>980</v>
      </c>
      <c r="D441" s="87"/>
      <c r="E441" s="2" t="s">
        <v>297</v>
      </c>
      <c r="F441" s="35">
        <v>0.316</v>
      </c>
      <c r="G441" s="35">
        <v>0</v>
      </c>
      <c r="H441" s="35">
        <f>ROUND(F441*AO441,2)</f>
        <v>0</v>
      </c>
      <c r="I441" s="35">
        <f>ROUND(F441*AP441,2)</f>
        <v>0</v>
      </c>
      <c r="J441" s="35">
        <f>ROUND(F441*G441,2)</f>
        <v>0</v>
      </c>
      <c r="K441" s="63" t="s">
        <v>203</v>
      </c>
      <c r="Z441" s="35">
        <f>ROUND(IF(AQ441="5",BJ441,0),2)</f>
        <v>0</v>
      </c>
      <c r="AB441" s="35">
        <f>ROUND(IF(AQ441="1",BH441,0),2)</f>
        <v>0</v>
      </c>
      <c r="AC441" s="35">
        <f>ROUND(IF(AQ441="1",BI441,0),2)</f>
        <v>0</v>
      </c>
      <c r="AD441" s="35">
        <f>ROUND(IF(AQ441="7",BH441,0),2)</f>
        <v>0</v>
      </c>
      <c r="AE441" s="35">
        <f>ROUND(IF(AQ441="7",BI441,0),2)</f>
        <v>0</v>
      </c>
      <c r="AF441" s="35">
        <f>ROUND(IF(AQ441="2",BH441,0),2)</f>
        <v>0</v>
      </c>
      <c r="AG441" s="35">
        <f>ROUND(IF(AQ441="2",BI441,0),2)</f>
        <v>0</v>
      </c>
      <c r="AH441" s="35">
        <f>ROUND(IF(AQ441="0",BJ441,0),2)</f>
        <v>0</v>
      </c>
      <c r="AI441" s="48" t="s">
        <v>85</v>
      </c>
      <c r="AJ441" s="35">
        <f>IF(AN441=0,J441,0)</f>
        <v>0</v>
      </c>
      <c r="AK441" s="35">
        <f>IF(AN441=12,J441,0)</f>
        <v>0</v>
      </c>
      <c r="AL441" s="35">
        <f>IF(AN441=21,J441,0)</f>
        <v>0</v>
      </c>
      <c r="AN441" s="35">
        <v>12</v>
      </c>
      <c r="AO441" s="35">
        <f>G441*0</f>
        <v>0</v>
      </c>
      <c r="AP441" s="35">
        <f>G441*(1-0)</f>
        <v>0</v>
      </c>
      <c r="AQ441" s="64" t="s">
        <v>233</v>
      </c>
      <c r="AV441" s="35">
        <f>ROUND(AW441+AX441,2)</f>
        <v>0</v>
      </c>
      <c r="AW441" s="35">
        <f>ROUND(F441*AO441,2)</f>
        <v>0</v>
      </c>
      <c r="AX441" s="35">
        <f>ROUND(F441*AP441,2)</f>
        <v>0</v>
      </c>
      <c r="AY441" s="64" t="s">
        <v>981</v>
      </c>
      <c r="AZ441" s="64" t="s">
        <v>961</v>
      </c>
      <c r="BA441" s="48" t="s">
        <v>676</v>
      </c>
      <c r="BB441" s="65">
        <v>100026</v>
      </c>
      <c r="BC441" s="35">
        <f>AW441+AX441</f>
        <v>0</v>
      </c>
      <c r="BD441" s="35">
        <f>G441/(100-BE441)*100</f>
        <v>0</v>
      </c>
      <c r="BE441" s="35">
        <v>0</v>
      </c>
      <c r="BF441" s="35">
        <f>441</f>
        <v>441</v>
      </c>
      <c r="BH441" s="35">
        <f>F441*AO441</f>
        <v>0</v>
      </c>
      <c r="BI441" s="35">
        <f>F441*AP441</f>
        <v>0</v>
      </c>
      <c r="BJ441" s="35">
        <f>F441*G441</f>
        <v>0</v>
      </c>
      <c r="BK441" s="64" t="s">
        <v>208</v>
      </c>
      <c r="BL441" s="35"/>
      <c r="BW441" s="35">
        <v>12</v>
      </c>
      <c r="BX441" s="3" t="s">
        <v>980</v>
      </c>
    </row>
    <row r="442" spans="1:76" x14ac:dyDescent="0.25">
      <c r="A442" s="66"/>
      <c r="C442" s="67" t="s">
        <v>982</v>
      </c>
      <c r="D442" s="68" t="s">
        <v>10</v>
      </c>
      <c r="F442" s="69">
        <v>0.316</v>
      </c>
      <c r="K442" s="70"/>
    </row>
    <row r="443" spans="1:76" x14ac:dyDescent="0.25">
      <c r="A443" s="1" t="s">
        <v>983</v>
      </c>
      <c r="B443" s="2" t="s">
        <v>984</v>
      </c>
      <c r="C443" s="86" t="s">
        <v>985</v>
      </c>
      <c r="D443" s="87"/>
      <c r="E443" s="2" t="s">
        <v>297</v>
      </c>
      <c r="F443" s="35">
        <v>0.316</v>
      </c>
      <c r="G443" s="35">
        <v>0</v>
      </c>
      <c r="H443" s="35">
        <f>ROUND(F443*AO443,2)</f>
        <v>0</v>
      </c>
      <c r="I443" s="35">
        <f>ROUND(F443*AP443,2)</f>
        <v>0</v>
      </c>
      <c r="J443" s="35">
        <f>ROUND(F443*G443,2)</f>
        <v>0</v>
      </c>
      <c r="K443" s="63" t="s">
        <v>203</v>
      </c>
      <c r="Z443" s="35">
        <f>ROUND(IF(AQ443="5",BJ443,0),2)</f>
        <v>0</v>
      </c>
      <c r="AB443" s="35">
        <f>ROUND(IF(AQ443="1",BH443,0),2)</f>
        <v>0</v>
      </c>
      <c r="AC443" s="35">
        <f>ROUND(IF(AQ443="1",BI443,0),2)</f>
        <v>0</v>
      </c>
      <c r="AD443" s="35">
        <f>ROUND(IF(AQ443="7",BH443,0),2)</f>
        <v>0</v>
      </c>
      <c r="AE443" s="35">
        <f>ROUND(IF(AQ443="7",BI443,0),2)</f>
        <v>0</v>
      </c>
      <c r="AF443" s="35">
        <f>ROUND(IF(AQ443="2",BH443,0),2)</f>
        <v>0</v>
      </c>
      <c r="AG443" s="35">
        <f>ROUND(IF(AQ443="2",BI443,0),2)</f>
        <v>0</v>
      </c>
      <c r="AH443" s="35">
        <f>ROUND(IF(AQ443="0",BJ443,0),2)</f>
        <v>0</v>
      </c>
      <c r="AI443" s="48" t="s">
        <v>85</v>
      </c>
      <c r="AJ443" s="35">
        <f>IF(AN443=0,J443,0)</f>
        <v>0</v>
      </c>
      <c r="AK443" s="35">
        <f>IF(AN443=12,J443,0)</f>
        <v>0</v>
      </c>
      <c r="AL443" s="35">
        <f>IF(AN443=21,J443,0)</f>
        <v>0</v>
      </c>
      <c r="AN443" s="35">
        <v>12</v>
      </c>
      <c r="AO443" s="35">
        <f>G443*0</f>
        <v>0</v>
      </c>
      <c r="AP443" s="35">
        <f>G443*(1-0)</f>
        <v>0</v>
      </c>
      <c r="AQ443" s="64" t="s">
        <v>233</v>
      </c>
      <c r="AV443" s="35">
        <f>ROUND(AW443+AX443,2)</f>
        <v>0</v>
      </c>
      <c r="AW443" s="35">
        <f>ROUND(F443*AO443,2)</f>
        <v>0</v>
      </c>
      <c r="AX443" s="35">
        <f>ROUND(F443*AP443,2)</f>
        <v>0</v>
      </c>
      <c r="AY443" s="64" t="s">
        <v>981</v>
      </c>
      <c r="AZ443" s="64" t="s">
        <v>961</v>
      </c>
      <c r="BA443" s="48" t="s">
        <v>676</v>
      </c>
      <c r="BB443" s="65">
        <v>100026</v>
      </c>
      <c r="BC443" s="35">
        <f>AW443+AX443</f>
        <v>0</v>
      </c>
      <c r="BD443" s="35">
        <f>G443/(100-BE443)*100</f>
        <v>0</v>
      </c>
      <c r="BE443" s="35">
        <v>0</v>
      </c>
      <c r="BF443" s="35">
        <f>443</f>
        <v>443</v>
      </c>
      <c r="BH443" s="35">
        <f>F443*AO443</f>
        <v>0</v>
      </c>
      <c r="BI443" s="35">
        <f>F443*AP443</f>
        <v>0</v>
      </c>
      <c r="BJ443" s="35">
        <f>F443*G443</f>
        <v>0</v>
      </c>
      <c r="BK443" s="64" t="s">
        <v>208</v>
      </c>
      <c r="BL443" s="35"/>
      <c r="BW443" s="35">
        <v>12</v>
      </c>
      <c r="BX443" s="3" t="s">
        <v>985</v>
      </c>
    </row>
    <row r="444" spans="1:76" x14ac:dyDescent="0.25">
      <c r="A444" s="66"/>
      <c r="C444" s="67" t="s">
        <v>982</v>
      </c>
      <c r="D444" s="68" t="s">
        <v>10</v>
      </c>
      <c r="F444" s="69">
        <v>0.316</v>
      </c>
      <c r="K444" s="70"/>
    </row>
    <row r="445" spans="1:76" x14ac:dyDescent="0.25">
      <c r="A445" s="59" t="s">
        <v>10</v>
      </c>
      <c r="B445" s="60" t="s">
        <v>152</v>
      </c>
      <c r="C445" s="177" t="s">
        <v>153</v>
      </c>
      <c r="D445" s="178"/>
      <c r="E445" s="61" t="s">
        <v>74</v>
      </c>
      <c r="F445" s="61" t="s">
        <v>74</v>
      </c>
      <c r="G445" s="61" t="s">
        <v>74</v>
      </c>
      <c r="H445" s="42">
        <f>SUM(H446:H446)</f>
        <v>0</v>
      </c>
      <c r="I445" s="42">
        <f>SUM(I446:I446)</f>
        <v>0</v>
      </c>
      <c r="J445" s="42">
        <f>SUM(J446:J446)</f>
        <v>0</v>
      </c>
      <c r="K445" s="62" t="s">
        <v>10</v>
      </c>
      <c r="AI445" s="48" t="s">
        <v>85</v>
      </c>
      <c r="AS445" s="42">
        <f>SUM(AJ446:AJ446)</f>
        <v>0</v>
      </c>
      <c r="AT445" s="42">
        <f>SUM(AK446:AK446)</f>
        <v>0</v>
      </c>
      <c r="AU445" s="42">
        <f>SUM(AL446:AL446)</f>
        <v>0</v>
      </c>
    </row>
    <row r="446" spans="1:76" x14ac:dyDescent="0.25">
      <c r="A446" s="1" t="s">
        <v>986</v>
      </c>
      <c r="B446" s="2" t="s">
        <v>987</v>
      </c>
      <c r="C446" s="86" t="s">
        <v>988</v>
      </c>
      <c r="D446" s="87"/>
      <c r="E446" s="2" t="s">
        <v>297</v>
      </c>
      <c r="F446" s="35">
        <v>1.7999999999999999E-2</v>
      </c>
      <c r="G446" s="35">
        <v>0</v>
      </c>
      <c r="H446" s="35">
        <f>ROUND(F446*AO446,2)</f>
        <v>0</v>
      </c>
      <c r="I446" s="35">
        <f>ROUND(F446*AP446,2)</f>
        <v>0</v>
      </c>
      <c r="J446" s="35">
        <f>ROUND(F446*G446,2)</f>
        <v>0</v>
      </c>
      <c r="K446" s="63" t="s">
        <v>203</v>
      </c>
      <c r="Z446" s="35">
        <f>ROUND(IF(AQ446="5",BJ446,0),2)</f>
        <v>0</v>
      </c>
      <c r="AB446" s="35">
        <f>ROUND(IF(AQ446="1",BH446,0),2)</f>
        <v>0</v>
      </c>
      <c r="AC446" s="35">
        <f>ROUND(IF(AQ446="1",BI446,0),2)</f>
        <v>0</v>
      </c>
      <c r="AD446" s="35">
        <f>ROUND(IF(AQ446="7",BH446,0),2)</f>
        <v>0</v>
      </c>
      <c r="AE446" s="35">
        <f>ROUND(IF(AQ446="7",BI446,0),2)</f>
        <v>0</v>
      </c>
      <c r="AF446" s="35">
        <f>ROUND(IF(AQ446="2",BH446,0),2)</f>
        <v>0</v>
      </c>
      <c r="AG446" s="35">
        <f>ROUND(IF(AQ446="2",BI446,0),2)</f>
        <v>0</v>
      </c>
      <c r="AH446" s="35">
        <f>ROUND(IF(AQ446="0",BJ446,0),2)</f>
        <v>0</v>
      </c>
      <c r="AI446" s="48" t="s">
        <v>85</v>
      </c>
      <c r="AJ446" s="35">
        <f>IF(AN446=0,J446,0)</f>
        <v>0</v>
      </c>
      <c r="AK446" s="35">
        <f>IF(AN446=12,J446,0)</f>
        <v>0</v>
      </c>
      <c r="AL446" s="35">
        <f>IF(AN446=21,J446,0)</f>
        <v>0</v>
      </c>
      <c r="AN446" s="35">
        <v>12</v>
      </c>
      <c r="AO446" s="35">
        <f>G446*0</f>
        <v>0</v>
      </c>
      <c r="AP446" s="35">
        <f>G446*(1-0)</f>
        <v>0</v>
      </c>
      <c r="AQ446" s="64" t="s">
        <v>233</v>
      </c>
      <c r="AV446" s="35">
        <f>ROUND(AW446+AX446,2)</f>
        <v>0</v>
      </c>
      <c r="AW446" s="35">
        <f>ROUND(F446*AO446,2)</f>
        <v>0</v>
      </c>
      <c r="AX446" s="35">
        <f>ROUND(F446*AP446,2)</f>
        <v>0</v>
      </c>
      <c r="AY446" s="64" t="s">
        <v>989</v>
      </c>
      <c r="AZ446" s="64" t="s">
        <v>961</v>
      </c>
      <c r="BA446" s="48" t="s">
        <v>676</v>
      </c>
      <c r="BB446" s="65">
        <v>100027</v>
      </c>
      <c r="BC446" s="35">
        <f>AW446+AX446</f>
        <v>0</v>
      </c>
      <c r="BD446" s="35">
        <f>G446/(100-BE446)*100</f>
        <v>0</v>
      </c>
      <c r="BE446" s="35">
        <v>0</v>
      </c>
      <c r="BF446" s="35">
        <f>446</f>
        <v>446</v>
      </c>
      <c r="BH446" s="35">
        <f>F446*AO446</f>
        <v>0</v>
      </c>
      <c r="BI446" s="35">
        <f>F446*AP446</f>
        <v>0</v>
      </c>
      <c r="BJ446" s="35">
        <f>F446*G446</f>
        <v>0</v>
      </c>
      <c r="BK446" s="64" t="s">
        <v>208</v>
      </c>
      <c r="BL446" s="35"/>
      <c r="BW446" s="35">
        <v>12</v>
      </c>
      <c r="BX446" s="3" t="s">
        <v>988</v>
      </c>
    </row>
    <row r="447" spans="1:76" x14ac:dyDescent="0.25">
      <c r="A447" s="66"/>
      <c r="C447" s="67" t="s">
        <v>990</v>
      </c>
      <c r="D447" s="68" t="s">
        <v>10</v>
      </c>
      <c r="F447" s="69">
        <v>1.7999999999999999E-2</v>
      </c>
      <c r="K447" s="70"/>
    </row>
    <row r="448" spans="1:76" x14ac:dyDescent="0.25">
      <c r="A448" s="59" t="s">
        <v>10</v>
      </c>
      <c r="B448" s="60" t="s">
        <v>131</v>
      </c>
      <c r="C448" s="177" t="s">
        <v>132</v>
      </c>
      <c r="D448" s="178"/>
      <c r="E448" s="61" t="s">
        <v>74</v>
      </c>
      <c r="F448" s="61" t="s">
        <v>74</v>
      </c>
      <c r="G448" s="61" t="s">
        <v>74</v>
      </c>
      <c r="H448" s="42">
        <f>SUM(H449:H449)</f>
        <v>0</v>
      </c>
      <c r="I448" s="42">
        <f>SUM(I449:I449)</f>
        <v>0</v>
      </c>
      <c r="J448" s="42">
        <f>SUM(J449:J449)</f>
        <v>0</v>
      </c>
      <c r="K448" s="62" t="s">
        <v>10</v>
      </c>
      <c r="AI448" s="48" t="s">
        <v>85</v>
      </c>
      <c r="AS448" s="42">
        <f>SUM(AJ449:AJ449)</f>
        <v>0</v>
      </c>
      <c r="AT448" s="42">
        <f>SUM(AK449:AK449)</f>
        <v>0</v>
      </c>
      <c r="AU448" s="42">
        <f>SUM(AL449:AL449)</f>
        <v>0</v>
      </c>
    </row>
    <row r="449" spans="1:76" x14ac:dyDescent="0.25">
      <c r="A449" s="1" t="s">
        <v>991</v>
      </c>
      <c r="B449" s="2" t="s">
        <v>992</v>
      </c>
      <c r="C449" s="86" t="s">
        <v>993</v>
      </c>
      <c r="D449" s="87"/>
      <c r="E449" s="2" t="s">
        <v>297</v>
      </c>
      <c r="F449" s="35">
        <v>1.1599999999999999</v>
      </c>
      <c r="G449" s="35">
        <v>0</v>
      </c>
      <c r="H449" s="35">
        <f>ROUND(F449*AO449,2)</f>
        <v>0</v>
      </c>
      <c r="I449" s="35">
        <f>ROUND(F449*AP449,2)</f>
        <v>0</v>
      </c>
      <c r="J449" s="35">
        <f>ROUND(F449*G449,2)</f>
        <v>0</v>
      </c>
      <c r="K449" s="63" t="s">
        <v>203</v>
      </c>
      <c r="Z449" s="35">
        <f>ROUND(IF(AQ449="5",BJ449,0),2)</f>
        <v>0</v>
      </c>
      <c r="AB449" s="35">
        <f>ROUND(IF(AQ449="1",BH449,0),2)</f>
        <v>0</v>
      </c>
      <c r="AC449" s="35">
        <f>ROUND(IF(AQ449="1",BI449,0),2)</f>
        <v>0</v>
      </c>
      <c r="AD449" s="35">
        <f>ROUND(IF(AQ449="7",BH449,0),2)</f>
        <v>0</v>
      </c>
      <c r="AE449" s="35">
        <f>ROUND(IF(AQ449="7",BI449,0),2)</f>
        <v>0</v>
      </c>
      <c r="AF449" s="35">
        <f>ROUND(IF(AQ449="2",BH449,0),2)</f>
        <v>0</v>
      </c>
      <c r="AG449" s="35">
        <f>ROUND(IF(AQ449="2",BI449,0),2)</f>
        <v>0</v>
      </c>
      <c r="AH449" s="35">
        <f>ROUND(IF(AQ449="0",BJ449,0),2)</f>
        <v>0</v>
      </c>
      <c r="AI449" s="48" t="s">
        <v>85</v>
      </c>
      <c r="AJ449" s="35">
        <f>IF(AN449=0,J449,0)</f>
        <v>0</v>
      </c>
      <c r="AK449" s="35">
        <f>IF(AN449=12,J449,0)</f>
        <v>0</v>
      </c>
      <c r="AL449" s="35">
        <f>IF(AN449=21,J449,0)</f>
        <v>0</v>
      </c>
      <c r="AN449" s="35">
        <v>12</v>
      </c>
      <c r="AO449" s="35">
        <f>G449*0</f>
        <v>0</v>
      </c>
      <c r="AP449" s="35">
        <f>G449*(1-0)</f>
        <v>0</v>
      </c>
      <c r="AQ449" s="64" t="s">
        <v>233</v>
      </c>
      <c r="AV449" s="35">
        <f>ROUND(AW449+AX449,2)</f>
        <v>0</v>
      </c>
      <c r="AW449" s="35">
        <f>ROUND(F449*AO449,2)</f>
        <v>0</v>
      </c>
      <c r="AX449" s="35">
        <f>ROUND(F449*AP449,2)</f>
        <v>0</v>
      </c>
      <c r="AY449" s="64" t="s">
        <v>669</v>
      </c>
      <c r="AZ449" s="64" t="s">
        <v>961</v>
      </c>
      <c r="BA449" s="48" t="s">
        <v>676</v>
      </c>
      <c r="BB449" s="65">
        <v>100020</v>
      </c>
      <c r="BC449" s="35">
        <f>AW449+AX449</f>
        <v>0</v>
      </c>
      <c r="BD449" s="35">
        <f>G449/(100-BE449)*100</f>
        <v>0</v>
      </c>
      <c r="BE449" s="35">
        <v>0</v>
      </c>
      <c r="BF449" s="35">
        <f>449</f>
        <v>449</v>
      </c>
      <c r="BH449" s="35">
        <f>F449*AO449</f>
        <v>0</v>
      </c>
      <c r="BI449" s="35">
        <f>F449*AP449</f>
        <v>0</v>
      </c>
      <c r="BJ449" s="35">
        <f>F449*G449</f>
        <v>0</v>
      </c>
      <c r="BK449" s="64" t="s">
        <v>208</v>
      </c>
      <c r="BL449" s="35"/>
      <c r="BW449" s="35">
        <v>12</v>
      </c>
      <c r="BX449" s="3" t="s">
        <v>993</v>
      </c>
    </row>
    <row r="450" spans="1:76" x14ac:dyDescent="0.25">
      <c r="A450" s="66"/>
      <c r="C450" s="67" t="s">
        <v>994</v>
      </c>
      <c r="D450" s="68" t="s">
        <v>10</v>
      </c>
      <c r="F450" s="69">
        <v>1.1599999999999999</v>
      </c>
      <c r="K450" s="70"/>
    </row>
    <row r="451" spans="1:76" x14ac:dyDescent="0.25">
      <c r="A451" s="71" t="s">
        <v>10</v>
      </c>
      <c r="B451" s="72" t="s">
        <v>10</v>
      </c>
      <c r="C451" s="183" t="s">
        <v>86</v>
      </c>
      <c r="D451" s="184"/>
      <c r="E451" s="73" t="s">
        <v>74</v>
      </c>
      <c r="F451" s="73" t="s">
        <v>74</v>
      </c>
      <c r="G451" s="73" t="s">
        <v>74</v>
      </c>
      <c r="H451" s="74">
        <f>H452+H464+H479+H494</f>
        <v>0</v>
      </c>
      <c r="I451" s="74">
        <f>I452+I464+I479+I494</f>
        <v>0</v>
      </c>
      <c r="J451" s="74">
        <f>J452+J464+J479+J494</f>
        <v>0</v>
      </c>
      <c r="K451" s="75" t="s">
        <v>10</v>
      </c>
    </row>
    <row r="452" spans="1:76" x14ac:dyDescent="0.25">
      <c r="A452" s="59" t="s">
        <v>10</v>
      </c>
      <c r="B452" s="60" t="s">
        <v>145</v>
      </c>
      <c r="C452" s="177" t="s">
        <v>146</v>
      </c>
      <c r="D452" s="178"/>
      <c r="E452" s="61" t="s">
        <v>74</v>
      </c>
      <c r="F452" s="61" t="s">
        <v>74</v>
      </c>
      <c r="G452" s="61" t="s">
        <v>74</v>
      </c>
      <c r="H452" s="42">
        <f>SUM(H453:H463)</f>
        <v>0</v>
      </c>
      <c r="I452" s="42">
        <f>SUM(I453:I463)</f>
        <v>0</v>
      </c>
      <c r="J452" s="42">
        <f>SUM(J453:J463)</f>
        <v>0</v>
      </c>
      <c r="K452" s="62" t="s">
        <v>10</v>
      </c>
      <c r="AI452" s="48" t="s">
        <v>87</v>
      </c>
      <c r="AS452" s="42">
        <f>SUM(AJ453:AJ463)</f>
        <v>0</v>
      </c>
      <c r="AT452" s="42">
        <f>SUM(AK453:AK463)</f>
        <v>0</v>
      </c>
      <c r="AU452" s="42">
        <f>SUM(AL453:AL463)</f>
        <v>0</v>
      </c>
    </row>
    <row r="453" spans="1:76" x14ac:dyDescent="0.25">
      <c r="A453" s="1" t="s">
        <v>995</v>
      </c>
      <c r="B453" s="2" t="s">
        <v>996</v>
      </c>
      <c r="C453" s="86" t="s">
        <v>997</v>
      </c>
      <c r="D453" s="87"/>
      <c r="E453" s="2" t="s">
        <v>252</v>
      </c>
      <c r="F453" s="35">
        <v>2</v>
      </c>
      <c r="G453" s="35">
        <v>0</v>
      </c>
      <c r="H453" s="35">
        <f>ROUND(F453*AO453,2)</f>
        <v>0</v>
      </c>
      <c r="I453" s="35">
        <f>ROUND(F453*AP453,2)</f>
        <v>0</v>
      </c>
      <c r="J453" s="35">
        <f>ROUND(F453*G453,2)</f>
        <v>0</v>
      </c>
      <c r="K453" s="63" t="s">
        <v>203</v>
      </c>
      <c r="Z453" s="35">
        <f>ROUND(IF(AQ453="5",BJ453,0),2)</f>
        <v>0</v>
      </c>
      <c r="AB453" s="35">
        <f>ROUND(IF(AQ453="1",BH453,0),2)</f>
        <v>0</v>
      </c>
      <c r="AC453" s="35">
        <f>ROUND(IF(AQ453="1",BI453,0),2)</f>
        <v>0</v>
      </c>
      <c r="AD453" s="35">
        <f>ROUND(IF(AQ453="7",BH453,0),2)</f>
        <v>0</v>
      </c>
      <c r="AE453" s="35">
        <f>ROUND(IF(AQ453="7",BI453,0),2)</f>
        <v>0</v>
      </c>
      <c r="AF453" s="35">
        <f>ROUND(IF(AQ453="2",BH453,0),2)</f>
        <v>0</v>
      </c>
      <c r="AG453" s="35">
        <f>ROUND(IF(AQ453="2",BI453,0),2)</f>
        <v>0</v>
      </c>
      <c r="AH453" s="35">
        <f>ROUND(IF(AQ453="0",BJ453,0),2)</f>
        <v>0</v>
      </c>
      <c r="AI453" s="48" t="s">
        <v>87</v>
      </c>
      <c r="AJ453" s="35">
        <f>IF(AN453=0,J453,0)</f>
        <v>0</v>
      </c>
      <c r="AK453" s="35">
        <f>IF(AN453=12,J453,0)</f>
        <v>0</v>
      </c>
      <c r="AL453" s="35">
        <f>IF(AN453=21,J453,0)</f>
        <v>0</v>
      </c>
      <c r="AN453" s="35">
        <v>12</v>
      </c>
      <c r="AO453" s="35">
        <f>G453*0.526394679</f>
        <v>0</v>
      </c>
      <c r="AP453" s="35">
        <f>G453*(1-0.526394679)</f>
        <v>0</v>
      </c>
      <c r="AQ453" s="64" t="s">
        <v>204</v>
      </c>
      <c r="AV453" s="35">
        <f>ROUND(AW453+AX453,2)</f>
        <v>0</v>
      </c>
      <c r="AW453" s="35">
        <f>ROUND(F453*AO453,2)</f>
        <v>0</v>
      </c>
      <c r="AX453" s="35">
        <f>ROUND(F453*AP453,2)</f>
        <v>0</v>
      </c>
      <c r="AY453" s="64" t="s">
        <v>949</v>
      </c>
      <c r="AZ453" s="64" t="s">
        <v>998</v>
      </c>
      <c r="BA453" s="48" t="s">
        <v>999</v>
      </c>
      <c r="BB453" s="65">
        <v>100016</v>
      </c>
      <c r="BC453" s="35">
        <f>AW453+AX453</f>
        <v>0</v>
      </c>
      <c r="BD453" s="35">
        <f>G453/(100-BE453)*100</f>
        <v>0</v>
      </c>
      <c r="BE453" s="35">
        <v>0</v>
      </c>
      <c r="BF453" s="35">
        <f>453</f>
        <v>453</v>
      </c>
      <c r="BH453" s="35">
        <f>F453*AO453</f>
        <v>0</v>
      </c>
      <c r="BI453" s="35">
        <f>F453*AP453</f>
        <v>0</v>
      </c>
      <c r="BJ453" s="35">
        <f>F453*G453</f>
        <v>0</v>
      </c>
      <c r="BK453" s="64" t="s">
        <v>208</v>
      </c>
      <c r="BL453" s="35">
        <v>733</v>
      </c>
      <c r="BW453" s="35">
        <v>12</v>
      </c>
      <c r="BX453" s="3" t="s">
        <v>997</v>
      </c>
    </row>
    <row r="454" spans="1:76" x14ac:dyDescent="0.25">
      <c r="A454" s="66"/>
      <c r="C454" s="67" t="s">
        <v>211</v>
      </c>
      <c r="D454" s="68" t="s">
        <v>1000</v>
      </c>
      <c r="F454" s="69">
        <v>2</v>
      </c>
      <c r="K454" s="70"/>
    </row>
    <row r="455" spans="1:76" x14ac:dyDescent="0.25">
      <c r="A455" s="1" t="s">
        <v>1001</v>
      </c>
      <c r="B455" s="2" t="s">
        <v>1002</v>
      </c>
      <c r="C455" s="86" t="s">
        <v>1003</v>
      </c>
      <c r="D455" s="87"/>
      <c r="E455" s="2" t="s">
        <v>224</v>
      </c>
      <c r="F455" s="35">
        <v>3</v>
      </c>
      <c r="G455" s="35">
        <v>0</v>
      </c>
      <c r="H455" s="35">
        <f>ROUND(F455*AO455,2)</f>
        <v>0</v>
      </c>
      <c r="I455" s="35">
        <f>ROUND(F455*AP455,2)</f>
        <v>0</v>
      </c>
      <c r="J455" s="35">
        <f>ROUND(F455*G455,2)</f>
        <v>0</v>
      </c>
      <c r="K455" s="63" t="s">
        <v>203</v>
      </c>
      <c r="Z455" s="35">
        <f>ROUND(IF(AQ455="5",BJ455,0),2)</f>
        <v>0</v>
      </c>
      <c r="AB455" s="35">
        <f>ROUND(IF(AQ455="1",BH455,0),2)</f>
        <v>0</v>
      </c>
      <c r="AC455" s="35">
        <f>ROUND(IF(AQ455="1",BI455,0),2)</f>
        <v>0</v>
      </c>
      <c r="AD455" s="35">
        <f>ROUND(IF(AQ455="7",BH455,0),2)</f>
        <v>0</v>
      </c>
      <c r="AE455" s="35">
        <f>ROUND(IF(AQ455="7",BI455,0),2)</f>
        <v>0</v>
      </c>
      <c r="AF455" s="35">
        <f>ROUND(IF(AQ455="2",BH455,0),2)</f>
        <v>0</v>
      </c>
      <c r="AG455" s="35">
        <f>ROUND(IF(AQ455="2",BI455,0),2)</f>
        <v>0</v>
      </c>
      <c r="AH455" s="35">
        <f>ROUND(IF(AQ455="0",BJ455,0),2)</f>
        <v>0</v>
      </c>
      <c r="AI455" s="48" t="s">
        <v>87</v>
      </c>
      <c r="AJ455" s="35">
        <f>IF(AN455=0,J455,0)</f>
        <v>0</v>
      </c>
      <c r="AK455" s="35">
        <f>IF(AN455=12,J455,0)</f>
        <v>0</v>
      </c>
      <c r="AL455" s="35">
        <f>IF(AN455=21,J455,0)</f>
        <v>0</v>
      </c>
      <c r="AN455" s="35">
        <v>12</v>
      </c>
      <c r="AO455" s="35">
        <f>G455*0.556713147</f>
        <v>0</v>
      </c>
      <c r="AP455" s="35">
        <f>G455*(1-0.556713147)</f>
        <v>0</v>
      </c>
      <c r="AQ455" s="64" t="s">
        <v>204</v>
      </c>
      <c r="AV455" s="35">
        <f>ROUND(AW455+AX455,2)</f>
        <v>0</v>
      </c>
      <c r="AW455" s="35">
        <f>ROUND(F455*AO455,2)</f>
        <v>0</v>
      </c>
      <c r="AX455" s="35">
        <f>ROUND(F455*AP455,2)</f>
        <v>0</v>
      </c>
      <c r="AY455" s="64" t="s">
        <v>949</v>
      </c>
      <c r="AZ455" s="64" t="s">
        <v>998</v>
      </c>
      <c r="BA455" s="48" t="s">
        <v>999</v>
      </c>
      <c r="BB455" s="65">
        <v>100016</v>
      </c>
      <c r="BC455" s="35">
        <f>AW455+AX455</f>
        <v>0</v>
      </c>
      <c r="BD455" s="35">
        <f>G455/(100-BE455)*100</f>
        <v>0</v>
      </c>
      <c r="BE455" s="35">
        <v>0</v>
      </c>
      <c r="BF455" s="35">
        <f>455</f>
        <v>455</v>
      </c>
      <c r="BH455" s="35">
        <f>F455*AO455</f>
        <v>0</v>
      </c>
      <c r="BI455" s="35">
        <f>F455*AP455</f>
        <v>0</v>
      </c>
      <c r="BJ455" s="35">
        <f>F455*G455</f>
        <v>0</v>
      </c>
      <c r="BK455" s="64" t="s">
        <v>208</v>
      </c>
      <c r="BL455" s="35">
        <v>733</v>
      </c>
      <c r="BW455" s="35">
        <v>12</v>
      </c>
      <c r="BX455" s="3" t="s">
        <v>1003</v>
      </c>
    </row>
    <row r="456" spans="1:76" x14ac:dyDescent="0.25">
      <c r="A456" s="66"/>
      <c r="C456" s="67" t="s">
        <v>1004</v>
      </c>
      <c r="D456" s="68" t="s">
        <v>10</v>
      </c>
      <c r="F456" s="69">
        <v>3</v>
      </c>
      <c r="K456" s="70"/>
    </row>
    <row r="457" spans="1:76" x14ac:dyDescent="0.25">
      <c r="A457" s="1" t="s">
        <v>1005</v>
      </c>
      <c r="B457" s="2" t="s">
        <v>1006</v>
      </c>
      <c r="C457" s="86" t="s">
        <v>1007</v>
      </c>
      <c r="D457" s="87"/>
      <c r="E457" s="2" t="s">
        <v>224</v>
      </c>
      <c r="F457" s="35">
        <v>10.8</v>
      </c>
      <c r="G457" s="35">
        <v>0</v>
      </c>
      <c r="H457" s="35">
        <f>ROUND(F457*AO457,2)</f>
        <v>0</v>
      </c>
      <c r="I457" s="35">
        <f>ROUND(F457*AP457,2)</f>
        <v>0</v>
      </c>
      <c r="J457" s="35">
        <f>ROUND(F457*G457,2)</f>
        <v>0</v>
      </c>
      <c r="K457" s="63" t="s">
        <v>203</v>
      </c>
      <c r="Z457" s="35">
        <f>ROUND(IF(AQ457="5",BJ457,0),2)</f>
        <v>0</v>
      </c>
      <c r="AB457" s="35">
        <f>ROUND(IF(AQ457="1",BH457,0),2)</f>
        <v>0</v>
      </c>
      <c r="AC457" s="35">
        <f>ROUND(IF(AQ457="1",BI457,0),2)</f>
        <v>0</v>
      </c>
      <c r="AD457" s="35">
        <f>ROUND(IF(AQ457="7",BH457,0),2)</f>
        <v>0</v>
      </c>
      <c r="AE457" s="35">
        <f>ROUND(IF(AQ457="7",BI457,0),2)</f>
        <v>0</v>
      </c>
      <c r="AF457" s="35">
        <f>ROUND(IF(AQ457="2",BH457,0),2)</f>
        <v>0</v>
      </c>
      <c r="AG457" s="35">
        <f>ROUND(IF(AQ457="2",BI457,0),2)</f>
        <v>0</v>
      </c>
      <c r="AH457" s="35">
        <f>ROUND(IF(AQ457="0",BJ457,0),2)</f>
        <v>0</v>
      </c>
      <c r="AI457" s="48" t="s">
        <v>87</v>
      </c>
      <c r="AJ457" s="35">
        <f>IF(AN457=0,J457,0)</f>
        <v>0</v>
      </c>
      <c r="AK457" s="35">
        <f>IF(AN457=12,J457,0)</f>
        <v>0</v>
      </c>
      <c r="AL457" s="35">
        <f>IF(AN457=21,J457,0)</f>
        <v>0</v>
      </c>
      <c r="AN457" s="35">
        <v>12</v>
      </c>
      <c r="AO457" s="35">
        <f>G457*0.633775609</f>
        <v>0</v>
      </c>
      <c r="AP457" s="35">
        <f>G457*(1-0.633775609)</f>
        <v>0</v>
      </c>
      <c r="AQ457" s="64" t="s">
        <v>204</v>
      </c>
      <c r="AV457" s="35">
        <f>ROUND(AW457+AX457,2)</f>
        <v>0</v>
      </c>
      <c r="AW457" s="35">
        <f>ROUND(F457*AO457,2)</f>
        <v>0</v>
      </c>
      <c r="AX457" s="35">
        <f>ROUND(F457*AP457,2)</f>
        <v>0</v>
      </c>
      <c r="AY457" s="64" t="s">
        <v>949</v>
      </c>
      <c r="AZ457" s="64" t="s">
        <v>998</v>
      </c>
      <c r="BA457" s="48" t="s">
        <v>999</v>
      </c>
      <c r="BB457" s="65">
        <v>100016</v>
      </c>
      <c r="BC457" s="35">
        <f>AW457+AX457</f>
        <v>0</v>
      </c>
      <c r="BD457" s="35">
        <f>G457/(100-BE457)*100</f>
        <v>0</v>
      </c>
      <c r="BE457" s="35">
        <v>0</v>
      </c>
      <c r="BF457" s="35">
        <f>457</f>
        <v>457</v>
      </c>
      <c r="BH457" s="35">
        <f>F457*AO457</f>
        <v>0</v>
      </c>
      <c r="BI457" s="35">
        <f>F457*AP457</f>
        <v>0</v>
      </c>
      <c r="BJ457" s="35">
        <f>F457*G457</f>
        <v>0</v>
      </c>
      <c r="BK457" s="64" t="s">
        <v>208</v>
      </c>
      <c r="BL457" s="35">
        <v>733</v>
      </c>
      <c r="BW457" s="35">
        <v>12</v>
      </c>
      <c r="BX457" s="3" t="s">
        <v>1007</v>
      </c>
    </row>
    <row r="458" spans="1:76" x14ac:dyDescent="0.25">
      <c r="A458" s="66"/>
      <c r="C458" s="67" t="s">
        <v>1008</v>
      </c>
      <c r="D458" s="68" t="s">
        <v>10</v>
      </c>
      <c r="F458" s="69">
        <v>10.8</v>
      </c>
      <c r="K458" s="70"/>
    </row>
    <row r="459" spans="1:76" x14ac:dyDescent="0.25">
      <c r="A459" s="1" t="s">
        <v>1009</v>
      </c>
      <c r="B459" s="2" t="s">
        <v>1010</v>
      </c>
      <c r="C459" s="86" t="s">
        <v>1011</v>
      </c>
      <c r="D459" s="87"/>
      <c r="E459" s="2" t="s">
        <v>252</v>
      </c>
      <c r="F459" s="35">
        <v>6</v>
      </c>
      <c r="G459" s="35">
        <v>0</v>
      </c>
      <c r="H459" s="35">
        <f>ROUND(F459*AO459,2)</f>
        <v>0</v>
      </c>
      <c r="I459" s="35">
        <f>ROUND(F459*AP459,2)</f>
        <v>0</v>
      </c>
      <c r="J459" s="35">
        <f>ROUND(F459*G459,2)</f>
        <v>0</v>
      </c>
      <c r="K459" s="63" t="s">
        <v>203</v>
      </c>
      <c r="Z459" s="35">
        <f>ROUND(IF(AQ459="5",BJ459,0),2)</f>
        <v>0</v>
      </c>
      <c r="AB459" s="35">
        <f>ROUND(IF(AQ459="1",BH459,0),2)</f>
        <v>0</v>
      </c>
      <c r="AC459" s="35">
        <f>ROUND(IF(AQ459="1",BI459,0),2)</f>
        <v>0</v>
      </c>
      <c r="AD459" s="35">
        <f>ROUND(IF(AQ459="7",BH459,0),2)</f>
        <v>0</v>
      </c>
      <c r="AE459" s="35">
        <f>ROUND(IF(AQ459="7",BI459,0),2)</f>
        <v>0</v>
      </c>
      <c r="AF459" s="35">
        <f>ROUND(IF(AQ459="2",BH459,0),2)</f>
        <v>0</v>
      </c>
      <c r="AG459" s="35">
        <f>ROUND(IF(AQ459="2",BI459,0),2)</f>
        <v>0</v>
      </c>
      <c r="AH459" s="35">
        <f>ROUND(IF(AQ459="0",BJ459,0),2)</f>
        <v>0</v>
      </c>
      <c r="AI459" s="48" t="s">
        <v>87</v>
      </c>
      <c r="AJ459" s="35">
        <f>IF(AN459=0,J459,0)</f>
        <v>0</v>
      </c>
      <c r="AK459" s="35">
        <f>IF(AN459=12,J459,0)</f>
        <v>0</v>
      </c>
      <c r="AL459" s="35">
        <f>IF(AN459=21,J459,0)</f>
        <v>0</v>
      </c>
      <c r="AN459" s="35">
        <v>12</v>
      </c>
      <c r="AO459" s="35">
        <f>G459*0.196445623</f>
        <v>0</v>
      </c>
      <c r="AP459" s="35">
        <f>G459*(1-0.196445623)</f>
        <v>0</v>
      </c>
      <c r="AQ459" s="64" t="s">
        <v>204</v>
      </c>
      <c r="AV459" s="35">
        <f>ROUND(AW459+AX459,2)</f>
        <v>0</v>
      </c>
      <c r="AW459" s="35">
        <f>ROUND(F459*AO459,2)</f>
        <v>0</v>
      </c>
      <c r="AX459" s="35">
        <f>ROUND(F459*AP459,2)</f>
        <v>0</v>
      </c>
      <c r="AY459" s="64" t="s">
        <v>949</v>
      </c>
      <c r="AZ459" s="64" t="s">
        <v>998</v>
      </c>
      <c r="BA459" s="48" t="s">
        <v>999</v>
      </c>
      <c r="BB459" s="65">
        <v>100016</v>
      </c>
      <c r="BC459" s="35">
        <f>AW459+AX459</f>
        <v>0</v>
      </c>
      <c r="BD459" s="35">
        <f>G459/(100-BE459)*100</f>
        <v>0</v>
      </c>
      <c r="BE459" s="35">
        <v>0</v>
      </c>
      <c r="BF459" s="35">
        <f>459</f>
        <v>459</v>
      </c>
      <c r="BH459" s="35">
        <f>F459*AO459</f>
        <v>0</v>
      </c>
      <c r="BI459" s="35">
        <f>F459*AP459</f>
        <v>0</v>
      </c>
      <c r="BJ459" s="35">
        <f>F459*G459</f>
        <v>0</v>
      </c>
      <c r="BK459" s="64" t="s">
        <v>208</v>
      </c>
      <c r="BL459" s="35">
        <v>733</v>
      </c>
      <c r="BW459" s="35">
        <v>12</v>
      </c>
      <c r="BX459" s="3" t="s">
        <v>1011</v>
      </c>
    </row>
    <row r="460" spans="1:76" x14ac:dyDescent="0.25">
      <c r="A460" s="66"/>
      <c r="C460" s="67" t="s">
        <v>951</v>
      </c>
      <c r="D460" s="68" t="s">
        <v>10</v>
      </c>
      <c r="F460" s="69">
        <v>6</v>
      </c>
      <c r="K460" s="70"/>
    </row>
    <row r="461" spans="1:76" x14ac:dyDescent="0.25">
      <c r="A461" s="1" t="s">
        <v>1012</v>
      </c>
      <c r="B461" s="2" t="s">
        <v>953</v>
      </c>
      <c r="C461" s="86" t="s">
        <v>954</v>
      </c>
      <c r="D461" s="87"/>
      <c r="E461" s="2" t="s">
        <v>224</v>
      </c>
      <c r="F461" s="35">
        <v>14.8</v>
      </c>
      <c r="G461" s="35">
        <v>0</v>
      </c>
      <c r="H461" s="35">
        <f>ROUND(F461*AO461,2)</f>
        <v>0</v>
      </c>
      <c r="I461" s="35">
        <f>ROUND(F461*AP461,2)</f>
        <v>0</v>
      </c>
      <c r="J461" s="35">
        <f>ROUND(F461*G461,2)</f>
        <v>0</v>
      </c>
      <c r="K461" s="63" t="s">
        <v>203</v>
      </c>
      <c r="Z461" s="35">
        <f>ROUND(IF(AQ461="5",BJ461,0),2)</f>
        <v>0</v>
      </c>
      <c r="AB461" s="35">
        <f>ROUND(IF(AQ461="1",BH461,0),2)</f>
        <v>0</v>
      </c>
      <c r="AC461" s="35">
        <f>ROUND(IF(AQ461="1",BI461,0),2)</f>
        <v>0</v>
      </c>
      <c r="AD461" s="35">
        <f>ROUND(IF(AQ461="7",BH461,0),2)</f>
        <v>0</v>
      </c>
      <c r="AE461" s="35">
        <f>ROUND(IF(AQ461="7",BI461,0),2)</f>
        <v>0</v>
      </c>
      <c r="AF461" s="35">
        <f>ROUND(IF(AQ461="2",BH461,0),2)</f>
        <v>0</v>
      </c>
      <c r="AG461" s="35">
        <f>ROUND(IF(AQ461="2",BI461,0),2)</f>
        <v>0</v>
      </c>
      <c r="AH461" s="35">
        <f>ROUND(IF(AQ461="0",BJ461,0),2)</f>
        <v>0</v>
      </c>
      <c r="AI461" s="48" t="s">
        <v>87</v>
      </c>
      <c r="AJ461" s="35">
        <f>IF(AN461=0,J461,0)</f>
        <v>0</v>
      </c>
      <c r="AK461" s="35">
        <f>IF(AN461=12,J461,0)</f>
        <v>0</v>
      </c>
      <c r="AL461" s="35">
        <f>IF(AN461=21,J461,0)</f>
        <v>0</v>
      </c>
      <c r="AN461" s="35">
        <v>12</v>
      </c>
      <c r="AO461" s="35">
        <f>G461*0.170069705</f>
        <v>0</v>
      </c>
      <c r="AP461" s="35">
        <f>G461*(1-0.170069705)</f>
        <v>0</v>
      </c>
      <c r="AQ461" s="64" t="s">
        <v>204</v>
      </c>
      <c r="AV461" s="35">
        <f>ROUND(AW461+AX461,2)</f>
        <v>0</v>
      </c>
      <c r="AW461" s="35">
        <f>ROUND(F461*AO461,2)</f>
        <v>0</v>
      </c>
      <c r="AX461" s="35">
        <f>ROUND(F461*AP461,2)</f>
        <v>0</v>
      </c>
      <c r="AY461" s="64" t="s">
        <v>949</v>
      </c>
      <c r="AZ461" s="64" t="s">
        <v>998</v>
      </c>
      <c r="BA461" s="48" t="s">
        <v>999</v>
      </c>
      <c r="BB461" s="65">
        <v>100016</v>
      </c>
      <c r="BC461" s="35">
        <f>AW461+AX461</f>
        <v>0</v>
      </c>
      <c r="BD461" s="35">
        <f>G461/(100-BE461)*100</f>
        <v>0</v>
      </c>
      <c r="BE461" s="35">
        <v>0</v>
      </c>
      <c r="BF461" s="35">
        <f>461</f>
        <v>461</v>
      </c>
      <c r="BH461" s="35">
        <f>F461*AO461</f>
        <v>0</v>
      </c>
      <c r="BI461" s="35">
        <f>F461*AP461</f>
        <v>0</v>
      </c>
      <c r="BJ461" s="35">
        <f>F461*G461</f>
        <v>0</v>
      </c>
      <c r="BK461" s="64" t="s">
        <v>208</v>
      </c>
      <c r="BL461" s="35">
        <v>733</v>
      </c>
      <c r="BW461" s="35">
        <v>12</v>
      </c>
      <c r="BX461" s="3" t="s">
        <v>954</v>
      </c>
    </row>
    <row r="462" spans="1:76" x14ac:dyDescent="0.25">
      <c r="A462" s="66"/>
      <c r="C462" s="67" t="s">
        <v>1013</v>
      </c>
      <c r="D462" s="68" t="s">
        <v>10</v>
      </c>
      <c r="F462" s="69">
        <v>14.8</v>
      </c>
      <c r="K462" s="70"/>
    </row>
    <row r="463" spans="1:76" x14ac:dyDescent="0.25">
      <c r="A463" s="1" t="s">
        <v>1014</v>
      </c>
      <c r="B463" s="2" t="s">
        <v>1015</v>
      </c>
      <c r="C463" s="86" t="s">
        <v>1016</v>
      </c>
      <c r="D463" s="87"/>
      <c r="E463" s="2" t="s">
        <v>224</v>
      </c>
      <c r="F463" s="35">
        <v>14</v>
      </c>
      <c r="G463" s="35">
        <v>0</v>
      </c>
      <c r="H463" s="35">
        <f>ROUND(F463*AO463,2)</f>
        <v>0</v>
      </c>
      <c r="I463" s="35">
        <f>ROUND(F463*AP463,2)</f>
        <v>0</v>
      </c>
      <c r="J463" s="35">
        <f>ROUND(F463*G463,2)</f>
        <v>0</v>
      </c>
      <c r="K463" s="63" t="s">
        <v>203</v>
      </c>
      <c r="Z463" s="35">
        <f>ROUND(IF(AQ463="5",BJ463,0),2)</f>
        <v>0</v>
      </c>
      <c r="AB463" s="35">
        <f>ROUND(IF(AQ463="1",BH463,0),2)</f>
        <v>0</v>
      </c>
      <c r="AC463" s="35">
        <f>ROUND(IF(AQ463="1",BI463,0),2)</f>
        <v>0</v>
      </c>
      <c r="AD463" s="35">
        <f>ROUND(IF(AQ463="7",BH463,0),2)</f>
        <v>0</v>
      </c>
      <c r="AE463" s="35">
        <f>ROUND(IF(AQ463="7",BI463,0),2)</f>
        <v>0</v>
      </c>
      <c r="AF463" s="35">
        <f>ROUND(IF(AQ463="2",BH463,0),2)</f>
        <v>0</v>
      </c>
      <c r="AG463" s="35">
        <f>ROUND(IF(AQ463="2",BI463,0),2)</f>
        <v>0</v>
      </c>
      <c r="AH463" s="35">
        <f>ROUND(IF(AQ463="0",BJ463,0),2)</f>
        <v>0</v>
      </c>
      <c r="AI463" s="48" t="s">
        <v>87</v>
      </c>
      <c r="AJ463" s="35">
        <f>IF(AN463=0,J463,0)</f>
        <v>0</v>
      </c>
      <c r="AK463" s="35">
        <f>IF(AN463=12,J463,0)</f>
        <v>0</v>
      </c>
      <c r="AL463" s="35">
        <f>IF(AN463=21,J463,0)</f>
        <v>0</v>
      </c>
      <c r="AN463" s="35">
        <v>12</v>
      </c>
      <c r="AO463" s="35">
        <f>G463*0.018181818</f>
        <v>0</v>
      </c>
      <c r="AP463" s="35">
        <f>G463*(1-0.018181818)</f>
        <v>0</v>
      </c>
      <c r="AQ463" s="64" t="s">
        <v>204</v>
      </c>
      <c r="AV463" s="35">
        <f>ROUND(AW463+AX463,2)</f>
        <v>0</v>
      </c>
      <c r="AW463" s="35">
        <f>ROUND(F463*AO463,2)</f>
        <v>0</v>
      </c>
      <c r="AX463" s="35">
        <f>ROUND(F463*AP463,2)</f>
        <v>0</v>
      </c>
      <c r="AY463" s="64" t="s">
        <v>949</v>
      </c>
      <c r="AZ463" s="64" t="s">
        <v>998</v>
      </c>
      <c r="BA463" s="48" t="s">
        <v>999</v>
      </c>
      <c r="BB463" s="65">
        <v>100016</v>
      </c>
      <c r="BC463" s="35">
        <f>AW463+AX463</f>
        <v>0</v>
      </c>
      <c r="BD463" s="35">
        <f>G463/(100-BE463)*100</f>
        <v>0</v>
      </c>
      <c r="BE463" s="35">
        <v>0</v>
      </c>
      <c r="BF463" s="35">
        <f>463</f>
        <v>463</v>
      </c>
      <c r="BH463" s="35">
        <f>F463*AO463</f>
        <v>0</v>
      </c>
      <c r="BI463" s="35">
        <f>F463*AP463</f>
        <v>0</v>
      </c>
      <c r="BJ463" s="35">
        <f>F463*G463</f>
        <v>0</v>
      </c>
      <c r="BK463" s="64" t="s">
        <v>208</v>
      </c>
      <c r="BL463" s="35">
        <v>733</v>
      </c>
      <c r="BW463" s="35">
        <v>12</v>
      </c>
      <c r="BX463" s="3" t="s">
        <v>1016</v>
      </c>
    </row>
    <row r="464" spans="1:76" x14ac:dyDescent="0.25">
      <c r="A464" s="59" t="s">
        <v>10</v>
      </c>
      <c r="B464" s="60" t="s">
        <v>154</v>
      </c>
      <c r="C464" s="177" t="s">
        <v>155</v>
      </c>
      <c r="D464" s="178"/>
      <c r="E464" s="61" t="s">
        <v>74</v>
      </c>
      <c r="F464" s="61" t="s">
        <v>74</v>
      </c>
      <c r="G464" s="61" t="s">
        <v>74</v>
      </c>
      <c r="H464" s="42">
        <f>SUM(H465:H478)</f>
        <v>0</v>
      </c>
      <c r="I464" s="42">
        <f>SUM(I465:I478)</f>
        <v>0</v>
      </c>
      <c r="J464" s="42">
        <f>SUM(J465:J478)</f>
        <v>0</v>
      </c>
      <c r="K464" s="62" t="s">
        <v>10</v>
      </c>
      <c r="AI464" s="48" t="s">
        <v>87</v>
      </c>
      <c r="AS464" s="42">
        <f>SUM(AJ465:AJ478)</f>
        <v>0</v>
      </c>
      <c r="AT464" s="42">
        <f>SUM(AK465:AK478)</f>
        <v>0</v>
      </c>
      <c r="AU464" s="42">
        <f>SUM(AL465:AL478)</f>
        <v>0</v>
      </c>
    </row>
    <row r="465" spans="1:76" x14ac:dyDescent="0.25">
      <c r="A465" s="1" t="s">
        <v>1017</v>
      </c>
      <c r="B465" s="2" t="s">
        <v>1018</v>
      </c>
      <c r="C465" s="86" t="s">
        <v>1019</v>
      </c>
      <c r="D465" s="87"/>
      <c r="E465" s="2" t="s">
        <v>252</v>
      </c>
      <c r="F465" s="35">
        <v>4</v>
      </c>
      <c r="G465" s="35">
        <v>0</v>
      </c>
      <c r="H465" s="35">
        <f>ROUND(F465*AO465,2)</f>
        <v>0</v>
      </c>
      <c r="I465" s="35">
        <f>ROUND(F465*AP465,2)</f>
        <v>0</v>
      </c>
      <c r="J465" s="35">
        <f>ROUND(F465*G465,2)</f>
        <v>0</v>
      </c>
      <c r="K465" s="63" t="s">
        <v>203</v>
      </c>
      <c r="Z465" s="35">
        <f>ROUND(IF(AQ465="5",BJ465,0),2)</f>
        <v>0</v>
      </c>
      <c r="AB465" s="35">
        <f>ROUND(IF(AQ465="1",BH465,0),2)</f>
        <v>0</v>
      </c>
      <c r="AC465" s="35">
        <f>ROUND(IF(AQ465="1",BI465,0),2)</f>
        <v>0</v>
      </c>
      <c r="AD465" s="35">
        <f>ROUND(IF(AQ465="7",BH465,0),2)</f>
        <v>0</v>
      </c>
      <c r="AE465" s="35">
        <f>ROUND(IF(AQ465="7",BI465,0),2)</f>
        <v>0</v>
      </c>
      <c r="AF465" s="35">
        <f>ROUND(IF(AQ465="2",BH465,0),2)</f>
        <v>0</v>
      </c>
      <c r="AG465" s="35">
        <f>ROUND(IF(AQ465="2",BI465,0),2)</f>
        <v>0</v>
      </c>
      <c r="AH465" s="35">
        <f>ROUND(IF(AQ465="0",BJ465,0),2)</f>
        <v>0</v>
      </c>
      <c r="AI465" s="48" t="s">
        <v>87</v>
      </c>
      <c r="AJ465" s="35">
        <f>IF(AN465=0,J465,0)</f>
        <v>0</v>
      </c>
      <c r="AK465" s="35">
        <f>IF(AN465=12,J465,0)</f>
        <v>0</v>
      </c>
      <c r="AL465" s="35">
        <f>IF(AN465=21,J465,0)</f>
        <v>0</v>
      </c>
      <c r="AN465" s="35">
        <v>12</v>
      </c>
      <c r="AO465" s="35">
        <f>G465*0.23</f>
        <v>0</v>
      </c>
      <c r="AP465" s="35">
        <f>G465*(1-0.23)</f>
        <v>0</v>
      </c>
      <c r="AQ465" s="64" t="s">
        <v>204</v>
      </c>
      <c r="AV465" s="35">
        <f>ROUND(AW465+AX465,2)</f>
        <v>0</v>
      </c>
      <c r="AW465" s="35">
        <f>ROUND(F465*AO465,2)</f>
        <v>0</v>
      </c>
      <c r="AX465" s="35">
        <f>ROUND(F465*AP465,2)</f>
        <v>0</v>
      </c>
      <c r="AY465" s="64" t="s">
        <v>1020</v>
      </c>
      <c r="AZ465" s="64" t="s">
        <v>998</v>
      </c>
      <c r="BA465" s="48" t="s">
        <v>999</v>
      </c>
      <c r="BB465" s="65">
        <v>100007</v>
      </c>
      <c r="BC465" s="35">
        <f>AW465+AX465</f>
        <v>0</v>
      </c>
      <c r="BD465" s="35">
        <f>G465/(100-BE465)*100</f>
        <v>0</v>
      </c>
      <c r="BE465" s="35">
        <v>0</v>
      </c>
      <c r="BF465" s="35">
        <f>465</f>
        <v>465</v>
      </c>
      <c r="BH465" s="35">
        <f>F465*AO465</f>
        <v>0</v>
      </c>
      <c r="BI465" s="35">
        <f>F465*AP465</f>
        <v>0</v>
      </c>
      <c r="BJ465" s="35">
        <f>F465*G465</f>
        <v>0</v>
      </c>
      <c r="BK465" s="64" t="s">
        <v>208</v>
      </c>
      <c r="BL465" s="35">
        <v>734</v>
      </c>
      <c r="BW465" s="35">
        <v>12</v>
      </c>
      <c r="BX465" s="3" t="s">
        <v>1019</v>
      </c>
    </row>
    <row r="466" spans="1:76" x14ac:dyDescent="0.25">
      <c r="A466" s="66"/>
      <c r="C466" s="67" t="s">
        <v>1021</v>
      </c>
      <c r="D466" s="68" t="s">
        <v>1022</v>
      </c>
      <c r="F466" s="69">
        <v>4</v>
      </c>
      <c r="K466" s="70"/>
    </row>
    <row r="467" spans="1:76" x14ac:dyDescent="0.25">
      <c r="A467" s="1" t="s">
        <v>1023</v>
      </c>
      <c r="B467" s="2" t="s">
        <v>1024</v>
      </c>
      <c r="C467" s="86" t="s">
        <v>1025</v>
      </c>
      <c r="D467" s="87"/>
      <c r="E467" s="2" t="s">
        <v>252</v>
      </c>
      <c r="F467" s="35">
        <v>1</v>
      </c>
      <c r="G467" s="35">
        <v>0</v>
      </c>
      <c r="H467" s="35">
        <f>ROUND(F467*AO467,2)</f>
        <v>0</v>
      </c>
      <c r="I467" s="35">
        <f>ROUND(F467*AP467,2)</f>
        <v>0</v>
      </c>
      <c r="J467" s="35">
        <f>ROUND(F467*G467,2)</f>
        <v>0</v>
      </c>
      <c r="K467" s="63" t="s">
        <v>203</v>
      </c>
      <c r="Z467" s="35">
        <f>ROUND(IF(AQ467="5",BJ467,0),2)</f>
        <v>0</v>
      </c>
      <c r="AB467" s="35">
        <f>ROUND(IF(AQ467="1",BH467,0),2)</f>
        <v>0</v>
      </c>
      <c r="AC467" s="35">
        <f>ROUND(IF(AQ467="1",BI467,0),2)</f>
        <v>0</v>
      </c>
      <c r="AD467" s="35">
        <f>ROUND(IF(AQ467="7",BH467,0),2)</f>
        <v>0</v>
      </c>
      <c r="AE467" s="35">
        <f>ROUND(IF(AQ467="7",BI467,0),2)</f>
        <v>0</v>
      </c>
      <c r="AF467" s="35">
        <f>ROUND(IF(AQ467="2",BH467,0),2)</f>
        <v>0</v>
      </c>
      <c r="AG467" s="35">
        <f>ROUND(IF(AQ467="2",BI467,0),2)</f>
        <v>0</v>
      </c>
      <c r="AH467" s="35">
        <f>ROUND(IF(AQ467="0",BJ467,0),2)</f>
        <v>0</v>
      </c>
      <c r="AI467" s="48" t="s">
        <v>87</v>
      </c>
      <c r="AJ467" s="35">
        <f>IF(AN467=0,J467,0)</f>
        <v>0</v>
      </c>
      <c r="AK467" s="35">
        <f>IF(AN467=12,J467,0)</f>
        <v>0</v>
      </c>
      <c r="AL467" s="35">
        <f>IF(AN467=21,J467,0)</f>
        <v>0</v>
      </c>
      <c r="AN467" s="35">
        <v>12</v>
      </c>
      <c r="AO467" s="35">
        <f>G467*0.12411755</f>
        <v>0</v>
      </c>
      <c r="AP467" s="35">
        <f>G467*(1-0.12411755)</f>
        <v>0</v>
      </c>
      <c r="AQ467" s="64" t="s">
        <v>204</v>
      </c>
      <c r="AV467" s="35">
        <f>ROUND(AW467+AX467,2)</f>
        <v>0</v>
      </c>
      <c r="AW467" s="35">
        <f>ROUND(F467*AO467,2)</f>
        <v>0</v>
      </c>
      <c r="AX467" s="35">
        <f>ROUND(F467*AP467,2)</f>
        <v>0</v>
      </c>
      <c r="AY467" s="64" t="s">
        <v>1020</v>
      </c>
      <c r="AZ467" s="64" t="s">
        <v>998</v>
      </c>
      <c r="BA467" s="48" t="s">
        <v>999</v>
      </c>
      <c r="BB467" s="65">
        <v>100007</v>
      </c>
      <c r="BC467" s="35">
        <f>AW467+AX467</f>
        <v>0</v>
      </c>
      <c r="BD467" s="35">
        <f>G467/(100-BE467)*100</f>
        <v>0</v>
      </c>
      <c r="BE467" s="35">
        <v>0</v>
      </c>
      <c r="BF467" s="35">
        <f>467</f>
        <v>467</v>
      </c>
      <c r="BH467" s="35">
        <f>F467*AO467</f>
        <v>0</v>
      </c>
      <c r="BI467" s="35">
        <f>F467*AP467</f>
        <v>0</v>
      </c>
      <c r="BJ467" s="35">
        <f>F467*G467</f>
        <v>0</v>
      </c>
      <c r="BK467" s="64" t="s">
        <v>208</v>
      </c>
      <c r="BL467" s="35">
        <v>734</v>
      </c>
      <c r="BW467" s="35">
        <v>12</v>
      </c>
      <c r="BX467" s="3" t="s">
        <v>1025</v>
      </c>
    </row>
    <row r="468" spans="1:76" x14ac:dyDescent="0.25">
      <c r="A468" s="66"/>
      <c r="C468" s="67" t="s">
        <v>199</v>
      </c>
      <c r="D468" s="68" t="s">
        <v>1026</v>
      </c>
      <c r="F468" s="69">
        <v>1</v>
      </c>
      <c r="K468" s="70"/>
    </row>
    <row r="469" spans="1:76" x14ac:dyDescent="0.25">
      <c r="A469" s="1" t="s">
        <v>1027</v>
      </c>
      <c r="B469" s="2" t="s">
        <v>1028</v>
      </c>
      <c r="C469" s="86" t="s">
        <v>1029</v>
      </c>
      <c r="D469" s="87"/>
      <c r="E469" s="2" t="s">
        <v>252</v>
      </c>
      <c r="F469" s="35">
        <v>3</v>
      </c>
      <c r="G469" s="35">
        <v>0</v>
      </c>
      <c r="H469" s="35">
        <f>ROUND(F469*AO469,2)</f>
        <v>0</v>
      </c>
      <c r="I469" s="35">
        <f>ROUND(F469*AP469,2)</f>
        <v>0</v>
      </c>
      <c r="J469" s="35">
        <f>ROUND(F469*G469,2)</f>
        <v>0</v>
      </c>
      <c r="K469" s="63" t="s">
        <v>203</v>
      </c>
      <c r="Z469" s="35">
        <f>ROUND(IF(AQ469="5",BJ469,0),2)</f>
        <v>0</v>
      </c>
      <c r="AB469" s="35">
        <f>ROUND(IF(AQ469="1",BH469,0),2)</f>
        <v>0</v>
      </c>
      <c r="AC469" s="35">
        <f>ROUND(IF(AQ469="1",BI469,0),2)</f>
        <v>0</v>
      </c>
      <c r="AD469" s="35">
        <f>ROUND(IF(AQ469="7",BH469,0),2)</f>
        <v>0</v>
      </c>
      <c r="AE469" s="35">
        <f>ROUND(IF(AQ469="7",BI469,0),2)</f>
        <v>0</v>
      </c>
      <c r="AF469" s="35">
        <f>ROUND(IF(AQ469="2",BH469,0),2)</f>
        <v>0</v>
      </c>
      <c r="AG469" s="35">
        <f>ROUND(IF(AQ469="2",BI469,0),2)</f>
        <v>0</v>
      </c>
      <c r="AH469" s="35">
        <f>ROUND(IF(AQ469="0",BJ469,0),2)</f>
        <v>0</v>
      </c>
      <c r="AI469" s="48" t="s">
        <v>87</v>
      </c>
      <c r="AJ469" s="35">
        <f>IF(AN469=0,J469,0)</f>
        <v>0</v>
      </c>
      <c r="AK469" s="35">
        <f>IF(AN469=12,J469,0)</f>
        <v>0</v>
      </c>
      <c r="AL469" s="35">
        <f>IF(AN469=21,J469,0)</f>
        <v>0</v>
      </c>
      <c r="AN469" s="35">
        <v>12</v>
      </c>
      <c r="AO469" s="35">
        <f>G469*0.868838269</f>
        <v>0</v>
      </c>
      <c r="AP469" s="35">
        <f>G469*(1-0.868838269)</f>
        <v>0</v>
      </c>
      <c r="AQ469" s="64" t="s">
        <v>204</v>
      </c>
      <c r="AV469" s="35">
        <f>ROUND(AW469+AX469,2)</f>
        <v>0</v>
      </c>
      <c r="AW469" s="35">
        <f>ROUND(F469*AO469,2)</f>
        <v>0</v>
      </c>
      <c r="AX469" s="35">
        <f>ROUND(F469*AP469,2)</f>
        <v>0</v>
      </c>
      <c r="AY469" s="64" t="s">
        <v>1020</v>
      </c>
      <c r="AZ469" s="64" t="s">
        <v>998</v>
      </c>
      <c r="BA469" s="48" t="s">
        <v>999</v>
      </c>
      <c r="BB469" s="65">
        <v>100007</v>
      </c>
      <c r="BC469" s="35">
        <f>AW469+AX469</f>
        <v>0</v>
      </c>
      <c r="BD469" s="35">
        <f>G469/(100-BE469)*100</f>
        <v>0</v>
      </c>
      <c r="BE469" s="35">
        <v>0</v>
      </c>
      <c r="BF469" s="35">
        <f>469</f>
        <v>469</v>
      </c>
      <c r="BH469" s="35">
        <f>F469*AO469</f>
        <v>0</v>
      </c>
      <c r="BI469" s="35">
        <f>F469*AP469</f>
        <v>0</v>
      </c>
      <c r="BJ469" s="35">
        <f>F469*G469</f>
        <v>0</v>
      </c>
      <c r="BK469" s="64" t="s">
        <v>208</v>
      </c>
      <c r="BL469" s="35">
        <v>734</v>
      </c>
      <c r="BW469" s="35">
        <v>12</v>
      </c>
      <c r="BX469" s="3" t="s">
        <v>1029</v>
      </c>
    </row>
    <row r="470" spans="1:76" x14ac:dyDescent="0.25">
      <c r="A470" s="66"/>
      <c r="C470" s="67" t="s">
        <v>221</v>
      </c>
      <c r="D470" s="68" t="s">
        <v>1030</v>
      </c>
      <c r="F470" s="69">
        <v>3</v>
      </c>
      <c r="K470" s="70"/>
    </row>
    <row r="471" spans="1:76" x14ac:dyDescent="0.25">
      <c r="A471" s="1" t="s">
        <v>1031</v>
      </c>
      <c r="B471" s="2" t="s">
        <v>1032</v>
      </c>
      <c r="C471" s="86" t="s">
        <v>1033</v>
      </c>
      <c r="D471" s="87"/>
      <c r="E471" s="2" t="s">
        <v>252</v>
      </c>
      <c r="F471" s="35">
        <v>6</v>
      </c>
      <c r="G471" s="35">
        <v>0</v>
      </c>
      <c r="H471" s="35">
        <f>ROUND(F471*AO471,2)</f>
        <v>0</v>
      </c>
      <c r="I471" s="35">
        <f>ROUND(F471*AP471,2)</f>
        <v>0</v>
      </c>
      <c r="J471" s="35">
        <f>ROUND(F471*G471,2)</f>
        <v>0</v>
      </c>
      <c r="K471" s="63" t="s">
        <v>203</v>
      </c>
      <c r="Z471" s="35">
        <f>ROUND(IF(AQ471="5",BJ471,0),2)</f>
        <v>0</v>
      </c>
      <c r="AB471" s="35">
        <f>ROUND(IF(AQ471="1",BH471,0),2)</f>
        <v>0</v>
      </c>
      <c r="AC471" s="35">
        <f>ROUND(IF(AQ471="1",BI471,0),2)</f>
        <v>0</v>
      </c>
      <c r="AD471" s="35">
        <f>ROUND(IF(AQ471="7",BH471,0),2)</f>
        <v>0</v>
      </c>
      <c r="AE471" s="35">
        <f>ROUND(IF(AQ471="7",BI471,0),2)</f>
        <v>0</v>
      </c>
      <c r="AF471" s="35">
        <f>ROUND(IF(AQ471="2",BH471,0),2)</f>
        <v>0</v>
      </c>
      <c r="AG471" s="35">
        <f>ROUND(IF(AQ471="2",BI471,0),2)</f>
        <v>0</v>
      </c>
      <c r="AH471" s="35">
        <f>ROUND(IF(AQ471="0",BJ471,0),2)</f>
        <v>0</v>
      </c>
      <c r="AI471" s="48" t="s">
        <v>87</v>
      </c>
      <c r="AJ471" s="35">
        <f>IF(AN471=0,J471,0)</f>
        <v>0</v>
      </c>
      <c r="AK471" s="35">
        <f>IF(AN471=12,J471,0)</f>
        <v>0</v>
      </c>
      <c r="AL471" s="35">
        <f>IF(AN471=21,J471,0)</f>
        <v>0</v>
      </c>
      <c r="AN471" s="35">
        <v>12</v>
      </c>
      <c r="AO471" s="35">
        <f>G471*0</f>
        <v>0</v>
      </c>
      <c r="AP471" s="35">
        <f>G471*(1-0)</f>
        <v>0</v>
      </c>
      <c r="AQ471" s="64" t="s">
        <v>204</v>
      </c>
      <c r="AV471" s="35">
        <f>ROUND(AW471+AX471,2)</f>
        <v>0</v>
      </c>
      <c r="AW471" s="35">
        <f>ROUND(F471*AO471,2)</f>
        <v>0</v>
      </c>
      <c r="AX471" s="35">
        <f>ROUND(F471*AP471,2)</f>
        <v>0</v>
      </c>
      <c r="AY471" s="64" t="s">
        <v>1020</v>
      </c>
      <c r="AZ471" s="64" t="s">
        <v>998</v>
      </c>
      <c r="BA471" s="48" t="s">
        <v>999</v>
      </c>
      <c r="BB471" s="65">
        <v>100007</v>
      </c>
      <c r="BC471" s="35">
        <f>AW471+AX471</f>
        <v>0</v>
      </c>
      <c r="BD471" s="35">
        <f>G471/(100-BE471)*100</f>
        <v>0</v>
      </c>
      <c r="BE471" s="35">
        <v>0</v>
      </c>
      <c r="BF471" s="35">
        <f>471</f>
        <v>471</v>
      </c>
      <c r="BH471" s="35">
        <f>F471*AO471</f>
        <v>0</v>
      </c>
      <c r="BI471" s="35">
        <f>F471*AP471</f>
        <v>0</v>
      </c>
      <c r="BJ471" s="35">
        <f>F471*G471</f>
        <v>0</v>
      </c>
      <c r="BK471" s="64" t="s">
        <v>208</v>
      </c>
      <c r="BL471" s="35">
        <v>734</v>
      </c>
      <c r="BW471" s="35">
        <v>12</v>
      </c>
      <c r="BX471" s="3" t="s">
        <v>1033</v>
      </c>
    </row>
    <row r="472" spans="1:76" x14ac:dyDescent="0.25">
      <c r="A472" s="66"/>
      <c r="C472" s="67" t="s">
        <v>1034</v>
      </c>
      <c r="D472" s="68" t="s">
        <v>1035</v>
      </c>
      <c r="F472" s="69">
        <v>6</v>
      </c>
      <c r="K472" s="70"/>
    </row>
    <row r="473" spans="1:76" x14ac:dyDescent="0.25">
      <c r="A473" s="76" t="s">
        <v>1036</v>
      </c>
      <c r="B473" s="77" t="s">
        <v>1037</v>
      </c>
      <c r="C473" s="185" t="s">
        <v>1038</v>
      </c>
      <c r="D473" s="186"/>
      <c r="E473" s="77" t="s">
        <v>252</v>
      </c>
      <c r="F473" s="79">
        <v>6</v>
      </c>
      <c r="G473" s="79">
        <v>0</v>
      </c>
      <c r="H473" s="79">
        <f>ROUND(F473*AO473,2)</f>
        <v>0</v>
      </c>
      <c r="I473" s="79">
        <f>ROUND(F473*AP473,2)</f>
        <v>0</v>
      </c>
      <c r="J473" s="79">
        <f>ROUND(F473*G473,2)</f>
        <v>0</v>
      </c>
      <c r="K473" s="80" t="s">
        <v>203</v>
      </c>
      <c r="Z473" s="35">
        <f>ROUND(IF(AQ473="5",BJ473,0),2)</f>
        <v>0</v>
      </c>
      <c r="AB473" s="35">
        <f>ROUND(IF(AQ473="1",BH473,0),2)</f>
        <v>0</v>
      </c>
      <c r="AC473" s="35">
        <f>ROUND(IF(AQ473="1",BI473,0),2)</f>
        <v>0</v>
      </c>
      <c r="AD473" s="35">
        <f>ROUND(IF(AQ473="7",BH473,0),2)</f>
        <v>0</v>
      </c>
      <c r="AE473" s="35">
        <f>ROUND(IF(AQ473="7",BI473,0),2)</f>
        <v>0</v>
      </c>
      <c r="AF473" s="35">
        <f>ROUND(IF(AQ473="2",BH473,0),2)</f>
        <v>0</v>
      </c>
      <c r="AG473" s="35">
        <f>ROUND(IF(AQ473="2",BI473,0),2)</f>
        <v>0</v>
      </c>
      <c r="AH473" s="35">
        <f>ROUND(IF(AQ473="0",BJ473,0),2)</f>
        <v>0</v>
      </c>
      <c r="AI473" s="48" t="s">
        <v>87</v>
      </c>
      <c r="AJ473" s="79">
        <f>IF(AN473=0,J473,0)</f>
        <v>0</v>
      </c>
      <c r="AK473" s="79">
        <f>IF(AN473=12,J473,0)</f>
        <v>0</v>
      </c>
      <c r="AL473" s="79">
        <f>IF(AN473=21,J473,0)</f>
        <v>0</v>
      </c>
      <c r="AN473" s="35">
        <v>12</v>
      </c>
      <c r="AO473" s="35">
        <f>G473*1</f>
        <v>0</v>
      </c>
      <c r="AP473" s="35">
        <f>G473*(1-1)</f>
        <v>0</v>
      </c>
      <c r="AQ473" s="81" t="s">
        <v>204</v>
      </c>
      <c r="AV473" s="35">
        <f>ROUND(AW473+AX473,2)</f>
        <v>0</v>
      </c>
      <c r="AW473" s="35">
        <f>ROUND(F473*AO473,2)</f>
        <v>0</v>
      </c>
      <c r="AX473" s="35">
        <f>ROUND(F473*AP473,2)</f>
        <v>0</v>
      </c>
      <c r="AY473" s="64" t="s">
        <v>1020</v>
      </c>
      <c r="AZ473" s="64" t="s">
        <v>998</v>
      </c>
      <c r="BA473" s="48" t="s">
        <v>999</v>
      </c>
      <c r="BC473" s="35">
        <f>AW473+AX473</f>
        <v>0</v>
      </c>
      <c r="BD473" s="35">
        <f>G473/(100-BE473)*100</f>
        <v>0</v>
      </c>
      <c r="BE473" s="35">
        <v>0</v>
      </c>
      <c r="BF473" s="35">
        <f>473</f>
        <v>473</v>
      </c>
      <c r="BH473" s="79">
        <f>F473*AO473</f>
        <v>0</v>
      </c>
      <c r="BI473" s="79">
        <f>F473*AP473</f>
        <v>0</v>
      </c>
      <c r="BJ473" s="79">
        <f>F473*G473</f>
        <v>0</v>
      </c>
      <c r="BK473" s="81" t="s">
        <v>464</v>
      </c>
      <c r="BL473" s="35">
        <v>734</v>
      </c>
      <c r="BW473" s="35">
        <v>12</v>
      </c>
      <c r="BX473" s="78" t="s">
        <v>1038</v>
      </c>
    </row>
    <row r="474" spans="1:76" x14ac:dyDescent="0.25">
      <c r="A474" s="66"/>
      <c r="C474" s="67" t="s">
        <v>1034</v>
      </c>
      <c r="D474" s="68" t="s">
        <v>10</v>
      </c>
      <c r="F474" s="69">
        <v>6</v>
      </c>
      <c r="K474" s="70"/>
    </row>
    <row r="475" spans="1:76" x14ac:dyDescent="0.25">
      <c r="A475" s="1" t="s">
        <v>1039</v>
      </c>
      <c r="B475" s="2" t="s">
        <v>1040</v>
      </c>
      <c r="C475" s="86" t="s">
        <v>1041</v>
      </c>
      <c r="D475" s="87"/>
      <c r="E475" s="2" t="s">
        <v>252</v>
      </c>
      <c r="F475" s="35">
        <v>3</v>
      </c>
      <c r="G475" s="35">
        <v>0</v>
      </c>
      <c r="H475" s="35">
        <f>ROUND(F475*AO475,2)</f>
        <v>0</v>
      </c>
      <c r="I475" s="35">
        <f>ROUND(F475*AP475,2)</f>
        <v>0</v>
      </c>
      <c r="J475" s="35">
        <f>ROUND(F475*G475,2)</f>
        <v>0</v>
      </c>
      <c r="K475" s="63" t="s">
        <v>203</v>
      </c>
      <c r="Z475" s="35">
        <f>ROUND(IF(AQ475="5",BJ475,0),2)</f>
        <v>0</v>
      </c>
      <c r="AB475" s="35">
        <f>ROUND(IF(AQ475="1",BH475,0),2)</f>
        <v>0</v>
      </c>
      <c r="AC475" s="35">
        <f>ROUND(IF(AQ475="1",BI475,0),2)</f>
        <v>0</v>
      </c>
      <c r="AD475" s="35">
        <f>ROUND(IF(AQ475="7",BH475,0),2)</f>
        <v>0</v>
      </c>
      <c r="AE475" s="35">
        <f>ROUND(IF(AQ475="7",BI475,0),2)</f>
        <v>0</v>
      </c>
      <c r="AF475" s="35">
        <f>ROUND(IF(AQ475="2",BH475,0),2)</f>
        <v>0</v>
      </c>
      <c r="AG475" s="35">
        <f>ROUND(IF(AQ475="2",BI475,0),2)</f>
        <v>0</v>
      </c>
      <c r="AH475" s="35">
        <f>ROUND(IF(AQ475="0",BJ475,0),2)</f>
        <v>0</v>
      </c>
      <c r="AI475" s="48" t="s">
        <v>87</v>
      </c>
      <c r="AJ475" s="35">
        <f>IF(AN475=0,J475,0)</f>
        <v>0</v>
      </c>
      <c r="AK475" s="35">
        <f>IF(AN475=12,J475,0)</f>
        <v>0</v>
      </c>
      <c r="AL475" s="35">
        <f>IF(AN475=21,J475,0)</f>
        <v>0</v>
      </c>
      <c r="AN475" s="35">
        <v>12</v>
      </c>
      <c r="AO475" s="35">
        <f>G475*0.860182025</f>
        <v>0</v>
      </c>
      <c r="AP475" s="35">
        <f>G475*(1-0.860182025)</f>
        <v>0</v>
      </c>
      <c r="AQ475" s="64" t="s">
        <v>204</v>
      </c>
      <c r="AV475" s="35">
        <f>ROUND(AW475+AX475,2)</f>
        <v>0</v>
      </c>
      <c r="AW475" s="35">
        <f>ROUND(F475*AO475,2)</f>
        <v>0</v>
      </c>
      <c r="AX475" s="35">
        <f>ROUND(F475*AP475,2)</f>
        <v>0</v>
      </c>
      <c r="AY475" s="64" t="s">
        <v>1020</v>
      </c>
      <c r="AZ475" s="64" t="s">
        <v>998</v>
      </c>
      <c r="BA475" s="48" t="s">
        <v>999</v>
      </c>
      <c r="BB475" s="65">
        <v>100007</v>
      </c>
      <c r="BC475" s="35">
        <f>AW475+AX475</f>
        <v>0</v>
      </c>
      <c r="BD475" s="35">
        <f>G475/(100-BE475)*100</f>
        <v>0</v>
      </c>
      <c r="BE475" s="35">
        <v>0</v>
      </c>
      <c r="BF475" s="35">
        <f>475</f>
        <v>475</v>
      </c>
      <c r="BH475" s="35">
        <f>F475*AO475</f>
        <v>0</v>
      </c>
      <c r="BI475" s="35">
        <f>F475*AP475</f>
        <v>0</v>
      </c>
      <c r="BJ475" s="35">
        <f>F475*G475</f>
        <v>0</v>
      </c>
      <c r="BK475" s="64" t="s">
        <v>208</v>
      </c>
      <c r="BL475" s="35">
        <v>734</v>
      </c>
      <c r="BW475" s="35">
        <v>12</v>
      </c>
      <c r="BX475" s="3" t="s">
        <v>1041</v>
      </c>
    </row>
    <row r="476" spans="1:76" x14ac:dyDescent="0.25">
      <c r="A476" s="1" t="s">
        <v>1042</v>
      </c>
      <c r="B476" s="2" t="s">
        <v>1043</v>
      </c>
      <c r="C476" s="86" t="s">
        <v>1044</v>
      </c>
      <c r="D476" s="87"/>
      <c r="E476" s="2" t="s">
        <v>252</v>
      </c>
      <c r="F476" s="35">
        <v>1</v>
      </c>
      <c r="G476" s="35">
        <v>0</v>
      </c>
      <c r="H476" s="35">
        <f>ROUND(F476*AO476,2)</f>
        <v>0</v>
      </c>
      <c r="I476" s="35">
        <f>ROUND(F476*AP476,2)</f>
        <v>0</v>
      </c>
      <c r="J476" s="35">
        <f>ROUND(F476*G476,2)</f>
        <v>0</v>
      </c>
      <c r="K476" s="63" t="s">
        <v>203</v>
      </c>
      <c r="Z476" s="35">
        <f>ROUND(IF(AQ476="5",BJ476,0),2)</f>
        <v>0</v>
      </c>
      <c r="AB476" s="35">
        <f>ROUND(IF(AQ476="1",BH476,0),2)</f>
        <v>0</v>
      </c>
      <c r="AC476" s="35">
        <f>ROUND(IF(AQ476="1",BI476,0),2)</f>
        <v>0</v>
      </c>
      <c r="AD476" s="35">
        <f>ROUND(IF(AQ476="7",BH476,0),2)</f>
        <v>0</v>
      </c>
      <c r="AE476" s="35">
        <f>ROUND(IF(AQ476="7",BI476,0),2)</f>
        <v>0</v>
      </c>
      <c r="AF476" s="35">
        <f>ROUND(IF(AQ476="2",BH476,0),2)</f>
        <v>0</v>
      </c>
      <c r="AG476" s="35">
        <f>ROUND(IF(AQ476="2",BI476,0),2)</f>
        <v>0</v>
      </c>
      <c r="AH476" s="35">
        <f>ROUND(IF(AQ476="0",BJ476,0),2)</f>
        <v>0</v>
      </c>
      <c r="AI476" s="48" t="s">
        <v>87</v>
      </c>
      <c r="AJ476" s="35">
        <f>IF(AN476=0,J476,0)</f>
        <v>0</v>
      </c>
      <c r="AK476" s="35">
        <f>IF(AN476=12,J476,0)</f>
        <v>0</v>
      </c>
      <c r="AL476" s="35">
        <f>IF(AN476=21,J476,0)</f>
        <v>0</v>
      </c>
      <c r="AN476" s="35">
        <v>12</v>
      </c>
      <c r="AO476" s="35">
        <f>G476*0.867629179</f>
        <v>0</v>
      </c>
      <c r="AP476" s="35">
        <f>G476*(1-0.867629179)</f>
        <v>0</v>
      </c>
      <c r="AQ476" s="64" t="s">
        <v>204</v>
      </c>
      <c r="AV476" s="35">
        <f>ROUND(AW476+AX476,2)</f>
        <v>0</v>
      </c>
      <c r="AW476" s="35">
        <f>ROUND(F476*AO476,2)</f>
        <v>0</v>
      </c>
      <c r="AX476" s="35">
        <f>ROUND(F476*AP476,2)</f>
        <v>0</v>
      </c>
      <c r="AY476" s="64" t="s">
        <v>1020</v>
      </c>
      <c r="AZ476" s="64" t="s">
        <v>998</v>
      </c>
      <c r="BA476" s="48" t="s">
        <v>999</v>
      </c>
      <c r="BB476" s="65">
        <v>100007</v>
      </c>
      <c r="BC476" s="35">
        <f>AW476+AX476</f>
        <v>0</v>
      </c>
      <c r="BD476" s="35">
        <f>G476/(100-BE476)*100</f>
        <v>0</v>
      </c>
      <c r="BE476" s="35">
        <v>0</v>
      </c>
      <c r="BF476" s="35">
        <f>476</f>
        <v>476</v>
      </c>
      <c r="BH476" s="35">
        <f>F476*AO476</f>
        <v>0</v>
      </c>
      <c r="BI476" s="35">
        <f>F476*AP476</f>
        <v>0</v>
      </c>
      <c r="BJ476" s="35">
        <f>F476*G476</f>
        <v>0</v>
      </c>
      <c r="BK476" s="64" t="s">
        <v>208</v>
      </c>
      <c r="BL476" s="35">
        <v>734</v>
      </c>
      <c r="BW476" s="35">
        <v>12</v>
      </c>
      <c r="BX476" s="3" t="s">
        <v>1044</v>
      </c>
    </row>
    <row r="477" spans="1:76" x14ac:dyDescent="0.25">
      <c r="A477" s="66"/>
      <c r="C477" s="67" t="s">
        <v>199</v>
      </c>
      <c r="D477" s="68" t="s">
        <v>1045</v>
      </c>
      <c r="F477" s="69">
        <v>1</v>
      </c>
      <c r="K477" s="70"/>
    </row>
    <row r="478" spans="1:76" x14ac:dyDescent="0.25">
      <c r="A478" s="1" t="s">
        <v>1046</v>
      </c>
      <c r="B478" s="2" t="s">
        <v>1018</v>
      </c>
      <c r="C478" s="86" t="s">
        <v>1019</v>
      </c>
      <c r="D478" s="87"/>
      <c r="E478" s="2" t="s">
        <v>252</v>
      </c>
      <c r="F478" s="35">
        <v>2</v>
      </c>
      <c r="G478" s="35">
        <v>0</v>
      </c>
      <c r="H478" s="35">
        <f>ROUND(F478*AO478,2)</f>
        <v>0</v>
      </c>
      <c r="I478" s="35">
        <f>ROUND(F478*AP478,2)</f>
        <v>0</v>
      </c>
      <c r="J478" s="35">
        <f>ROUND(F478*G478,2)</f>
        <v>0</v>
      </c>
      <c r="K478" s="63" t="s">
        <v>203</v>
      </c>
      <c r="Z478" s="35">
        <f>ROUND(IF(AQ478="5",BJ478,0),2)</f>
        <v>0</v>
      </c>
      <c r="AB478" s="35">
        <f>ROUND(IF(AQ478="1",BH478,0),2)</f>
        <v>0</v>
      </c>
      <c r="AC478" s="35">
        <f>ROUND(IF(AQ478="1",BI478,0),2)</f>
        <v>0</v>
      </c>
      <c r="AD478" s="35">
        <f>ROUND(IF(AQ478="7",BH478,0),2)</f>
        <v>0</v>
      </c>
      <c r="AE478" s="35">
        <f>ROUND(IF(AQ478="7",BI478,0),2)</f>
        <v>0</v>
      </c>
      <c r="AF478" s="35">
        <f>ROUND(IF(AQ478="2",BH478,0),2)</f>
        <v>0</v>
      </c>
      <c r="AG478" s="35">
        <f>ROUND(IF(AQ478="2",BI478,0),2)</f>
        <v>0</v>
      </c>
      <c r="AH478" s="35">
        <f>ROUND(IF(AQ478="0",BJ478,0),2)</f>
        <v>0</v>
      </c>
      <c r="AI478" s="48" t="s">
        <v>87</v>
      </c>
      <c r="AJ478" s="35">
        <f>IF(AN478=0,J478,0)</f>
        <v>0</v>
      </c>
      <c r="AK478" s="35">
        <f>IF(AN478=12,J478,0)</f>
        <v>0</v>
      </c>
      <c r="AL478" s="35">
        <f>IF(AN478=21,J478,0)</f>
        <v>0</v>
      </c>
      <c r="AN478" s="35">
        <v>12</v>
      </c>
      <c r="AO478" s="35">
        <f>G478*0.23</f>
        <v>0</v>
      </c>
      <c r="AP478" s="35">
        <f>G478*(1-0.23)</f>
        <v>0</v>
      </c>
      <c r="AQ478" s="64" t="s">
        <v>204</v>
      </c>
      <c r="AV478" s="35">
        <f>ROUND(AW478+AX478,2)</f>
        <v>0</v>
      </c>
      <c r="AW478" s="35">
        <f>ROUND(F478*AO478,2)</f>
        <v>0</v>
      </c>
      <c r="AX478" s="35">
        <f>ROUND(F478*AP478,2)</f>
        <v>0</v>
      </c>
      <c r="AY478" s="64" t="s">
        <v>1020</v>
      </c>
      <c r="AZ478" s="64" t="s">
        <v>998</v>
      </c>
      <c r="BA478" s="48" t="s">
        <v>999</v>
      </c>
      <c r="BB478" s="65">
        <v>100007</v>
      </c>
      <c r="BC478" s="35">
        <f>AW478+AX478</f>
        <v>0</v>
      </c>
      <c r="BD478" s="35">
        <f>G478/(100-BE478)*100</f>
        <v>0</v>
      </c>
      <c r="BE478" s="35">
        <v>0</v>
      </c>
      <c r="BF478" s="35">
        <f>478</f>
        <v>478</v>
      </c>
      <c r="BH478" s="35">
        <f>F478*AO478</f>
        <v>0</v>
      </c>
      <c r="BI478" s="35">
        <f>F478*AP478</f>
        <v>0</v>
      </c>
      <c r="BJ478" s="35">
        <f>F478*G478</f>
        <v>0</v>
      </c>
      <c r="BK478" s="64" t="s">
        <v>208</v>
      </c>
      <c r="BL478" s="35">
        <v>734</v>
      </c>
      <c r="BW478" s="35">
        <v>12</v>
      </c>
      <c r="BX478" s="3" t="s">
        <v>1019</v>
      </c>
    </row>
    <row r="479" spans="1:76" x14ac:dyDescent="0.25">
      <c r="A479" s="59" t="s">
        <v>10</v>
      </c>
      <c r="B479" s="60" t="s">
        <v>156</v>
      </c>
      <c r="C479" s="177" t="s">
        <v>157</v>
      </c>
      <c r="D479" s="178"/>
      <c r="E479" s="61" t="s">
        <v>74</v>
      </c>
      <c r="F479" s="61" t="s">
        <v>74</v>
      </c>
      <c r="G479" s="61" t="s">
        <v>74</v>
      </c>
      <c r="H479" s="42">
        <f>SUM(H480:H492)</f>
        <v>0</v>
      </c>
      <c r="I479" s="42">
        <f>SUM(I480:I492)</f>
        <v>0</v>
      </c>
      <c r="J479" s="42">
        <f>SUM(J480:J492)</f>
        <v>0</v>
      </c>
      <c r="K479" s="62" t="s">
        <v>10</v>
      </c>
      <c r="AI479" s="48" t="s">
        <v>87</v>
      </c>
      <c r="AS479" s="42">
        <f>SUM(AJ480:AJ492)</f>
        <v>0</v>
      </c>
      <c r="AT479" s="42">
        <f>SUM(AK480:AK492)</f>
        <v>0</v>
      </c>
      <c r="AU479" s="42">
        <f>SUM(AL480:AL492)</f>
        <v>0</v>
      </c>
    </row>
    <row r="480" spans="1:76" x14ac:dyDescent="0.25">
      <c r="A480" s="1" t="s">
        <v>1047</v>
      </c>
      <c r="B480" s="2" t="s">
        <v>1048</v>
      </c>
      <c r="C480" s="86" t="s">
        <v>1049</v>
      </c>
      <c r="D480" s="87"/>
      <c r="E480" s="2" t="s">
        <v>252</v>
      </c>
      <c r="F480" s="35">
        <v>1</v>
      </c>
      <c r="G480" s="35">
        <v>0</v>
      </c>
      <c r="H480" s="35">
        <f>ROUND(F480*AO480,2)</f>
        <v>0</v>
      </c>
      <c r="I480" s="35">
        <f>ROUND(F480*AP480,2)</f>
        <v>0</v>
      </c>
      <c r="J480" s="35">
        <f>ROUND(F480*G480,2)</f>
        <v>0</v>
      </c>
      <c r="K480" s="63" t="s">
        <v>203</v>
      </c>
      <c r="Z480" s="35">
        <f>ROUND(IF(AQ480="5",BJ480,0),2)</f>
        <v>0</v>
      </c>
      <c r="AB480" s="35">
        <f>ROUND(IF(AQ480="1",BH480,0),2)</f>
        <v>0</v>
      </c>
      <c r="AC480" s="35">
        <f>ROUND(IF(AQ480="1",BI480,0),2)</f>
        <v>0</v>
      </c>
      <c r="AD480" s="35">
        <f>ROUND(IF(AQ480="7",BH480,0),2)</f>
        <v>0</v>
      </c>
      <c r="AE480" s="35">
        <f>ROUND(IF(AQ480="7",BI480,0),2)</f>
        <v>0</v>
      </c>
      <c r="AF480" s="35">
        <f>ROUND(IF(AQ480="2",BH480,0),2)</f>
        <v>0</v>
      </c>
      <c r="AG480" s="35">
        <f>ROUND(IF(AQ480="2",BI480,0),2)</f>
        <v>0</v>
      </c>
      <c r="AH480" s="35">
        <f>ROUND(IF(AQ480="0",BJ480,0),2)</f>
        <v>0</v>
      </c>
      <c r="AI480" s="48" t="s">
        <v>87</v>
      </c>
      <c r="AJ480" s="35">
        <f>IF(AN480=0,J480,0)</f>
        <v>0</v>
      </c>
      <c r="AK480" s="35">
        <f>IF(AN480=12,J480,0)</f>
        <v>0</v>
      </c>
      <c r="AL480" s="35">
        <f>IF(AN480=21,J480,0)</f>
        <v>0</v>
      </c>
      <c r="AN480" s="35">
        <v>12</v>
      </c>
      <c r="AO480" s="35">
        <f>G480*0.133912869</f>
        <v>0</v>
      </c>
      <c r="AP480" s="35">
        <f>G480*(1-0.133912869)</f>
        <v>0</v>
      </c>
      <c r="AQ480" s="64" t="s">
        <v>204</v>
      </c>
      <c r="AV480" s="35">
        <f>ROUND(AW480+AX480,2)</f>
        <v>0</v>
      </c>
      <c r="AW480" s="35">
        <f>ROUND(F480*AO480,2)</f>
        <v>0</v>
      </c>
      <c r="AX480" s="35">
        <f>ROUND(F480*AP480,2)</f>
        <v>0</v>
      </c>
      <c r="AY480" s="64" t="s">
        <v>1050</v>
      </c>
      <c r="AZ480" s="64" t="s">
        <v>998</v>
      </c>
      <c r="BA480" s="48" t="s">
        <v>999</v>
      </c>
      <c r="BB480" s="65">
        <v>100005</v>
      </c>
      <c r="BC480" s="35">
        <f>AW480+AX480</f>
        <v>0</v>
      </c>
      <c r="BD480" s="35">
        <f>G480/(100-BE480)*100</f>
        <v>0</v>
      </c>
      <c r="BE480" s="35">
        <v>0</v>
      </c>
      <c r="BF480" s="35">
        <f>480</f>
        <v>480</v>
      </c>
      <c r="BH480" s="35">
        <f>F480*AO480</f>
        <v>0</v>
      </c>
      <c r="BI480" s="35">
        <f>F480*AP480</f>
        <v>0</v>
      </c>
      <c r="BJ480" s="35">
        <f>F480*G480</f>
        <v>0</v>
      </c>
      <c r="BK480" s="64" t="s">
        <v>208</v>
      </c>
      <c r="BL480" s="35">
        <v>735</v>
      </c>
      <c r="BW480" s="35">
        <v>12</v>
      </c>
      <c r="BX480" s="3" t="s">
        <v>1049</v>
      </c>
    </row>
    <row r="481" spans="1:76" x14ac:dyDescent="0.25">
      <c r="A481" s="66"/>
      <c r="C481" s="67" t="s">
        <v>199</v>
      </c>
      <c r="D481" s="68" t="s">
        <v>1051</v>
      </c>
      <c r="F481" s="69">
        <v>1</v>
      </c>
      <c r="K481" s="70"/>
    </row>
    <row r="482" spans="1:76" x14ac:dyDescent="0.25">
      <c r="A482" s="1" t="s">
        <v>1052</v>
      </c>
      <c r="B482" s="2" t="s">
        <v>1053</v>
      </c>
      <c r="C482" s="86" t="s">
        <v>1054</v>
      </c>
      <c r="D482" s="87"/>
      <c r="E482" s="2" t="s">
        <v>252</v>
      </c>
      <c r="F482" s="35">
        <v>3</v>
      </c>
      <c r="G482" s="35">
        <v>0</v>
      </c>
      <c r="H482" s="35">
        <f>ROUND(F482*AO482,2)</f>
        <v>0</v>
      </c>
      <c r="I482" s="35">
        <f>ROUND(F482*AP482,2)</f>
        <v>0</v>
      </c>
      <c r="J482" s="35">
        <f>ROUND(F482*G482,2)</f>
        <v>0</v>
      </c>
      <c r="K482" s="63" t="s">
        <v>203</v>
      </c>
      <c r="Z482" s="35">
        <f>ROUND(IF(AQ482="5",BJ482,0),2)</f>
        <v>0</v>
      </c>
      <c r="AB482" s="35">
        <f>ROUND(IF(AQ482="1",BH482,0),2)</f>
        <v>0</v>
      </c>
      <c r="AC482" s="35">
        <f>ROUND(IF(AQ482="1",BI482,0),2)</f>
        <v>0</v>
      </c>
      <c r="AD482" s="35">
        <f>ROUND(IF(AQ482="7",BH482,0),2)</f>
        <v>0</v>
      </c>
      <c r="AE482" s="35">
        <f>ROUND(IF(AQ482="7",BI482,0),2)</f>
        <v>0</v>
      </c>
      <c r="AF482" s="35">
        <f>ROUND(IF(AQ482="2",BH482,0),2)</f>
        <v>0</v>
      </c>
      <c r="AG482" s="35">
        <f>ROUND(IF(AQ482="2",BI482,0),2)</f>
        <v>0</v>
      </c>
      <c r="AH482" s="35">
        <f>ROUND(IF(AQ482="0",BJ482,0),2)</f>
        <v>0</v>
      </c>
      <c r="AI482" s="48" t="s">
        <v>87</v>
      </c>
      <c r="AJ482" s="35">
        <f>IF(AN482=0,J482,0)</f>
        <v>0</v>
      </c>
      <c r="AK482" s="35">
        <f>IF(AN482=12,J482,0)</f>
        <v>0</v>
      </c>
      <c r="AL482" s="35">
        <f>IF(AN482=21,J482,0)</f>
        <v>0</v>
      </c>
      <c r="AN482" s="35">
        <v>12</v>
      </c>
      <c r="AO482" s="35">
        <f>G482*0.285070028</f>
        <v>0</v>
      </c>
      <c r="AP482" s="35">
        <f>G482*(1-0.285070028)</f>
        <v>0</v>
      </c>
      <c r="AQ482" s="64" t="s">
        <v>204</v>
      </c>
      <c r="AV482" s="35">
        <f>ROUND(AW482+AX482,2)</f>
        <v>0</v>
      </c>
      <c r="AW482" s="35">
        <f>ROUND(F482*AO482,2)</f>
        <v>0</v>
      </c>
      <c r="AX482" s="35">
        <f>ROUND(F482*AP482,2)</f>
        <v>0</v>
      </c>
      <c r="AY482" s="64" t="s">
        <v>1050</v>
      </c>
      <c r="AZ482" s="64" t="s">
        <v>998</v>
      </c>
      <c r="BA482" s="48" t="s">
        <v>999</v>
      </c>
      <c r="BB482" s="65">
        <v>100005</v>
      </c>
      <c r="BC482" s="35">
        <f>AW482+AX482</f>
        <v>0</v>
      </c>
      <c r="BD482" s="35">
        <f>G482/(100-BE482)*100</f>
        <v>0</v>
      </c>
      <c r="BE482" s="35">
        <v>0</v>
      </c>
      <c r="BF482" s="35">
        <f>482</f>
        <v>482</v>
      </c>
      <c r="BH482" s="35">
        <f>F482*AO482</f>
        <v>0</v>
      </c>
      <c r="BI482" s="35">
        <f>F482*AP482</f>
        <v>0</v>
      </c>
      <c r="BJ482" s="35">
        <f>F482*G482</f>
        <v>0</v>
      </c>
      <c r="BK482" s="64" t="s">
        <v>208</v>
      </c>
      <c r="BL482" s="35">
        <v>735</v>
      </c>
      <c r="BW482" s="35">
        <v>12</v>
      </c>
      <c r="BX482" s="3" t="s">
        <v>1054</v>
      </c>
    </row>
    <row r="483" spans="1:76" x14ac:dyDescent="0.25">
      <c r="A483" s="66"/>
      <c r="C483" s="67" t="s">
        <v>221</v>
      </c>
      <c r="D483" s="68" t="s">
        <v>10</v>
      </c>
      <c r="F483" s="69">
        <v>3</v>
      </c>
      <c r="K483" s="70"/>
    </row>
    <row r="484" spans="1:76" x14ac:dyDescent="0.25">
      <c r="A484" s="76" t="s">
        <v>1055</v>
      </c>
      <c r="B484" s="77" t="s">
        <v>1056</v>
      </c>
      <c r="C484" s="185" t="s">
        <v>1057</v>
      </c>
      <c r="D484" s="186"/>
      <c r="E484" s="77" t="s">
        <v>252</v>
      </c>
      <c r="F484" s="79">
        <v>3</v>
      </c>
      <c r="G484" s="79">
        <v>0</v>
      </c>
      <c r="H484" s="79">
        <f>ROUND(F484*AO484,2)</f>
        <v>0</v>
      </c>
      <c r="I484" s="79">
        <f>ROUND(F484*AP484,2)</f>
        <v>0</v>
      </c>
      <c r="J484" s="79">
        <f>ROUND(F484*G484,2)</f>
        <v>0</v>
      </c>
      <c r="K484" s="80" t="s">
        <v>203</v>
      </c>
      <c r="Z484" s="35">
        <f>ROUND(IF(AQ484="5",BJ484,0),2)</f>
        <v>0</v>
      </c>
      <c r="AB484" s="35">
        <f>ROUND(IF(AQ484="1",BH484,0),2)</f>
        <v>0</v>
      </c>
      <c r="AC484" s="35">
        <f>ROUND(IF(AQ484="1",BI484,0),2)</f>
        <v>0</v>
      </c>
      <c r="AD484" s="35">
        <f>ROUND(IF(AQ484="7",BH484,0),2)</f>
        <v>0</v>
      </c>
      <c r="AE484" s="35">
        <f>ROUND(IF(AQ484="7",BI484,0),2)</f>
        <v>0</v>
      </c>
      <c r="AF484" s="35">
        <f>ROUND(IF(AQ484="2",BH484,0),2)</f>
        <v>0</v>
      </c>
      <c r="AG484" s="35">
        <f>ROUND(IF(AQ484="2",BI484,0),2)</f>
        <v>0</v>
      </c>
      <c r="AH484" s="35">
        <f>ROUND(IF(AQ484="0",BJ484,0),2)</f>
        <v>0</v>
      </c>
      <c r="AI484" s="48" t="s">
        <v>87</v>
      </c>
      <c r="AJ484" s="79">
        <f>IF(AN484=0,J484,0)</f>
        <v>0</v>
      </c>
      <c r="AK484" s="79">
        <f>IF(AN484=12,J484,0)</f>
        <v>0</v>
      </c>
      <c r="AL484" s="79">
        <f>IF(AN484=21,J484,0)</f>
        <v>0</v>
      </c>
      <c r="AN484" s="35">
        <v>12</v>
      </c>
      <c r="AO484" s="35">
        <f>G484*1</f>
        <v>0</v>
      </c>
      <c r="AP484" s="35">
        <f>G484*(1-1)</f>
        <v>0</v>
      </c>
      <c r="AQ484" s="81" t="s">
        <v>204</v>
      </c>
      <c r="AV484" s="35">
        <f>ROUND(AW484+AX484,2)</f>
        <v>0</v>
      </c>
      <c r="AW484" s="35">
        <f>ROUND(F484*AO484,2)</f>
        <v>0</v>
      </c>
      <c r="AX484" s="35">
        <f>ROUND(F484*AP484,2)</f>
        <v>0</v>
      </c>
      <c r="AY484" s="64" t="s">
        <v>1050</v>
      </c>
      <c r="AZ484" s="64" t="s">
        <v>998</v>
      </c>
      <c r="BA484" s="48" t="s">
        <v>999</v>
      </c>
      <c r="BC484" s="35">
        <f>AW484+AX484</f>
        <v>0</v>
      </c>
      <c r="BD484" s="35">
        <f>G484/(100-BE484)*100</f>
        <v>0</v>
      </c>
      <c r="BE484" s="35">
        <v>0</v>
      </c>
      <c r="BF484" s="35">
        <f>484</f>
        <v>484</v>
      </c>
      <c r="BH484" s="79">
        <f>F484*AO484</f>
        <v>0</v>
      </c>
      <c r="BI484" s="79">
        <f>F484*AP484</f>
        <v>0</v>
      </c>
      <c r="BJ484" s="79">
        <f>F484*G484</f>
        <v>0</v>
      </c>
      <c r="BK484" s="81" t="s">
        <v>464</v>
      </c>
      <c r="BL484" s="35">
        <v>735</v>
      </c>
      <c r="BW484" s="35">
        <v>12</v>
      </c>
      <c r="BX484" s="78" t="s">
        <v>1057</v>
      </c>
    </row>
    <row r="485" spans="1:76" x14ac:dyDescent="0.25">
      <c r="A485" s="66"/>
      <c r="C485" s="67" t="s">
        <v>221</v>
      </c>
      <c r="D485" s="68" t="s">
        <v>1051</v>
      </c>
      <c r="F485" s="69">
        <v>3</v>
      </c>
      <c r="K485" s="70"/>
    </row>
    <row r="486" spans="1:76" x14ac:dyDescent="0.25">
      <c r="A486" s="1" t="s">
        <v>1058</v>
      </c>
      <c r="B486" s="2" t="s">
        <v>1059</v>
      </c>
      <c r="C486" s="86" t="s">
        <v>1060</v>
      </c>
      <c r="D486" s="87"/>
      <c r="E486" s="2" t="s">
        <v>202</v>
      </c>
      <c r="F486" s="35">
        <v>50</v>
      </c>
      <c r="G486" s="35">
        <v>0</v>
      </c>
      <c r="H486" s="35">
        <f>ROUND(F486*AO486,2)</f>
        <v>0</v>
      </c>
      <c r="I486" s="35">
        <f>ROUND(F486*AP486,2)</f>
        <v>0</v>
      </c>
      <c r="J486" s="35">
        <f>ROUND(F486*G486,2)</f>
        <v>0</v>
      </c>
      <c r="K486" s="63" t="s">
        <v>203</v>
      </c>
      <c r="Z486" s="35">
        <f>ROUND(IF(AQ486="5",BJ486,0),2)</f>
        <v>0</v>
      </c>
      <c r="AB486" s="35">
        <f>ROUND(IF(AQ486="1",BH486,0),2)</f>
        <v>0</v>
      </c>
      <c r="AC486" s="35">
        <f>ROUND(IF(AQ486="1",BI486,0),2)</f>
        <v>0</v>
      </c>
      <c r="AD486" s="35">
        <f>ROUND(IF(AQ486="7",BH486,0),2)</f>
        <v>0</v>
      </c>
      <c r="AE486" s="35">
        <f>ROUND(IF(AQ486="7",BI486,0),2)</f>
        <v>0</v>
      </c>
      <c r="AF486" s="35">
        <f>ROUND(IF(AQ486="2",BH486,0),2)</f>
        <v>0</v>
      </c>
      <c r="AG486" s="35">
        <f>ROUND(IF(AQ486="2",BI486,0),2)</f>
        <v>0</v>
      </c>
      <c r="AH486" s="35">
        <f>ROUND(IF(AQ486="0",BJ486,0),2)</f>
        <v>0</v>
      </c>
      <c r="AI486" s="48" t="s">
        <v>87</v>
      </c>
      <c r="AJ486" s="35">
        <f>IF(AN486=0,J486,0)</f>
        <v>0</v>
      </c>
      <c r="AK486" s="35">
        <f>IF(AN486=12,J486,0)</f>
        <v>0</v>
      </c>
      <c r="AL486" s="35">
        <f>IF(AN486=21,J486,0)</f>
        <v>0</v>
      </c>
      <c r="AN486" s="35">
        <v>12</v>
      </c>
      <c r="AO486" s="35">
        <f>G486*0</f>
        <v>0</v>
      </c>
      <c r="AP486" s="35">
        <f>G486*(1-0)</f>
        <v>0</v>
      </c>
      <c r="AQ486" s="64" t="s">
        <v>204</v>
      </c>
      <c r="AV486" s="35">
        <f>ROUND(AW486+AX486,2)</f>
        <v>0</v>
      </c>
      <c r="AW486" s="35">
        <f>ROUND(F486*AO486,2)</f>
        <v>0</v>
      </c>
      <c r="AX486" s="35">
        <f>ROUND(F486*AP486,2)</f>
        <v>0</v>
      </c>
      <c r="AY486" s="64" t="s">
        <v>1050</v>
      </c>
      <c r="AZ486" s="64" t="s">
        <v>998</v>
      </c>
      <c r="BA486" s="48" t="s">
        <v>999</v>
      </c>
      <c r="BB486" s="65">
        <v>100005</v>
      </c>
      <c r="BC486" s="35">
        <f>AW486+AX486</f>
        <v>0</v>
      </c>
      <c r="BD486" s="35">
        <f>G486/(100-BE486)*100</f>
        <v>0</v>
      </c>
      <c r="BE486" s="35">
        <v>0</v>
      </c>
      <c r="BF486" s="35">
        <f>486</f>
        <v>486</v>
      </c>
      <c r="BH486" s="35">
        <f>F486*AO486</f>
        <v>0</v>
      </c>
      <c r="BI486" s="35">
        <f>F486*AP486</f>
        <v>0</v>
      </c>
      <c r="BJ486" s="35">
        <f>F486*G486</f>
        <v>0</v>
      </c>
      <c r="BK486" s="64" t="s">
        <v>208</v>
      </c>
      <c r="BL486" s="35">
        <v>735</v>
      </c>
      <c r="BW486" s="35">
        <v>12</v>
      </c>
      <c r="BX486" s="3" t="s">
        <v>1060</v>
      </c>
    </row>
    <row r="487" spans="1:76" x14ac:dyDescent="0.25">
      <c r="A487" s="66"/>
      <c r="C487" s="67" t="s">
        <v>478</v>
      </c>
      <c r="D487" s="68" t="s">
        <v>1061</v>
      </c>
      <c r="F487" s="69">
        <v>50</v>
      </c>
      <c r="K487" s="70"/>
    </row>
    <row r="488" spans="1:76" x14ac:dyDescent="0.25">
      <c r="A488" s="1" t="s">
        <v>1062</v>
      </c>
      <c r="B488" s="2" t="s">
        <v>1063</v>
      </c>
      <c r="C488" s="86" t="s">
        <v>1064</v>
      </c>
      <c r="D488" s="87"/>
      <c r="E488" s="2" t="s">
        <v>297</v>
      </c>
      <c r="F488" s="35">
        <v>2.5000000000000001E-2</v>
      </c>
      <c r="G488" s="35">
        <v>0</v>
      </c>
      <c r="H488" s="35">
        <f>ROUND(F488*AO488,2)</f>
        <v>0</v>
      </c>
      <c r="I488" s="35">
        <f>ROUND(F488*AP488,2)</f>
        <v>0</v>
      </c>
      <c r="J488" s="35">
        <f>ROUND(F488*G488,2)</f>
        <v>0</v>
      </c>
      <c r="K488" s="63" t="s">
        <v>203</v>
      </c>
      <c r="Z488" s="35">
        <f>ROUND(IF(AQ488="5",BJ488,0),2)</f>
        <v>0</v>
      </c>
      <c r="AB488" s="35">
        <f>ROUND(IF(AQ488="1",BH488,0),2)</f>
        <v>0</v>
      </c>
      <c r="AC488" s="35">
        <f>ROUND(IF(AQ488="1",BI488,0),2)</f>
        <v>0</v>
      </c>
      <c r="AD488" s="35">
        <f>ROUND(IF(AQ488="7",BH488,0),2)</f>
        <v>0</v>
      </c>
      <c r="AE488" s="35">
        <f>ROUND(IF(AQ488="7",BI488,0),2)</f>
        <v>0</v>
      </c>
      <c r="AF488" s="35">
        <f>ROUND(IF(AQ488="2",BH488,0),2)</f>
        <v>0</v>
      </c>
      <c r="AG488" s="35">
        <f>ROUND(IF(AQ488="2",BI488,0),2)</f>
        <v>0</v>
      </c>
      <c r="AH488" s="35">
        <f>ROUND(IF(AQ488="0",BJ488,0),2)</f>
        <v>0</v>
      </c>
      <c r="AI488" s="48" t="s">
        <v>87</v>
      </c>
      <c r="AJ488" s="35">
        <f>IF(AN488=0,J488,0)</f>
        <v>0</v>
      </c>
      <c r="AK488" s="35">
        <f>IF(AN488=12,J488,0)</f>
        <v>0</v>
      </c>
      <c r="AL488" s="35">
        <f>IF(AN488=21,J488,0)</f>
        <v>0</v>
      </c>
      <c r="AN488" s="35">
        <v>12</v>
      </c>
      <c r="AO488" s="35">
        <f>G488*0</f>
        <v>0</v>
      </c>
      <c r="AP488" s="35">
        <f>G488*(1-0)</f>
        <v>0</v>
      </c>
      <c r="AQ488" s="64" t="s">
        <v>204</v>
      </c>
      <c r="AV488" s="35">
        <f>ROUND(AW488+AX488,2)</f>
        <v>0</v>
      </c>
      <c r="AW488" s="35">
        <f>ROUND(F488*AO488,2)</f>
        <v>0</v>
      </c>
      <c r="AX488" s="35">
        <f>ROUND(F488*AP488,2)</f>
        <v>0</v>
      </c>
      <c r="AY488" s="64" t="s">
        <v>1050</v>
      </c>
      <c r="AZ488" s="64" t="s">
        <v>998</v>
      </c>
      <c r="BA488" s="48" t="s">
        <v>999</v>
      </c>
      <c r="BB488" s="65">
        <v>100005</v>
      </c>
      <c r="BC488" s="35">
        <f>AW488+AX488</f>
        <v>0</v>
      </c>
      <c r="BD488" s="35">
        <f>G488/(100-BE488)*100</f>
        <v>0</v>
      </c>
      <c r="BE488" s="35">
        <v>0</v>
      </c>
      <c r="BF488" s="35">
        <f>488</f>
        <v>488</v>
      </c>
      <c r="BH488" s="35">
        <f>F488*AO488</f>
        <v>0</v>
      </c>
      <c r="BI488" s="35">
        <f>F488*AP488</f>
        <v>0</v>
      </c>
      <c r="BJ488" s="35">
        <f>F488*G488</f>
        <v>0</v>
      </c>
      <c r="BK488" s="64" t="s">
        <v>208</v>
      </c>
      <c r="BL488" s="35">
        <v>735</v>
      </c>
      <c r="BW488" s="35">
        <v>12</v>
      </c>
      <c r="BX488" s="3" t="s">
        <v>1064</v>
      </c>
    </row>
    <row r="489" spans="1:76" x14ac:dyDescent="0.25">
      <c r="A489" s="1" t="s">
        <v>1065</v>
      </c>
      <c r="B489" s="2" t="s">
        <v>1066</v>
      </c>
      <c r="C489" s="86" t="s">
        <v>1067</v>
      </c>
      <c r="D489" s="87"/>
      <c r="E489" s="2" t="s">
        <v>202</v>
      </c>
      <c r="F489" s="35">
        <v>50</v>
      </c>
      <c r="G489" s="35">
        <v>0</v>
      </c>
      <c r="H489" s="35">
        <f>ROUND(F489*AO489,2)</f>
        <v>0</v>
      </c>
      <c r="I489" s="35">
        <f>ROUND(F489*AP489,2)</f>
        <v>0</v>
      </c>
      <c r="J489" s="35">
        <f>ROUND(F489*G489,2)</f>
        <v>0</v>
      </c>
      <c r="K489" s="63" t="s">
        <v>203</v>
      </c>
      <c r="Z489" s="35">
        <f>ROUND(IF(AQ489="5",BJ489,0),2)</f>
        <v>0</v>
      </c>
      <c r="AB489" s="35">
        <f>ROUND(IF(AQ489="1",BH489,0),2)</f>
        <v>0</v>
      </c>
      <c r="AC489" s="35">
        <f>ROUND(IF(AQ489="1",BI489,0),2)</f>
        <v>0</v>
      </c>
      <c r="AD489" s="35">
        <f>ROUND(IF(AQ489="7",BH489,0),2)</f>
        <v>0</v>
      </c>
      <c r="AE489" s="35">
        <f>ROUND(IF(AQ489="7",BI489,0),2)</f>
        <v>0</v>
      </c>
      <c r="AF489" s="35">
        <f>ROUND(IF(AQ489="2",BH489,0),2)</f>
        <v>0</v>
      </c>
      <c r="AG489" s="35">
        <f>ROUND(IF(AQ489="2",BI489,0),2)</f>
        <v>0</v>
      </c>
      <c r="AH489" s="35">
        <f>ROUND(IF(AQ489="0",BJ489,0),2)</f>
        <v>0</v>
      </c>
      <c r="AI489" s="48" t="s">
        <v>87</v>
      </c>
      <c r="AJ489" s="35">
        <f>IF(AN489=0,J489,0)</f>
        <v>0</v>
      </c>
      <c r="AK489" s="35">
        <f>IF(AN489=12,J489,0)</f>
        <v>0</v>
      </c>
      <c r="AL489" s="35">
        <f>IF(AN489=21,J489,0)</f>
        <v>0</v>
      </c>
      <c r="AN489" s="35">
        <v>12</v>
      </c>
      <c r="AO489" s="35">
        <f>G489*0</f>
        <v>0</v>
      </c>
      <c r="AP489" s="35">
        <f>G489*(1-0)</f>
        <v>0</v>
      </c>
      <c r="AQ489" s="64" t="s">
        <v>204</v>
      </c>
      <c r="AV489" s="35">
        <f>ROUND(AW489+AX489,2)</f>
        <v>0</v>
      </c>
      <c r="AW489" s="35">
        <f>ROUND(F489*AO489,2)</f>
        <v>0</v>
      </c>
      <c r="AX489" s="35">
        <f>ROUND(F489*AP489,2)</f>
        <v>0</v>
      </c>
      <c r="AY489" s="64" t="s">
        <v>1050</v>
      </c>
      <c r="AZ489" s="64" t="s">
        <v>998</v>
      </c>
      <c r="BA489" s="48" t="s">
        <v>999</v>
      </c>
      <c r="BB489" s="65">
        <v>100005</v>
      </c>
      <c r="BC489" s="35">
        <f>AW489+AX489</f>
        <v>0</v>
      </c>
      <c r="BD489" s="35">
        <f>G489/(100-BE489)*100</f>
        <v>0</v>
      </c>
      <c r="BE489" s="35">
        <v>0</v>
      </c>
      <c r="BF489" s="35">
        <f>489</f>
        <v>489</v>
      </c>
      <c r="BH489" s="35">
        <f>F489*AO489</f>
        <v>0</v>
      </c>
      <c r="BI489" s="35">
        <f>F489*AP489</f>
        <v>0</v>
      </c>
      <c r="BJ489" s="35">
        <f>F489*G489</f>
        <v>0</v>
      </c>
      <c r="BK489" s="64" t="s">
        <v>208</v>
      </c>
      <c r="BL489" s="35">
        <v>735</v>
      </c>
      <c r="BW489" s="35">
        <v>12</v>
      </c>
      <c r="BX489" s="3" t="s">
        <v>1067</v>
      </c>
    </row>
    <row r="490" spans="1:76" x14ac:dyDescent="0.25">
      <c r="A490" s="1" t="s">
        <v>1068</v>
      </c>
      <c r="B490" s="2" t="s">
        <v>1069</v>
      </c>
      <c r="C490" s="86" t="s">
        <v>1070</v>
      </c>
      <c r="D490" s="87"/>
      <c r="E490" s="2" t="s">
        <v>252</v>
      </c>
      <c r="F490" s="35">
        <v>6</v>
      </c>
      <c r="G490" s="35">
        <v>0</v>
      </c>
      <c r="H490" s="35">
        <f>ROUND(F490*AO490,2)</f>
        <v>0</v>
      </c>
      <c r="I490" s="35">
        <f>ROUND(F490*AP490,2)</f>
        <v>0</v>
      </c>
      <c r="J490" s="35">
        <f>ROUND(F490*G490,2)</f>
        <v>0</v>
      </c>
      <c r="K490" s="63" t="s">
        <v>203</v>
      </c>
      <c r="Z490" s="35">
        <f>ROUND(IF(AQ490="5",BJ490,0),2)</f>
        <v>0</v>
      </c>
      <c r="AB490" s="35">
        <f>ROUND(IF(AQ490="1",BH490,0),2)</f>
        <v>0</v>
      </c>
      <c r="AC490" s="35">
        <f>ROUND(IF(AQ490="1",BI490,0),2)</f>
        <v>0</v>
      </c>
      <c r="AD490" s="35">
        <f>ROUND(IF(AQ490="7",BH490,0),2)</f>
        <v>0</v>
      </c>
      <c r="AE490" s="35">
        <f>ROUND(IF(AQ490="7",BI490,0),2)</f>
        <v>0</v>
      </c>
      <c r="AF490" s="35">
        <f>ROUND(IF(AQ490="2",BH490,0),2)</f>
        <v>0</v>
      </c>
      <c r="AG490" s="35">
        <f>ROUND(IF(AQ490="2",BI490,0),2)</f>
        <v>0</v>
      </c>
      <c r="AH490" s="35">
        <f>ROUND(IF(AQ490="0",BJ490,0),2)</f>
        <v>0</v>
      </c>
      <c r="AI490" s="48" t="s">
        <v>87</v>
      </c>
      <c r="AJ490" s="35">
        <f>IF(AN490=0,J490,0)</f>
        <v>0</v>
      </c>
      <c r="AK490" s="35">
        <f>IF(AN490=12,J490,0)</f>
        <v>0</v>
      </c>
      <c r="AL490" s="35">
        <f>IF(AN490=21,J490,0)</f>
        <v>0</v>
      </c>
      <c r="AN490" s="35">
        <v>12</v>
      </c>
      <c r="AO490" s="35">
        <f>G490*0</f>
        <v>0</v>
      </c>
      <c r="AP490" s="35">
        <f>G490*(1-0)</f>
        <v>0</v>
      </c>
      <c r="AQ490" s="64" t="s">
        <v>204</v>
      </c>
      <c r="AV490" s="35">
        <f>ROUND(AW490+AX490,2)</f>
        <v>0</v>
      </c>
      <c r="AW490" s="35">
        <f>ROUND(F490*AO490,2)</f>
        <v>0</v>
      </c>
      <c r="AX490" s="35">
        <f>ROUND(F490*AP490,2)</f>
        <v>0</v>
      </c>
      <c r="AY490" s="64" t="s">
        <v>1050</v>
      </c>
      <c r="AZ490" s="64" t="s">
        <v>998</v>
      </c>
      <c r="BA490" s="48" t="s">
        <v>999</v>
      </c>
      <c r="BB490" s="65">
        <v>100005</v>
      </c>
      <c r="BC490" s="35">
        <f>AW490+AX490</f>
        <v>0</v>
      </c>
      <c r="BD490" s="35">
        <f>G490/(100-BE490)*100</f>
        <v>0</v>
      </c>
      <c r="BE490" s="35">
        <v>0</v>
      </c>
      <c r="BF490" s="35">
        <f>490</f>
        <v>490</v>
      </c>
      <c r="BH490" s="35">
        <f>F490*AO490</f>
        <v>0</v>
      </c>
      <c r="BI490" s="35">
        <f>F490*AP490</f>
        <v>0</v>
      </c>
      <c r="BJ490" s="35">
        <f>F490*G490</f>
        <v>0</v>
      </c>
      <c r="BK490" s="64" t="s">
        <v>208</v>
      </c>
      <c r="BL490" s="35">
        <v>735</v>
      </c>
      <c r="BW490" s="35">
        <v>12</v>
      </c>
      <c r="BX490" s="3" t="s">
        <v>1070</v>
      </c>
    </row>
    <row r="491" spans="1:76" x14ac:dyDescent="0.25">
      <c r="A491" s="66"/>
      <c r="C491" s="67" t="s">
        <v>1034</v>
      </c>
      <c r="D491" s="68" t="s">
        <v>10</v>
      </c>
      <c r="F491" s="69">
        <v>6</v>
      </c>
      <c r="K491" s="70"/>
    </row>
    <row r="492" spans="1:76" x14ac:dyDescent="0.25">
      <c r="A492" s="1" t="s">
        <v>1071</v>
      </c>
      <c r="B492" s="2" t="s">
        <v>1072</v>
      </c>
      <c r="C492" s="86" t="s">
        <v>1073</v>
      </c>
      <c r="D492" s="87"/>
      <c r="E492" s="2" t="s">
        <v>202</v>
      </c>
      <c r="F492" s="35">
        <v>3.375</v>
      </c>
      <c r="G492" s="35">
        <v>0</v>
      </c>
      <c r="H492" s="35">
        <f>ROUND(F492*AO492,2)</f>
        <v>0</v>
      </c>
      <c r="I492" s="35">
        <f>ROUND(F492*AP492,2)</f>
        <v>0</v>
      </c>
      <c r="J492" s="35">
        <f>ROUND(F492*G492,2)</f>
        <v>0</v>
      </c>
      <c r="K492" s="63" t="s">
        <v>203</v>
      </c>
      <c r="Z492" s="35">
        <f>ROUND(IF(AQ492="5",BJ492,0),2)</f>
        <v>0</v>
      </c>
      <c r="AB492" s="35">
        <f>ROUND(IF(AQ492="1",BH492,0),2)</f>
        <v>0</v>
      </c>
      <c r="AC492" s="35">
        <f>ROUND(IF(AQ492="1",BI492,0),2)</f>
        <v>0</v>
      </c>
      <c r="AD492" s="35">
        <f>ROUND(IF(AQ492="7",BH492,0),2)</f>
        <v>0</v>
      </c>
      <c r="AE492" s="35">
        <f>ROUND(IF(AQ492="7",BI492,0),2)</f>
        <v>0</v>
      </c>
      <c r="AF492" s="35">
        <f>ROUND(IF(AQ492="2",BH492,0),2)</f>
        <v>0</v>
      </c>
      <c r="AG492" s="35">
        <f>ROUND(IF(AQ492="2",BI492,0),2)</f>
        <v>0</v>
      </c>
      <c r="AH492" s="35">
        <f>ROUND(IF(AQ492="0",BJ492,0),2)</f>
        <v>0</v>
      </c>
      <c r="AI492" s="48" t="s">
        <v>87</v>
      </c>
      <c r="AJ492" s="35">
        <f>IF(AN492=0,J492,0)</f>
        <v>0</v>
      </c>
      <c r="AK492" s="35">
        <f>IF(AN492=12,J492,0)</f>
        <v>0</v>
      </c>
      <c r="AL492" s="35">
        <f>IF(AN492=21,J492,0)</f>
        <v>0</v>
      </c>
      <c r="AN492" s="35">
        <v>12</v>
      </c>
      <c r="AO492" s="35">
        <f>G492*0</f>
        <v>0</v>
      </c>
      <c r="AP492" s="35">
        <f>G492*(1-0)</f>
        <v>0</v>
      </c>
      <c r="AQ492" s="64" t="s">
        <v>204</v>
      </c>
      <c r="AV492" s="35">
        <f>ROUND(AW492+AX492,2)</f>
        <v>0</v>
      </c>
      <c r="AW492" s="35">
        <f>ROUND(F492*AO492,2)</f>
        <v>0</v>
      </c>
      <c r="AX492" s="35">
        <f>ROUND(F492*AP492,2)</f>
        <v>0</v>
      </c>
      <c r="AY492" s="64" t="s">
        <v>1050</v>
      </c>
      <c r="AZ492" s="64" t="s">
        <v>998</v>
      </c>
      <c r="BA492" s="48" t="s">
        <v>999</v>
      </c>
      <c r="BB492" s="65">
        <v>100005</v>
      </c>
      <c r="BC492" s="35">
        <f>AW492+AX492</f>
        <v>0</v>
      </c>
      <c r="BD492" s="35">
        <f>G492/(100-BE492)*100</f>
        <v>0</v>
      </c>
      <c r="BE492" s="35">
        <v>0</v>
      </c>
      <c r="BF492" s="35">
        <f>492</f>
        <v>492</v>
      </c>
      <c r="BH492" s="35">
        <f>F492*AO492</f>
        <v>0</v>
      </c>
      <c r="BI492" s="35">
        <f>F492*AP492</f>
        <v>0</v>
      </c>
      <c r="BJ492" s="35">
        <f>F492*G492</f>
        <v>0</v>
      </c>
      <c r="BK492" s="64" t="s">
        <v>208</v>
      </c>
      <c r="BL492" s="35">
        <v>735</v>
      </c>
      <c r="BW492" s="35">
        <v>12</v>
      </c>
      <c r="BX492" s="3" t="s">
        <v>1073</v>
      </c>
    </row>
    <row r="493" spans="1:76" x14ac:dyDescent="0.25">
      <c r="A493" s="66"/>
      <c r="C493" s="67" t="s">
        <v>1074</v>
      </c>
      <c r="D493" s="68" t="s">
        <v>10</v>
      </c>
      <c r="F493" s="69">
        <v>3.375</v>
      </c>
      <c r="K493" s="70"/>
    </row>
    <row r="494" spans="1:76" x14ac:dyDescent="0.25">
      <c r="A494" s="59" t="s">
        <v>10</v>
      </c>
      <c r="B494" s="60" t="s">
        <v>158</v>
      </c>
      <c r="C494" s="177" t="s">
        <v>159</v>
      </c>
      <c r="D494" s="178"/>
      <c r="E494" s="61" t="s">
        <v>74</v>
      </c>
      <c r="F494" s="61" t="s">
        <v>74</v>
      </c>
      <c r="G494" s="61" t="s">
        <v>74</v>
      </c>
      <c r="H494" s="42">
        <f>SUM(H495:H495)</f>
        <v>0</v>
      </c>
      <c r="I494" s="42">
        <f>SUM(I495:I495)</f>
        <v>0</v>
      </c>
      <c r="J494" s="42">
        <f>SUM(J495:J495)</f>
        <v>0</v>
      </c>
      <c r="K494" s="62" t="s">
        <v>10</v>
      </c>
      <c r="AI494" s="48" t="s">
        <v>87</v>
      </c>
      <c r="AS494" s="42">
        <f>SUM(AJ495:AJ495)</f>
        <v>0</v>
      </c>
      <c r="AT494" s="42">
        <f>SUM(AK495:AK495)</f>
        <v>0</v>
      </c>
      <c r="AU494" s="42">
        <f>SUM(AL495:AL495)</f>
        <v>0</v>
      </c>
    </row>
    <row r="495" spans="1:76" x14ac:dyDescent="0.25">
      <c r="A495" s="1" t="s">
        <v>1075</v>
      </c>
      <c r="B495" s="2" t="s">
        <v>1076</v>
      </c>
      <c r="C495" s="86" t="s">
        <v>1077</v>
      </c>
      <c r="D495" s="87"/>
      <c r="E495" s="2" t="s">
        <v>1078</v>
      </c>
      <c r="F495" s="35">
        <v>8</v>
      </c>
      <c r="G495" s="35">
        <v>0</v>
      </c>
      <c r="H495" s="35">
        <f>ROUND(F495*AO495,2)</f>
        <v>0</v>
      </c>
      <c r="I495" s="35">
        <f>ROUND(F495*AP495,2)</f>
        <v>0</v>
      </c>
      <c r="J495" s="35">
        <f>ROUND(F495*G495,2)</f>
        <v>0</v>
      </c>
      <c r="K495" s="63" t="s">
        <v>203</v>
      </c>
      <c r="Z495" s="35">
        <f>ROUND(IF(AQ495="5",BJ495,0),2)</f>
        <v>0</v>
      </c>
      <c r="AB495" s="35">
        <f>ROUND(IF(AQ495="1",BH495,0),2)</f>
        <v>0</v>
      </c>
      <c r="AC495" s="35">
        <f>ROUND(IF(AQ495="1",BI495,0),2)</f>
        <v>0</v>
      </c>
      <c r="AD495" s="35">
        <f>ROUND(IF(AQ495="7",BH495,0),2)</f>
        <v>0</v>
      </c>
      <c r="AE495" s="35">
        <f>ROUND(IF(AQ495="7",BI495,0),2)</f>
        <v>0</v>
      </c>
      <c r="AF495" s="35">
        <f>ROUND(IF(AQ495="2",BH495,0),2)</f>
        <v>0</v>
      </c>
      <c r="AG495" s="35">
        <f>ROUND(IF(AQ495="2",BI495,0),2)</f>
        <v>0</v>
      </c>
      <c r="AH495" s="35">
        <f>ROUND(IF(AQ495="0",BJ495,0),2)</f>
        <v>0</v>
      </c>
      <c r="AI495" s="48" t="s">
        <v>87</v>
      </c>
      <c r="AJ495" s="35">
        <f>IF(AN495=0,J495,0)</f>
        <v>0</v>
      </c>
      <c r="AK495" s="35">
        <f>IF(AN495=12,J495,0)</f>
        <v>0</v>
      </c>
      <c r="AL495" s="35">
        <f>IF(AN495=21,J495,0)</f>
        <v>0</v>
      </c>
      <c r="AN495" s="35">
        <v>12</v>
      </c>
      <c r="AO495" s="35">
        <f>G495*0</f>
        <v>0</v>
      </c>
      <c r="AP495" s="35">
        <f>G495*(1-0)</f>
        <v>0</v>
      </c>
      <c r="AQ495" s="64" t="s">
        <v>199</v>
      </c>
      <c r="AV495" s="35">
        <f>ROUND(AW495+AX495,2)</f>
        <v>0</v>
      </c>
      <c r="AW495" s="35">
        <f>ROUND(F495*AO495,2)</f>
        <v>0</v>
      </c>
      <c r="AX495" s="35">
        <f>ROUND(F495*AP495,2)</f>
        <v>0</v>
      </c>
      <c r="AY495" s="64" t="s">
        <v>1079</v>
      </c>
      <c r="AZ495" s="64" t="s">
        <v>1080</v>
      </c>
      <c r="BA495" s="48" t="s">
        <v>999</v>
      </c>
      <c r="BB495" s="65">
        <v>100033</v>
      </c>
      <c r="BC495" s="35">
        <f>AW495+AX495</f>
        <v>0</v>
      </c>
      <c r="BD495" s="35">
        <f>G495/(100-BE495)*100</f>
        <v>0</v>
      </c>
      <c r="BE495" s="35">
        <v>0</v>
      </c>
      <c r="BF495" s="35">
        <f>495</f>
        <v>495</v>
      </c>
      <c r="BH495" s="35">
        <f>F495*AO495</f>
        <v>0</v>
      </c>
      <c r="BI495" s="35">
        <f>F495*AP495</f>
        <v>0</v>
      </c>
      <c r="BJ495" s="35">
        <f>F495*G495</f>
        <v>0</v>
      </c>
      <c r="BK495" s="64" t="s">
        <v>208</v>
      </c>
      <c r="BL495" s="35">
        <v>90</v>
      </c>
      <c r="BW495" s="35">
        <v>12</v>
      </c>
      <c r="BX495" s="3" t="s">
        <v>1077</v>
      </c>
    </row>
    <row r="496" spans="1:76" ht="13.5" customHeight="1" x14ac:dyDescent="0.25">
      <c r="A496" s="66"/>
      <c r="C496" s="180" t="s">
        <v>1081</v>
      </c>
      <c r="D496" s="181"/>
      <c r="E496" s="181"/>
      <c r="F496" s="181"/>
      <c r="G496" s="181"/>
      <c r="H496" s="181"/>
      <c r="I496" s="181"/>
      <c r="J496" s="181"/>
      <c r="K496" s="182"/>
    </row>
    <row r="497" spans="1:76" x14ac:dyDescent="0.25">
      <c r="A497" s="66"/>
      <c r="C497" s="67" t="s">
        <v>249</v>
      </c>
      <c r="D497" s="68" t="s">
        <v>10</v>
      </c>
      <c r="F497" s="69">
        <v>8</v>
      </c>
      <c r="K497" s="70"/>
    </row>
    <row r="498" spans="1:76" x14ac:dyDescent="0.25">
      <c r="A498" s="71" t="s">
        <v>10</v>
      </c>
      <c r="B498" s="72" t="s">
        <v>10</v>
      </c>
      <c r="C498" s="183" t="s">
        <v>88</v>
      </c>
      <c r="D498" s="184"/>
      <c r="E498" s="73" t="s">
        <v>74</v>
      </c>
      <c r="F498" s="73" t="s">
        <v>74</v>
      </c>
      <c r="G498" s="73" t="s">
        <v>74</v>
      </c>
      <c r="H498" s="74">
        <f>H499+H506+H518+H528+H542</f>
        <v>0</v>
      </c>
      <c r="I498" s="74">
        <f>I499+I506+I518+I528+I542</f>
        <v>0</v>
      </c>
      <c r="J498" s="74">
        <f>J499+J506+J518+J528+J542</f>
        <v>0</v>
      </c>
      <c r="K498" s="75" t="s">
        <v>10</v>
      </c>
    </row>
    <row r="499" spans="1:76" x14ac:dyDescent="0.25">
      <c r="A499" s="59" t="s">
        <v>10</v>
      </c>
      <c r="B499" s="60" t="s">
        <v>110</v>
      </c>
      <c r="C499" s="177" t="s">
        <v>111</v>
      </c>
      <c r="D499" s="178"/>
      <c r="E499" s="61" t="s">
        <v>74</v>
      </c>
      <c r="F499" s="61" t="s">
        <v>74</v>
      </c>
      <c r="G499" s="61" t="s">
        <v>74</v>
      </c>
      <c r="H499" s="42">
        <f>SUM(H500:H503)</f>
        <v>0</v>
      </c>
      <c r="I499" s="42">
        <f>SUM(I500:I503)</f>
        <v>0</v>
      </c>
      <c r="J499" s="42">
        <f>SUM(J500:J503)</f>
        <v>0</v>
      </c>
      <c r="K499" s="62" t="s">
        <v>10</v>
      </c>
      <c r="AI499" s="48" t="s">
        <v>89</v>
      </c>
      <c r="AS499" s="42">
        <f>SUM(AJ500:AJ503)</f>
        <v>0</v>
      </c>
      <c r="AT499" s="42">
        <f>SUM(AK500:AK503)</f>
        <v>0</v>
      </c>
      <c r="AU499" s="42">
        <f>SUM(AL500:AL503)</f>
        <v>0</v>
      </c>
    </row>
    <row r="500" spans="1:76" x14ac:dyDescent="0.25">
      <c r="A500" s="1" t="s">
        <v>1082</v>
      </c>
      <c r="B500" s="2" t="s">
        <v>1083</v>
      </c>
      <c r="C500" s="86" t="s">
        <v>1084</v>
      </c>
      <c r="D500" s="87"/>
      <c r="E500" s="2" t="s">
        <v>202</v>
      </c>
      <c r="F500" s="35">
        <v>1.85</v>
      </c>
      <c r="G500" s="35">
        <v>0</v>
      </c>
      <c r="H500" s="35">
        <f>ROUND(F500*AO500,2)</f>
        <v>0</v>
      </c>
      <c r="I500" s="35">
        <f>ROUND(F500*AP500,2)</f>
        <v>0</v>
      </c>
      <c r="J500" s="35">
        <f>ROUND(F500*G500,2)</f>
        <v>0</v>
      </c>
      <c r="K500" s="63" t="s">
        <v>203</v>
      </c>
      <c r="Z500" s="35">
        <f>ROUND(IF(AQ500="5",BJ500,0),2)</f>
        <v>0</v>
      </c>
      <c r="AB500" s="35">
        <f>ROUND(IF(AQ500="1",BH500,0),2)</f>
        <v>0</v>
      </c>
      <c r="AC500" s="35">
        <f>ROUND(IF(AQ500="1",BI500,0),2)</f>
        <v>0</v>
      </c>
      <c r="AD500" s="35">
        <f>ROUND(IF(AQ500="7",BH500,0),2)</f>
        <v>0</v>
      </c>
      <c r="AE500" s="35">
        <f>ROUND(IF(AQ500="7",BI500,0),2)</f>
        <v>0</v>
      </c>
      <c r="AF500" s="35">
        <f>ROUND(IF(AQ500="2",BH500,0),2)</f>
        <v>0</v>
      </c>
      <c r="AG500" s="35">
        <f>ROUND(IF(AQ500="2",BI500,0),2)</f>
        <v>0</v>
      </c>
      <c r="AH500" s="35">
        <f>ROUND(IF(AQ500="0",BJ500,0),2)</f>
        <v>0</v>
      </c>
      <c r="AI500" s="48" t="s">
        <v>89</v>
      </c>
      <c r="AJ500" s="35">
        <f>IF(AN500=0,J500,0)</f>
        <v>0</v>
      </c>
      <c r="AK500" s="35">
        <f>IF(AN500=12,J500,0)</f>
        <v>0</v>
      </c>
      <c r="AL500" s="35">
        <f>IF(AN500=21,J500,0)</f>
        <v>0</v>
      </c>
      <c r="AN500" s="35">
        <v>12</v>
      </c>
      <c r="AO500" s="35">
        <f>G500*0.138099918</f>
        <v>0</v>
      </c>
      <c r="AP500" s="35">
        <f>G500*(1-0.138099918)</f>
        <v>0</v>
      </c>
      <c r="AQ500" s="64" t="s">
        <v>199</v>
      </c>
      <c r="AV500" s="35">
        <f>ROUND(AW500+AX500,2)</f>
        <v>0</v>
      </c>
      <c r="AW500" s="35">
        <f>ROUND(F500*AO500,2)</f>
        <v>0</v>
      </c>
      <c r="AX500" s="35">
        <f>ROUND(F500*AP500,2)</f>
        <v>0</v>
      </c>
      <c r="AY500" s="64" t="s">
        <v>388</v>
      </c>
      <c r="AZ500" s="64" t="s">
        <v>1085</v>
      </c>
      <c r="BA500" s="48" t="s">
        <v>1086</v>
      </c>
      <c r="BB500" s="65">
        <v>100009</v>
      </c>
      <c r="BC500" s="35">
        <f>AW500+AX500</f>
        <v>0</v>
      </c>
      <c r="BD500" s="35">
        <f>G500/(100-BE500)*100</f>
        <v>0</v>
      </c>
      <c r="BE500" s="35">
        <v>0</v>
      </c>
      <c r="BF500" s="35">
        <f>500</f>
        <v>500</v>
      </c>
      <c r="BH500" s="35">
        <f>F500*AO500</f>
        <v>0</v>
      </c>
      <c r="BI500" s="35">
        <f>F500*AP500</f>
        <v>0</v>
      </c>
      <c r="BJ500" s="35">
        <f>F500*G500</f>
        <v>0</v>
      </c>
      <c r="BK500" s="64" t="s">
        <v>208</v>
      </c>
      <c r="BL500" s="35">
        <v>61</v>
      </c>
      <c r="BW500" s="35">
        <v>12</v>
      </c>
      <c r="BX500" s="3" t="s">
        <v>1084</v>
      </c>
    </row>
    <row r="501" spans="1:76" x14ac:dyDescent="0.25">
      <c r="A501" s="66"/>
      <c r="C501" s="67" t="s">
        <v>1087</v>
      </c>
      <c r="D501" s="68" t="s">
        <v>10</v>
      </c>
      <c r="F501" s="69">
        <v>0.75</v>
      </c>
      <c r="K501" s="70"/>
    </row>
    <row r="502" spans="1:76" x14ac:dyDescent="0.25">
      <c r="A502" s="66"/>
      <c r="C502" s="67" t="s">
        <v>1088</v>
      </c>
      <c r="D502" s="68" t="s">
        <v>10</v>
      </c>
      <c r="F502" s="69">
        <v>1.1000000000000001</v>
      </c>
      <c r="K502" s="70"/>
    </row>
    <row r="503" spans="1:76" x14ac:dyDescent="0.25">
      <c r="A503" s="1" t="s">
        <v>1089</v>
      </c>
      <c r="B503" s="2" t="s">
        <v>1090</v>
      </c>
      <c r="C503" s="86" t="s">
        <v>1091</v>
      </c>
      <c r="D503" s="87"/>
      <c r="E503" s="2" t="s">
        <v>202</v>
      </c>
      <c r="F503" s="35">
        <v>2.9</v>
      </c>
      <c r="G503" s="35">
        <v>0</v>
      </c>
      <c r="H503" s="35">
        <f>ROUND(F503*AO503,2)</f>
        <v>0</v>
      </c>
      <c r="I503" s="35">
        <f>ROUND(F503*AP503,2)</f>
        <v>0</v>
      </c>
      <c r="J503" s="35">
        <f>ROUND(F503*G503,2)</f>
        <v>0</v>
      </c>
      <c r="K503" s="63" t="s">
        <v>203</v>
      </c>
      <c r="Z503" s="35">
        <f>ROUND(IF(AQ503="5",BJ503,0),2)</f>
        <v>0</v>
      </c>
      <c r="AB503" s="35">
        <f>ROUND(IF(AQ503="1",BH503,0),2)</f>
        <v>0</v>
      </c>
      <c r="AC503" s="35">
        <f>ROUND(IF(AQ503="1",BI503,0),2)</f>
        <v>0</v>
      </c>
      <c r="AD503" s="35">
        <f>ROUND(IF(AQ503="7",BH503,0),2)</f>
        <v>0</v>
      </c>
      <c r="AE503" s="35">
        <f>ROUND(IF(AQ503="7",BI503,0),2)</f>
        <v>0</v>
      </c>
      <c r="AF503" s="35">
        <f>ROUND(IF(AQ503="2",BH503,0),2)</f>
        <v>0</v>
      </c>
      <c r="AG503" s="35">
        <f>ROUND(IF(AQ503="2",BI503,0),2)</f>
        <v>0</v>
      </c>
      <c r="AH503" s="35">
        <f>ROUND(IF(AQ503="0",BJ503,0),2)</f>
        <v>0</v>
      </c>
      <c r="AI503" s="48" t="s">
        <v>89</v>
      </c>
      <c r="AJ503" s="35">
        <f>IF(AN503=0,J503,0)</f>
        <v>0</v>
      </c>
      <c r="AK503" s="35">
        <f>IF(AN503=12,J503,0)</f>
        <v>0</v>
      </c>
      <c r="AL503" s="35">
        <f>IF(AN503=21,J503,0)</f>
        <v>0</v>
      </c>
      <c r="AN503" s="35">
        <v>12</v>
      </c>
      <c r="AO503" s="35">
        <f>G503*0.199636649</f>
        <v>0</v>
      </c>
      <c r="AP503" s="35">
        <f>G503*(1-0.199636649)</f>
        <v>0</v>
      </c>
      <c r="AQ503" s="64" t="s">
        <v>199</v>
      </c>
      <c r="AV503" s="35">
        <f>ROUND(AW503+AX503,2)</f>
        <v>0</v>
      </c>
      <c r="AW503" s="35">
        <f>ROUND(F503*AO503,2)</f>
        <v>0</v>
      </c>
      <c r="AX503" s="35">
        <f>ROUND(F503*AP503,2)</f>
        <v>0</v>
      </c>
      <c r="AY503" s="64" t="s">
        <v>388</v>
      </c>
      <c r="AZ503" s="64" t="s">
        <v>1085</v>
      </c>
      <c r="BA503" s="48" t="s">
        <v>1086</v>
      </c>
      <c r="BB503" s="65">
        <v>100009</v>
      </c>
      <c r="BC503" s="35">
        <f>AW503+AX503</f>
        <v>0</v>
      </c>
      <c r="BD503" s="35">
        <f>G503/(100-BE503)*100</f>
        <v>0</v>
      </c>
      <c r="BE503" s="35">
        <v>0</v>
      </c>
      <c r="BF503" s="35">
        <f>503</f>
        <v>503</v>
      </c>
      <c r="BH503" s="35">
        <f>F503*AO503</f>
        <v>0</v>
      </c>
      <c r="BI503" s="35">
        <f>F503*AP503</f>
        <v>0</v>
      </c>
      <c r="BJ503" s="35">
        <f>F503*G503</f>
        <v>0</v>
      </c>
      <c r="BK503" s="64" t="s">
        <v>208</v>
      </c>
      <c r="BL503" s="35">
        <v>61</v>
      </c>
      <c r="BW503" s="35">
        <v>12</v>
      </c>
      <c r="BX503" s="3" t="s">
        <v>1091</v>
      </c>
    </row>
    <row r="504" spans="1:76" x14ac:dyDescent="0.25">
      <c r="A504" s="66"/>
      <c r="C504" s="67" t="s">
        <v>1092</v>
      </c>
      <c r="D504" s="68" t="s">
        <v>10</v>
      </c>
      <c r="F504" s="69">
        <v>2.15</v>
      </c>
      <c r="K504" s="70"/>
    </row>
    <row r="505" spans="1:76" x14ac:dyDescent="0.25">
      <c r="A505" s="66"/>
      <c r="C505" s="67" t="s">
        <v>1087</v>
      </c>
      <c r="D505" s="68" t="s">
        <v>10</v>
      </c>
      <c r="F505" s="69">
        <v>0.75</v>
      </c>
      <c r="K505" s="70"/>
    </row>
    <row r="506" spans="1:76" x14ac:dyDescent="0.25">
      <c r="A506" s="59" t="s">
        <v>10</v>
      </c>
      <c r="B506" s="60" t="s">
        <v>158</v>
      </c>
      <c r="C506" s="177" t="s">
        <v>159</v>
      </c>
      <c r="D506" s="178"/>
      <c r="E506" s="61" t="s">
        <v>74</v>
      </c>
      <c r="F506" s="61" t="s">
        <v>74</v>
      </c>
      <c r="G506" s="61" t="s">
        <v>74</v>
      </c>
      <c r="H506" s="42">
        <f>SUM(H507:H515)</f>
        <v>0</v>
      </c>
      <c r="I506" s="42">
        <f>SUM(I507:I515)</f>
        <v>0</v>
      </c>
      <c r="J506" s="42">
        <f>SUM(J507:J515)</f>
        <v>0</v>
      </c>
      <c r="K506" s="62" t="s">
        <v>10</v>
      </c>
      <c r="AI506" s="48" t="s">
        <v>89</v>
      </c>
      <c r="AS506" s="42">
        <f>SUM(AJ507:AJ515)</f>
        <v>0</v>
      </c>
      <c r="AT506" s="42">
        <f>SUM(AK507:AK515)</f>
        <v>0</v>
      </c>
      <c r="AU506" s="42">
        <f>SUM(AL507:AL515)</f>
        <v>0</v>
      </c>
    </row>
    <row r="507" spans="1:76" x14ac:dyDescent="0.25">
      <c r="A507" s="1" t="s">
        <v>1093</v>
      </c>
      <c r="B507" s="2" t="s">
        <v>1094</v>
      </c>
      <c r="C507" s="86" t="s">
        <v>1095</v>
      </c>
      <c r="D507" s="87"/>
      <c r="E507" s="2" t="s">
        <v>1078</v>
      </c>
      <c r="F507" s="35">
        <v>4</v>
      </c>
      <c r="G507" s="35">
        <v>0</v>
      </c>
      <c r="H507" s="35">
        <f>ROUND(F507*AO507,2)</f>
        <v>0</v>
      </c>
      <c r="I507" s="35">
        <f>ROUND(F507*AP507,2)</f>
        <v>0</v>
      </c>
      <c r="J507" s="35">
        <f>ROUND(F507*G507,2)</f>
        <v>0</v>
      </c>
      <c r="K507" s="63" t="s">
        <v>203</v>
      </c>
      <c r="Z507" s="35">
        <f>ROUND(IF(AQ507="5",BJ507,0),2)</f>
        <v>0</v>
      </c>
      <c r="AB507" s="35">
        <f>ROUND(IF(AQ507="1",BH507,0),2)</f>
        <v>0</v>
      </c>
      <c r="AC507" s="35">
        <f>ROUND(IF(AQ507="1",BI507,0),2)</f>
        <v>0</v>
      </c>
      <c r="AD507" s="35">
        <f>ROUND(IF(AQ507="7",BH507,0),2)</f>
        <v>0</v>
      </c>
      <c r="AE507" s="35">
        <f>ROUND(IF(AQ507="7",BI507,0),2)</f>
        <v>0</v>
      </c>
      <c r="AF507" s="35">
        <f>ROUND(IF(AQ507="2",BH507,0),2)</f>
        <v>0</v>
      </c>
      <c r="AG507" s="35">
        <f>ROUND(IF(AQ507="2",BI507,0),2)</f>
        <v>0</v>
      </c>
      <c r="AH507" s="35">
        <f>ROUND(IF(AQ507="0",BJ507,0),2)</f>
        <v>0</v>
      </c>
      <c r="AI507" s="48" t="s">
        <v>89</v>
      </c>
      <c r="AJ507" s="35">
        <f>IF(AN507=0,J507,0)</f>
        <v>0</v>
      </c>
      <c r="AK507" s="35">
        <f>IF(AN507=12,J507,0)</f>
        <v>0</v>
      </c>
      <c r="AL507" s="35">
        <f>IF(AN507=21,J507,0)</f>
        <v>0</v>
      </c>
      <c r="AN507" s="35">
        <v>12</v>
      </c>
      <c r="AO507" s="35">
        <f>G507*0</f>
        <v>0</v>
      </c>
      <c r="AP507" s="35">
        <f>G507*(1-0)</f>
        <v>0</v>
      </c>
      <c r="AQ507" s="64" t="s">
        <v>199</v>
      </c>
      <c r="AV507" s="35">
        <f>ROUND(AW507+AX507,2)</f>
        <v>0</v>
      </c>
      <c r="AW507" s="35">
        <f>ROUND(F507*AO507,2)</f>
        <v>0</v>
      </c>
      <c r="AX507" s="35">
        <f>ROUND(F507*AP507,2)</f>
        <v>0</v>
      </c>
      <c r="AY507" s="64" t="s">
        <v>1079</v>
      </c>
      <c r="AZ507" s="64" t="s">
        <v>1096</v>
      </c>
      <c r="BA507" s="48" t="s">
        <v>1086</v>
      </c>
      <c r="BB507" s="65">
        <v>100033</v>
      </c>
      <c r="BC507" s="35">
        <f>AW507+AX507</f>
        <v>0</v>
      </c>
      <c r="BD507" s="35">
        <f>G507/(100-BE507)*100</f>
        <v>0</v>
      </c>
      <c r="BE507" s="35">
        <v>0</v>
      </c>
      <c r="BF507" s="35">
        <f>507</f>
        <v>507</v>
      </c>
      <c r="BH507" s="35">
        <f>F507*AO507</f>
        <v>0</v>
      </c>
      <c r="BI507" s="35">
        <f>F507*AP507</f>
        <v>0</v>
      </c>
      <c r="BJ507" s="35">
        <f>F507*G507</f>
        <v>0</v>
      </c>
      <c r="BK507" s="64" t="s">
        <v>208</v>
      </c>
      <c r="BL507" s="35">
        <v>90</v>
      </c>
      <c r="BW507" s="35">
        <v>12</v>
      </c>
      <c r="BX507" s="3" t="s">
        <v>1095</v>
      </c>
    </row>
    <row r="508" spans="1:76" ht="13.5" customHeight="1" x14ac:dyDescent="0.25">
      <c r="A508" s="66"/>
      <c r="C508" s="180" t="s">
        <v>1097</v>
      </c>
      <c r="D508" s="181"/>
      <c r="E508" s="181"/>
      <c r="F508" s="181"/>
      <c r="G508" s="181"/>
      <c r="H508" s="181"/>
      <c r="I508" s="181"/>
      <c r="J508" s="181"/>
      <c r="K508" s="182"/>
    </row>
    <row r="509" spans="1:76" x14ac:dyDescent="0.25">
      <c r="A509" s="1" t="s">
        <v>1098</v>
      </c>
      <c r="B509" s="2" t="s">
        <v>1099</v>
      </c>
      <c r="C509" s="86" t="s">
        <v>1100</v>
      </c>
      <c r="D509" s="87"/>
      <c r="E509" s="2" t="s">
        <v>1078</v>
      </c>
      <c r="F509" s="35">
        <v>8</v>
      </c>
      <c r="G509" s="35">
        <v>0</v>
      </c>
      <c r="H509" s="35">
        <f>ROUND(F509*AO509,2)</f>
        <v>0</v>
      </c>
      <c r="I509" s="35">
        <f>ROUND(F509*AP509,2)</f>
        <v>0</v>
      </c>
      <c r="J509" s="35">
        <f>ROUND(F509*G509,2)</f>
        <v>0</v>
      </c>
      <c r="K509" s="63" t="s">
        <v>203</v>
      </c>
      <c r="Z509" s="35">
        <f>ROUND(IF(AQ509="5",BJ509,0),2)</f>
        <v>0</v>
      </c>
      <c r="AB509" s="35">
        <f>ROUND(IF(AQ509="1",BH509,0),2)</f>
        <v>0</v>
      </c>
      <c r="AC509" s="35">
        <f>ROUND(IF(AQ509="1",BI509,0),2)</f>
        <v>0</v>
      </c>
      <c r="AD509" s="35">
        <f>ROUND(IF(AQ509="7",BH509,0),2)</f>
        <v>0</v>
      </c>
      <c r="AE509" s="35">
        <f>ROUND(IF(AQ509="7",BI509,0),2)</f>
        <v>0</v>
      </c>
      <c r="AF509" s="35">
        <f>ROUND(IF(AQ509="2",BH509,0),2)</f>
        <v>0</v>
      </c>
      <c r="AG509" s="35">
        <f>ROUND(IF(AQ509="2",BI509,0),2)</f>
        <v>0</v>
      </c>
      <c r="AH509" s="35">
        <f>ROUND(IF(AQ509="0",BJ509,0),2)</f>
        <v>0</v>
      </c>
      <c r="AI509" s="48" t="s">
        <v>89</v>
      </c>
      <c r="AJ509" s="35">
        <f>IF(AN509=0,J509,0)</f>
        <v>0</v>
      </c>
      <c r="AK509" s="35">
        <f>IF(AN509=12,J509,0)</f>
        <v>0</v>
      </c>
      <c r="AL509" s="35">
        <f>IF(AN509=21,J509,0)</f>
        <v>0</v>
      </c>
      <c r="AN509" s="35">
        <v>12</v>
      </c>
      <c r="AO509" s="35">
        <f>G509*0</f>
        <v>0</v>
      </c>
      <c r="AP509" s="35">
        <f>G509*(1-0)</f>
        <v>0</v>
      </c>
      <c r="AQ509" s="64" t="s">
        <v>199</v>
      </c>
      <c r="AV509" s="35">
        <f>ROUND(AW509+AX509,2)</f>
        <v>0</v>
      </c>
      <c r="AW509" s="35">
        <f>ROUND(F509*AO509,2)</f>
        <v>0</v>
      </c>
      <c r="AX509" s="35">
        <f>ROUND(F509*AP509,2)</f>
        <v>0</v>
      </c>
      <c r="AY509" s="64" t="s">
        <v>1079</v>
      </c>
      <c r="AZ509" s="64" t="s">
        <v>1096</v>
      </c>
      <c r="BA509" s="48" t="s">
        <v>1086</v>
      </c>
      <c r="BB509" s="65">
        <v>100033</v>
      </c>
      <c r="BC509" s="35">
        <f>AW509+AX509</f>
        <v>0</v>
      </c>
      <c r="BD509" s="35">
        <f>G509/(100-BE509)*100</f>
        <v>0</v>
      </c>
      <c r="BE509" s="35">
        <v>0</v>
      </c>
      <c r="BF509" s="35">
        <f>509</f>
        <v>509</v>
      </c>
      <c r="BH509" s="35">
        <f>F509*AO509</f>
        <v>0</v>
      </c>
      <c r="BI509" s="35">
        <f>F509*AP509</f>
        <v>0</v>
      </c>
      <c r="BJ509" s="35">
        <f>F509*G509</f>
        <v>0</v>
      </c>
      <c r="BK509" s="64" t="s">
        <v>208</v>
      </c>
      <c r="BL509" s="35">
        <v>90</v>
      </c>
      <c r="BW509" s="35">
        <v>12</v>
      </c>
      <c r="BX509" s="3" t="s">
        <v>1100</v>
      </c>
    </row>
    <row r="510" spans="1:76" ht="13.5" customHeight="1" x14ac:dyDescent="0.25">
      <c r="A510" s="66"/>
      <c r="C510" s="180" t="s">
        <v>1101</v>
      </c>
      <c r="D510" s="181"/>
      <c r="E510" s="181"/>
      <c r="F510" s="181"/>
      <c r="G510" s="181"/>
      <c r="H510" s="181"/>
      <c r="I510" s="181"/>
      <c r="J510" s="181"/>
      <c r="K510" s="182"/>
    </row>
    <row r="511" spans="1:76" x14ac:dyDescent="0.25">
      <c r="A511" s="66"/>
      <c r="C511" s="67" t="s">
        <v>448</v>
      </c>
      <c r="D511" s="68" t="s">
        <v>1102</v>
      </c>
      <c r="F511" s="69">
        <v>8</v>
      </c>
      <c r="K511" s="70"/>
    </row>
    <row r="512" spans="1:76" x14ac:dyDescent="0.25">
      <c r="A512" s="1" t="s">
        <v>1103</v>
      </c>
      <c r="B512" s="2" t="s">
        <v>1104</v>
      </c>
      <c r="C512" s="86" t="s">
        <v>1077</v>
      </c>
      <c r="D512" s="87"/>
      <c r="E512" s="2" t="s">
        <v>1078</v>
      </c>
      <c r="F512" s="35">
        <v>2</v>
      </c>
      <c r="G512" s="35">
        <v>0</v>
      </c>
      <c r="H512" s="35">
        <f>ROUND(F512*AO512,2)</f>
        <v>0</v>
      </c>
      <c r="I512" s="35">
        <f>ROUND(F512*AP512,2)</f>
        <v>0</v>
      </c>
      <c r="J512" s="35">
        <f>ROUND(F512*G512,2)</f>
        <v>0</v>
      </c>
      <c r="K512" s="63" t="s">
        <v>203</v>
      </c>
      <c r="Z512" s="35">
        <f>ROUND(IF(AQ512="5",BJ512,0),2)</f>
        <v>0</v>
      </c>
      <c r="AB512" s="35">
        <f>ROUND(IF(AQ512="1",BH512,0),2)</f>
        <v>0</v>
      </c>
      <c r="AC512" s="35">
        <f>ROUND(IF(AQ512="1",BI512,0),2)</f>
        <v>0</v>
      </c>
      <c r="AD512" s="35">
        <f>ROUND(IF(AQ512="7",BH512,0),2)</f>
        <v>0</v>
      </c>
      <c r="AE512" s="35">
        <f>ROUND(IF(AQ512="7",BI512,0),2)</f>
        <v>0</v>
      </c>
      <c r="AF512" s="35">
        <f>ROUND(IF(AQ512="2",BH512,0),2)</f>
        <v>0</v>
      </c>
      <c r="AG512" s="35">
        <f>ROUND(IF(AQ512="2",BI512,0),2)</f>
        <v>0</v>
      </c>
      <c r="AH512" s="35">
        <f>ROUND(IF(AQ512="0",BJ512,0),2)</f>
        <v>0</v>
      </c>
      <c r="AI512" s="48" t="s">
        <v>89</v>
      </c>
      <c r="AJ512" s="35">
        <f>IF(AN512=0,J512,0)</f>
        <v>0</v>
      </c>
      <c r="AK512" s="35">
        <f>IF(AN512=12,J512,0)</f>
        <v>0</v>
      </c>
      <c r="AL512" s="35">
        <f>IF(AN512=21,J512,0)</f>
        <v>0</v>
      </c>
      <c r="AN512" s="35">
        <v>12</v>
      </c>
      <c r="AO512" s="35">
        <f>G512*0</f>
        <v>0</v>
      </c>
      <c r="AP512" s="35">
        <f>G512*(1-0)</f>
        <v>0</v>
      </c>
      <c r="AQ512" s="64" t="s">
        <v>199</v>
      </c>
      <c r="AV512" s="35">
        <f>ROUND(AW512+AX512,2)</f>
        <v>0</v>
      </c>
      <c r="AW512" s="35">
        <f>ROUND(F512*AO512,2)</f>
        <v>0</v>
      </c>
      <c r="AX512" s="35">
        <f>ROUND(F512*AP512,2)</f>
        <v>0</v>
      </c>
      <c r="AY512" s="64" t="s">
        <v>1079</v>
      </c>
      <c r="AZ512" s="64" t="s">
        <v>1096</v>
      </c>
      <c r="BA512" s="48" t="s">
        <v>1086</v>
      </c>
      <c r="BB512" s="65">
        <v>100033</v>
      </c>
      <c r="BC512" s="35">
        <f>AW512+AX512</f>
        <v>0</v>
      </c>
      <c r="BD512" s="35">
        <f>G512/(100-BE512)*100</f>
        <v>0</v>
      </c>
      <c r="BE512" s="35">
        <v>0</v>
      </c>
      <c r="BF512" s="35">
        <f>512</f>
        <v>512</v>
      </c>
      <c r="BH512" s="35">
        <f>F512*AO512</f>
        <v>0</v>
      </c>
      <c r="BI512" s="35">
        <f>F512*AP512</f>
        <v>0</v>
      </c>
      <c r="BJ512" s="35">
        <f>F512*G512</f>
        <v>0</v>
      </c>
      <c r="BK512" s="64" t="s">
        <v>208</v>
      </c>
      <c r="BL512" s="35">
        <v>90</v>
      </c>
      <c r="BW512" s="35">
        <v>12</v>
      </c>
      <c r="BX512" s="3" t="s">
        <v>1077</v>
      </c>
    </row>
    <row r="513" spans="1:76" ht="13.5" customHeight="1" x14ac:dyDescent="0.25">
      <c r="A513" s="66"/>
      <c r="C513" s="180" t="s">
        <v>1105</v>
      </c>
      <c r="D513" s="181"/>
      <c r="E513" s="181"/>
      <c r="F513" s="181"/>
      <c r="G513" s="181"/>
      <c r="H513" s="181"/>
      <c r="I513" s="181"/>
      <c r="J513" s="181"/>
      <c r="K513" s="182"/>
    </row>
    <row r="514" spans="1:76" x14ac:dyDescent="0.25">
      <c r="A514" s="66"/>
      <c r="C514" s="67" t="s">
        <v>211</v>
      </c>
      <c r="D514" s="68" t="s">
        <v>10</v>
      </c>
      <c r="F514" s="69">
        <v>2</v>
      </c>
      <c r="K514" s="70"/>
    </row>
    <row r="515" spans="1:76" x14ac:dyDescent="0.25">
      <c r="A515" s="1" t="s">
        <v>1106</v>
      </c>
      <c r="B515" s="2" t="s">
        <v>1099</v>
      </c>
      <c r="C515" s="86" t="s">
        <v>1100</v>
      </c>
      <c r="D515" s="87"/>
      <c r="E515" s="2" t="s">
        <v>1078</v>
      </c>
      <c r="F515" s="35">
        <v>2</v>
      </c>
      <c r="G515" s="35">
        <v>0</v>
      </c>
      <c r="H515" s="35">
        <f>ROUND(F515*AO515,2)</f>
        <v>0</v>
      </c>
      <c r="I515" s="35">
        <f>ROUND(F515*AP515,2)</f>
        <v>0</v>
      </c>
      <c r="J515" s="35">
        <f>ROUND(F515*G515,2)</f>
        <v>0</v>
      </c>
      <c r="K515" s="63" t="s">
        <v>203</v>
      </c>
      <c r="Z515" s="35">
        <f>ROUND(IF(AQ515="5",BJ515,0),2)</f>
        <v>0</v>
      </c>
      <c r="AB515" s="35">
        <f>ROUND(IF(AQ515="1",BH515,0),2)</f>
        <v>0</v>
      </c>
      <c r="AC515" s="35">
        <f>ROUND(IF(AQ515="1",BI515,0),2)</f>
        <v>0</v>
      </c>
      <c r="AD515" s="35">
        <f>ROUND(IF(AQ515="7",BH515,0),2)</f>
        <v>0</v>
      </c>
      <c r="AE515" s="35">
        <f>ROUND(IF(AQ515="7",BI515,0),2)</f>
        <v>0</v>
      </c>
      <c r="AF515" s="35">
        <f>ROUND(IF(AQ515="2",BH515,0),2)</f>
        <v>0</v>
      </c>
      <c r="AG515" s="35">
        <f>ROUND(IF(AQ515="2",BI515,0),2)</f>
        <v>0</v>
      </c>
      <c r="AH515" s="35">
        <f>ROUND(IF(AQ515="0",BJ515,0),2)</f>
        <v>0</v>
      </c>
      <c r="AI515" s="48" t="s">
        <v>89</v>
      </c>
      <c r="AJ515" s="35">
        <f>IF(AN515=0,J515,0)</f>
        <v>0</v>
      </c>
      <c r="AK515" s="35">
        <f>IF(AN515=12,J515,0)</f>
        <v>0</v>
      </c>
      <c r="AL515" s="35">
        <f>IF(AN515=21,J515,0)</f>
        <v>0</v>
      </c>
      <c r="AN515" s="35">
        <v>12</v>
      </c>
      <c r="AO515" s="35">
        <f>G515*0</f>
        <v>0</v>
      </c>
      <c r="AP515" s="35">
        <f>G515*(1-0)</f>
        <v>0</v>
      </c>
      <c r="AQ515" s="64" t="s">
        <v>199</v>
      </c>
      <c r="AV515" s="35">
        <f>ROUND(AW515+AX515,2)</f>
        <v>0</v>
      </c>
      <c r="AW515" s="35">
        <f>ROUND(F515*AO515,2)</f>
        <v>0</v>
      </c>
      <c r="AX515" s="35">
        <f>ROUND(F515*AP515,2)</f>
        <v>0</v>
      </c>
      <c r="AY515" s="64" t="s">
        <v>1079</v>
      </c>
      <c r="AZ515" s="64" t="s">
        <v>1096</v>
      </c>
      <c r="BA515" s="48" t="s">
        <v>1086</v>
      </c>
      <c r="BB515" s="65">
        <v>100033</v>
      </c>
      <c r="BC515" s="35">
        <f>AW515+AX515</f>
        <v>0</v>
      </c>
      <c r="BD515" s="35">
        <f>G515/(100-BE515)*100</f>
        <v>0</v>
      </c>
      <c r="BE515" s="35">
        <v>0</v>
      </c>
      <c r="BF515" s="35">
        <f>515</f>
        <v>515</v>
      </c>
      <c r="BH515" s="35">
        <f>F515*AO515</f>
        <v>0</v>
      </c>
      <c r="BI515" s="35">
        <f>F515*AP515</f>
        <v>0</v>
      </c>
      <c r="BJ515" s="35">
        <f>F515*G515</f>
        <v>0</v>
      </c>
      <c r="BK515" s="64" t="s">
        <v>208</v>
      </c>
      <c r="BL515" s="35">
        <v>90</v>
      </c>
      <c r="BW515" s="35">
        <v>12</v>
      </c>
      <c r="BX515" s="3" t="s">
        <v>1100</v>
      </c>
    </row>
    <row r="516" spans="1:76" ht="13.5" customHeight="1" x14ac:dyDescent="0.25">
      <c r="A516" s="66"/>
      <c r="C516" s="180" t="s">
        <v>1101</v>
      </c>
      <c r="D516" s="181"/>
      <c r="E516" s="181"/>
      <c r="F516" s="181"/>
      <c r="G516" s="181"/>
      <c r="H516" s="181"/>
      <c r="I516" s="181"/>
      <c r="J516" s="181"/>
      <c r="K516" s="182"/>
    </row>
    <row r="517" spans="1:76" x14ac:dyDescent="0.25">
      <c r="A517" s="66"/>
      <c r="C517" s="67" t="s">
        <v>211</v>
      </c>
      <c r="D517" s="68" t="s">
        <v>1107</v>
      </c>
      <c r="F517" s="69">
        <v>2</v>
      </c>
      <c r="K517" s="70"/>
    </row>
    <row r="518" spans="1:76" x14ac:dyDescent="0.25">
      <c r="A518" s="59" t="s">
        <v>10</v>
      </c>
      <c r="B518" s="60" t="s">
        <v>100</v>
      </c>
      <c r="C518" s="177" t="s">
        <v>101</v>
      </c>
      <c r="D518" s="178"/>
      <c r="E518" s="61" t="s">
        <v>74</v>
      </c>
      <c r="F518" s="61" t="s">
        <v>74</v>
      </c>
      <c r="G518" s="61" t="s">
        <v>74</v>
      </c>
      <c r="H518" s="42">
        <f>SUM(H519:H526)</f>
        <v>0</v>
      </c>
      <c r="I518" s="42">
        <f>SUM(I519:I526)</f>
        <v>0</v>
      </c>
      <c r="J518" s="42">
        <f>SUM(J519:J526)</f>
        <v>0</v>
      </c>
      <c r="K518" s="62" t="s">
        <v>10</v>
      </c>
      <c r="AI518" s="48" t="s">
        <v>89</v>
      </c>
      <c r="AS518" s="42">
        <f>SUM(AJ519:AJ526)</f>
        <v>0</v>
      </c>
      <c r="AT518" s="42">
        <f>SUM(AK519:AK526)</f>
        <v>0</v>
      </c>
      <c r="AU518" s="42">
        <f>SUM(AL519:AL526)</f>
        <v>0</v>
      </c>
    </row>
    <row r="519" spans="1:76" x14ac:dyDescent="0.25">
      <c r="A519" s="1" t="s">
        <v>1108</v>
      </c>
      <c r="B519" s="2" t="s">
        <v>1109</v>
      </c>
      <c r="C519" s="86" t="s">
        <v>1110</v>
      </c>
      <c r="D519" s="87"/>
      <c r="E519" s="2" t="s">
        <v>224</v>
      </c>
      <c r="F519" s="35">
        <v>43</v>
      </c>
      <c r="G519" s="35">
        <v>0</v>
      </c>
      <c r="H519" s="35">
        <f>ROUND(F519*AO519,2)</f>
        <v>0</v>
      </c>
      <c r="I519" s="35">
        <f>ROUND(F519*AP519,2)</f>
        <v>0</v>
      </c>
      <c r="J519" s="35">
        <f>ROUND(F519*G519,2)</f>
        <v>0</v>
      </c>
      <c r="K519" s="63" t="s">
        <v>203</v>
      </c>
      <c r="Z519" s="35">
        <f>ROUND(IF(AQ519="5",BJ519,0),2)</f>
        <v>0</v>
      </c>
      <c r="AB519" s="35">
        <f>ROUND(IF(AQ519="1",BH519,0),2)</f>
        <v>0</v>
      </c>
      <c r="AC519" s="35">
        <f>ROUND(IF(AQ519="1",BI519,0),2)</f>
        <v>0</v>
      </c>
      <c r="AD519" s="35">
        <f>ROUND(IF(AQ519="7",BH519,0),2)</f>
        <v>0</v>
      </c>
      <c r="AE519" s="35">
        <f>ROUND(IF(AQ519="7",BI519,0),2)</f>
        <v>0</v>
      </c>
      <c r="AF519" s="35">
        <f>ROUND(IF(AQ519="2",BH519,0),2)</f>
        <v>0</v>
      </c>
      <c r="AG519" s="35">
        <f>ROUND(IF(AQ519="2",BI519,0),2)</f>
        <v>0</v>
      </c>
      <c r="AH519" s="35">
        <f>ROUND(IF(AQ519="0",BJ519,0),2)</f>
        <v>0</v>
      </c>
      <c r="AI519" s="48" t="s">
        <v>89</v>
      </c>
      <c r="AJ519" s="35">
        <f>IF(AN519=0,J519,0)</f>
        <v>0</v>
      </c>
      <c r="AK519" s="35">
        <f>IF(AN519=12,J519,0)</f>
        <v>0</v>
      </c>
      <c r="AL519" s="35">
        <f>IF(AN519=21,J519,0)</f>
        <v>0</v>
      </c>
      <c r="AN519" s="35">
        <v>12</v>
      </c>
      <c r="AO519" s="35">
        <f>G519*0.101069167</f>
        <v>0</v>
      </c>
      <c r="AP519" s="35">
        <f>G519*(1-0.101069167)</f>
        <v>0</v>
      </c>
      <c r="AQ519" s="64" t="s">
        <v>199</v>
      </c>
      <c r="AV519" s="35">
        <f>ROUND(AW519+AX519,2)</f>
        <v>0</v>
      </c>
      <c r="AW519" s="35">
        <f>ROUND(F519*AO519,2)</f>
        <v>0</v>
      </c>
      <c r="AX519" s="35">
        <f>ROUND(F519*AP519,2)</f>
        <v>0</v>
      </c>
      <c r="AY519" s="64" t="s">
        <v>263</v>
      </c>
      <c r="AZ519" s="64" t="s">
        <v>1096</v>
      </c>
      <c r="BA519" s="48" t="s">
        <v>1086</v>
      </c>
      <c r="BB519" s="65">
        <v>100001</v>
      </c>
      <c r="BC519" s="35">
        <f>AW519+AX519</f>
        <v>0</v>
      </c>
      <c r="BD519" s="35">
        <f>G519/(100-BE519)*100</f>
        <v>0</v>
      </c>
      <c r="BE519" s="35">
        <v>0</v>
      </c>
      <c r="BF519" s="35">
        <f>519</f>
        <v>519</v>
      </c>
      <c r="BH519" s="35">
        <f>F519*AO519</f>
        <v>0</v>
      </c>
      <c r="BI519" s="35">
        <f>F519*AP519</f>
        <v>0</v>
      </c>
      <c r="BJ519" s="35">
        <f>F519*G519</f>
        <v>0</v>
      </c>
      <c r="BK519" s="64" t="s">
        <v>208</v>
      </c>
      <c r="BL519" s="35">
        <v>97</v>
      </c>
      <c r="BW519" s="35">
        <v>12</v>
      </c>
      <c r="BX519" s="3" t="s">
        <v>1110</v>
      </c>
    </row>
    <row r="520" spans="1:76" x14ac:dyDescent="0.25">
      <c r="A520" s="66"/>
      <c r="C520" s="67" t="s">
        <v>1111</v>
      </c>
      <c r="D520" s="68" t="s">
        <v>1112</v>
      </c>
      <c r="F520" s="69">
        <v>31</v>
      </c>
      <c r="K520" s="70"/>
    </row>
    <row r="521" spans="1:76" x14ac:dyDescent="0.25">
      <c r="A521" s="66"/>
      <c r="C521" s="67" t="s">
        <v>1113</v>
      </c>
      <c r="D521" s="68" t="s">
        <v>1114</v>
      </c>
      <c r="F521" s="69">
        <v>12</v>
      </c>
      <c r="K521" s="70"/>
    </row>
    <row r="522" spans="1:76" x14ac:dyDescent="0.25">
      <c r="A522" s="1" t="s">
        <v>1115</v>
      </c>
      <c r="B522" s="2" t="s">
        <v>1116</v>
      </c>
      <c r="C522" s="86" t="s">
        <v>1117</v>
      </c>
      <c r="D522" s="87"/>
      <c r="E522" s="2" t="s">
        <v>224</v>
      </c>
      <c r="F522" s="35">
        <v>6</v>
      </c>
      <c r="G522" s="35">
        <v>0</v>
      </c>
      <c r="H522" s="35">
        <f>ROUND(F522*AO522,2)</f>
        <v>0</v>
      </c>
      <c r="I522" s="35">
        <f>ROUND(F522*AP522,2)</f>
        <v>0</v>
      </c>
      <c r="J522" s="35">
        <f>ROUND(F522*G522,2)</f>
        <v>0</v>
      </c>
      <c r="K522" s="63" t="s">
        <v>203</v>
      </c>
      <c r="Z522" s="35">
        <f>ROUND(IF(AQ522="5",BJ522,0),2)</f>
        <v>0</v>
      </c>
      <c r="AB522" s="35">
        <f>ROUND(IF(AQ522="1",BH522,0),2)</f>
        <v>0</v>
      </c>
      <c r="AC522" s="35">
        <f>ROUND(IF(AQ522="1",BI522,0),2)</f>
        <v>0</v>
      </c>
      <c r="AD522" s="35">
        <f>ROUND(IF(AQ522="7",BH522,0),2)</f>
        <v>0</v>
      </c>
      <c r="AE522" s="35">
        <f>ROUND(IF(AQ522="7",BI522,0),2)</f>
        <v>0</v>
      </c>
      <c r="AF522" s="35">
        <f>ROUND(IF(AQ522="2",BH522,0),2)</f>
        <v>0</v>
      </c>
      <c r="AG522" s="35">
        <f>ROUND(IF(AQ522="2",BI522,0),2)</f>
        <v>0</v>
      </c>
      <c r="AH522" s="35">
        <f>ROUND(IF(AQ522="0",BJ522,0),2)</f>
        <v>0</v>
      </c>
      <c r="AI522" s="48" t="s">
        <v>89</v>
      </c>
      <c r="AJ522" s="35">
        <f>IF(AN522=0,J522,0)</f>
        <v>0</v>
      </c>
      <c r="AK522" s="35">
        <f>IF(AN522=12,J522,0)</f>
        <v>0</v>
      </c>
      <c r="AL522" s="35">
        <f>IF(AN522=21,J522,0)</f>
        <v>0</v>
      </c>
      <c r="AN522" s="35">
        <v>12</v>
      </c>
      <c r="AO522" s="35">
        <f>G522*0.244047619</f>
        <v>0</v>
      </c>
      <c r="AP522" s="35">
        <f>G522*(1-0.244047619)</f>
        <v>0</v>
      </c>
      <c r="AQ522" s="64" t="s">
        <v>199</v>
      </c>
      <c r="AV522" s="35">
        <f>ROUND(AW522+AX522,2)</f>
        <v>0</v>
      </c>
      <c r="AW522" s="35">
        <f>ROUND(F522*AO522,2)</f>
        <v>0</v>
      </c>
      <c r="AX522" s="35">
        <f>ROUND(F522*AP522,2)</f>
        <v>0</v>
      </c>
      <c r="AY522" s="64" t="s">
        <v>263</v>
      </c>
      <c r="AZ522" s="64" t="s">
        <v>1096</v>
      </c>
      <c r="BA522" s="48" t="s">
        <v>1086</v>
      </c>
      <c r="BB522" s="65">
        <v>100001</v>
      </c>
      <c r="BC522" s="35">
        <f>AW522+AX522</f>
        <v>0</v>
      </c>
      <c r="BD522" s="35">
        <f>G522/(100-BE522)*100</f>
        <v>0</v>
      </c>
      <c r="BE522" s="35">
        <v>0</v>
      </c>
      <c r="BF522" s="35">
        <f>522</f>
        <v>522</v>
      </c>
      <c r="BH522" s="35">
        <f>F522*AO522</f>
        <v>0</v>
      </c>
      <c r="BI522" s="35">
        <f>F522*AP522</f>
        <v>0</v>
      </c>
      <c r="BJ522" s="35">
        <f>F522*G522</f>
        <v>0</v>
      </c>
      <c r="BK522" s="64" t="s">
        <v>208</v>
      </c>
      <c r="BL522" s="35">
        <v>97</v>
      </c>
      <c r="BW522" s="35">
        <v>12</v>
      </c>
      <c r="BX522" s="3" t="s">
        <v>1117</v>
      </c>
    </row>
    <row r="523" spans="1:76" x14ac:dyDescent="0.25">
      <c r="A523" s="66"/>
      <c r="C523" s="67" t="s">
        <v>239</v>
      </c>
      <c r="D523" s="68" t="s">
        <v>477</v>
      </c>
      <c r="F523" s="69">
        <v>6</v>
      </c>
      <c r="K523" s="70"/>
    </row>
    <row r="524" spans="1:76" x14ac:dyDescent="0.25">
      <c r="A524" s="1" t="s">
        <v>1118</v>
      </c>
      <c r="B524" s="2" t="s">
        <v>1119</v>
      </c>
      <c r="C524" s="86" t="s">
        <v>1120</v>
      </c>
      <c r="D524" s="87"/>
      <c r="E524" s="2" t="s">
        <v>224</v>
      </c>
      <c r="F524" s="35">
        <v>15</v>
      </c>
      <c r="G524" s="35">
        <v>0</v>
      </c>
      <c r="H524" s="35">
        <f>ROUND(F524*AO524,2)</f>
        <v>0</v>
      </c>
      <c r="I524" s="35">
        <f>ROUND(F524*AP524,2)</f>
        <v>0</v>
      </c>
      <c r="J524" s="35">
        <f>ROUND(F524*G524,2)</f>
        <v>0</v>
      </c>
      <c r="K524" s="63" t="s">
        <v>203</v>
      </c>
      <c r="Z524" s="35">
        <f>ROUND(IF(AQ524="5",BJ524,0),2)</f>
        <v>0</v>
      </c>
      <c r="AB524" s="35">
        <f>ROUND(IF(AQ524="1",BH524,0),2)</f>
        <v>0</v>
      </c>
      <c r="AC524" s="35">
        <f>ROUND(IF(AQ524="1",BI524,0),2)</f>
        <v>0</v>
      </c>
      <c r="AD524" s="35">
        <f>ROUND(IF(AQ524="7",BH524,0),2)</f>
        <v>0</v>
      </c>
      <c r="AE524" s="35">
        <f>ROUND(IF(AQ524="7",BI524,0),2)</f>
        <v>0</v>
      </c>
      <c r="AF524" s="35">
        <f>ROUND(IF(AQ524="2",BH524,0),2)</f>
        <v>0</v>
      </c>
      <c r="AG524" s="35">
        <f>ROUND(IF(AQ524="2",BI524,0),2)</f>
        <v>0</v>
      </c>
      <c r="AH524" s="35">
        <f>ROUND(IF(AQ524="0",BJ524,0),2)</f>
        <v>0</v>
      </c>
      <c r="AI524" s="48" t="s">
        <v>89</v>
      </c>
      <c r="AJ524" s="35">
        <f>IF(AN524=0,J524,0)</f>
        <v>0</v>
      </c>
      <c r="AK524" s="35">
        <f>IF(AN524=12,J524,0)</f>
        <v>0</v>
      </c>
      <c r="AL524" s="35">
        <f>IF(AN524=21,J524,0)</f>
        <v>0</v>
      </c>
      <c r="AN524" s="35">
        <v>12</v>
      </c>
      <c r="AO524" s="35">
        <f>G524*0.05079646</f>
        <v>0</v>
      </c>
      <c r="AP524" s="35">
        <f>G524*(1-0.05079646)</f>
        <v>0</v>
      </c>
      <c r="AQ524" s="64" t="s">
        <v>199</v>
      </c>
      <c r="AV524" s="35">
        <f>ROUND(AW524+AX524,2)</f>
        <v>0</v>
      </c>
      <c r="AW524" s="35">
        <f>ROUND(F524*AO524,2)</f>
        <v>0</v>
      </c>
      <c r="AX524" s="35">
        <f>ROUND(F524*AP524,2)</f>
        <v>0</v>
      </c>
      <c r="AY524" s="64" t="s">
        <v>263</v>
      </c>
      <c r="AZ524" s="64" t="s">
        <v>1096</v>
      </c>
      <c r="BA524" s="48" t="s">
        <v>1086</v>
      </c>
      <c r="BB524" s="65">
        <v>100001</v>
      </c>
      <c r="BC524" s="35">
        <f>AW524+AX524</f>
        <v>0</v>
      </c>
      <c r="BD524" s="35">
        <f>G524/(100-BE524)*100</f>
        <v>0</v>
      </c>
      <c r="BE524" s="35">
        <v>0</v>
      </c>
      <c r="BF524" s="35">
        <f>524</f>
        <v>524</v>
      </c>
      <c r="BH524" s="35">
        <f>F524*AO524</f>
        <v>0</v>
      </c>
      <c r="BI524" s="35">
        <f>F524*AP524</f>
        <v>0</v>
      </c>
      <c r="BJ524" s="35">
        <f>F524*G524</f>
        <v>0</v>
      </c>
      <c r="BK524" s="64" t="s">
        <v>208</v>
      </c>
      <c r="BL524" s="35">
        <v>97</v>
      </c>
      <c r="BW524" s="35">
        <v>12</v>
      </c>
      <c r="BX524" s="3" t="s">
        <v>1120</v>
      </c>
    </row>
    <row r="525" spans="1:76" x14ac:dyDescent="0.25">
      <c r="A525" s="66"/>
      <c r="C525" s="67" t="s">
        <v>284</v>
      </c>
      <c r="D525" s="68" t="s">
        <v>1121</v>
      </c>
      <c r="F525" s="69">
        <v>15</v>
      </c>
      <c r="K525" s="70"/>
    </row>
    <row r="526" spans="1:76" x14ac:dyDescent="0.25">
      <c r="A526" s="1" t="s">
        <v>1122</v>
      </c>
      <c r="B526" s="2" t="s">
        <v>1123</v>
      </c>
      <c r="C526" s="86" t="s">
        <v>1124</v>
      </c>
      <c r="D526" s="87"/>
      <c r="E526" s="2" t="s">
        <v>224</v>
      </c>
      <c r="F526" s="35">
        <v>22</v>
      </c>
      <c r="G526" s="35">
        <v>0</v>
      </c>
      <c r="H526" s="35">
        <f>ROUND(F526*AO526,2)</f>
        <v>0</v>
      </c>
      <c r="I526" s="35">
        <f>ROUND(F526*AP526,2)</f>
        <v>0</v>
      </c>
      <c r="J526" s="35">
        <f>ROUND(F526*G526,2)</f>
        <v>0</v>
      </c>
      <c r="K526" s="63" t="s">
        <v>203</v>
      </c>
      <c r="Z526" s="35">
        <f>ROUND(IF(AQ526="5",BJ526,0),2)</f>
        <v>0</v>
      </c>
      <c r="AB526" s="35">
        <f>ROUND(IF(AQ526="1",BH526,0),2)</f>
        <v>0</v>
      </c>
      <c r="AC526" s="35">
        <f>ROUND(IF(AQ526="1",BI526,0),2)</f>
        <v>0</v>
      </c>
      <c r="AD526" s="35">
        <f>ROUND(IF(AQ526="7",BH526,0),2)</f>
        <v>0</v>
      </c>
      <c r="AE526" s="35">
        <f>ROUND(IF(AQ526="7",BI526,0),2)</f>
        <v>0</v>
      </c>
      <c r="AF526" s="35">
        <f>ROUND(IF(AQ526="2",BH526,0),2)</f>
        <v>0</v>
      </c>
      <c r="AG526" s="35">
        <f>ROUND(IF(AQ526="2",BI526,0),2)</f>
        <v>0</v>
      </c>
      <c r="AH526" s="35">
        <f>ROUND(IF(AQ526="0",BJ526,0),2)</f>
        <v>0</v>
      </c>
      <c r="AI526" s="48" t="s">
        <v>89</v>
      </c>
      <c r="AJ526" s="35">
        <f>IF(AN526=0,J526,0)</f>
        <v>0</v>
      </c>
      <c r="AK526" s="35">
        <f>IF(AN526=12,J526,0)</f>
        <v>0</v>
      </c>
      <c r="AL526" s="35">
        <f>IF(AN526=21,J526,0)</f>
        <v>0</v>
      </c>
      <c r="AN526" s="35">
        <v>12</v>
      </c>
      <c r="AO526" s="35">
        <f>G526*0.190066225</f>
        <v>0</v>
      </c>
      <c r="AP526" s="35">
        <f>G526*(1-0.190066225)</f>
        <v>0</v>
      </c>
      <c r="AQ526" s="64" t="s">
        <v>199</v>
      </c>
      <c r="AV526" s="35">
        <f>ROUND(AW526+AX526,2)</f>
        <v>0</v>
      </c>
      <c r="AW526" s="35">
        <f>ROUND(F526*AO526,2)</f>
        <v>0</v>
      </c>
      <c r="AX526" s="35">
        <f>ROUND(F526*AP526,2)</f>
        <v>0</v>
      </c>
      <c r="AY526" s="64" t="s">
        <v>263</v>
      </c>
      <c r="AZ526" s="64" t="s">
        <v>1096</v>
      </c>
      <c r="BA526" s="48" t="s">
        <v>1086</v>
      </c>
      <c r="BB526" s="65">
        <v>100001</v>
      </c>
      <c r="BC526" s="35">
        <f>AW526+AX526</f>
        <v>0</v>
      </c>
      <c r="BD526" s="35">
        <f>G526/(100-BE526)*100</f>
        <v>0</v>
      </c>
      <c r="BE526" s="35">
        <v>0</v>
      </c>
      <c r="BF526" s="35">
        <f>526</f>
        <v>526</v>
      </c>
      <c r="BH526" s="35">
        <f>F526*AO526</f>
        <v>0</v>
      </c>
      <c r="BI526" s="35">
        <f>F526*AP526</f>
        <v>0</v>
      </c>
      <c r="BJ526" s="35">
        <f>F526*G526</f>
        <v>0</v>
      </c>
      <c r="BK526" s="64" t="s">
        <v>208</v>
      </c>
      <c r="BL526" s="35">
        <v>97</v>
      </c>
      <c r="BW526" s="35">
        <v>12</v>
      </c>
      <c r="BX526" s="3" t="s">
        <v>1124</v>
      </c>
    </row>
    <row r="527" spans="1:76" x14ac:dyDescent="0.25">
      <c r="A527" s="66"/>
      <c r="C527" s="67" t="s">
        <v>1125</v>
      </c>
      <c r="D527" s="68" t="s">
        <v>10</v>
      </c>
      <c r="F527" s="69">
        <v>22</v>
      </c>
      <c r="K527" s="70"/>
    </row>
    <row r="528" spans="1:76" x14ac:dyDescent="0.25">
      <c r="A528" s="59" t="s">
        <v>10</v>
      </c>
      <c r="B528" s="60" t="s">
        <v>160</v>
      </c>
      <c r="C528" s="177" t="s">
        <v>161</v>
      </c>
      <c r="D528" s="178"/>
      <c r="E528" s="61" t="s">
        <v>74</v>
      </c>
      <c r="F528" s="61" t="s">
        <v>74</v>
      </c>
      <c r="G528" s="61" t="s">
        <v>74</v>
      </c>
      <c r="H528" s="42">
        <f>SUM(H529:H540)</f>
        <v>0</v>
      </c>
      <c r="I528" s="42">
        <f>SUM(I529:I540)</f>
        <v>0</v>
      </c>
      <c r="J528" s="42">
        <f>SUM(J529:J540)</f>
        <v>0</v>
      </c>
      <c r="K528" s="62" t="s">
        <v>10</v>
      </c>
      <c r="AI528" s="48" t="s">
        <v>89</v>
      </c>
      <c r="AS528" s="42">
        <f>SUM(AJ529:AJ540)</f>
        <v>0</v>
      </c>
      <c r="AT528" s="42">
        <f>SUM(AK529:AK540)</f>
        <v>0</v>
      </c>
      <c r="AU528" s="42">
        <f>SUM(AL529:AL540)</f>
        <v>0</v>
      </c>
    </row>
    <row r="529" spans="1:76" x14ac:dyDescent="0.25">
      <c r="A529" s="1" t="s">
        <v>1126</v>
      </c>
      <c r="B529" s="2" t="s">
        <v>1127</v>
      </c>
      <c r="C529" s="86" t="s">
        <v>1128</v>
      </c>
      <c r="D529" s="87"/>
      <c r="E529" s="2" t="s">
        <v>252</v>
      </c>
      <c r="F529" s="35">
        <v>1</v>
      </c>
      <c r="G529" s="35">
        <v>0</v>
      </c>
      <c r="H529" s="35">
        <f>ROUND(F529*AO529,2)</f>
        <v>0</v>
      </c>
      <c r="I529" s="35">
        <f>ROUND(F529*AP529,2)</f>
        <v>0</v>
      </c>
      <c r="J529" s="35">
        <f>ROUND(F529*G529,2)</f>
        <v>0</v>
      </c>
      <c r="K529" s="63" t="s">
        <v>203</v>
      </c>
      <c r="Z529" s="35">
        <f>ROUND(IF(AQ529="5",BJ529,0),2)</f>
        <v>0</v>
      </c>
      <c r="AB529" s="35">
        <f>ROUND(IF(AQ529="1",BH529,0),2)</f>
        <v>0</v>
      </c>
      <c r="AC529" s="35">
        <f>ROUND(IF(AQ529="1",BI529,0),2)</f>
        <v>0</v>
      </c>
      <c r="AD529" s="35">
        <f>ROUND(IF(AQ529="7",BH529,0),2)</f>
        <v>0</v>
      </c>
      <c r="AE529" s="35">
        <f>ROUND(IF(AQ529="7",BI529,0),2)</f>
        <v>0</v>
      </c>
      <c r="AF529" s="35">
        <f>ROUND(IF(AQ529="2",BH529,0),2)</f>
        <v>0</v>
      </c>
      <c r="AG529" s="35">
        <f>ROUND(IF(AQ529="2",BI529,0),2)</f>
        <v>0</v>
      </c>
      <c r="AH529" s="35">
        <f>ROUND(IF(AQ529="0",BJ529,0),2)</f>
        <v>0</v>
      </c>
      <c r="AI529" s="48" t="s">
        <v>89</v>
      </c>
      <c r="AJ529" s="35">
        <f>IF(AN529=0,J529,0)</f>
        <v>0</v>
      </c>
      <c r="AK529" s="35">
        <f>IF(AN529=12,J529,0)</f>
        <v>0</v>
      </c>
      <c r="AL529" s="35">
        <f>IF(AN529=21,J529,0)</f>
        <v>0</v>
      </c>
      <c r="AN529" s="35">
        <v>12</v>
      </c>
      <c r="AO529" s="35">
        <f>G529*0.02275766</f>
        <v>0</v>
      </c>
      <c r="AP529" s="35">
        <f>G529*(1-0.02275766)</f>
        <v>0</v>
      </c>
      <c r="AQ529" s="64" t="s">
        <v>211</v>
      </c>
      <c r="AV529" s="35">
        <f>ROUND(AW529+AX529,2)</f>
        <v>0</v>
      </c>
      <c r="AW529" s="35">
        <f>ROUND(F529*AO529,2)</f>
        <v>0</v>
      </c>
      <c r="AX529" s="35">
        <f>ROUND(F529*AP529,2)</f>
        <v>0</v>
      </c>
      <c r="AY529" s="64" t="s">
        <v>1129</v>
      </c>
      <c r="AZ529" s="64" t="s">
        <v>1096</v>
      </c>
      <c r="BA529" s="48" t="s">
        <v>1086</v>
      </c>
      <c r="BB529" s="65">
        <v>100035</v>
      </c>
      <c r="BC529" s="35">
        <f>AW529+AX529</f>
        <v>0</v>
      </c>
      <c r="BD529" s="35">
        <f>G529/(100-BE529)*100</f>
        <v>0</v>
      </c>
      <c r="BE529" s="35">
        <v>0</v>
      </c>
      <c r="BF529" s="35">
        <f>529</f>
        <v>529</v>
      </c>
      <c r="BH529" s="35">
        <f>F529*AO529</f>
        <v>0</v>
      </c>
      <c r="BI529" s="35">
        <f>F529*AP529</f>
        <v>0</v>
      </c>
      <c r="BJ529" s="35">
        <f>F529*G529</f>
        <v>0</v>
      </c>
      <c r="BK529" s="64" t="s">
        <v>208</v>
      </c>
      <c r="BL529" s="35"/>
      <c r="BW529" s="35">
        <v>12</v>
      </c>
      <c r="BX529" s="3" t="s">
        <v>1128</v>
      </c>
    </row>
    <row r="530" spans="1:76" ht="13.5" customHeight="1" x14ac:dyDescent="0.25">
      <c r="A530" s="66"/>
      <c r="C530" s="180" t="s">
        <v>1130</v>
      </c>
      <c r="D530" s="181"/>
      <c r="E530" s="181"/>
      <c r="F530" s="181"/>
      <c r="G530" s="181"/>
      <c r="H530" s="181"/>
      <c r="I530" s="181"/>
      <c r="J530" s="181"/>
      <c r="K530" s="182"/>
    </row>
    <row r="531" spans="1:76" x14ac:dyDescent="0.25">
      <c r="A531" s="76" t="s">
        <v>1131</v>
      </c>
      <c r="B531" s="77" t="s">
        <v>1132</v>
      </c>
      <c r="C531" s="185" t="s">
        <v>1133</v>
      </c>
      <c r="D531" s="186"/>
      <c r="E531" s="77" t="s">
        <v>252</v>
      </c>
      <c r="F531" s="79">
        <v>1</v>
      </c>
      <c r="G531" s="79">
        <v>0</v>
      </c>
      <c r="H531" s="79">
        <f>ROUND(F531*AO531,2)</f>
        <v>0</v>
      </c>
      <c r="I531" s="79">
        <f>ROUND(F531*AP531,2)</f>
        <v>0</v>
      </c>
      <c r="J531" s="79">
        <f>ROUND(F531*G531,2)</f>
        <v>0</v>
      </c>
      <c r="K531" s="80" t="s">
        <v>203</v>
      </c>
      <c r="Z531" s="35">
        <f>ROUND(IF(AQ531="5",BJ531,0),2)</f>
        <v>0</v>
      </c>
      <c r="AB531" s="35">
        <f>ROUND(IF(AQ531="1",BH531,0),2)</f>
        <v>0</v>
      </c>
      <c r="AC531" s="35">
        <f>ROUND(IF(AQ531="1",BI531,0),2)</f>
        <v>0</v>
      </c>
      <c r="AD531" s="35">
        <f>ROUND(IF(AQ531="7",BH531,0),2)</f>
        <v>0</v>
      </c>
      <c r="AE531" s="35">
        <f>ROUND(IF(AQ531="7",BI531,0),2)</f>
        <v>0</v>
      </c>
      <c r="AF531" s="35">
        <f>ROUND(IF(AQ531="2",BH531,0),2)</f>
        <v>0</v>
      </c>
      <c r="AG531" s="35">
        <f>ROUND(IF(AQ531="2",BI531,0),2)</f>
        <v>0</v>
      </c>
      <c r="AH531" s="35">
        <f>ROUND(IF(AQ531="0",BJ531,0),2)</f>
        <v>0</v>
      </c>
      <c r="AI531" s="48" t="s">
        <v>89</v>
      </c>
      <c r="AJ531" s="79">
        <f>IF(AN531=0,J531,0)</f>
        <v>0</v>
      </c>
      <c r="AK531" s="79">
        <f>IF(AN531=12,J531,0)</f>
        <v>0</v>
      </c>
      <c r="AL531" s="79">
        <f>IF(AN531=21,J531,0)</f>
        <v>0</v>
      </c>
      <c r="AN531" s="35">
        <v>12</v>
      </c>
      <c r="AO531" s="35">
        <f>G531*1</f>
        <v>0</v>
      </c>
      <c r="AP531" s="35">
        <f>G531*(1-1)</f>
        <v>0</v>
      </c>
      <c r="AQ531" s="81" t="s">
        <v>211</v>
      </c>
      <c r="AV531" s="35">
        <f>ROUND(AW531+AX531,2)</f>
        <v>0</v>
      </c>
      <c r="AW531" s="35">
        <f>ROUND(F531*AO531,2)</f>
        <v>0</v>
      </c>
      <c r="AX531" s="35">
        <f>ROUND(F531*AP531,2)</f>
        <v>0</v>
      </c>
      <c r="AY531" s="64" t="s">
        <v>1129</v>
      </c>
      <c r="AZ531" s="64" t="s">
        <v>1096</v>
      </c>
      <c r="BA531" s="48" t="s">
        <v>1086</v>
      </c>
      <c r="BC531" s="35">
        <f>AW531+AX531</f>
        <v>0</v>
      </c>
      <c r="BD531" s="35">
        <f>G531/(100-BE531)*100</f>
        <v>0</v>
      </c>
      <c r="BE531" s="35">
        <v>0</v>
      </c>
      <c r="BF531" s="35">
        <f>531</f>
        <v>531</v>
      </c>
      <c r="BH531" s="79">
        <f>F531*AO531</f>
        <v>0</v>
      </c>
      <c r="BI531" s="79">
        <f>F531*AP531</f>
        <v>0</v>
      </c>
      <c r="BJ531" s="79">
        <f>F531*G531</f>
        <v>0</v>
      </c>
      <c r="BK531" s="81" t="s">
        <v>464</v>
      </c>
      <c r="BL531" s="35"/>
      <c r="BW531" s="35">
        <v>12</v>
      </c>
      <c r="BX531" s="78" t="s">
        <v>1133</v>
      </c>
    </row>
    <row r="532" spans="1:76" x14ac:dyDescent="0.25">
      <c r="A532" s="1" t="s">
        <v>1134</v>
      </c>
      <c r="B532" s="2" t="s">
        <v>1135</v>
      </c>
      <c r="C532" s="86" t="s">
        <v>1136</v>
      </c>
      <c r="D532" s="87"/>
      <c r="E532" s="2" t="s">
        <v>252</v>
      </c>
      <c r="F532" s="35">
        <v>1</v>
      </c>
      <c r="G532" s="35">
        <v>0</v>
      </c>
      <c r="H532" s="35">
        <f>ROUND(F532*AO532,2)</f>
        <v>0</v>
      </c>
      <c r="I532" s="35">
        <f>ROUND(F532*AP532,2)</f>
        <v>0</v>
      </c>
      <c r="J532" s="35">
        <f>ROUND(F532*G532,2)</f>
        <v>0</v>
      </c>
      <c r="K532" s="63" t="s">
        <v>292</v>
      </c>
      <c r="Z532" s="35">
        <f>ROUND(IF(AQ532="5",BJ532,0),2)</f>
        <v>0</v>
      </c>
      <c r="AB532" s="35">
        <f>ROUND(IF(AQ532="1",BH532,0),2)</f>
        <v>0</v>
      </c>
      <c r="AC532" s="35">
        <f>ROUND(IF(AQ532="1",BI532,0),2)</f>
        <v>0</v>
      </c>
      <c r="AD532" s="35">
        <f>ROUND(IF(AQ532="7",BH532,0),2)</f>
        <v>0</v>
      </c>
      <c r="AE532" s="35">
        <f>ROUND(IF(AQ532="7",BI532,0),2)</f>
        <v>0</v>
      </c>
      <c r="AF532" s="35">
        <f>ROUND(IF(AQ532="2",BH532,0),2)</f>
        <v>0</v>
      </c>
      <c r="AG532" s="35">
        <f>ROUND(IF(AQ532="2",BI532,0),2)</f>
        <v>0</v>
      </c>
      <c r="AH532" s="35">
        <f>ROUND(IF(AQ532="0",BJ532,0),2)</f>
        <v>0</v>
      </c>
      <c r="AI532" s="48" t="s">
        <v>89</v>
      </c>
      <c r="AJ532" s="35">
        <f>IF(AN532=0,J532,0)</f>
        <v>0</v>
      </c>
      <c r="AK532" s="35">
        <f>IF(AN532=12,J532,0)</f>
        <v>0</v>
      </c>
      <c r="AL532" s="35">
        <f>IF(AN532=21,J532,0)</f>
        <v>0</v>
      </c>
      <c r="AN532" s="35">
        <v>12</v>
      </c>
      <c r="AO532" s="35">
        <f>G532*0</f>
        <v>0</v>
      </c>
      <c r="AP532" s="35">
        <f>G532*(1-0)</f>
        <v>0</v>
      </c>
      <c r="AQ532" s="64" t="s">
        <v>211</v>
      </c>
      <c r="AV532" s="35">
        <f>ROUND(AW532+AX532,2)</f>
        <v>0</v>
      </c>
      <c r="AW532" s="35">
        <f>ROUND(F532*AO532,2)</f>
        <v>0</v>
      </c>
      <c r="AX532" s="35">
        <f>ROUND(F532*AP532,2)</f>
        <v>0</v>
      </c>
      <c r="AY532" s="64" t="s">
        <v>1129</v>
      </c>
      <c r="AZ532" s="64" t="s">
        <v>1096</v>
      </c>
      <c r="BA532" s="48" t="s">
        <v>1086</v>
      </c>
      <c r="BB532" s="65">
        <v>100035</v>
      </c>
      <c r="BC532" s="35">
        <f>AW532+AX532</f>
        <v>0</v>
      </c>
      <c r="BD532" s="35">
        <f>G532/(100-BE532)*100</f>
        <v>0</v>
      </c>
      <c r="BE532" s="35">
        <v>0</v>
      </c>
      <c r="BF532" s="35">
        <f>532</f>
        <v>532</v>
      </c>
      <c r="BH532" s="35">
        <f>F532*AO532</f>
        <v>0</v>
      </c>
      <c r="BI532" s="35">
        <f>F532*AP532</f>
        <v>0</v>
      </c>
      <c r="BJ532" s="35">
        <f>F532*G532</f>
        <v>0</v>
      </c>
      <c r="BK532" s="64" t="s">
        <v>208</v>
      </c>
      <c r="BL532" s="35"/>
      <c r="BW532" s="35">
        <v>12</v>
      </c>
      <c r="BX532" s="3" t="s">
        <v>1136</v>
      </c>
    </row>
    <row r="533" spans="1:76" ht="13.5" customHeight="1" x14ac:dyDescent="0.25">
      <c r="A533" s="66"/>
      <c r="C533" s="180" t="s">
        <v>1137</v>
      </c>
      <c r="D533" s="181"/>
      <c r="E533" s="181"/>
      <c r="F533" s="181"/>
      <c r="G533" s="181"/>
      <c r="H533" s="181"/>
      <c r="I533" s="181"/>
      <c r="J533" s="181"/>
      <c r="K533" s="182"/>
    </row>
    <row r="534" spans="1:76" x14ac:dyDescent="0.25">
      <c r="A534" s="1" t="s">
        <v>1138</v>
      </c>
      <c r="B534" s="2" t="s">
        <v>1139</v>
      </c>
      <c r="C534" s="86" t="s">
        <v>1140</v>
      </c>
      <c r="D534" s="87"/>
      <c r="E534" s="2" t="s">
        <v>224</v>
      </c>
      <c r="F534" s="35">
        <v>90</v>
      </c>
      <c r="G534" s="35">
        <v>0</v>
      </c>
      <c r="H534" s="35">
        <f>ROUND(F534*AO534,2)</f>
        <v>0</v>
      </c>
      <c r="I534" s="35">
        <f>ROUND(F534*AP534,2)</f>
        <v>0</v>
      </c>
      <c r="J534" s="35">
        <f>ROUND(F534*G534,2)</f>
        <v>0</v>
      </c>
      <c r="K534" s="63" t="s">
        <v>203</v>
      </c>
      <c r="Z534" s="35">
        <f>ROUND(IF(AQ534="5",BJ534,0),2)</f>
        <v>0</v>
      </c>
      <c r="AB534" s="35">
        <f>ROUND(IF(AQ534="1",BH534,0),2)</f>
        <v>0</v>
      </c>
      <c r="AC534" s="35">
        <f>ROUND(IF(AQ534="1",BI534,0),2)</f>
        <v>0</v>
      </c>
      <c r="AD534" s="35">
        <f>ROUND(IF(AQ534="7",BH534,0),2)</f>
        <v>0</v>
      </c>
      <c r="AE534" s="35">
        <f>ROUND(IF(AQ534="7",BI534,0),2)</f>
        <v>0</v>
      </c>
      <c r="AF534" s="35">
        <f>ROUND(IF(AQ534="2",BH534,0),2)</f>
        <v>0</v>
      </c>
      <c r="AG534" s="35">
        <f>ROUND(IF(AQ534="2",BI534,0),2)</f>
        <v>0</v>
      </c>
      <c r="AH534" s="35">
        <f>ROUND(IF(AQ534="0",BJ534,0),2)</f>
        <v>0</v>
      </c>
      <c r="AI534" s="48" t="s">
        <v>89</v>
      </c>
      <c r="AJ534" s="35">
        <f>IF(AN534=0,J534,0)</f>
        <v>0</v>
      </c>
      <c r="AK534" s="35">
        <f>IF(AN534=12,J534,0)</f>
        <v>0</v>
      </c>
      <c r="AL534" s="35">
        <f>IF(AN534=21,J534,0)</f>
        <v>0</v>
      </c>
      <c r="AN534" s="35">
        <v>12</v>
      </c>
      <c r="AO534" s="35">
        <f>G534*0.279915878</f>
        <v>0</v>
      </c>
      <c r="AP534" s="35">
        <f>G534*(1-0.279915878)</f>
        <v>0</v>
      </c>
      <c r="AQ534" s="64" t="s">
        <v>211</v>
      </c>
      <c r="AV534" s="35">
        <f>ROUND(AW534+AX534,2)</f>
        <v>0</v>
      </c>
      <c r="AW534" s="35">
        <f>ROUND(F534*AO534,2)</f>
        <v>0</v>
      </c>
      <c r="AX534" s="35">
        <f>ROUND(F534*AP534,2)</f>
        <v>0</v>
      </c>
      <c r="AY534" s="64" t="s">
        <v>1129</v>
      </c>
      <c r="AZ534" s="64" t="s">
        <v>1096</v>
      </c>
      <c r="BA534" s="48" t="s">
        <v>1086</v>
      </c>
      <c r="BB534" s="65">
        <v>100035</v>
      </c>
      <c r="BC534" s="35">
        <f>AW534+AX534</f>
        <v>0</v>
      </c>
      <c r="BD534" s="35">
        <f>G534/(100-BE534)*100</f>
        <v>0</v>
      </c>
      <c r="BE534" s="35">
        <v>0</v>
      </c>
      <c r="BF534" s="35">
        <f>534</f>
        <v>534</v>
      </c>
      <c r="BH534" s="35">
        <f>F534*AO534</f>
        <v>0</v>
      </c>
      <c r="BI534" s="35">
        <f>F534*AP534</f>
        <v>0</v>
      </c>
      <c r="BJ534" s="35">
        <f>F534*G534</f>
        <v>0</v>
      </c>
      <c r="BK534" s="64" t="s">
        <v>208</v>
      </c>
      <c r="BL534" s="35"/>
      <c r="BW534" s="35">
        <v>12</v>
      </c>
      <c r="BX534" s="3" t="s">
        <v>1140</v>
      </c>
    </row>
    <row r="535" spans="1:76" ht="13.5" customHeight="1" x14ac:dyDescent="0.25">
      <c r="A535" s="66"/>
      <c r="C535" s="180" t="s">
        <v>1141</v>
      </c>
      <c r="D535" s="181"/>
      <c r="E535" s="181"/>
      <c r="F535" s="181"/>
      <c r="G535" s="181"/>
      <c r="H535" s="181"/>
      <c r="I535" s="181"/>
      <c r="J535" s="181"/>
      <c r="K535" s="182"/>
    </row>
    <row r="536" spans="1:76" x14ac:dyDescent="0.25">
      <c r="A536" s="66"/>
      <c r="C536" s="67" t="s">
        <v>158</v>
      </c>
      <c r="D536" s="68" t="s">
        <v>10</v>
      </c>
      <c r="F536" s="69">
        <v>90</v>
      </c>
      <c r="K536" s="70"/>
    </row>
    <row r="537" spans="1:76" x14ac:dyDescent="0.25">
      <c r="A537" s="1" t="s">
        <v>1142</v>
      </c>
      <c r="B537" s="2" t="s">
        <v>1143</v>
      </c>
      <c r="C537" s="86" t="s">
        <v>1144</v>
      </c>
      <c r="D537" s="87"/>
      <c r="E537" s="2" t="s">
        <v>224</v>
      </c>
      <c r="F537" s="35">
        <v>50</v>
      </c>
      <c r="G537" s="35">
        <v>0</v>
      </c>
      <c r="H537" s="35">
        <f>ROUND(F537*AO537,2)</f>
        <v>0</v>
      </c>
      <c r="I537" s="35">
        <f>ROUND(F537*AP537,2)</f>
        <v>0</v>
      </c>
      <c r="J537" s="35">
        <f>ROUND(F537*G537,2)</f>
        <v>0</v>
      </c>
      <c r="K537" s="63" t="s">
        <v>203</v>
      </c>
      <c r="Z537" s="35">
        <f>ROUND(IF(AQ537="5",BJ537,0),2)</f>
        <v>0</v>
      </c>
      <c r="AB537" s="35">
        <f>ROUND(IF(AQ537="1",BH537,0),2)</f>
        <v>0</v>
      </c>
      <c r="AC537" s="35">
        <f>ROUND(IF(AQ537="1",BI537,0),2)</f>
        <v>0</v>
      </c>
      <c r="AD537" s="35">
        <f>ROUND(IF(AQ537="7",BH537,0),2)</f>
        <v>0</v>
      </c>
      <c r="AE537" s="35">
        <f>ROUND(IF(AQ537="7",BI537,0),2)</f>
        <v>0</v>
      </c>
      <c r="AF537" s="35">
        <f>ROUND(IF(AQ537="2",BH537,0),2)</f>
        <v>0</v>
      </c>
      <c r="AG537" s="35">
        <f>ROUND(IF(AQ537="2",BI537,0),2)</f>
        <v>0</v>
      </c>
      <c r="AH537" s="35">
        <f>ROUND(IF(AQ537="0",BJ537,0),2)</f>
        <v>0</v>
      </c>
      <c r="AI537" s="48" t="s">
        <v>89</v>
      </c>
      <c r="AJ537" s="35">
        <f>IF(AN537=0,J537,0)</f>
        <v>0</v>
      </c>
      <c r="AK537" s="35">
        <f>IF(AN537=12,J537,0)</f>
        <v>0</v>
      </c>
      <c r="AL537" s="35">
        <f>IF(AN537=21,J537,0)</f>
        <v>0</v>
      </c>
      <c r="AN537" s="35">
        <v>12</v>
      </c>
      <c r="AO537" s="35">
        <f>G537*0.366203704</f>
        <v>0</v>
      </c>
      <c r="AP537" s="35">
        <f>G537*(1-0.366203704)</f>
        <v>0</v>
      </c>
      <c r="AQ537" s="64" t="s">
        <v>211</v>
      </c>
      <c r="AV537" s="35">
        <f>ROUND(AW537+AX537,2)</f>
        <v>0</v>
      </c>
      <c r="AW537" s="35">
        <f>ROUND(F537*AO537,2)</f>
        <v>0</v>
      </c>
      <c r="AX537" s="35">
        <f>ROUND(F537*AP537,2)</f>
        <v>0</v>
      </c>
      <c r="AY537" s="64" t="s">
        <v>1129</v>
      </c>
      <c r="AZ537" s="64" t="s">
        <v>1096</v>
      </c>
      <c r="BA537" s="48" t="s">
        <v>1086</v>
      </c>
      <c r="BB537" s="65">
        <v>100035</v>
      </c>
      <c r="BC537" s="35">
        <f>AW537+AX537</f>
        <v>0</v>
      </c>
      <c r="BD537" s="35">
        <f>G537/(100-BE537)*100</f>
        <v>0</v>
      </c>
      <c r="BE537" s="35">
        <v>0</v>
      </c>
      <c r="BF537" s="35">
        <f>537</f>
        <v>537</v>
      </c>
      <c r="BH537" s="35">
        <f>F537*AO537</f>
        <v>0</v>
      </c>
      <c r="BI537" s="35">
        <f>F537*AP537</f>
        <v>0</v>
      </c>
      <c r="BJ537" s="35">
        <f>F537*G537</f>
        <v>0</v>
      </c>
      <c r="BK537" s="64" t="s">
        <v>208</v>
      </c>
      <c r="BL537" s="35"/>
      <c r="BW537" s="35">
        <v>12</v>
      </c>
      <c r="BX537" s="3" t="s">
        <v>1144</v>
      </c>
    </row>
    <row r="538" spans="1:76" ht="13.5" customHeight="1" x14ac:dyDescent="0.25">
      <c r="A538" s="66"/>
      <c r="C538" s="180" t="s">
        <v>1141</v>
      </c>
      <c r="D538" s="181"/>
      <c r="E538" s="181"/>
      <c r="F538" s="181"/>
      <c r="G538" s="181"/>
      <c r="H538" s="181"/>
      <c r="I538" s="181"/>
      <c r="J538" s="181"/>
      <c r="K538" s="182"/>
    </row>
    <row r="539" spans="1:76" x14ac:dyDescent="0.25">
      <c r="A539" s="66"/>
      <c r="C539" s="67" t="s">
        <v>478</v>
      </c>
      <c r="D539" s="68" t="s">
        <v>10</v>
      </c>
      <c r="F539" s="69">
        <v>50</v>
      </c>
      <c r="K539" s="70"/>
    </row>
    <row r="540" spans="1:76" x14ac:dyDescent="0.25">
      <c r="A540" s="1" t="s">
        <v>1145</v>
      </c>
      <c r="B540" s="2" t="s">
        <v>1146</v>
      </c>
      <c r="C540" s="86" t="s">
        <v>1147</v>
      </c>
      <c r="D540" s="87"/>
      <c r="E540" s="2" t="s">
        <v>252</v>
      </c>
      <c r="F540" s="35">
        <v>24</v>
      </c>
      <c r="G540" s="35">
        <v>0</v>
      </c>
      <c r="H540" s="35">
        <f>ROUND(F540*AO540,2)</f>
        <v>0</v>
      </c>
      <c r="I540" s="35">
        <f>ROUND(F540*AP540,2)</f>
        <v>0</v>
      </c>
      <c r="J540" s="35">
        <f>ROUND(F540*G540,2)</f>
        <v>0</v>
      </c>
      <c r="K540" s="63" t="s">
        <v>203</v>
      </c>
      <c r="Z540" s="35">
        <f>ROUND(IF(AQ540="5",BJ540,0),2)</f>
        <v>0</v>
      </c>
      <c r="AB540" s="35">
        <f>ROUND(IF(AQ540="1",BH540,0),2)</f>
        <v>0</v>
      </c>
      <c r="AC540" s="35">
        <f>ROUND(IF(AQ540="1",BI540,0),2)</f>
        <v>0</v>
      </c>
      <c r="AD540" s="35">
        <f>ROUND(IF(AQ540="7",BH540,0),2)</f>
        <v>0</v>
      </c>
      <c r="AE540" s="35">
        <f>ROUND(IF(AQ540="7",BI540,0),2)</f>
        <v>0</v>
      </c>
      <c r="AF540" s="35">
        <f>ROUND(IF(AQ540="2",BH540,0),2)</f>
        <v>0</v>
      </c>
      <c r="AG540" s="35">
        <f>ROUND(IF(AQ540="2",BI540,0),2)</f>
        <v>0</v>
      </c>
      <c r="AH540" s="35">
        <f>ROUND(IF(AQ540="0",BJ540,0),2)</f>
        <v>0</v>
      </c>
      <c r="AI540" s="48" t="s">
        <v>89</v>
      </c>
      <c r="AJ540" s="35">
        <f>IF(AN540=0,J540,0)</f>
        <v>0</v>
      </c>
      <c r="AK540" s="35">
        <f>IF(AN540=12,J540,0)</f>
        <v>0</v>
      </c>
      <c r="AL540" s="35">
        <f>IF(AN540=21,J540,0)</f>
        <v>0</v>
      </c>
      <c r="AN540" s="35">
        <v>12</v>
      </c>
      <c r="AO540" s="35">
        <f>G540*0</f>
        <v>0</v>
      </c>
      <c r="AP540" s="35">
        <f>G540*(1-0)</f>
        <v>0</v>
      </c>
      <c r="AQ540" s="64" t="s">
        <v>211</v>
      </c>
      <c r="AV540" s="35">
        <f>ROUND(AW540+AX540,2)</f>
        <v>0</v>
      </c>
      <c r="AW540" s="35">
        <f>ROUND(F540*AO540,2)</f>
        <v>0</v>
      </c>
      <c r="AX540" s="35">
        <f>ROUND(F540*AP540,2)</f>
        <v>0</v>
      </c>
      <c r="AY540" s="64" t="s">
        <v>1129</v>
      </c>
      <c r="AZ540" s="64" t="s">
        <v>1096</v>
      </c>
      <c r="BA540" s="48" t="s">
        <v>1086</v>
      </c>
      <c r="BB540" s="65">
        <v>100035</v>
      </c>
      <c r="BC540" s="35">
        <f>AW540+AX540</f>
        <v>0</v>
      </c>
      <c r="BD540" s="35">
        <f>G540/(100-BE540)*100</f>
        <v>0</v>
      </c>
      <c r="BE540" s="35">
        <v>0</v>
      </c>
      <c r="BF540" s="35">
        <f>540</f>
        <v>540</v>
      </c>
      <c r="BH540" s="35">
        <f>F540*AO540</f>
        <v>0</v>
      </c>
      <c r="BI540" s="35">
        <f>F540*AP540</f>
        <v>0</v>
      </c>
      <c r="BJ540" s="35">
        <f>F540*G540</f>
        <v>0</v>
      </c>
      <c r="BK540" s="64" t="s">
        <v>208</v>
      </c>
      <c r="BL540" s="35"/>
      <c r="BW540" s="35">
        <v>12</v>
      </c>
      <c r="BX540" s="3" t="s">
        <v>1147</v>
      </c>
    </row>
    <row r="541" spans="1:76" x14ac:dyDescent="0.25">
      <c r="A541" s="66"/>
      <c r="C541" s="67" t="s">
        <v>322</v>
      </c>
      <c r="D541" s="68" t="s">
        <v>10</v>
      </c>
      <c r="F541" s="69">
        <v>24</v>
      </c>
      <c r="K541" s="70"/>
    </row>
    <row r="542" spans="1:76" x14ac:dyDescent="0.25">
      <c r="A542" s="59" t="s">
        <v>10</v>
      </c>
      <c r="B542" s="60" t="s">
        <v>162</v>
      </c>
      <c r="C542" s="177" t="s">
        <v>163</v>
      </c>
      <c r="D542" s="178"/>
      <c r="E542" s="61" t="s">
        <v>74</v>
      </c>
      <c r="F542" s="61" t="s">
        <v>74</v>
      </c>
      <c r="G542" s="61" t="s">
        <v>74</v>
      </c>
      <c r="H542" s="42">
        <f>SUM(H543:H574)</f>
        <v>0</v>
      </c>
      <c r="I542" s="42">
        <f>SUM(I543:I574)</f>
        <v>0</v>
      </c>
      <c r="J542" s="42">
        <f>SUM(J543:J574)</f>
        <v>0</v>
      </c>
      <c r="K542" s="62" t="s">
        <v>10</v>
      </c>
      <c r="AI542" s="48" t="s">
        <v>89</v>
      </c>
      <c r="AS542" s="42">
        <f>SUM(AJ543:AJ574)</f>
        <v>0</v>
      </c>
      <c r="AT542" s="42">
        <f>SUM(AK543:AK574)</f>
        <v>0</v>
      </c>
      <c r="AU542" s="42">
        <f>SUM(AL543:AL574)</f>
        <v>0</v>
      </c>
    </row>
    <row r="543" spans="1:76" x14ac:dyDescent="0.25">
      <c r="A543" s="1" t="s">
        <v>1148</v>
      </c>
      <c r="B543" s="2" t="s">
        <v>1149</v>
      </c>
      <c r="C543" s="86" t="s">
        <v>1150</v>
      </c>
      <c r="D543" s="87"/>
      <c r="E543" s="2" t="s">
        <v>252</v>
      </c>
      <c r="F543" s="35">
        <v>9</v>
      </c>
      <c r="G543" s="35">
        <v>0</v>
      </c>
      <c r="H543" s="35">
        <f>ROUND(F543*AO543,2)</f>
        <v>0</v>
      </c>
      <c r="I543" s="35">
        <f>ROUND(F543*AP543,2)</f>
        <v>0</v>
      </c>
      <c r="J543" s="35">
        <f>ROUND(F543*G543,2)</f>
        <v>0</v>
      </c>
      <c r="K543" s="63" t="s">
        <v>203</v>
      </c>
      <c r="Z543" s="35">
        <f>ROUND(IF(AQ543="5",BJ543,0),2)</f>
        <v>0</v>
      </c>
      <c r="AB543" s="35">
        <f>ROUND(IF(AQ543="1",BH543,0),2)</f>
        <v>0</v>
      </c>
      <c r="AC543" s="35">
        <f>ROUND(IF(AQ543="1",BI543,0),2)</f>
        <v>0</v>
      </c>
      <c r="AD543" s="35">
        <f>ROUND(IF(AQ543="7",BH543,0),2)</f>
        <v>0</v>
      </c>
      <c r="AE543" s="35">
        <f>ROUND(IF(AQ543="7",BI543,0),2)</f>
        <v>0</v>
      </c>
      <c r="AF543" s="35">
        <f>ROUND(IF(AQ543="2",BH543,0),2)</f>
        <v>0</v>
      </c>
      <c r="AG543" s="35">
        <f>ROUND(IF(AQ543="2",BI543,0),2)</f>
        <v>0</v>
      </c>
      <c r="AH543" s="35">
        <f>ROUND(IF(AQ543="0",BJ543,0),2)</f>
        <v>0</v>
      </c>
      <c r="AI543" s="48" t="s">
        <v>89</v>
      </c>
      <c r="AJ543" s="35">
        <f>IF(AN543=0,J543,0)</f>
        <v>0</v>
      </c>
      <c r="AK543" s="35">
        <f>IF(AN543=12,J543,0)</f>
        <v>0</v>
      </c>
      <c r="AL543" s="35">
        <f>IF(AN543=21,J543,0)</f>
        <v>0</v>
      </c>
      <c r="AN543" s="35">
        <v>12</v>
      </c>
      <c r="AO543" s="35">
        <f>G543*0</f>
        <v>0</v>
      </c>
      <c r="AP543" s="35">
        <f>G543*(1-0)</f>
        <v>0</v>
      </c>
      <c r="AQ543" s="64" t="s">
        <v>211</v>
      </c>
      <c r="AV543" s="35">
        <f>ROUND(AW543+AX543,2)</f>
        <v>0</v>
      </c>
      <c r="AW543" s="35">
        <f>ROUND(F543*AO543,2)</f>
        <v>0</v>
      </c>
      <c r="AX543" s="35">
        <f>ROUND(F543*AP543,2)</f>
        <v>0</v>
      </c>
      <c r="AY543" s="64" t="s">
        <v>1151</v>
      </c>
      <c r="AZ543" s="64" t="s">
        <v>1096</v>
      </c>
      <c r="BA543" s="48" t="s">
        <v>1086</v>
      </c>
      <c r="BB543" s="65">
        <v>100008</v>
      </c>
      <c r="BC543" s="35">
        <f>AW543+AX543</f>
        <v>0</v>
      </c>
      <c r="BD543" s="35">
        <f>G543/(100-BE543)*100</f>
        <v>0</v>
      </c>
      <c r="BE543" s="35">
        <v>0</v>
      </c>
      <c r="BF543" s="35">
        <f>543</f>
        <v>543</v>
      </c>
      <c r="BH543" s="35">
        <f>F543*AO543</f>
        <v>0</v>
      </c>
      <c r="BI543" s="35">
        <f>F543*AP543</f>
        <v>0</v>
      </c>
      <c r="BJ543" s="35">
        <f>F543*G543</f>
        <v>0</v>
      </c>
      <c r="BK543" s="64" t="s">
        <v>208</v>
      </c>
      <c r="BL543" s="35"/>
      <c r="BW543" s="35">
        <v>12</v>
      </c>
      <c r="BX543" s="3" t="s">
        <v>1150</v>
      </c>
    </row>
    <row r="544" spans="1:76" x14ac:dyDescent="0.25">
      <c r="A544" s="66"/>
      <c r="C544" s="67" t="s">
        <v>1152</v>
      </c>
      <c r="D544" s="68" t="s">
        <v>1153</v>
      </c>
      <c r="F544" s="69">
        <v>9</v>
      </c>
      <c r="K544" s="70"/>
    </row>
    <row r="545" spans="1:76" x14ac:dyDescent="0.25">
      <c r="A545" s="1" t="s">
        <v>1154</v>
      </c>
      <c r="B545" s="2" t="s">
        <v>1155</v>
      </c>
      <c r="C545" s="86" t="s">
        <v>1156</v>
      </c>
      <c r="D545" s="87"/>
      <c r="E545" s="2" t="s">
        <v>252</v>
      </c>
      <c r="F545" s="35">
        <v>4</v>
      </c>
      <c r="G545" s="35">
        <v>0</v>
      </c>
      <c r="H545" s="35">
        <f>ROUND(F545*AO545,2)</f>
        <v>0</v>
      </c>
      <c r="I545" s="35">
        <f>ROUND(F545*AP545,2)</f>
        <v>0</v>
      </c>
      <c r="J545" s="35">
        <f>ROUND(F545*G545,2)</f>
        <v>0</v>
      </c>
      <c r="K545" s="63" t="s">
        <v>203</v>
      </c>
      <c r="Z545" s="35">
        <f>ROUND(IF(AQ545="5",BJ545,0),2)</f>
        <v>0</v>
      </c>
      <c r="AB545" s="35">
        <f>ROUND(IF(AQ545="1",BH545,0),2)</f>
        <v>0</v>
      </c>
      <c r="AC545" s="35">
        <f>ROUND(IF(AQ545="1",BI545,0),2)</f>
        <v>0</v>
      </c>
      <c r="AD545" s="35">
        <f>ROUND(IF(AQ545="7",BH545,0),2)</f>
        <v>0</v>
      </c>
      <c r="AE545" s="35">
        <f>ROUND(IF(AQ545="7",BI545,0),2)</f>
        <v>0</v>
      </c>
      <c r="AF545" s="35">
        <f>ROUND(IF(AQ545="2",BH545,0),2)</f>
        <v>0</v>
      </c>
      <c r="AG545" s="35">
        <f>ROUND(IF(AQ545="2",BI545,0),2)</f>
        <v>0</v>
      </c>
      <c r="AH545" s="35">
        <f>ROUND(IF(AQ545="0",BJ545,0),2)</f>
        <v>0</v>
      </c>
      <c r="AI545" s="48" t="s">
        <v>89</v>
      </c>
      <c r="AJ545" s="35">
        <f>IF(AN545=0,J545,0)</f>
        <v>0</v>
      </c>
      <c r="AK545" s="35">
        <f>IF(AN545=12,J545,0)</f>
        <v>0</v>
      </c>
      <c r="AL545" s="35">
        <f>IF(AN545=21,J545,0)</f>
        <v>0</v>
      </c>
      <c r="AN545" s="35">
        <v>12</v>
      </c>
      <c r="AO545" s="35">
        <f>G545*0</f>
        <v>0</v>
      </c>
      <c r="AP545" s="35">
        <f>G545*(1-0)</f>
        <v>0</v>
      </c>
      <c r="AQ545" s="64" t="s">
        <v>211</v>
      </c>
      <c r="AV545" s="35">
        <f>ROUND(AW545+AX545,2)</f>
        <v>0</v>
      </c>
      <c r="AW545" s="35">
        <f>ROUND(F545*AO545,2)</f>
        <v>0</v>
      </c>
      <c r="AX545" s="35">
        <f>ROUND(F545*AP545,2)</f>
        <v>0</v>
      </c>
      <c r="AY545" s="64" t="s">
        <v>1151</v>
      </c>
      <c r="AZ545" s="64" t="s">
        <v>1096</v>
      </c>
      <c r="BA545" s="48" t="s">
        <v>1086</v>
      </c>
      <c r="BB545" s="65">
        <v>100008</v>
      </c>
      <c r="BC545" s="35">
        <f>AW545+AX545</f>
        <v>0</v>
      </c>
      <c r="BD545" s="35">
        <f>G545/(100-BE545)*100</f>
        <v>0</v>
      </c>
      <c r="BE545" s="35">
        <v>0</v>
      </c>
      <c r="BF545" s="35">
        <f>545</f>
        <v>545</v>
      </c>
      <c r="BH545" s="35">
        <f>F545*AO545</f>
        <v>0</v>
      </c>
      <c r="BI545" s="35">
        <f>F545*AP545</f>
        <v>0</v>
      </c>
      <c r="BJ545" s="35">
        <f>F545*G545</f>
        <v>0</v>
      </c>
      <c r="BK545" s="64" t="s">
        <v>208</v>
      </c>
      <c r="BL545" s="35"/>
      <c r="BW545" s="35">
        <v>12</v>
      </c>
      <c r="BX545" s="3" t="s">
        <v>1156</v>
      </c>
    </row>
    <row r="546" spans="1:76" x14ac:dyDescent="0.25">
      <c r="A546" s="66"/>
      <c r="C546" s="67" t="s">
        <v>227</v>
      </c>
      <c r="D546" s="68" t="s">
        <v>1157</v>
      </c>
      <c r="F546" s="69">
        <v>4</v>
      </c>
      <c r="K546" s="70"/>
    </row>
    <row r="547" spans="1:76" x14ac:dyDescent="0.25">
      <c r="A547" s="1" t="s">
        <v>1158</v>
      </c>
      <c r="B547" s="2" t="s">
        <v>1159</v>
      </c>
      <c r="C547" s="86" t="s">
        <v>1160</v>
      </c>
      <c r="D547" s="87"/>
      <c r="E547" s="2" t="s">
        <v>252</v>
      </c>
      <c r="F547" s="35">
        <v>1</v>
      </c>
      <c r="G547" s="35">
        <v>0</v>
      </c>
      <c r="H547" s="35">
        <f>ROUND(F547*AO547,2)</f>
        <v>0</v>
      </c>
      <c r="I547" s="35">
        <f>ROUND(F547*AP547,2)</f>
        <v>0</v>
      </c>
      <c r="J547" s="35">
        <f>ROUND(F547*G547,2)</f>
        <v>0</v>
      </c>
      <c r="K547" s="63" t="s">
        <v>292</v>
      </c>
      <c r="Z547" s="35">
        <f>ROUND(IF(AQ547="5",BJ547,0),2)</f>
        <v>0</v>
      </c>
      <c r="AB547" s="35">
        <f>ROUND(IF(AQ547="1",BH547,0),2)</f>
        <v>0</v>
      </c>
      <c r="AC547" s="35">
        <f>ROUND(IF(AQ547="1",BI547,0),2)</f>
        <v>0</v>
      </c>
      <c r="AD547" s="35">
        <f>ROUND(IF(AQ547="7",BH547,0),2)</f>
        <v>0</v>
      </c>
      <c r="AE547" s="35">
        <f>ROUND(IF(AQ547="7",BI547,0),2)</f>
        <v>0</v>
      </c>
      <c r="AF547" s="35">
        <f>ROUND(IF(AQ547="2",BH547,0),2)</f>
        <v>0</v>
      </c>
      <c r="AG547" s="35">
        <f>ROUND(IF(AQ547="2",BI547,0),2)</f>
        <v>0</v>
      </c>
      <c r="AH547" s="35">
        <f>ROUND(IF(AQ547="0",BJ547,0),2)</f>
        <v>0</v>
      </c>
      <c r="AI547" s="48" t="s">
        <v>89</v>
      </c>
      <c r="AJ547" s="35">
        <f>IF(AN547=0,J547,0)</f>
        <v>0</v>
      </c>
      <c r="AK547" s="35">
        <f>IF(AN547=12,J547,0)</f>
        <v>0</v>
      </c>
      <c r="AL547" s="35">
        <f>IF(AN547=21,J547,0)</f>
        <v>0</v>
      </c>
      <c r="AN547" s="35">
        <v>12</v>
      </c>
      <c r="AO547" s="35">
        <f>G547*0</f>
        <v>0</v>
      </c>
      <c r="AP547" s="35">
        <f>G547*(1-0)</f>
        <v>0</v>
      </c>
      <c r="AQ547" s="64" t="s">
        <v>211</v>
      </c>
      <c r="AV547" s="35">
        <f>ROUND(AW547+AX547,2)</f>
        <v>0</v>
      </c>
      <c r="AW547" s="35">
        <f>ROUND(F547*AO547,2)</f>
        <v>0</v>
      </c>
      <c r="AX547" s="35">
        <f>ROUND(F547*AP547,2)</f>
        <v>0</v>
      </c>
      <c r="AY547" s="64" t="s">
        <v>1151</v>
      </c>
      <c r="AZ547" s="64" t="s">
        <v>1096</v>
      </c>
      <c r="BA547" s="48" t="s">
        <v>1086</v>
      </c>
      <c r="BB547" s="65">
        <v>100008</v>
      </c>
      <c r="BC547" s="35">
        <f>AW547+AX547</f>
        <v>0</v>
      </c>
      <c r="BD547" s="35">
        <f>G547/(100-BE547)*100</f>
        <v>0</v>
      </c>
      <c r="BE547" s="35">
        <v>0</v>
      </c>
      <c r="BF547" s="35">
        <f>547</f>
        <v>547</v>
      </c>
      <c r="BH547" s="35">
        <f>F547*AO547</f>
        <v>0</v>
      </c>
      <c r="BI547" s="35">
        <f>F547*AP547</f>
        <v>0</v>
      </c>
      <c r="BJ547" s="35">
        <f>F547*G547</f>
        <v>0</v>
      </c>
      <c r="BK547" s="64" t="s">
        <v>208</v>
      </c>
      <c r="BL547" s="35"/>
      <c r="BW547" s="35">
        <v>12</v>
      </c>
      <c r="BX547" s="3" t="s">
        <v>1160</v>
      </c>
    </row>
    <row r="548" spans="1:76" x14ac:dyDescent="0.25">
      <c r="A548" s="66"/>
      <c r="C548" s="67" t="s">
        <v>199</v>
      </c>
      <c r="D548" s="68" t="s">
        <v>1161</v>
      </c>
      <c r="F548" s="69">
        <v>1</v>
      </c>
      <c r="K548" s="70"/>
    </row>
    <row r="549" spans="1:76" x14ac:dyDescent="0.25">
      <c r="A549" s="1" t="s">
        <v>1162</v>
      </c>
      <c r="B549" s="2" t="s">
        <v>1163</v>
      </c>
      <c r="C549" s="86" t="s">
        <v>1164</v>
      </c>
      <c r="D549" s="87"/>
      <c r="E549" s="2" t="s">
        <v>252</v>
      </c>
      <c r="F549" s="35">
        <v>4</v>
      </c>
      <c r="G549" s="35">
        <v>0</v>
      </c>
      <c r="H549" s="35">
        <f>ROUND(F549*AO549,2)</f>
        <v>0</v>
      </c>
      <c r="I549" s="35">
        <f>ROUND(F549*AP549,2)</f>
        <v>0</v>
      </c>
      <c r="J549" s="35">
        <f>ROUND(F549*G549,2)</f>
        <v>0</v>
      </c>
      <c r="K549" s="63" t="s">
        <v>292</v>
      </c>
      <c r="Z549" s="35">
        <f>ROUND(IF(AQ549="5",BJ549,0),2)</f>
        <v>0</v>
      </c>
      <c r="AB549" s="35">
        <f>ROUND(IF(AQ549="1",BH549,0),2)</f>
        <v>0</v>
      </c>
      <c r="AC549" s="35">
        <f>ROUND(IF(AQ549="1",BI549,0),2)</f>
        <v>0</v>
      </c>
      <c r="AD549" s="35">
        <f>ROUND(IF(AQ549="7",BH549,0),2)</f>
        <v>0</v>
      </c>
      <c r="AE549" s="35">
        <f>ROUND(IF(AQ549="7",BI549,0),2)</f>
        <v>0</v>
      </c>
      <c r="AF549" s="35">
        <f>ROUND(IF(AQ549="2",BH549,0),2)</f>
        <v>0</v>
      </c>
      <c r="AG549" s="35">
        <f>ROUND(IF(AQ549="2",BI549,0),2)</f>
        <v>0</v>
      </c>
      <c r="AH549" s="35">
        <f>ROUND(IF(AQ549="0",BJ549,0),2)</f>
        <v>0</v>
      </c>
      <c r="AI549" s="48" t="s">
        <v>89</v>
      </c>
      <c r="AJ549" s="35">
        <f>IF(AN549=0,J549,0)</f>
        <v>0</v>
      </c>
      <c r="AK549" s="35">
        <f>IF(AN549=12,J549,0)</f>
        <v>0</v>
      </c>
      <c r="AL549" s="35">
        <f>IF(AN549=21,J549,0)</f>
        <v>0</v>
      </c>
      <c r="AN549" s="35">
        <v>12</v>
      </c>
      <c r="AO549" s="35">
        <f>G549*0</f>
        <v>0</v>
      </c>
      <c r="AP549" s="35">
        <f>G549*(1-0)</f>
        <v>0</v>
      </c>
      <c r="AQ549" s="64" t="s">
        <v>211</v>
      </c>
      <c r="AV549" s="35">
        <f>ROUND(AW549+AX549,2)</f>
        <v>0</v>
      </c>
      <c r="AW549" s="35">
        <f>ROUND(F549*AO549,2)</f>
        <v>0</v>
      </c>
      <c r="AX549" s="35">
        <f>ROUND(F549*AP549,2)</f>
        <v>0</v>
      </c>
      <c r="AY549" s="64" t="s">
        <v>1151</v>
      </c>
      <c r="AZ549" s="64" t="s">
        <v>1096</v>
      </c>
      <c r="BA549" s="48" t="s">
        <v>1086</v>
      </c>
      <c r="BB549" s="65">
        <v>100008</v>
      </c>
      <c r="BC549" s="35">
        <f>AW549+AX549</f>
        <v>0</v>
      </c>
      <c r="BD549" s="35">
        <f>G549/(100-BE549)*100</f>
        <v>0</v>
      </c>
      <c r="BE549" s="35">
        <v>0</v>
      </c>
      <c r="BF549" s="35">
        <f>549</f>
        <v>549</v>
      </c>
      <c r="BH549" s="35">
        <f>F549*AO549</f>
        <v>0</v>
      </c>
      <c r="BI549" s="35">
        <f>F549*AP549</f>
        <v>0</v>
      </c>
      <c r="BJ549" s="35">
        <f>F549*G549</f>
        <v>0</v>
      </c>
      <c r="BK549" s="64" t="s">
        <v>208</v>
      </c>
      <c r="BL549" s="35"/>
      <c r="BW549" s="35">
        <v>12</v>
      </c>
      <c r="BX549" s="3" t="s">
        <v>1164</v>
      </c>
    </row>
    <row r="550" spans="1:76" x14ac:dyDescent="0.25">
      <c r="A550" s="66"/>
      <c r="C550" s="67" t="s">
        <v>1165</v>
      </c>
      <c r="D550" s="68" t="s">
        <v>1166</v>
      </c>
      <c r="F550" s="69">
        <v>4</v>
      </c>
      <c r="K550" s="70"/>
    </row>
    <row r="551" spans="1:76" x14ac:dyDescent="0.25">
      <c r="A551" s="1" t="s">
        <v>1167</v>
      </c>
      <c r="B551" s="2" t="s">
        <v>1168</v>
      </c>
      <c r="C551" s="86" t="s">
        <v>1169</v>
      </c>
      <c r="D551" s="87"/>
      <c r="E551" s="2" t="s">
        <v>224</v>
      </c>
      <c r="F551" s="35">
        <v>21.17</v>
      </c>
      <c r="G551" s="35">
        <v>0</v>
      </c>
      <c r="H551" s="35">
        <f>ROUND(F551*AO551,2)</f>
        <v>0</v>
      </c>
      <c r="I551" s="35">
        <f>ROUND(F551*AP551,2)</f>
        <v>0</v>
      </c>
      <c r="J551" s="35">
        <f>ROUND(F551*G551,2)</f>
        <v>0</v>
      </c>
      <c r="K551" s="63" t="s">
        <v>203</v>
      </c>
      <c r="Z551" s="35">
        <f>ROUND(IF(AQ551="5",BJ551,0),2)</f>
        <v>0</v>
      </c>
      <c r="AB551" s="35">
        <f>ROUND(IF(AQ551="1",BH551,0),2)</f>
        <v>0</v>
      </c>
      <c r="AC551" s="35">
        <f>ROUND(IF(AQ551="1",BI551,0),2)</f>
        <v>0</v>
      </c>
      <c r="AD551" s="35">
        <f>ROUND(IF(AQ551="7",BH551,0),2)</f>
        <v>0</v>
      </c>
      <c r="AE551" s="35">
        <f>ROUND(IF(AQ551="7",BI551,0),2)</f>
        <v>0</v>
      </c>
      <c r="AF551" s="35">
        <f>ROUND(IF(AQ551="2",BH551,0),2)</f>
        <v>0</v>
      </c>
      <c r="AG551" s="35">
        <f>ROUND(IF(AQ551="2",BI551,0),2)</f>
        <v>0</v>
      </c>
      <c r="AH551" s="35">
        <f>ROUND(IF(AQ551="0",BJ551,0),2)</f>
        <v>0</v>
      </c>
      <c r="AI551" s="48" t="s">
        <v>89</v>
      </c>
      <c r="AJ551" s="35">
        <f>IF(AN551=0,J551,0)</f>
        <v>0</v>
      </c>
      <c r="AK551" s="35">
        <f>IF(AN551=12,J551,0)</f>
        <v>0</v>
      </c>
      <c r="AL551" s="35">
        <f>IF(AN551=21,J551,0)</f>
        <v>0</v>
      </c>
      <c r="AN551" s="35">
        <v>12</v>
      </c>
      <c r="AO551" s="35">
        <f>G551*0</f>
        <v>0</v>
      </c>
      <c r="AP551" s="35">
        <f>G551*(1-0)</f>
        <v>0</v>
      </c>
      <c r="AQ551" s="64" t="s">
        <v>211</v>
      </c>
      <c r="AV551" s="35">
        <f>ROUND(AW551+AX551,2)</f>
        <v>0</v>
      </c>
      <c r="AW551" s="35">
        <f>ROUND(F551*AO551,2)</f>
        <v>0</v>
      </c>
      <c r="AX551" s="35">
        <f>ROUND(F551*AP551,2)</f>
        <v>0</v>
      </c>
      <c r="AY551" s="64" t="s">
        <v>1151</v>
      </c>
      <c r="AZ551" s="64" t="s">
        <v>1096</v>
      </c>
      <c r="BA551" s="48" t="s">
        <v>1086</v>
      </c>
      <c r="BB551" s="65">
        <v>100008</v>
      </c>
      <c r="BC551" s="35">
        <f>AW551+AX551</f>
        <v>0</v>
      </c>
      <c r="BD551" s="35">
        <f>G551/(100-BE551)*100</f>
        <v>0</v>
      </c>
      <c r="BE551" s="35">
        <v>0</v>
      </c>
      <c r="BF551" s="35">
        <f>551</f>
        <v>551</v>
      </c>
      <c r="BH551" s="35">
        <f>F551*AO551</f>
        <v>0</v>
      </c>
      <c r="BI551" s="35">
        <f>F551*AP551</f>
        <v>0</v>
      </c>
      <c r="BJ551" s="35">
        <f>F551*G551</f>
        <v>0</v>
      </c>
      <c r="BK551" s="64" t="s">
        <v>208</v>
      </c>
      <c r="BL551" s="35"/>
      <c r="BW551" s="35">
        <v>12</v>
      </c>
      <c r="BX551" s="3" t="s">
        <v>1169</v>
      </c>
    </row>
    <row r="552" spans="1:76" x14ac:dyDescent="0.25">
      <c r="A552" s="66"/>
      <c r="C552" s="67" t="s">
        <v>1170</v>
      </c>
      <c r="D552" s="68" t="s">
        <v>1171</v>
      </c>
      <c r="F552" s="69">
        <v>21.17</v>
      </c>
      <c r="K552" s="70"/>
    </row>
    <row r="553" spans="1:76" x14ac:dyDescent="0.25">
      <c r="A553" s="1" t="s">
        <v>1172</v>
      </c>
      <c r="B553" s="2" t="s">
        <v>1173</v>
      </c>
      <c r="C553" s="86" t="s">
        <v>1174</v>
      </c>
      <c r="D553" s="87"/>
      <c r="E553" s="2" t="s">
        <v>224</v>
      </c>
      <c r="F553" s="35">
        <v>21.17</v>
      </c>
      <c r="G553" s="35">
        <v>0</v>
      </c>
      <c r="H553" s="35">
        <f>ROUND(F553*AO553,2)</f>
        <v>0</v>
      </c>
      <c r="I553" s="35">
        <f>ROUND(F553*AP553,2)</f>
        <v>0</v>
      </c>
      <c r="J553" s="35">
        <f>ROUND(F553*G553,2)</f>
        <v>0</v>
      </c>
      <c r="K553" s="63" t="s">
        <v>203</v>
      </c>
      <c r="Z553" s="35">
        <f>ROUND(IF(AQ553="5",BJ553,0),2)</f>
        <v>0</v>
      </c>
      <c r="AB553" s="35">
        <f>ROUND(IF(AQ553="1",BH553,0),2)</f>
        <v>0</v>
      </c>
      <c r="AC553" s="35">
        <f>ROUND(IF(AQ553="1",BI553,0),2)</f>
        <v>0</v>
      </c>
      <c r="AD553" s="35">
        <f>ROUND(IF(AQ553="7",BH553,0),2)</f>
        <v>0</v>
      </c>
      <c r="AE553" s="35">
        <f>ROUND(IF(AQ553="7",BI553,0),2)</f>
        <v>0</v>
      </c>
      <c r="AF553" s="35">
        <f>ROUND(IF(AQ553="2",BH553,0),2)</f>
        <v>0</v>
      </c>
      <c r="AG553" s="35">
        <f>ROUND(IF(AQ553="2",BI553,0),2)</f>
        <v>0</v>
      </c>
      <c r="AH553" s="35">
        <f>ROUND(IF(AQ553="0",BJ553,0),2)</f>
        <v>0</v>
      </c>
      <c r="AI553" s="48" t="s">
        <v>89</v>
      </c>
      <c r="AJ553" s="35">
        <f>IF(AN553=0,J553,0)</f>
        <v>0</v>
      </c>
      <c r="AK553" s="35">
        <f>IF(AN553=12,J553,0)</f>
        <v>0</v>
      </c>
      <c r="AL553" s="35">
        <f>IF(AN553=21,J553,0)</f>
        <v>0</v>
      </c>
      <c r="AN553" s="35">
        <v>12</v>
      </c>
      <c r="AO553" s="35">
        <f>G553*0</f>
        <v>0</v>
      </c>
      <c r="AP553" s="35">
        <f>G553*(1-0)</f>
        <v>0</v>
      </c>
      <c r="AQ553" s="64" t="s">
        <v>211</v>
      </c>
      <c r="AV553" s="35">
        <f>ROUND(AW553+AX553,2)</f>
        <v>0</v>
      </c>
      <c r="AW553" s="35">
        <f>ROUND(F553*AO553,2)</f>
        <v>0</v>
      </c>
      <c r="AX553" s="35">
        <f>ROUND(F553*AP553,2)</f>
        <v>0</v>
      </c>
      <c r="AY553" s="64" t="s">
        <v>1151</v>
      </c>
      <c r="AZ553" s="64" t="s">
        <v>1096</v>
      </c>
      <c r="BA553" s="48" t="s">
        <v>1086</v>
      </c>
      <c r="BB553" s="65">
        <v>100008</v>
      </c>
      <c r="BC553" s="35">
        <f>AW553+AX553</f>
        <v>0</v>
      </c>
      <c r="BD553" s="35">
        <f>G553/(100-BE553)*100</f>
        <v>0</v>
      </c>
      <c r="BE553" s="35">
        <v>0</v>
      </c>
      <c r="BF553" s="35">
        <f>553</f>
        <v>553</v>
      </c>
      <c r="BH553" s="35">
        <f>F553*AO553</f>
        <v>0</v>
      </c>
      <c r="BI553" s="35">
        <f>F553*AP553</f>
        <v>0</v>
      </c>
      <c r="BJ553" s="35">
        <f>F553*G553</f>
        <v>0</v>
      </c>
      <c r="BK553" s="64" t="s">
        <v>208</v>
      </c>
      <c r="BL553" s="35"/>
      <c r="BW553" s="35">
        <v>12</v>
      </c>
      <c r="BX553" s="3" t="s">
        <v>1174</v>
      </c>
    </row>
    <row r="554" spans="1:76" x14ac:dyDescent="0.25">
      <c r="A554" s="66"/>
      <c r="C554" s="67" t="s">
        <v>1170</v>
      </c>
      <c r="D554" s="68" t="s">
        <v>10</v>
      </c>
      <c r="F554" s="69">
        <v>21.17</v>
      </c>
      <c r="K554" s="70"/>
    </row>
    <row r="555" spans="1:76" x14ac:dyDescent="0.25">
      <c r="A555" s="1" t="s">
        <v>1175</v>
      </c>
      <c r="B555" s="2" t="s">
        <v>1176</v>
      </c>
      <c r="C555" s="86" t="s">
        <v>1177</v>
      </c>
      <c r="D555" s="87"/>
      <c r="E555" s="2" t="s">
        <v>252</v>
      </c>
      <c r="F555" s="35">
        <v>9</v>
      </c>
      <c r="G555" s="35">
        <v>0</v>
      </c>
      <c r="H555" s="35">
        <f>ROUND(F555*AO555,2)</f>
        <v>0</v>
      </c>
      <c r="I555" s="35">
        <f>ROUND(F555*AP555,2)</f>
        <v>0</v>
      </c>
      <c r="J555" s="35">
        <f>ROUND(F555*G555,2)</f>
        <v>0</v>
      </c>
      <c r="K555" s="63" t="s">
        <v>203</v>
      </c>
      <c r="Z555" s="35">
        <f>ROUND(IF(AQ555="5",BJ555,0),2)</f>
        <v>0</v>
      </c>
      <c r="AB555" s="35">
        <f>ROUND(IF(AQ555="1",BH555,0),2)</f>
        <v>0</v>
      </c>
      <c r="AC555" s="35">
        <f>ROUND(IF(AQ555="1",BI555,0),2)</f>
        <v>0</v>
      </c>
      <c r="AD555" s="35">
        <f>ROUND(IF(AQ555="7",BH555,0),2)</f>
        <v>0</v>
      </c>
      <c r="AE555" s="35">
        <f>ROUND(IF(AQ555="7",BI555,0),2)</f>
        <v>0</v>
      </c>
      <c r="AF555" s="35">
        <f>ROUND(IF(AQ555="2",BH555,0),2)</f>
        <v>0</v>
      </c>
      <c r="AG555" s="35">
        <f>ROUND(IF(AQ555="2",BI555,0),2)</f>
        <v>0</v>
      </c>
      <c r="AH555" s="35">
        <f>ROUND(IF(AQ555="0",BJ555,0),2)</f>
        <v>0</v>
      </c>
      <c r="AI555" s="48" t="s">
        <v>89</v>
      </c>
      <c r="AJ555" s="35">
        <f>IF(AN555=0,J555,0)</f>
        <v>0</v>
      </c>
      <c r="AK555" s="35">
        <f>IF(AN555=12,J555,0)</f>
        <v>0</v>
      </c>
      <c r="AL555" s="35">
        <f>IF(AN555=21,J555,0)</f>
        <v>0</v>
      </c>
      <c r="AN555" s="35">
        <v>12</v>
      </c>
      <c r="AO555" s="35">
        <f>G555*0</f>
        <v>0</v>
      </c>
      <c r="AP555" s="35">
        <f>G555*(1-0)</f>
        <v>0</v>
      </c>
      <c r="AQ555" s="64" t="s">
        <v>211</v>
      </c>
      <c r="AV555" s="35">
        <f>ROUND(AW555+AX555,2)</f>
        <v>0</v>
      </c>
      <c r="AW555" s="35">
        <f>ROUND(F555*AO555,2)</f>
        <v>0</v>
      </c>
      <c r="AX555" s="35">
        <f>ROUND(F555*AP555,2)</f>
        <v>0</v>
      </c>
      <c r="AY555" s="64" t="s">
        <v>1151</v>
      </c>
      <c r="AZ555" s="64" t="s">
        <v>1096</v>
      </c>
      <c r="BA555" s="48" t="s">
        <v>1086</v>
      </c>
      <c r="BB555" s="65">
        <v>100008</v>
      </c>
      <c r="BC555" s="35">
        <f>AW555+AX555</f>
        <v>0</v>
      </c>
      <c r="BD555" s="35">
        <f>G555/(100-BE555)*100</f>
        <v>0</v>
      </c>
      <c r="BE555" s="35">
        <v>0</v>
      </c>
      <c r="BF555" s="35">
        <f>555</f>
        <v>555</v>
      </c>
      <c r="BH555" s="35">
        <f>F555*AO555</f>
        <v>0</v>
      </c>
      <c r="BI555" s="35">
        <f>F555*AP555</f>
        <v>0</v>
      </c>
      <c r="BJ555" s="35">
        <f>F555*G555</f>
        <v>0</v>
      </c>
      <c r="BK555" s="64" t="s">
        <v>208</v>
      </c>
      <c r="BL555" s="35"/>
      <c r="BW555" s="35">
        <v>12</v>
      </c>
      <c r="BX555" s="3" t="s">
        <v>1177</v>
      </c>
    </row>
    <row r="556" spans="1:76" x14ac:dyDescent="0.25">
      <c r="A556" s="66"/>
      <c r="C556" s="67" t="s">
        <v>255</v>
      </c>
      <c r="D556" s="68" t="s">
        <v>1178</v>
      </c>
      <c r="F556" s="69">
        <v>9</v>
      </c>
      <c r="K556" s="70"/>
    </row>
    <row r="557" spans="1:76" x14ac:dyDescent="0.25">
      <c r="A557" s="1" t="s">
        <v>1179</v>
      </c>
      <c r="B557" s="2" t="s">
        <v>1176</v>
      </c>
      <c r="C557" s="86" t="s">
        <v>1177</v>
      </c>
      <c r="D557" s="87"/>
      <c r="E557" s="2" t="s">
        <v>252</v>
      </c>
      <c r="F557" s="35">
        <v>2</v>
      </c>
      <c r="G557" s="35">
        <v>0</v>
      </c>
      <c r="H557" s="35">
        <f>ROUND(F557*AO557,2)</f>
        <v>0</v>
      </c>
      <c r="I557" s="35">
        <f>ROUND(F557*AP557,2)</f>
        <v>0</v>
      </c>
      <c r="J557" s="35">
        <f>ROUND(F557*G557,2)</f>
        <v>0</v>
      </c>
      <c r="K557" s="63" t="s">
        <v>203</v>
      </c>
      <c r="Z557" s="35">
        <f>ROUND(IF(AQ557="5",BJ557,0),2)</f>
        <v>0</v>
      </c>
      <c r="AB557" s="35">
        <f>ROUND(IF(AQ557="1",BH557,0),2)</f>
        <v>0</v>
      </c>
      <c r="AC557" s="35">
        <f>ROUND(IF(AQ557="1",BI557,0),2)</f>
        <v>0</v>
      </c>
      <c r="AD557" s="35">
        <f>ROUND(IF(AQ557="7",BH557,0),2)</f>
        <v>0</v>
      </c>
      <c r="AE557" s="35">
        <f>ROUND(IF(AQ557="7",BI557,0),2)</f>
        <v>0</v>
      </c>
      <c r="AF557" s="35">
        <f>ROUND(IF(AQ557="2",BH557,0),2)</f>
        <v>0</v>
      </c>
      <c r="AG557" s="35">
        <f>ROUND(IF(AQ557="2",BI557,0),2)</f>
        <v>0</v>
      </c>
      <c r="AH557" s="35">
        <f>ROUND(IF(AQ557="0",BJ557,0),2)</f>
        <v>0</v>
      </c>
      <c r="AI557" s="48" t="s">
        <v>89</v>
      </c>
      <c r="AJ557" s="35">
        <f>IF(AN557=0,J557,0)</f>
        <v>0</v>
      </c>
      <c r="AK557" s="35">
        <f>IF(AN557=12,J557,0)</f>
        <v>0</v>
      </c>
      <c r="AL557" s="35">
        <f>IF(AN557=21,J557,0)</f>
        <v>0</v>
      </c>
      <c r="AN557" s="35">
        <v>12</v>
      </c>
      <c r="AO557" s="35">
        <f>G557*0</f>
        <v>0</v>
      </c>
      <c r="AP557" s="35">
        <f>G557*(1-0)</f>
        <v>0</v>
      </c>
      <c r="AQ557" s="64" t="s">
        <v>211</v>
      </c>
      <c r="AV557" s="35">
        <f>ROUND(AW557+AX557,2)</f>
        <v>0</v>
      </c>
      <c r="AW557" s="35">
        <f>ROUND(F557*AO557,2)</f>
        <v>0</v>
      </c>
      <c r="AX557" s="35">
        <f>ROUND(F557*AP557,2)</f>
        <v>0</v>
      </c>
      <c r="AY557" s="64" t="s">
        <v>1151</v>
      </c>
      <c r="AZ557" s="64" t="s">
        <v>1096</v>
      </c>
      <c r="BA557" s="48" t="s">
        <v>1086</v>
      </c>
      <c r="BB557" s="65">
        <v>100008</v>
      </c>
      <c r="BC557" s="35">
        <f>AW557+AX557</f>
        <v>0</v>
      </c>
      <c r="BD557" s="35">
        <f>G557/(100-BE557)*100</f>
        <v>0</v>
      </c>
      <c r="BE557" s="35">
        <v>0</v>
      </c>
      <c r="BF557" s="35">
        <f>557</f>
        <v>557</v>
      </c>
      <c r="BH557" s="35">
        <f>F557*AO557</f>
        <v>0</v>
      </c>
      <c r="BI557" s="35">
        <f>F557*AP557</f>
        <v>0</v>
      </c>
      <c r="BJ557" s="35">
        <f>F557*G557</f>
        <v>0</v>
      </c>
      <c r="BK557" s="64" t="s">
        <v>208</v>
      </c>
      <c r="BL557" s="35"/>
      <c r="BW557" s="35">
        <v>12</v>
      </c>
      <c r="BX557" s="3" t="s">
        <v>1177</v>
      </c>
    </row>
    <row r="558" spans="1:76" x14ac:dyDescent="0.25">
      <c r="A558" s="66"/>
      <c r="C558" s="67" t="s">
        <v>211</v>
      </c>
      <c r="D558" s="68" t="s">
        <v>1051</v>
      </c>
      <c r="F558" s="69">
        <v>2</v>
      </c>
      <c r="K558" s="70"/>
    </row>
    <row r="559" spans="1:76" x14ac:dyDescent="0.25">
      <c r="A559" s="76" t="s">
        <v>1180</v>
      </c>
      <c r="B559" s="77" t="s">
        <v>1181</v>
      </c>
      <c r="C559" s="185" t="s">
        <v>1182</v>
      </c>
      <c r="D559" s="186"/>
      <c r="E559" s="77" t="s">
        <v>252</v>
      </c>
      <c r="F559" s="79">
        <v>2</v>
      </c>
      <c r="G559" s="79">
        <v>0</v>
      </c>
      <c r="H559" s="79">
        <f>ROUND(F559*AO559,2)</f>
        <v>0</v>
      </c>
      <c r="I559" s="79">
        <f>ROUND(F559*AP559,2)</f>
        <v>0</v>
      </c>
      <c r="J559" s="79">
        <f>ROUND(F559*G559,2)</f>
        <v>0</v>
      </c>
      <c r="K559" s="80" t="s">
        <v>292</v>
      </c>
      <c r="Z559" s="35">
        <f>ROUND(IF(AQ559="5",BJ559,0),2)</f>
        <v>0</v>
      </c>
      <c r="AB559" s="35">
        <f>ROUND(IF(AQ559="1",BH559,0),2)</f>
        <v>0</v>
      </c>
      <c r="AC559" s="35">
        <f>ROUND(IF(AQ559="1",BI559,0),2)</f>
        <v>0</v>
      </c>
      <c r="AD559" s="35">
        <f>ROUND(IF(AQ559="7",BH559,0),2)</f>
        <v>0</v>
      </c>
      <c r="AE559" s="35">
        <f>ROUND(IF(AQ559="7",BI559,0),2)</f>
        <v>0</v>
      </c>
      <c r="AF559" s="35">
        <f>ROUND(IF(AQ559="2",BH559,0),2)</f>
        <v>0</v>
      </c>
      <c r="AG559" s="35">
        <f>ROUND(IF(AQ559="2",BI559,0),2)</f>
        <v>0</v>
      </c>
      <c r="AH559" s="35">
        <f>ROUND(IF(AQ559="0",BJ559,0),2)</f>
        <v>0</v>
      </c>
      <c r="AI559" s="48" t="s">
        <v>89</v>
      </c>
      <c r="AJ559" s="79">
        <f>IF(AN559=0,J559,0)</f>
        <v>0</v>
      </c>
      <c r="AK559" s="79">
        <f>IF(AN559=12,J559,0)</f>
        <v>0</v>
      </c>
      <c r="AL559" s="79">
        <f>IF(AN559=21,J559,0)</f>
        <v>0</v>
      </c>
      <c r="AN559" s="35">
        <v>12</v>
      </c>
      <c r="AO559" s="35">
        <f>G559*1</f>
        <v>0</v>
      </c>
      <c r="AP559" s="35">
        <f>G559*(1-1)</f>
        <v>0</v>
      </c>
      <c r="AQ559" s="81" t="s">
        <v>211</v>
      </c>
      <c r="AV559" s="35">
        <f>ROUND(AW559+AX559,2)</f>
        <v>0</v>
      </c>
      <c r="AW559" s="35">
        <f>ROUND(F559*AO559,2)</f>
        <v>0</v>
      </c>
      <c r="AX559" s="35">
        <f>ROUND(F559*AP559,2)</f>
        <v>0</v>
      </c>
      <c r="AY559" s="64" t="s">
        <v>1151</v>
      </c>
      <c r="AZ559" s="64" t="s">
        <v>1096</v>
      </c>
      <c r="BA559" s="48" t="s">
        <v>1086</v>
      </c>
      <c r="BC559" s="35">
        <f>AW559+AX559</f>
        <v>0</v>
      </c>
      <c r="BD559" s="35">
        <f>G559/(100-BE559)*100</f>
        <v>0</v>
      </c>
      <c r="BE559" s="35">
        <v>0</v>
      </c>
      <c r="BF559" s="35">
        <f>559</f>
        <v>559</v>
      </c>
      <c r="BH559" s="79">
        <f>F559*AO559</f>
        <v>0</v>
      </c>
      <c r="BI559" s="79">
        <f>F559*AP559</f>
        <v>0</v>
      </c>
      <c r="BJ559" s="79">
        <f>F559*G559</f>
        <v>0</v>
      </c>
      <c r="BK559" s="81" t="s">
        <v>464</v>
      </c>
      <c r="BL559" s="35"/>
      <c r="BW559" s="35">
        <v>12</v>
      </c>
      <c r="BX559" s="78" t="s">
        <v>1182</v>
      </c>
    </row>
    <row r="560" spans="1:76" x14ac:dyDescent="0.25">
      <c r="A560" s="66"/>
      <c r="C560" s="67" t="s">
        <v>211</v>
      </c>
      <c r="D560" s="68" t="s">
        <v>1183</v>
      </c>
      <c r="F560" s="69">
        <v>2</v>
      </c>
      <c r="K560" s="70"/>
    </row>
    <row r="561" spans="1:76" x14ac:dyDescent="0.25">
      <c r="A561" s="1" t="s">
        <v>1184</v>
      </c>
      <c r="B561" s="2" t="s">
        <v>1185</v>
      </c>
      <c r="C561" s="86" t="s">
        <v>1186</v>
      </c>
      <c r="D561" s="87"/>
      <c r="E561" s="2" t="s">
        <v>252</v>
      </c>
      <c r="F561" s="35">
        <v>2</v>
      </c>
      <c r="G561" s="35">
        <v>0</v>
      </c>
      <c r="H561" s="35">
        <f>ROUND(F561*AO561,2)</f>
        <v>0</v>
      </c>
      <c r="I561" s="35">
        <f>ROUND(F561*AP561,2)</f>
        <v>0</v>
      </c>
      <c r="J561" s="35">
        <f>ROUND(F561*G561,2)</f>
        <v>0</v>
      </c>
      <c r="K561" s="63" t="s">
        <v>203</v>
      </c>
      <c r="Z561" s="35">
        <f>ROUND(IF(AQ561="5",BJ561,0),2)</f>
        <v>0</v>
      </c>
      <c r="AB561" s="35">
        <f>ROUND(IF(AQ561="1",BH561,0),2)</f>
        <v>0</v>
      </c>
      <c r="AC561" s="35">
        <f>ROUND(IF(AQ561="1",BI561,0),2)</f>
        <v>0</v>
      </c>
      <c r="AD561" s="35">
        <f>ROUND(IF(AQ561="7",BH561,0),2)</f>
        <v>0</v>
      </c>
      <c r="AE561" s="35">
        <f>ROUND(IF(AQ561="7",BI561,0),2)</f>
        <v>0</v>
      </c>
      <c r="AF561" s="35">
        <f>ROUND(IF(AQ561="2",BH561,0),2)</f>
        <v>0</v>
      </c>
      <c r="AG561" s="35">
        <f>ROUND(IF(AQ561="2",BI561,0),2)</f>
        <v>0</v>
      </c>
      <c r="AH561" s="35">
        <f>ROUND(IF(AQ561="0",BJ561,0),2)</f>
        <v>0</v>
      </c>
      <c r="AI561" s="48" t="s">
        <v>89</v>
      </c>
      <c r="AJ561" s="35">
        <f>IF(AN561=0,J561,0)</f>
        <v>0</v>
      </c>
      <c r="AK561" s="35">
        <f>IF(AN561=12,J561,0)</f>
        <v>0</v>
      </c>
      <c r="AL561" s="35">
        <f>IF(AN561=21,J561,0)</f>
        <v>0</v>
      </c>
      <c r="AN561" s="35">
        <v>12</v>
      </c>
      <c r="AO561" s="35">
        <f>G561*0</f>
        <v>0</v>
      </c>
      <c r="AP561" s="35">
        <f>G561*(1-0)</f>
        <v>0</v>
      </c>
      <c r="AQ561" s="64" t="s">
        <v>211</v>
      </c>
      <c r="AV561" s="35">
        <f>ROUND(AW561+AX561,2)</f>
        <v>0</v>
      </c>
      <c r="AW561" s="35">
        <f>ROUND(F561*AO561,2)</f>
        <v>0</v>
      </c>
      <c r="AX561" s="35">
        <f>ROUND(F561*AP561,2)</f>
        <v>0</v>
      </c>
      <c r="AY561" s="64" t="s">
        <v>1151</v>
      </c>
      <c r="AZ561" s="64" t="s">
        <v>1096</v>
      </c>
      <c r="BA561" s="48" t="s">
        <v>1086</v>
      </c>
      <c r="BB561" s="65">
        <v>100008</v>
      </c>
      <c r="BC561" s="35">
        <f>AW561+AX561</f>
        <v>0</v>
      </c>
      <c r="BD561" s="35">
        <f>G561/(100-BE561)*100</f>
        <v>0</v>
      </c>
      <c r="BE561" s="35">
        <v>0</v>
      </c>
      <c r="BF561" s="35">
        <f>561</f>
        <v>561</v>
      </c>
      <c r="BH561" s="35">
        <f>F561*AO561</f>
        <v>0</v>
      </c>
      <c r="BI561" s="35">
        <f>F561*AP561</f>
        <v>0</v>
      </c>
      <c r="BJ561" s="35">
        <f>F561*G561</f>
        <v>0</v>
      </c>
      <c r="BK561" s="64" t="s">
        <v>208</v>
      </c>
      <c r="BL561" s="35"/>
      <c r="BW561" s="35">
        <v>12</v>
      </c>
      <c r="BX561" s="3" t="s">
        <v>1186</v>
      </c>
    </row>
    <row r="562" spans="1:76" x14ac:dyDescent="0.25">
      <c r="A562" s="66"/>
      <c r="C562" s="67" t="s">
        <v>211</v>
      </c>
      <c r="D562" s="68" t="s">
        <v>1187</v>
      </c>
      <c r="F562" s="69">
        <v>2</v>
      </c>
      <c r="K562" s="70"/>
    </row>
    <row r="563" spans="1:76" x14ac:dyDescent="0.25">
      <c r="A563" s="76" t="s">
        <v>1188</v>
      </c>
      <c r="B563" s="77" t="s">
        <v>1189</v>
      </c>
      <c r="C563" s="185" t="s">
        <v>1190</v>
      </c>
      <c r="D563" s="186"/>
      <c r="E563" s="77" t="s">
        <v>252</v>
      </c>
      <c r="F563" s="79">
        <v>2</v>
      </c>
      <c r="G563" s="79">
        <v>0</v>
      </c>
      <c r="H563" s="79">
        <f>ROUND(F563*AO563,2)</f>
        <v>0</v>
      </c>
      <c r="I563" s="79">
        <f>ROUND(F563*AP563,2)</f>
        <v>0</v>
      </c>
      <c r="J563" s="79">
        <f>ROUND(F563*G563,2)</f>
        <v>0</v>
      </c>
      <c r="K563" s="80" t="s">
        <v>292</v>
      </c>
      <c r="Z563" s="35">
        <f>ROUND(IF(AQ563="5",BJ563,0),2)</f>
        <v>0</v>
      </c>
      <c r="AB563" s="35">
        <f>ROUND(IF(AQ563="1",BH563,0),2)</f>
        <v>0</v>
      </c>
      <c r="AC563" s="35">
        <f>ROUND(IF(AQ563="1",BI563,0),2)</f>
        <v>0</v>
      </c>
      <c r="AD563" s="35">
        <f>ROUND(IF(AQ563="7",BH563,0),2)</f>
        <v>0</v>
      </c>
      <c r="AE563" s="35">
        <f>ROUND(IF(AQ563="7",BI563,0),2)</f>
        <v>0</v>
      </c>
      <c r="AF563" s="35">
        <f>ROUND(IF(AQ563="2",BH563,0),2)</f>
        <v>0</v>
      </c>
      <c r="AG563" s="35">
        <f>ROUND(IF(AQ563="2",BI563,0),2)</f>
        <v>0</v>
      </c>
      <c r="AH563" s="35">
        <f>ROUND(IF(AQ563="0",BJ563,0),2)</f>
        <v>0</v>
      </c>
      <c r="AI563" s="48" t="s">
        <v>89</v>
      </c>
      <c r="AJ563" s="79">
        <f>IF(AN563=0,J563,0)</f>
        <v>0</v>
      </c>
      <c r="AK563" s="79">
        <f>IF(AN563=12,J563,0)</f>
        <v>0</v>
      </c>
      <c r="AL563" s="79">
        <f>IF(AN563=21,J563,0)</f>
        <v>0</v>
      </c>
      <c r="AN563" s="35">
        <v>12</v>
      </c>
      <c r="AO563" s="35">
        <f>G563*1</f>
        <v>0</v>
      </c>
      <c r="AP563" s="35">
        <f>G563*(1-1)</f>
        <v>0</v>
      </c>
      <c r="AQ563" s="81" t="s">
        <v>211</v>
      </c>
      <c r="AV563" s="35">
        <f>ROUND(AW563+AX563,2)</f>
        <v>0</v>
      </c>
      <c r="AW563" s="35">
        <f>ROUND(F563*AO563,2)</f>
        <v>0</v>
      </c>
      <c r="AX563" s="35">
        <f>ROUND(F563*AP563,2)</f>
        <v>0</v>
      </c>
      <c r="AY563" s="64" t="s">
        <v>1151</v>
      </c>
      <c r="AZ563" s="64" t="s">
        <v>1096</v>
      </c>
      <c r="BA563" s="48" t="s">
        <v>1086</v>
      </c>
      <c r="BC563" s="35">
        <f>AW563+AX563</f>
        <v>0</v>
      </c>
      <c r="BD563" s="35">
        <f>G563/(100-BE563)*100</f>
        <v>0</v>
      </c>
      <c r="BE563" s="35">
        <v>0</v>
      </c>
      <c r="BF563" s="35">
        <f>563</f>
        <v>563</v>
      </c>
      <c r="BH563" s="79">
        <f>F563*AO563</f>
        <v>0</v>
      </c>
      <c r="BI563" s="79">
        <f>F563*AP563</f>
        <v>0</v>
      </c>
      <c r="BJ563" s="79">
        <f>F563*G563</f>
        <v>0</v>
      </c>
      <c r="BK563" s="81" t="s">
        <v>464</v>
      </c>
      <c r="BL563" s="35"/>
      <c r="BW563" s="35">
        <v>12</v>
      </c>
      <c r="BX563" s="78" t="s">
        <v>1190</v>
      </c>
    </row>
    <row r="564" spans="1:76" x14ac:dyDescent="0.25">
      <c r="A564" s="1" t="s">
        <v>1191</v>
      </c>
      <c r="B564" s="2" t="s">
        <v>1192</v>
      </c>
      <c r="C564" s="86" t="s">
        <v>1193</v>
      </c>
      <c r="D564" s="87"/>
      <c r="E564" s="2" t="s">
        <v>252</v>
      </c>
      <c r="F564" s="35">
        <v>3</v>
      </c>
      <c r="G564" s="35">
        <v>0</v>
      </c>
      <c r="H564" s="35">
        <f>ROUND(F564*AO564,2)</f>
        <v>0</v>
      </c>
      <c r="I564" s="35">
        <f>ROUND(F564*AP564,2)</f>
        <v>0</v>
      </c>
      <c r="J564" s="35">
        <f>ROUND(F564*G564,2)</f>
        <v>0</v>
      </c>
      <c r="K564" s="63" t="s">
        <v>203</v>
      </c>
      <c r="Z564" s="35">
        <f>ROUND(IF(AQ564="5",BJ564,0),2)</f>
        <v>0</v>
      </c>
      <c r="AB564" s="35">
        <f>ROUND(IF(AQ564="1",BH564,0),2)</f>
        <v>0</v>
      </c>
      <c r="AC564" s="35">
        <f>ROUND(IF(AQ564="1",BI564,0),2)</f>
        <v>0</v>
      </c>
      <c r="AD564" s="35">
        <f>ROUND(IF(AQ564="7",BH564,0),2)</f>
        <v>0</v>
      </c>
      <c r="AE564" s="35">
        <f>ROUND(IF(AQ564="7",BI564,0),2)</f>
        <v>0</v>
      </c>
      <c r="AF564" s="35">
        <f>ROUND(IF(AQ564="2",BH564,0),2)</f>
        <v>0</v>
      </c>
      <c r="AG564" s="35">
        <f>ROUND(IF(AQ564="2",BI564,0),2)</f>
        <v>0</v>
      </c>
      <c r="AH564" s="35">
        <f>ROUND(IF(AQ564="0",BJ564,0),2)</f>
        <v>0</v>
      </c>
      <c r="AI564" s="48" t="s">
        <v>89</v>
      </c>
      <c r="AJ564" s="35">
        <f>IF(AN564=0,J564,0)</f>
        <v>0</v>
      </c>
      <c r="AK564" s="35">
        <f>IF(AN564=12,J564,0)</f>
        <v>0</v>
      </c>
      <c r="AL564" s="35">
        <f>IF(AN564=21,J564,0)</f>
        <v>0</v>
      </c>
      <c r="AN564" s="35">
        <v>12</v>
      </c>
      <c r="AO564" s="35">
        <f>G564*0</f>
        <v>0</v>
      </c>
      <c r="AP564" s="35">
        <f>G564*(1-0)</f>
        <v>0</v>
      </c>
      <c r="AQ564" s="64" t="s">
        <v>211</v>
      </c>
      <c r="AV564" s="35">
        <f>ROUND(AW564+AX564,2)</f>
        <v>0</v>
      </c>
      <c r="AW564" s="35">
        <f>ROUND(F564*AO564,2)</f>
        <v>0</v>
      </c>
      <c r="AX564" s="35">
        <f>ROUND(F564*AP564,2)</f>
        <v>0</v>
      </c>
      <c r="AY564" s="64" t="s">
        <v>1151</v>
      </c>
      <c r="AZ564" s="64" t="s">
        <v>1096</v>
      </c>
      <c r="BA564" s="48" t="s">
        <v>1086</v>
      </c>
      <c r="BB564" s="65">
        <v>100008</v>
      </c>
      <c r="BC564" s="35">
        <f>AW564+AX564</f>
        <v>0</v>
      </c>
      <c r="BD564" s="35">
        <f>G564/(100-BE564)*100</f>
        <v>0</v>
      </c>
      <c r="BE564" s="35">
        <v>0</v>
      </c>
      <c r="BF564" s="35">
        <f>564</f>
        <v>564</v>
      </c>
      <c r="BH564" s="35">
        <f>F564*AO564</f>
        <v>0</v>
      </c>
      <c r="BI564" s="35">
        <f>F564*AP564</f>
        <v>0</v>
      </c>
      <c r="BJ564" s="35">
        <f>F564*G564</f>
        <v>0</v>
      </c>
      <c r="BK564" s="64" t="s">
        <v>208</v>
      </c>
      <c r="BL564" s="35"/>
      <c r="BW564" s="35">
        <v>12</v>
      </c>
      <c r="BX564" s="3" t="s">
        <v>1193</v>
      </c>
    </row>
    <row r="565" spans="1:76" x14ac:dyDescent="0.25">
      <c r="A565" s="66"/>
      <c r="C565" s="67" t="s">
        <v>221</v>
      </c>
      <c r="D565" s="68" t="s">
        <v>10</v>
      </c>
      <c r="F565" s="69">
        <v>3</v>
      </c>
      <c r="K565" s="70"/>
    </row>
    <row r="566" spans="1:76" x14ac:dyDescent="0.25">
      <c r="A566" s="76" t="s">
        <v>1194</v>
      </c>
      <c r="B566" s="77" t="s">
        <v>1189</v>
      </c>
      <c r="C566" s="185" t="s">
        <v>1195</v>
      </c>
      <c r="D566" s="186"/>
      <c r="E566" s="77" t="s">
        <v>252</v>
      </c>
      <c r="F566" s="79">
        <v>3</v>
      </c>
      <c r="G566" s="79">
        <v>0</v>
      </c>
      <c r="H566" s="79">
        <f>ROUND(F566*AO566,2)</f>
        <v>0</v>
      </c>
      <c r="I566" s="79">
        <f>ROUND(F566*AP566,2)</f>
        <v>0</v>
      </c>
      <c r="J566" s="79">
        <f>ROUND(F566*G566,2)</f>
        <v>0</v>
      </c>
      <c r="K566" s="80" t="s">
        <v>292</v>
      </c>
      <c r="Z566" s="35">
        <f>ROUND(IF(AQ566="5",BJ566,0),2)</f>
        <v>0</v>
      </c>
      <c r="AB566" s="35">
        <f>ROUND(IF(AQ566="1",BH566,0),2)</f>
        <v>0</v>
      </c>
      <c r="AC566" s="35">
        <f>ROUND(IF(AQ566="1",BI566,0),2)</f>
        <v>0</v>
      </c>
      <c r="AD566" s="35">
        <f>ROUND(IF(AQ566="7",BH566,0),2)</f>
        <v>0</v>
      </c>
      <c r="AE566" s="35">
        <f>ROUND(IF(AQ566="7",BI566,0),2)</f>
        <v>0</v>
      </c>
      <c r="AF566" s="35">
        <f>ROUND(IF(AQ566="2",BH566,0),2)</f>
        <v>0</v>
      </c>
      <c r="AG566" s="35">
        <f>ROUND(IF(AQ566="2",BI566,0),2)</f>
        <v>0</v>
      </c>
      <c r="AH566" s="35">
        <f>ROUND(IF(AQ566="0",BJ566,0),2)</f>
        <v>0</v>
      </c>
      <c r="AI566" s="48" t="s">
        <v>89</v>
      </c>
      <c r="AJ566" s="79">
        <f>IF(AN566=0,J566,0)</f>
        <v>0</v>
      </c>
      <c r="AK566" s="79">
        <f>IF(AN566=12,J566,0)</f>
        <v>0</v>
      </c>
      <c r="AL566" s="79">
        <f>IF(AN566=21,J566,0)</f>
        <v>0</v>
      </c>
      <c r="AN566" s="35">
        <v>12</v>
      </c>
      <c r="AO566" s="35">
        <f>G566*1</f>
        <v>0</v>
      </c>
      <c r="AP566" s="35">
        <f>G566*(1-1)</f>
        <v>0</v>
      </c>
      <c r="AQ566" s="81" t="s">
        <v>211</v>
      </c>
      <c r="AV566" s="35">
        <f>ROUND(AW566+AX566,2)</f>
        <v>0</v>
      </c>
      <c r="AW566" s="35">
        <f>ROUND(F566*AO566,2)</f>
        <v>0</v>
      </c>
      <c r="AX566" s="35">
        <f>ROUND(F566*AP566,2)</f>
        <v>0</v>
      </c>
      <c r="AY566" s="64" t="s">
        <v>1151</v>
      </c>
      <c r="AZ566" s="64" t="s">
        <v>1096</v>
      </c>
      <c r="BA566" s="48" t="s">
        <v>1086</v>
      </c>
      <c r="BC566" s="35">
        <f>AW566+AX566</f>
        <v>0</v>
      </c>
      <c r="BD566" s="35">
        <f>G566/(100-BE566)*100</f>
        <v>0</v>
      </c>
      <c r="BE566" s="35">
        <v>0</v>
      </c>
      <c r="BF566" s="35">
        <f>566</f>
        <v>566</v>
      </c>
      <c r="BH566" s="79">
        <f>F566*AO566</f>
        <v>0</v>
      </c>
      <c r="BI566" s="79">
        <f>F566*AP566</f>
        <v>0</v>
      </c>
      <c r="BJ566" s="79">
        <f>F566*G566</f>
        <v>0</v>
      </c>
      <c r="BK566" s="81" t="s">
        <v>464</v>
      </c>
      <c r="BL566" s="35"/>
      <c r="BW566" s="35">
        <v>12</v>
      </c>
      <c r="BX566" s="78" t="s">
        <v>1195</v>
      </c>
    </row>
    <row r="567" spans="1:76" x14ac:dyDescent="0.25">
      <c r="A567" s="66"/>
      <c r="C567" s="67" t="s">
        <v>221</v>
      </c>
      <c r="D567" s="68" t="s">
        <v>10</v>
      </c>
      <c r="F567" s="69">
        <v>3</v>
      </c>
      <c r="K567" s="70"/>
    </row>
    <row r="568" spans="1:76" x14ac:dyDescent="0.25">
      <c r="A568" s="1" t="s">
        <v>1196</v>
      </c>
      <c r="B568" s="2" t="s">
        <v>1197</v>
      </c>
      <c r="C568" s="86" t="s">
        <v>1198</v>
      </c>
      <c r="D568" s="87"/>
      <c r="E568" s="2" t="s">
        <v>252</v>
      </c>
      <c r="F568" s="35">
        <v>2</v>
      </c>
      <c r="G568" s="35">
        <v>0</v>
      </c>
      <c r="H568" s="35">
        <f>ROUND(F568*AO568,2)</f>
        <v>0</v>
      </c>
      <c r="I568" s="35">
        <f>ROUND(F568*AP568,2)</f>
        <v>0</v>
      </c>
      <c r="J568" s="35">
        <f>ROUND(F568*G568,2)</f>
        <v>0</v>
      </c>
      <c r="K568" s="63" t="s">
        <v>203</v>
      </c>
      <c r="Z568" s="35">
        <f>ROUND(IF(AQ568="5",BJ568,0),2)</f>
        <v>0</v>
      </c>
      <c r="AB568" s="35">
        <f>ROUND(IF(AQ568="1",BH568,0),2)</f>
        <v>0</v>
      </c>
      <c r="AC568" s="35">
        <f>ROUND(IF(AQ568="1",BI568,0),2)</f>
        <v>0</v>
      </c>
      <c r="AD568" s="35">
        <f>ROUND(IF(AQ568="7",BH568,0),2)</f>
        <v>0</v>
      </c>
      <c r="AE568" s="35">
        <f>ROUND(IF(AQ568="7",BI568,0),2)</f>
        <v>0</v>
      </c>
      <c r="AF568" s="35">
        <f>ROUND(IF(AQ568="2",BH568,0),2)</f>
        <v>0</v>
      </c>
      <c r="AG568" s="35">
        <f>ROUND(IF(AQ568="2",BI568,0),2)</f>
        <v>0</v>
      </c>
      <c r="AH568" s="35">
        <f>ROUND(IF(AQ568="0",BJ568,0),2)</f>
        <v>0</v>
      </c>
      <c r="AI568" s="48" t="s">
        <v>89</v>
      </c>
      <c r="AJ568" s="35">
        <f>IF(AN568=0,J568,0)</f>
        <v>0</v>
      </c>
      <c r="AK568" s="35">
        <f>IF(AN568=12,J568,0)</f>
        <v>0</v>
      </c>
      <c r="AL568" s="35">
        <f>IF(AN568=21,J568,0)</f>
        <v>0</v>
      </c>
      <c r="AN568" s="35">
        <v>12</v>
      </c>
      <c r="AO568" s="35">
        <f>G568*0.728065651</f>
        <v>0</v>
      </c>
      <c r="AP568" s="35">
        <f>G568*(1-0.728065651)</f>
        <v>0</v>
      </c>
      <c r="AQ568" s="64" t="s">
        <v>211</v>
      </c>
      <c r="AV568" s="35">
        <f>ROUND(AW568+AX568,2)</f>
        <v>0</v>
      </c>
      <c r="AW568" s="35">
        <f>ROUND(F568*AO568,2)</f>
        <v>0</v>
      </c>
      <c r="AX568" s="35">
        <f>ROUND(F568*AP568,2)</f>
        <v>0</v>
      </c>
      <c r="AY568" s="64" t="s">
        <v>1151</v>
      </c>
      <c r="AZ568" s="64" t="s">
        <v>1096</v>
      </c>
      <c r="BA568" s="48" t="s">
        <v>1086</v>
      </c>
      <c r="BB568" s="65">
        <v>100008</v>
      </c>
      <c r="BC568" s="35">
        <f>AW568+AX568</f>
        <v>0</v>
      </c>
      <c r="BD568" s="35">
        <f>G568/(100-BE568)*100</f>
        <v>0</v>
      </c>
      <c r="BE568" s="35">
        <v>0</v>
      </c>
      <c r="BF568" s="35">
        <f>568</f>
        <v>568</v>
      </c>
      <c r="BH568" s="35">
        <f>F568*AO568</f>
        <v>0</v>
      </c>
      <c r="BI568" s="35">
        <f>F568*AP568</f>
        <v>0</v>
      </c>
      <c r="BJ568" s="35">
        <f>F568*G568</f>
        <v>0</v>
      </c>
      <c r="BK568" s="64" t="s">
        <v>208</v>
      </c>
      <c r="BL568" s="35"/>
      <c r="BW568" s="35">
        <v>12</v>
      </c>
      <c r="BX568" s="3" t="s">
        <v>1198</v>
      </c>
    </row>
    <row r="569" spans="1:76" ht="13.5" customHeight="1" x14ac:dyDescent="0.25">
      <c r="A569" s="66"/>
      <c r="C569" s="180" t="s">
        <v>1199</v>
      </c>
      <c r="D569" s="181"/>
      <c r="E569" s="181"/>
      <c r="F569" s="181"/>
      <c r="G569" s="181"/>
      <c r="H569" s="181"/>
      <c r="I569" s="181"/>
      <c r="J569" s="181"/>
      <c r="K569" s="182"/>
    </row>
    <row r="570" spans="1:76" x14ac:dyDescent="0.25">
      <c r="A570" s="76" t="s">
        <v>1200</v>
      </c>
      <c r="B570" s="77" t="s">
        <v>1201</v>
      </c>
      <c r="C570" s="185" t="s">
        <v>1202</v>
      </c>
      <c r="D570" s="186"/>
      <c r="E570" s="77" t="s">
        <v>252</v>
      </c>
      <c r="F570" s="79">
        <v>2</v>
      </c>
      <c r="G570" s="79">
        <v>0</v>
      </c>
      <c r="H570" s="79">
        <f>ROUND(F570*AO570,2)</f>
        <v>0</v>
      </c>
      <c r="I570" s="79">
        <f>ROUND(F570*AP570,2)</f>
        <v>0</v>
      </c>
      <c r="J570" s="79">
        <f>ROUND(F570*G570,2)</f>
        <v>0</v>
      </c>
      <c r="K570" s="80" t="s">
        <v>203</v>
      </c>
      <c r="Z570" s="35">
        <f>ROUND(IF(AQ570="5",BJ570,0),2)</f>
        <v>0</v>
      </c>
      <c r="AB570" s="35">
        <f>ROUND(IF(AQ570="1",BH570,0),2)</f>
        <v>0</v>
      </c>
      <c r="AC570" s="35">
        <f>ROUND(IF(AQ570="1",BI570,0),2)</f>
        <v>0</v>
      </c>
      <c r="AD570" s="35">
        <f>ROUND(IF(AQ570="7",BH570,0),2)</f>
        <v>0</v>
      </c>
      <c r="AE570" s="35">
        <f>ROUND(IF(AQ570="7",BI570,0),2)</f>
        <v>0</v>
      </c>
      <c r="AF570" s="35">
        <f>ROUND(IF(AQ570="2",BH570,0),2)</f>
        <v>0</v>
      </c>
      <c r="AG570" s="35">
        <f>ROUND(IF(AQ570="2",BI570,0),2)</f>
        <v>0</v>
      </c>
      <c r="AH570" s="35">
        <f>ROUND(IF(AQ570="0",BJ570,0),2)</f>
        <v>0</v>
      </c>
      <c r="AI570" s="48" t="s">
        <v>89</v>
      </c>
      <c r="AJ570" s="79">
        <f>IF(AN570=0,J570,0)</f>
        <v>0</v>
      </c>
      <c r="AK570" s="79">
        <f>IF(AN570=12,J570,0)</f>
        <v>0</v>
      </c>
      <c r="AL570" s="79">
        <f>IF(AN570=21,J570,0)</f>
        <v>0</v>
      </c>
      <c r="AN570" s="35">
        <v>12</v>
      </c>
      <c r="AO570" s="35">
        <f>G570*1</f>
        <v>0</v>
      </c>
      <c r="AP570" s="35">
        <f>G570*(1-1)</f>
        <v>0</v>
      </c>
      <c r="AQ570" s="81" t="s">
        <v>211</v>
      </c>
      <c r="AV570" s="35">
        <f>ROUND(AW570+AX570,2)</f>
        <v>0</v>
      </c>
      <c r="AW570" s="35">
        <f>ROUND(F570*AO570,2)</f>
        <v>0</v>
      </c>
      <c r="AX570" s="35">
        <f>ROUND(F570*AP570,2)</f>
        <v>0</v>
      </c>
      <c r="AY570" s="64" t="s">
        <v>1151</v>
      </c>
      <c r="AZ570" s="64" t="s">
        <v>1096</v>
      </c>
      <c r="BA570" s="48" t="s">
        <v>1086</v>
      </c>
      <c r="BC570" s="35">
        <f>AW570+AX570</f>
        <v>0</v>
      </c>
      <c r="BD570" s="35">
        <f>G570/(100-BE570)*100</f>
        <v>0</v>
      </c>
      <c r="BE570" s="35">
        <v>0</v>
      </c>
      <c r="BF570" s="35">
        <f>570</f>
        <v>570</v>
      </c>
      <c r="BH570" s="79">
        <f>F570*AO570</f>
        <v>0</v>
      </c>
      <c r="BI570" s="79">
        <f>F570*AP570</f>
        <v>0</v>
      </c>
      <c r="BJ570" s="79">
        <f>F570*G570</f>
        <v>0</v>
      </c>
      <c r="BK570" s="81" t="s">
        <v>464</v>
      </c>
      <c r="BL570" s="35"/>
      <c r="BW570" s="35">
        <v>12</v>
      </c>
      <c r="BX570" s="78" t="s">
        <v>1202</v>
      </c>
    </row>
    <row r="571" spans="1:76" x14ac:dyDescent="0.25">
      <c r="A571" s="1" t="s">
        <v>1203</v>
      </c>
      <c r="B571" s="2" t="s">
        <v>1197</v>
      </c>
      <c r="C571" s="86" t="s">
        <v>1198</v>
      </c>
      <c r="D571" s="87"/>
      <c r="E571" s="2" t="s">
        <v>252</v>
      </c>
      <c r="F571" s="35">
        <v>1</v>
      </c>
      <c r="G571" s="35">
        <v>0</v>
      </c>
      <c r="H571" s="35">
        <f>ROUND(F571*AO571,2)</f>
        <v>0</v>
      </c>
      <c r="I571" s="35">
        <f>ROUND(F571*AP571,2)</f>
        <v>0</v>
      </c>
      <c r="J571" s="35">
        <f>ROUND(F571*G571,2)</f>
        <v>0</v>
      </c>
      <c r="K571" s="63" t="s">
        <v>203</v>
      </c>
      <c r="Z571" s="35">
        <f>ROUND(IF(AQ571="5",BJ571,0),2)</f>
        <v>0</v>
      </c>
      <c r="AB571" s="35">
        <f>ROUND(IF(AQ571="1",BH571,0),2)</f>
        <v>0</v>
      </c>
      <c r="AC571" s="35">
        <f>ROUND(IF(AQ571="1",BI571,0),2)</f>
        <v>0</v>
      </c>
      <c r="AD571" s="35">
        <f>ROUND(IF(AQ571="7",BH571,0),2)</f>
        <v>0</v>
      </c>
      <c r="AE571" s="35">
        <f>ROUND(IF(AQ571="7",BI571,0),2)</f>
        <v>0</v>
      </c>
      <c r="AF571" s="35">
        <f>ROUND(IF(AQ571="2",BH571,0),2)</f>
        <v>0</v>
      </c>
      <c r="AG571" s="35">
        <f>ROUND(IF(AQ571="2",BI571,0),2)</f>
        <v>0</v>
      </c>
      <c r="AH571" s="35">
        <f>ROUND(IF(AQ571="0",BJ571,0),2)</f>
        <v>0</v>
      </c>
      <c r="AI571" s="48" t="s">
        <v>89</v>
      </c>
      <c r="AJ571" s="35">
        <f>IF(AN571=0,J571,0)</f>
        <v>0</v>
      </c>
      <c r="AK571" s="35">
        <f>IF(AN571=12,J571,0)</f>
        <v>0</v>
      </c>
      <c r="AL571" s="35">
        <f>IF(AN571=21,J571,0)</f>
        <v>0</v>
      </c>
      <c r="AN571" s="35">
        <v>12</v>
      </c>
      <c r="AO571" s="35">
        <f>G571*0.728065651</f>
        <v>0</v>
      </c>
      <c r="AP571" s="35">
        <f>G571*(1-0.728065651)</f>
        <v>0</v>
      </c>
      <c r="AQ571" s="64" t="s">
        <v>211</v>
      </c>
      <c r="AV571" s="35">
        <f>ROUND(AW571+AX571,2)</f>
        <v>0</v>
      </c>
      <c r="AW571" s="35">
        <f>ROUND(F571*AO571,2)</f>
        <v>0</v>
      </c>
      <c r="AX571" s="35">
        <f>ROUND(F571*AP571,2)</f>
        <v>0</v>
      </c>
      <c r="AY571" s="64" t="s">
        <v>1151</v>
      </c>
      <c r="AZ571" s="64" t="s">
        <v>1096</v>
      </c>
      <c r="BA571" s="48" t="s">
        <v>1086</v>
      </c>
      <c r="BB571" s="65">
        <v>100008</v>
      </c>
      <c r="BC571" s="35">
        <f>AW571+AX571</f>
        <v>0</v>
      </c>
      <c r="BD571" s="35">
        <f>G571/(100-BE571)*100</f>
        <v>0</v>
      </c>
      <c r="BE571" s="35">
        <v>0</v>
      </c>
      <c r="BF571" s="35">
        <f>571</f>
        <v>571</v>
      </c>
      <c r="BH571" s="35">
        <f>F571*AO571</f>
        <v>0</v>
      </c>
      <c r="BI571" s="35">
        <f>F571*AP571</f>
        <v>0</v>
      </c>
      <c r="BJ571" s="35">
        <f>F571*G571</f>
        <v>0</v>
      </c>
      <c r="BK571" s="64" t="s">
        <v>208</v>
      </c>
      <c r="BL571" s="35"/>
      <c r="BW571" s="35">
        <v>12</v>
      </c>
      <c r="BX571" s="3" t="s">
        <v>1198</v>
      </c>
    </row>
    <row r="572" spans="1:76" ht="13.5" customHeight="1" x14ac:dyDescent="0.25">
      <c r="A572" s="66"/>
      <c r="C572" s="180" t="s">
        <v>1199</v>
      </c>
      <c r="D572" s="181"/>
      <c r="E572" s="181"/>
      <c r="F572" s="181"/>
      <c r="G572" s="181"/>
      <c r="H572" s="181"/>
      <c r="I572" s="181"/>
      <c r="J572" s="181"/>
      <c r="K572" s="182"/>
    </row>
    <row r="573" spans="1:76" x14ac:dyDescent="0.25">
      <c r="A573" s="76" t="s">
        <v>1204</v>
      </c>
      <c r="B573" s="77" t="s">
        <v>1205</v>
      </c>
      <c r="C573" s="185" t="s">
        <v>1206</v>
      </c>
      <c r="D573" s="186"/>
      <c r="E573" s="77" t="s">
        <v>252</v>
      </c>
      <c r="F573" s="79">
        <v>1</v>
      </c>
      <c r="G573" s="79">
        <v>0</v>
      </c>
      <c r="H573" s="79">
        <f>ROUND(F573*AO573,2)</f>
        <v>0</v>
      </c>
      <c r="I573" s="79">
        <f>ROUND(F573*AP573,2)</f>
        <v>0</v>
      </c>
      <c r="J573" s="79">
        <f>ROUND(F573*G573,2)</f>
        <v>0</v>
      </c>
      <c r="K573" s="80" t="s">
        <v>292</v>
      </c>
      <c r="Z573" s="35">
        <f>ROUND(IF(AQ573="5",BJ573,0),2)</f>
        <v>0</v>
      </c>
      <c r="AB573" s="35">
        <f>ROUND(IF(AQ573="1",BH573,0),2)</f>
        <v>0</v>
      </c>
      <c r="AC573" s="35">
        <f>ROUND(IF(AQ573="1",BI573,0),2)</f>
        <v>0</v>
      </c>
      <c r="AD573" s="35">
        <f>ROUND(IF(AQ573="7",BH573,0),2)</f>
        <v>0</v>
      </c>
      <c r="AE573" s="35">
        <f>ROUND(IF(AQ573="7",BI573,0),2)</f>
        <v>0</v>
      </c>
      <c r="AF573" s="35">
        <f>ROUND(IF(AQ573="2",BH573,0),2)</f>
        <v>0</v>
      </c>
      <c r="AG573" s="35">
        <f>ROUND(IF(AQ573="2",BI573,0),2)</f>
        <v>0</v>
      </c>
      <c r="AH573" s="35">
        <f>ROUND(IF(AQ573="0",BJ573,0),2)</f>
        <v>0</v>
      </c>
      <c r="AI573" s="48" t="s">
        <v>89</v>
      </c>
      <c r="AJ573" s="79">
        <f>IF(AN573=0,J573,0)</f>
        <v>0</v>
      </c>
      <c r="AK573" s="79">
        <f>IF(AN573=12,J573,0)</f>
        <v>0</v>
      </c>
      <c r="AL573" s="79">
        <f>IF(AN573=21,J573,0)</f>
        <v>0</v>
      </c>
      <c r="AN573" s="35">
        <v>12</v>
      </c>
      <c r="AO573" s="35">
        <f>G573*1</f>
        <v>0</v>
      </c>
      <c r="AP573" s="35">
        <f>G573*(1-1)</f>
        <v>0</v>
      </c>
      <c r="AQ573" s="81" t="s">
        <v>211</v>
      </c>
      <c r="AV573" s="35">
        <f>ROUND(AW573+AX573,2)</f>
        <v>0</v>
      </c>
      <c r="AW573" s="35">
        <f>ROUND(F573*AO573,2)</f>
        <v>0</v>
      </c>
      <c r="AX573" s="35">
        <f>ROUND(F573*AP573,2)</f>
        <v>0</v>
      </c>
      <c r="AY573" s="64" t="s">
        <v>1151</v>
      </c>
      <c r="AZ573" s="64" t="s">
        <v>1096</v>
      </c>
      <c r="BA573" s="48" t="s">
        <v>1086</v>
      </c>
      <c r="BC573" s="35">
        <f>AW573+AX573</f>
        <v>0</v>
      </c>
      <c r="BD573" s="35">
        <f>G573/(100-BE573)*100</f>
        <v>0</v>
      </c>
      <c r="BE573" s="35">
        <v>0</v>
      </c>
      <c r="BF573" s="35">
        <f>573</f>
        <v>573</v>
      </c>
      <c r="BH573" s="79">
        <f>F573*AO573</f>
        <v>0</v>
      </c>
      <c r="BI573" s="79">
        <f>F573*AP573</f>
        <v>0</v>
      </c>
      <c r="BJ573" s="79">
        <f>F573*G573</f>
        <v>0</v>
      </c>
      <c r="BK573" s="81" t="s">
        <v>464</v>
      </c>
      <c r="BL573" s="35"/>
      <c r="BW573" s="35">
        <v>12</v>
      </c>
      <c r="BX573" s="78" t="s">
        <v>1206</v>
      </c>
    </row>
    <row r="574" spans="1:76" x14ac:dyDescent="0.25">
      <c r="A574" s="1" t="s">
        <v>1207</v>
      </c>
      <c r="B574" s="2" t="s">
        <v>1208</v>
      </c>
      <c r="C574" s="86" t="s">
        <v>1209</v>
      </c>
      <c r="D574" s="87"/>
      <c r="E574" s="2" t="s">
        <v>252</v>
      </c>
      <c r="F574" s="35">
        <v>4</v>
      </c>
      <c r="G574" s="35">
        <v>0</v>
      </c>
      <c r="H574" s="35">
        <f>ROUND(F574*AO574,2)</f>
        <v>0</v>
      </c>
      <c r="I574" s="35">
        <f>ROUND(F574*AP574,2)</f>
        <v>0</v>
      </c>
      <c r="J574" s="35">
        <f>ROUND(F574*G574,2)</f>
        <v>0</v>
      </c>
      <c r="K574" s="63" t="s">
        <v>203</v>
      </c>
      <c r="Z574" s="35">
        <f>ROUND(IF(AQ574="5",BJ574,0),2)</f>
        <v>0</v>
      </c>
      <c r="AB574" s="35">
        <f>ROUND(IF(AQ574="1",BH574,0),2)</f>
        <v>0</v>
      </c>
      <c r="AC574" s="35">
        <f>ROUND(IF(AQ574="1",BI574,0),2)</f>
        <v>0</v>
      </c>
      <c r="AD574" s="35">
        <f>ROUND(IF(AQ574="7",BH574,0),2)</f>
        <v>0</v>
      </c>
      <c r="AE574" s="35">
        <f>ROUND(IF(AQ574="7",BI574,0),2)</f>
        <v>0</v>
      </c>
      <c r="AF574" s="35">
        <f>ROUND(IF(AQ574="2",BH574,0),2)</f>
        <v>0</v>
      </c>
      <c r="AG574" s="35">
        <f>ROUND(IF(AQ574="2",BI574,0),2)</f>
        <v>0</v>
      </c>
      <c r="AH574" s="35">
        <f>ROUND(IF(AQ574="0",BJ574,0),2)</f>
        <v>0</v>
      </c>
      <c r="AI574" s="48" t="s">
        <v>89</v>
      </c>
      <c r="AJ574" s="35">
        <f>IF(AN574=0,J574,0)</f>
        <v>0</v>
      </c>
      <c r="AK574" s="35">
        <f>IF(AN574=12,J574,0)</f>
        <v>0</v>
      </c>
      <c r="AL574" s="35">
        <f>IF(AN574=21,J574,0)</f>
        <v>0</v>
      </c>
      <c r="AN574" s="35">
        <v>12</v>
      </c>
      <c r="AO574" s="35">
        <f>G574*0.554189526</f>
        <v>0</v>
      </c>
      <c r="AP574" s="35">
        <f>G574*(1-0.554189526)</f>
        <v>0</v>
      </c>
      <c r="AQ574" s="64" t="s">
        <v>211</v>
      </c>
      <c r="AV574" s="35">
        <f>ROUND(AW574+AX574,2)</f>
        <v>0</v>
      </c>
      <c r="AW574" s="35">
        <f>ROUND(F574*AO574,2)</f>
        <v>0</v>
      </c>
      <c r="AX574" s="35">
        <f>ROUND(F574*AP574,2)</f>
        <v>0</v>
      </c>
      <c r="AY574" s="64" t="s">
        <v>1151</v>
      </c>
      <c r="AZ574" s="64" t="s">
        <v>1096</v>
      </c>
      <c r="BA574" s="48" t="s">
        <v>1086</v>
      </c>
      <c r="BB574" s="65">
        <v>100008</v>
      </c>
      <c r="BC574" s="35">
        <f>AW574+AX574</f>
        <v>0</v>
      </c>
      <c r="BD574" s="35">
        <f>G574/(100-BE574)*100</f>
        <v>0</v>
      </c>
      <c r="BE574" s="35">
        <v>0</v>
      </c>
      <c r="BF574" s="35">
        <f>574</f>
        <v>574</v>
      </c>
      <c r="BH574" s="35">
        <f>F574*AO574</f>
        <v>0</v>
      </c>
      <c r="BI574" s="35">
        <f>F574*AP574</f>
        <v>0</v>
      </c>
      <c r="BJ574" s="35">
        <f>F574*G574</f>
        <v>0</v>
      </c>
      <c r="BK574" s="64" t="s">
        <v>208</v>
      </c>
      <c r="BL574" s="35"/>
      <c r="BW574" s="35">
        <v>12</v>
      </c>
      <c r="BX574" s="3" t="s">
        <v>1209</v>
      </c>
    </row>
    <row r="575" spans="1:76" ht="13.5" customHeight="1" x14ac:dyDescent="0.25">
      <c r="A575" s="66"/>
      <c r="C575" s="180" t="s">
        <v>1210</v>
      </c>
      <c r="D575" s="181"/>
      <c r="E575" s="181"/>
      <c r="F575" s="181"/>
      <c r="G575" s="181"/>
      <c r="H575" s="181"/>
      <c r="I575" s="181"/>
      <c r="J575" s="181"/>
      <c r="K575" s="182"/>
    </row>
    <row r="576" spans="1:76" x14ac:dyDescent="0.25">
      <c r="A576" s="66"/>
      <c r="C576" s="67" t="s">
        <v>227</v>
      </c>
      <c r="D576" s="68" t="s">
        <v>10</v>
      </c>
      <c r="F576" s="69">
        <v>4</v>
      </c>
      <c r="K576" s="70"/>
    </row>
    <row r="577" spans="1:76" x14ac:dyDescent="0.25">
      <c r="A577" s="71" t="s">
        <v>10</v>
      </c>
      <c r="B577" s="72" t="s">
        <v>10</v>
      </c>
      <c r="C577" s="183" t="s">
        <v>90</v>
      </c>
      <c r="D577" s="184"/>
      <c r="E577" s="73" t="s">
        <v>74</v>
      </c>
      <c r="F577" s="73" t="s">
        <v>74</v>
      </c>
      <c r="G577" s="73" t="s">
        <v>74</v>
      </c>
      <c r="H577" s="74">
        <f>H578+H582+H588+H592</f>
        <v>0</v>
      </c>
      <c r="I577" s="74">
        <f>I578+I582+I588+I592</f>
        <v>0</v>
      </c>
      <c r="J577" s="74">
        <f>J578+J582+J588+J592</f>
        <v>0</v>
      </c>
      <c r="K577" s="75" t="s">
        <v>10</v>
      </c>
    </row>
    <row r="578" spans="1:76" x14ac:dyDescent="0.25">
      <c r="A578" s="59" t="s">
        <v>10</v>
      </c>
      <c r="B578" s="60" t="s">
        <v>110</v>
      </c>
      <c r="C578" s="177" t="s">
        <v>111</v>
      </c>
      <c r="D578" s="178"/>
      <c r="E578" s="61" t="s">
        <v>74</v>
      </c>
      <c r="F578" s="61" t="s">
        <v>74</v>
      </c>
      <c r="G578" s="61" t="s">
        <v>74</v>
      </c>
      <c r="H578" s="42">
        <f>SUM(H579:H579)</f>
        <v>0</v>
      </c>
      <c r="I578" s="42">
        <f>SUM(I579:I579)</f>
        <v>0</v>
      </c>
      <c r="J578" s="42">
        <f>SUM(J579:J579)</f>
        <v>0</v>
      </c>
      <c r="K578" s="62" t="s">
        <v>10</v>
      </c>
      <c r="AI578" s="48" t="s">
        <v>91</v>
      </c>
      <c r="AS578" s="42">
        <f>SUM(AJ579:AJ579)</f>
        <v>0</v>
      </c>
      <c r="AT578" s="42">
        <f>SUM(AK579:AK579)</f>
        <v>0</v>
      </c>
      <c r="AU578" s="42">
        <f>SUM(AL579:AL579)</f>
        <v>0</v>
      </c>
    </row>
    <row r="579" spans="1:76" x14ac:dyDescent="0.25">
      <c r="A579" s="1" t="s">
        <v>1211</v>
      </c>
      <c r="B579" s="2" t="s">
        <v>1212</v>
      </c>
      <c r="C579" s="86" t="s">
        <v>1213</v>
      </c>
      <c r="D579" s="87"/>
      <c r="E579" s="2" t="s">
        <v>202</v>
      </c>
      <c r="F579" s="35">
        <v>10.199999999999999</v>
      </c>
      <c r="G579" s="35">
        <v>0</v>
      </c>
      <c r="H579" s="35">
        <f>ROUND(F579*AO579,2)</f>
        <v>0</v>
      </c>
      <c r="I579" s="35">
        <f>ROUND(F579*AP579,2)</f>
        <v>0</v>
      </c>
      <c r="J579" s="35">
        <f>ROUND(F579*G579,2)</f>
        <v>0</v>
      </c>
      <c r="K579" s="63" t="s">
        <v>203</v>
      </c>
      <c r="Z579" s="35">
        <f>ROUND(IF(AQ579="5",BJ579,0),2)</f>
        <v>0</v>
      </c>
      <c r="AB579" s="35">
        <f>ROUND(IF(AQ579="1",BH579,0),2)</f>
        <v>0</v>
      </c>
      <c r="AC579" s="35">
        <f>ROUND(IF(AQ579="1",BI579,0),2)</f>
        <v>0</v>
      </c>
      <c r="AD579" s="35">
        <f>ROUND(IF(AQ579="7",BH579,0),2)</f>
        <v>0</v>
      </c>
      <c r="AE579" s="35">
        <f>ROUND(IF(AQ579="7",BI579,0),2)</f>
        <v>0</v>
      </c>
      <c r="AF579" s="35">
        <f>ROUND(IF(AQ579="2",BH579,0),2)</f>
        <v>0</v>
      </c>
      <c r="AG579" s="35">
        <f>ROUND(IF(AQ579="2",BI579,0),2)</f>
        <v>0</v>
      </c>
      <c r="AH579" s="35">
        <f>ROUND(IF(AQ579="0",BJ579,0),2)</f>
        <v>0</v>
      </c>
      <c r="AI579" s="48" t="s">
        <v>91</v>
      </c>
      <c r="AJ579" s="35">
        <f>IF(AN579=0,J579,0)</f>
        <v>0</v>
      </c>
      <c r="AK579" s="35">
        <f>IF(AN579=12,J579,0)</f>
        <v>0</v>
      </c>
      <c r="AL579" s="35">
        <f>IF(AN579=21,J579,0)</f>
        <v>0</v>
      </c>
      <c r="AN579" s="35">
        <v>12</v>
      </c>
      <c r="AO579" s="35">
        <f>G579*0.267964204</f>
        <v>0</v>
      </c>
      <c r="AP579" s="35">
        <f>G579*(1-0.267964204)</f>
        <v>0</v>
      </c>
      <c r="AQ579" s="64" t="s">
        <v>199</v>
      </c>
      <c r="AV579" s="35">
        <f>ROUND(AW579+AX579,2)</f>
        <v>0</v>
      </c>
      <c r="AW579" s="35">
        <f>ROUND(F579*AO579,2)</f>
        <v>0</v>
      </c>
      <c r="AX579" s="35">
        <f>ROUND(F579*AP579,2)</f>
        <v>0</v>
      </c>
      <c r="AY579" s="64" t="s">
        <v>388</v>
      </c>
      <c r="AZ579" s="64" t="s">
        <v>1214</v>
      </c>
      <c r="BA579" s="48" t="s">
        <v>1215</v>
      </c>
      <c r="BB579" s="65">
        <v>100009</v>
      </c>
      <c r="BC579" s="35">
        <f>AW579+AX579</f>
        <v>0</v>
      </c>
      <c r="BD579" s="35">
        <f>G579/(100-BE579)*100</f>
        <v>0</v>
      </c>
      <c r="BE579" s="35">
        <v>0</v>
      </c>
      <c r="BF579" s="35">
        <f>579</f>
        <v>579</v>
      </c>
      <c r="BH579" s="35">
        <f>F579*AO579</f>
        <v>0</v>
      </c>
      <c r="BI579" s="35">
        <f>F579*AP579</f>
        <v>0</v>
      </c>
      <c r="BJ579" s="35">
        <f>F579*G579</f>
        <v>0</v>
      </c>
      <c r="BK579" s="64" t="s">
        <v>208</v>
      </c>
      <c r="BL579" s="35">
        <v>61</v>
      </c>
      <c r="BW579" s="35">
        <v>12</v>
      </c>
      <c r="BX579" s="3" t="s">
        <v>1213</v>
      </c>
    </row>
    <row r="580" spans="1:76" ht="13.5" customHeight="1" x14ac:dyDescent="0.25">
      <c r="A580" s="66"/>
      <c r="C580" s="180" t="s">
        <v>1216</v>
      </c>
      <c r="D580" s="181"/>
      <c r="E580" s="181"/>
      <c r="F580" s="181"/>
      <c r="G580" s="181"/>
      <c r="H580" s="181"/>
      <c r="I580" s="181"/>
      <c r="J580" s="181"/>
      <c r="K580" s="182"/>
    </row>
    <row r="581" spans="1:76" x14ac:dyDescent="0.25">
      <c r="A581" s="66"/>
      <c r="C581" s="67" t="s">
        <v>1217</v>
      </c>
      <c r="D581" s="68" t="s">
        <v>10</v>
      </c>
      <c r="F581" s="69">
        <v>10.199999999999999</v>
      </c>
      <c r="K581" s="70"/>
    </row>
    <row r="582" spans="1:76" x14ac:dyDescent="0.25">
      <c r="A582" s="59" t="s">
        <v>10</v>
      </c>
      <c r="B582" s="60" t="s">
        <v>158</v>
      </c>
      <c r="C582" s="177" t="s">
        <v>159</v>
      </c>
      <c r="D582" s="178"/>
      <c r="E582" s="61" t="s">
        <v>74</v>
      </c>
      <c r="F582" s="61" t="s">
        <v>74</v>
      </c>
      <c r="G582" s="61" t="s">
        <v>74</v>
      </c>
      <c r="H582" s="42">
        <f>SUM(H583:H585)</f>
        <v>0</v>
      </c>
      <c r="I582" s="42">
        <f>SUM(I583:I585)</f>
        <v>0</v>
      </c>
      <c r="J582" s="42">
        <f>SUM(J583:J585)</f>
        <v>0</v>
      </c>
      <c r="K582" s="62" t="s">
        <v>10</v>
      </c>
      <c r="AI582" s="48" t="s">
        <v>91</v>
      </c>
      <c r="AS582" s="42">
        <f>SUM(AJ583:AJ585)</f>
        <v>0</v>
      </c>
      <c r="AT582" s="42">
        <f>SUM(AK583:AK585)</f>
        <v>0</v>
      </c>
      <c r="AU582" s="42">
        <f>SUM(AL583:AL585)</f>
        <v>0</v>
      </c>
    </row>
    <row r="583" spans="1:76" x14ac:dyDescent="0.25">
      <c r="A583" s="1" t="s">
        <v>1218</v>
      </c>
      <c r="B583" s="2" t="s">
        <v>1219</v>
      </c>
      <c r="C583" s="86" t="s">
        <v>1220</v>
      </c>
      <c r="D583" s="87"/>
      <c r="E583" s="2" t="s">
        <v>1078</v>
      </c>
      <c r="F583" s="35">
        <v>16</v>
      </c>
      <c r="G583" s="35">
        <v>0</v>
      </c>
      <c r="H583" s="35">
        <f>ROUND(F583*AO583,2)</f>
        <v>0</v>
      </c>
      <c r="I583" s="35">
        <f>ROUND(F583*AP583,2)</f>
        <v>0</v>
      </c>
      <c r="J583" s="35">
        <f>ROUND(F583*G583,2)</f>
        <v>0</v>
      </c>
      <c r="K583" s="63" t="s">
        <v>203</v>
      </c>
      <c r="Z583" s="35">
        <f>ROUND(IF(AQ583="5",BJ583,0),2)</f>
        <v>0</v>
      </c>
      <c r="AB583" s="35">
        <f>ROUND(IF(AQ583="1",BH583,0),2)</f>
        <v>0</v>
      </c>
      <c r="AC583" s="35">
        <f>ROUND(IF(AQ583="1",BI583,0),2)</f>
        <v>0</v>
      </c>
      <c r="AD583" s="35">
        <f>ROUND(IF(AQ583="7",BH583,0),2)</f>
        <v>0</v>
      </c>
      <c r="AE583" s="35">
        <f>ROUND(IF(AQ583="7",BI583,0),2)</f>
        <v>0</v>
      </c>
      <c r="AF583" s="35">
        <f>ROUND(IF(AQ583="2",BH583,0),2)</f>
        <v>0</v>
      </c>
      <c r="AG583" s="35">
        <f>ROUND(IF(AQ583="2",BI583,0),2)</f>
        <v>0</v>
      </c>
      <c r="AH583" s="35">
        <f>ROUND(IF(AQ583="0",BJ583,0),2)</f>
        <v>0</v>
      </c>
      <c r="AI583" s="48" t="s">
        <v>91</v>
      </c>
      <c r="AJ583" s="35">
        <f>IF(AN583=0,J583,0)</f>
        <v>0</v>
      </c>
      <c r="AK583" s="35">
        <f>IF(AN583=12,J583,0)</f>
        <v>0</v>
      </c>
      <c r="AL583" s="35">
        <f>IF(AN583=21,J583,0)</f>
        <v>0</v>
      </c>
      <c r="AN583" s="35">
        <v>12</v>
      </c>
      <c r="AO583" s="35">
        <f>G583*0</f>
        <v>0</v>
      </c>
      <c r="AP583" s="35">
        <f>G583*(1-0)</f>
        <v>0</v>
      </c>
      <c r="AQ583" s="64" t="s">
        <v>199</v>
      </c>
      <c r="AV583" s="35">
        <f>ROUND(AW583+AX583,2)</f>
        <v>0</v>
      </c>
      <c r="AW583" s="35">
        <f>ROUND(F583*AO583,2)</f>
        <v>0</v>
      </c>
      <c r="AX583" s="35">
        <f>ROUND(F583*AP583,2)</f>
        <v>0</v>
      </c>
      <c r="AY583" s="64" t="s">
        <v>1079</v>
      </c>
      <c r="AZ583" s="64" t="s">
        <v>1221</v>
      </c>
      <c r="BA583" s="48" t="s">
        <v>1215</v>
      </c>
      <c r="BB583" s="65">
        <v>100033</v>
      </c>
      <c r="BC583" s="35">
        <f>AW583+AX583</f>
        <v>0</v>
      </c>
      <c r="BD583" s="35">
        <f>G583/(100-BE583)*100</f>
        <v>0</v>
      </c>
      <c r="BE583" s="35">
        <v>0</v>
      </c>
      <c r="BF583" s="35">
        <f>583</f>
        <v>583</v>
      </c>
      <c r="BH583" s="35">
        <f>F583*AO583</f>
        <v>0</v>
      </c>
      <c r="BI583" s="35">
        <f>F583*AP583</f>
        <v>0</v>
      </c>
      <c r="BJ583" s="35">
        <f>F583*G583</f>
        <v>0</v>
      </c>
      <c r="BK583" s="64" t="s">
        <v>208</v>
      </c>
      <c r="BL583" s="35">
        <v>90</v>
      </c>
      <c r="BW583" s="35">
        <v>12</v>
      </c>
      <c r="BX583" s="3" t="s">
        <v>1220</v>
      </c>
    </row>
    <row r="584" spans="1:76" x14ac:dyDescent="0.25">
      <c r="A584" s="66"/>
      <c r="C584" s="67" t="s">
        <v>1222</v>
      </c>
      <c r="D584" s="68" t="s">
        <v>10</v>
      </c>
      <c r="F584" s="69">
        <v>16</v>
      </c>
      <c r="K584" s="70"/>
    </row>
    <row r="585" spans="1:76" x14ac:dyDescent="0.25">
      <c r="A585" s="1" t="s">
        <v>1223</v>
      </c>
      <c r="B585" s="2" t="s">
        <v>1224</v>
      </c>
      <c r="C585" s="86" t="s">
        <v>1100</v>
      </c>
      <c r="D585" s="87"/>
      <c r="E585" s="2" t="s">
        <v>1078</v>
      </c>
      <c r="F585" s="35">
        <v>16</v>
      </c>
      <c r="G585" s="35">
        <v>0</v>
      </c>
      <c r="H585" s="35">
        <f>ROUND(F585*AO585,2)</f>
        <v>0</v>
      </c>
      <c r="I585" s="35">
        <f>ROUND(F585*AP585,2)</f>
        <v>0</v>
      </c>
      <c r="J585" s="35">
        <f>ROUND(F585*G585,2)</f>
        <v>0</v>
      </c>
      <c r="K585" s="63" t="s">
        <v>203</v>
      </c>
      <c r="Z585" s="35">
        <f>ROUND(IF(AQ585="5",BJ585,0),2)</f>
        <v>0</v>
      </c>
      <c r="AB585" s="35">
        <f>ROUND(IF(AQ585="1",BH585,0),2)</f>
        <v>0</v>
      </c>
      <c r="AC585" s="35">
        <f>ROUND(IF(AQ585="1",BI585,0),2)</f>
        <v>0</v>
      </c>
      <c r="AD585" s="35">
        <f>ROUND(IF(AQ585="7",BH585,0),2)</f>
        <v>0</v>
      </c>
      <c r="AE585" s="35">
        <f>ROUND(IF(AQ585="7",BI585,0),2)</f>
        <v>0</v>
      </c>
      <c r="AF585" s="35">
        <f>ROUND(IF(AQ585="2",BH585,0),2)</f>
        <v>0</v>
      </c>
      <c r="AG585" s="35">
        <f>ROUND(IF(AQ585="2",BI585,0),2)</f>
        <v>0</v>
      </c>
      <c r="AH585" s="35">
        <f>ROUND(IF(AQ585="0",BJ585,0),2)</f>
        <v>0</v>
      </c>
      <c r="AI585" s="48" t="s">
        <v>91</v>
      </c>
      <c r="AJ585" s="35">
        <f>IF(AN585=0,J585,0)</f>
        <v>0</v>
      </c>
      <c r="AK585" s="35">
        <f>IF(AN585=12,J585,0)</f>
        <v>0</v>
      </c>
      <c r="AL585" s="35">
        <f>IF(AN585=21,J585,0)</f>
        <v>0</v>
      </c>
      <c r="AN585" s="35">
        <v>12</v>
      </c>
      <c r="AO585" s="35">
        <f>G585*0</f>
        <v>0</v>
      </c>
      <c r="AP585" s="35">
        <f>G585*(1-0)</f>
        <v>0</v>
      </c>
      <c r="AQ585" s="64" t="s">
        <v>199</v>
      </c>
      <c r="AV585" s="35">
        <f>ROUND(AW585+AX585,2)</f>
        <v>0</v>
      </c>
      <c r="AW585" s="35">
        <f>ROUND(F585*AO585,2)</f>
        <v>0</v>
      </c>
      <c r="AX585" s="35">
        <f>ROUND(F585*AP585,2)</f>
        <v>0</v>
      </c>
      <c r="AY585" s="64" t="s">
        <v>1079</v>
      </c>
      <c r="AZ585" s="64" t="s">
        <v>1221</v>
      </c>
      <c r="BA585" s="48" t="s">
        <v>1215</v>
      </c>
      <c r="BB585" s="65">
        <v>100033</v>
      </c>
      <c r="BC585" s="35">
        <f>AW585+AX585</f>
        <v>0</v>
      </c>
      <c r="BD585" s="35">
        <f>G585/(100-BE585)*100</f>
        <v>0</v>
      </c>
      <c r="BE585" s="35">
        <v>0</v>
      </c>
      <c r="BF585" s="35">
        <f>585</f>
        <v>585</v>
      </c>
      <c r="BH585" s="35">
        <f>F585*AO585</f>
        <v>0</v>
      </c>
      <c r="BI585" s="35">
        <f>F585*AP585</f>
        <v>0</v>
      </c>
      <c r="BJ585" s="35">
        <f>F585*G585</f>
        <v>0</v>
      </c>
      <c r="BK585" s="64" t="s">
        <v>208</v>
      </c>
      <c r="BL585" s="35">
        <v>90</v>
      </c>
      <c r="BW585" s="35">
        <v>12</v>
      </c>
      <c r="BX585" s="3" t="s">
        <v>1100</v>
      </c>
    </row>
    <row r="586" spans="1:76" ht="13.5" customHeight="1" x14ac:dyDescent="0.25">
      <c r="A586" s="66"/>
      <c r="C586" s="180" t="s">
        <v>1225</v>
      </c>
      <c r="D586" s="181"/>
      <c r="E586" s="181"/>
      <c r="F586" s="181"/>
      <c r="G586" s="181"/>
      <c r="H586" s="181"/>
      <c r="I586" s="181"/>
      <c r="J586" s="181"/>
      <c r="K586" s="182"/>
    </row>
    <row r="587" spans="1:76" x14ac:dyDescent="0.25">
      <c r="A587" s="66"/>
      <c r="C587" s="67" t="s">
        <v>1222</v>
      </c>
      <c r="D587" s="68" t="s">
        <v>10</v>
      </c>
      <c r="F587" s="69">
        <v>16</v>
      </c>
      <c r="K587" s="70"/>
    </row>
    <row r="588" spans="1:76" x14ac:dyDescent="0.25">
      <c r="A588" s="59" t="s">
        <v>10</v>
      </c>
      <c r="B588" s="60" t="s">
        <v>126</v>
      </c>
      <c r="C588" s="177" t="s">
        <v>127</v>
      </c>
      <c r="D588" s="178"/>
      <c r="E588" s="61" t="s">
        <v>74</v>
      </c>
      <c r="F588" s="61" t="s">
        <v>74</v>
      </c>
      <c r="G588" s="61" t="s">
        <v>74</v>
      </c>
      <c r="H588" s="42">
        <f>SUM(H589:H589)</f>
        <v>0</v>
      </c>
      <c r="I588" s="42">
        <f>SUM(I589:I589)</f>
        <v>0</v>
      </c>
      <c r="J588" s="42">
        <f>SUM(J589:J589)</f>
        <v>0</v>
      </c>
      <c r="K588" s="62" t="s">
        <v>10</v>
      </c>
      <c r="AI588" s="48" t="s">
        <v>91</v>
      </c>
      <c r="AS588" s="42">
        <f>SUM(AJ589:AJ589)</f>
        <v>0</v>
      </c>
      <c r="AT588" s="42">
        <f>SUM(AK589:AK589)</f>
        <v>0</v>
      </c>
      <c r="AU588" s="42">
        <f>SUM(AL589:AL589)</f>
        <v>0</v>
      </c>
    </row>
    <row r="589" spans="1:76" x14ac:dyDescent="0.25">
      <c r="A589" s="1" t="s">
        <v>1226</v>
      </c>
      <c r="B589" s="2" t="s">
        <v>1227</v>
      </c>
      <c r="C589" s="86" t="s">
        <v>1228</v>
      </c>
      <c r="D589" s="87"/>
      <c r="E589" s="2" t="s">
        <v>202</v>
      </c>
      <c r="F589" s="35">
        <v>97.44</v>
      </c>
      <c r="G589" s="35">
        <v>0</v>
      </c>
      <c r="H589" s="35">
        <f>ROUND(F589*AO589,2)</f>
        <v>0</v>
      </c>
      <c r="I589" s="35">
        <f>ROUND(F589*AP589,2)</f>
        <v>0</v>
      </c>
      <c r="J589" s="35">
        <f>ROUND(F589*G589,2)</f>
        <v>0</v>
      </c>
      <c r="K589" s="63" t="s">
        <v>203</v>
      </c>
      <c r="Z589" s="35">
        <f>ROUND(IF(AQ589="5",BJ589,0),2)</f>
        <v>0</v>
      </c>
      <c r="AB589" s="35">
        <f>ROUND(IF(AQ589="1",BH589,0),2)</f>
        <v>0</v>
      </c>
      <c r="AC589" s="35">
        <f>ROUND(IF(AQ589="1",BI589,0),2)</f>
        <v>0</v>
      </c>
      <c r="AD589" s="35">
        <f>ROUND(IF(AQ589="7",BH589,0),2)</f>
        <v>0</v>
      </c>
      <c r="AE589" s="35">
        <f>ROUND(IF(AQ589="7",BI589,0),2)</f>
        <v>0</v>
      </c>
      <c r="AF589" s="35">
        <f>ROUND(IF(AQ589="2",BH589,0),2)</f>
        <v>0</v>
      </c>
      <c r="AG589" s="35">
        <f>ROUND(IF(AQ589="2",BI589,0),2)</f>
        <v>0</v>
      </c>
      <c r="AH589" s="35">
        <f>ROUND(IF(AQ589="0",BJ589,0),2)</f>
        <v>0</v>
      </c>
      <c r="AI589" s="48" t="s">
        <v>91</v>
      </c>
      <c r="AJ589" s="35">
        <f>IF(AN589=0,J589,0)</f>
        <v>0</v>
      </c>
      <c r="AK589" s="35">
        <f>IF(AN589=12,J589,0)</f>
        <v>0</v>
      </c>
      <c r="AL589" s="35">
        <f>IF(AN589=21,J589,0)</f>
        <v>0</v>
      </c>
      <c r="AN589" s="35">
        <v>12</v>
      </c>
      <c r="AO589" s="35">
        <f>G589*0.001406859</f>
        <v>0</v>
      </c>
      <c r="AP589" s="35">
        <f>G589*(1-0.001406859)</f>
        <v>0</v>
      </c>
      <c r="AQ589" s="64" t="s">
        <v>199</v>
      </c>
      <c r="AV589" s="35">
        <f>ROUND(AW589+AX589,2)</f>
        <v>0</v>
      </c>
      <c r="AW589" s="35">
        <f>ROUND(F589*AO589,2)</f>
        <v>0</v>
      </c>
      <c r="AX589" s="35">
        <f>ROUND(F589*AP589,2)</f>
        <v>0</v>
      </c>
      <c r="AY589" s="64" t="s">
        <v>647</v>
      </c>
      <c r="AZ589" s="64" t="s">
        <v>1221</v>
      </c>
      <c r="BA589" s="48" t="s">
        <v>1215</v>
      </c>
      <c r="BB589" s="65">
        <v>100010</v>
      </c>
      <c r="BC589" s="35">
        <f>AW589+AX589</f>
        <v>0</v>
      </c>
      <c r="BD589" s="35">
        <f>G589/(100-BE589)*100</f>
        <v>0</v>
      </c>
      <c r="BE589" s="35">
        <v>0</v>
      </c>
      <c r="BF589" s="35">
        <f>589</f>
        <v>589</v>
      </c>
      <c r="BH589" s="35">
        <f>F589*AO589</f>
        <v>0</v>
      </c>
      <c r="BI589" s="35">
        <f>F589*AP589</f>
        <v>0</v>
      </c>
      <c r="BJ589" s="35">
        <f>F589*G589</f>
        <v>0</v>
      </c>
      <c r="BK589" s="64" t="s">
        <v>208</v>
      </c>
      <c r="BL589" s="35">
        <v>95</v>
      </c>
      <c r="BW589" s="35">
        <v>12</v>
      </c>
      <c r="BX589" s="3" t="s">
        <v>1228</v>
      </c>
    </row>
    <row r="590" spans="1:76" x14ac:dyDescent="0.25">
      <c r="A590" s="66"/>
      <c r="C590" s="67" t="s">
        <v>1229</v>
      </c>
      <c r="D590" s="68" t="s">
        <v>1230</v>
      </c>
      <c r="F590" s="69">
        <v>57.44</v>
      </c>
      <c r="K590" s="70"/>
    </row>
    <row r="591" spans="1:76" x14ac:dyDescent="0.25">
      <c r="A591" s="66"/>
      <c r="C591" s="67" t="s">
        <v>1231</v>
      </c>
      <c r="D591" s="68" t="s">
        <v>1232</v>
      </c>
      <c r="F591" s="69">
        <v>40</v>
      </c>
      <c r="K591" s="70"/>
    </row>
    <row r="592" spans="1:76" x14ac:dyDescent="0.25">
      <c r="A592" s="59" t="s">
        <v>10</v>
      </c>
      <c r="B592" s="60" t="s">
        <v>164</v>
      </c>
      <c r="C592" s="177" t="s">
        <v>165</v>
      </c>
      <c r="D592" s="178"/>
      <c r="E592" s="61" t="s">
        <v>74</v>
      </c>
      <c r="F592" s="61" t="s">
        <v>74</v>
      </c>
      <c r="G592" s="61" t="s">
        <v>74</v>
      </c>
      <c r="H592" s="42">
        <f>SUM(H593:H593)</f>
        <v>0</v>
      </c>
      <c r="I592" s="42">
        <f>SUM(I593:I593)</f>
        <v>0</v>
      </c>
      <c r="J592" s="42">
        <f>SUM(J593:J593)</f>
        <v>0</v>
      </c>
      <c r="K592" s="62" t="s">
        <v>10</v>
      </c>
      <c r="AI592" s="48" t="s">
        <v>91</v>
      </c>
      <c r="AS592" s="42">
        <f>SUM(AJ593:AJ593)</f>
        <v>0</v>
      </c>
      <c r="AT592" s="42">
        <f>SUM(AK593:AK593)</f>
        <v>0</v>
      </c>
      <c r="AU592" s="42">
        <f>SUM(AL593:AL593)</f>
        <v>0</v>
      </c>
    </row>
    <row r="593" spans="1:76" x14ac:dyDescent="0.25">
      <c r="A593" s="4" t="s">
        <v>1233</v>
      </c>
      <c r="B593" s="5" t="s">
        <v>1234</v>
      </c>
      <c r="C593" s="179" t="s">
        <v>1235</v>
      </c>
      <c r="D593" s="123"/>
      <c r="E593" s="5" t="s">
        <v>463</v>
      </c>
      <c r="F593" s="37">
        <v>1</v>
      </c>
      <c r="G593" s="37">
        <v>0</v>
      </c>
      <c r="H593" s="37">
        <f>ROUND(F593*AO593,2)</f>
        <v>0</v>
      </c>
      <c r="I593" s="37">
        <f>ROUND(F593*AP593,2)</f>
        <v>0</v>
      </c>
      <c r="J593" s="37">
        <f>ROUND(F593*G593,2)</f>
        <v>0</v>
      </c>
      <c r="K593" s="82" t="s">
        <v>292</v>
      </c>
      <c r="Z593" s="35">
        <f>ROUND(IF(AQ593="5",BJ593,0),2)</f>
        <v>0</v>
      </c>
      <c r="AB593" s="35">
        <f>ROUND(IF(AQ593="1",BH593,0),2)</f>
        <v>0</v>
      </c>
      <c r="AC593" s="35">
        <f>ROUND(IF(AQ593="1",BI593,0),2)</f>
        <v>0</v>
      </c>
      <c r="AD593" s="35">
        <f>ROUND(IF(AQ593="7",BH593,0),2)</f>
        <v>0</v>
      </c>
      <c r="AE593" s="35">
        <f>ROUND(IF(AQ593="7",BI593,0),2)</f>
        <v>0</v>
      </c>
      <c r="AF593" s="35">
        <f>ROUND(IF(AQ593="2",BH593,0),2)</f>
        <v>0</v>
      </c>
      <c r="AG593" s="35">
        <f>ROUND(IF(AQ593="2",BI593,0),2)</f>
        <v>0</v>
      </c>
      <c r="AH593" s="35">
        <f>ROUND(IF(AQ593="0",BJ593,0),2)</f>
        <v>0</v>
      </c>
      <c r="AI593" s="48" t="s">
        <v>91</v>
      </c>
      <c r="AJ593" s="35">
        <f>IF(AN593=0,J593,0)</f>
        <v>0</v>
      </c>
      <c r="AK593" s="35">
        <f>IF(AN593=12,J593,0)</f>
        <v>0</v>
      </c>
      <c r="AL593" s="35">
        <f>IF(AN593=21,J593,0)</f>
        <v>0</v>
      </c>
      <c r="AN593" s="35">
        <v>12</v>
      </c>
      <c r="AO593" s="35">
        <f>G593*0</f>
        <v>0</v>
      </c>
      <c r="AP593" s="35">
        <f>G593*(1-0)</f>
        <v>0</v>
      </c>
      <c r="AQ593" s="64" t="s">
        <v>199</v>
      </c>
      <c r="AV593" s="35">
        <f>ROUND(AW593+AX593,2)</f>
        <v>0</v>
      </c>
      <c r="AW593" s="35">
        <f>ROUND(F593*AO593,2)</f>
        <v>0</v>
      </c>
      <c r="AX593" s="35">
        <f>ROUND(F593*AP593,2)</f>
        <v>0</v>
      </c>
      <c r="AY593" s="64" t="s">
        <v>1236</v>
      </c>
      <c r="AZ593" s="64" t="s">
        <v>1237</v>
      </c>
      <c r="BA593" s="48" t="s">
        <v>1215</v>
      </c>
      <c r="BB593" s="65">
        <v>100034</v>
      </c>
      <c r="BC593" s="35">
        <f>AW593+AX593</f>
        <v>0</v>
      </c>
      <c r="BD593" s="35">
        <f>G593/(100-BE593)*100</f>
        <v>0</v>
      </c>
      <c r="BE593" s="35">
        <v>0</v>
      </c>
      <c r="BF593" s="35">
        <f>593</f>
        <v>593</v>
      </c>
      <c r="BH593" s="35">
        <f>F593*AO593</f>
        <v>0</v>
      </c>
      <c r="BI593" s="35">
        <f>F593*AP593</f>
        <v>0</v>
      </c>
      <c r="BJ593" s="35">
        <f>F593*G593</f>
        <v>0</v>
      </c>
      <c r="BK593" s="64" t="s">
        <v>208</v>
      </c>
      <c r="BL593" s="35"/>
      <c r="BW593" s="35">
        <v>12</v>
      </c>
      <c r="BX593" s="3" t="s">
        <v>1235</v>
      </c>
    </row>
    <row r="594" spans="1:76" x14ac:dyDescent="0.25">
      <c r="H594" s="160" t="s">
        <v>92</v>
      </c>
      <c r="I594" s="160"/>
      <c r="J594" s="85">
        <f>ROUND(J13+J16+J38+J53+J56+J72+J92+J107+J119+J129+J148+J178+J183+J215+J243+J246+J255+J258+J261+J264+J266+J269+J273+J278+J282+J310+J339+J393+J423+J428+J430+J435+J440+J445+J448+J452+J464+J479+J494+J499+J506+J518+J528+J542+J578+J582+J588+J592,0)</f>
        <v>0</v>
      </c>
    </row>
    <row r="595" spans="1:76" x14ac:dyDescent="0.25">
      <c r="A595" s="39" t="s">
        <v>58</v>
      </c>
    </row>
    <row r="596" spans="1:76" ht="12.75" customHeight="1" x14ac:dyDescent="0.25">
      <c r="A596" s="86" t="s">
        <v>10</v>
      </c>
      <c r="B596" s="87"/>
      <c r="C596" s="87"/>
      <c r="D596" s="87"/>
      <c r="E596" s="87"/>
      <c r="F596" s="87"/>
      <c r="G596" s="87"/>
      <c r="H596" s="87"/>
      <c r="I596" s="87"/>
      <c r="J596" s="87"/>
      <c r="K596" s="87"/>
    </row>
  </sheetData>
  <mergeCells count="370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25:D25"/>
    <mergeCell ref="C26:K26"/>
    <mergeCell ref="C28:D28"/>
    <mergeCell ref="C29:K29"/>
    <mergeCell ref="C31:D31"/>
    <mergeCell ref="C16:D16"/>
    <mergeCell ref="C17:D17"/>
    <mergeCell ref="C18:K18"/>
    <mergeCell ref="C21:D21"/>
    <mergeCell ref="C23:D23"/>
    <mergeCell ref="C43:D43"/>
    <mergeCell ref="C45:D45"/>
    <mergeCell ref="C49:D49"/>
    <mergeCell ref="C51:D51"/>
    <mergeCell ref="C53:D53"/>
    <mergeCell ref="C33:D33"/>
    <mergeCell ref="C36:D36"/>
    <mergeCell ref="C38:D38"/>
    <mergeCell ref="C39:D39"/>
    <mergeCell ref="C41:D41"/>
    <mergeCell ref="C62:D62"/>
    <mergeCell ref="C63:D63"/>
    <mergeCell ref="C65:D65"/>
    <mergeCell ref="C67:D67"/>
    <mergeCell ref="C69:D69"/>
    <mergeCell ref="C54:D54"/>
    <mergeCell ref="C56:D56"/>
    <mergeCell ref="C57:D57"/>
    <mergeCell ref="C59:D59"/>
    <mergeCell ref="C61:D61"/>
    <mergeCell ref="C79:D79"/>
    <mergeCell ref="C80:K80"/>
    <mergeCell ref="C82:D82"/>
    <mergeCell ref="C84:D84"/>
    <mergeCell ref="C85:K85"/>
    <mergeCell ref="C71:D71"/>
    <mergeCell ref="C72:D72"/>
    <mergeCell ref="C73:D73"/>
    <mergeCell ref="C76:D76"/>
    <mergeCell ref="C77:K77"/>
    <mergeCell ref="C98:K98"/>
    <mergeCell ref="C103:D103"/>
    <mergeCell ref="C104:K104"/>
    <mergeCell ref="C107:D107"/>
    <mergeCell ref="C108:D108"/>
    <mergeCell ref="C87:D87"/>
    <mergeCell ref="C90:D90"/>
    <mergeCell ref="C92:D92"/>
    <mergeCell ref="C93:D93"/>
    <mergeCell ref="C97:D97"/>
    <mergeCell ref="C121:K121"/>
    <mergeCell ref="C123:D123"/>
    <mergeCell ref="C124:K124"/>
    <mergeCell ref="C126:D126"/>
    <mergeCell ref="C127:K127"/>
    <mergeCell ref="C109:K109"/>
    <mergeCell ref="C115:D115"/>
    <mergeCell ref="C116:K116"/>
    <mergeCell ref="C119:D119"/>
    <mergeCell ref="C120:D120"/>
    <mergeCell ref="C138:K138"/>
    <mergeCell ref="C143:D143"/>
    <mergeCell ref="C144:K144"/>
    <mergeCell ref="C146:D146"/>
    <mergeCell ref="C148:D148"/>
    <mergeCell ref="C129:D129"/>
    <mergeCell ref="C130:D130"/>
    <mergeCell ref="C134:D134"/>
    <mergeCell ref="C135:K135"/>
    <mergeCell ref="C137:D137"/>
    <mergeCell ref="C158:D158"/>
    <mergeCell ref="C160:D160"/>
    <mergeCell ref="C162:D162"/>
    <mergeCell ref="C164:D164"/>
    <mergeCell ref="C166:D166"/>
    <mergeCell ref="C149:D149"/>
    <mergeCell ref="C150:K150"/>
    <mergeCell ref="C152:D152"/>
    <mergeCell ref="C154:D154"/>
    <mergeCell ref="C156:D156"/>
    <mergeCell ref="C176:D176"/>
    <mergeCell ref="C178:D178"/>
    <mergeCell ref="C179:D179"/>
    <mergeCell ref="C181:D181"/>
    <mergeCell ref="C183:D183"/>
    <mergeCell ref="C167:D167"/>
    <mergeCell ref="C169:D169"/>
    <mergeCell ref="C170:D170"/>
    <mergeCell ref="C172:D172"/>
    <mergeCell ref="C174:D174"/>
    <mergeCell ref="C193:D193"/>
    <mergeCell ref="C195:D195"/>
    <mergeCell ref="C197:D197"/>
    <mergeCell ref="C199:D199"/>
    <mergeCell ref="C202:D202"/>
    <mergeCell ref="C184:D184"/>
    <mergeCell ref="C186:D186"/>
    <mergeCell ref="C187:K187"/>
    <mergeCell ref="C189:D189"/>
    <mergeCell ref="C191:D191"/>
    <mergeCell ref="C216:D216"/>
    <mergeCell ref="C222:D222"/>
    <mergeCell ref="C223:K223"/>
    <mergeCell ref="C225:D225"/>
    <mergeCell ref="C226:K226"/>
    <mergeCell ref="C205:D205"/>
    <mergeCell ref="C208:D208"/>
    <mergeCell ref="C211:D211"/>
    <mergeCell ref="C213:D213"/>
    <mergeCell ref="C215:D215"/>
    <mergeCell ref="C240:D240"/>
    <mergeCell ref="C243:D243"/>
    <mergeCell ref="C244:D244"/>
    <mergeCell ref="C246:D246"/>
    <mergeCell ref="C247:D247"/>
    <mergeCell ref="C228:D228"/>
    <mergeCell ref="C231:D231"/>
    <mergeCell ref="C234:D234"/>
    <mergeCell ref="C235:K235"/>
    <mergeCell ref="C237:D237"/>
    <mergeCell ref="C259:D259"/>
    <mergeCell ref="C261:D261"/>
    <mergeCell ref="C262:D262"/>
    <mergeCell ref="C264:D264"/>
    <mergeCell ref="C265:D265"/>
    <mergeCell ref="C250:D250"/>
    <mergeCell ref="C253:D253"/>
    <mergeCell ref="C255:D255"/>
    <mergeCell ref="C256:D256"/>
    <mergeCell ref="C258:D258"/>
    <mergeCell ref="C273:D273"/>
    <mergeCell ref="C274:D274"/>
    <mergeCell ref="C275:K275"/>
    <mergeCell ref="C278:D278"/>
    <mergeCell ref="C279:D279"/>
    <mergeCell ref="C266:D266"/>
    <mergeCell ref="C267:D267"/>
    <mergeCell ref="C269:D269"/>
    <mergeCell ref="C270:D270"/>
    <mergeCell ref="C272:D272"/>
    <mergeCell ref="C289:K289"/>
    <mergeCell ref="C290:D290"/>
    <mergeCell ref="C291:K291"/>
    <mergeCell ref="C292:D292"/>
    <mergeCell ref="C293:D293"/>
    <mergeCell ref="C282:D282"/>
    <mergeCell ref="C283:D283"/>
    <mergeCell ref="C284:D284"/>
    <mergeCell ref="C286:D286"/>
    <mergeCell ref="C288:D288"/>
    <mergeCell ref="C302:D302"/>
    <mergeCell ref="C304:D304"/>
    <mergeCell ref="C306:D306"/>
    <mergeCell ref="C308:D308"/>
    <mergeCell ref="C310:D310"/>
    <mergeCell ref="C294:D294"/>
    <mergeCell ref="C295:D295"/>
    <mergeCell ref="C297:D297"/>
    <mergeCell ref="C299:D299"/>
    <mergeCell ref="C301:D301"/>
    <mergeCell ref="C320:D320"/>
    <mergeCell ref="C321:K321"/>
    <mergeCell ref="C323:D323"/>
    <mergeCell ref="C324:K324"/>
    <mergeCell ref="C326:D326"/>
    <mergeCell ref="C311:D311"/>
    <mergeCell ref="C313:D313"/>
    <mergeCell ref="C314:D314"/>
    <mergeCell ref="C316:D316"/>
    <mergeCell ref="C318:D318"/>
    <mergeCell ref="C337:D337"/>
    <mergeCell ref="C339:D339"/>
    <mergeCell ref="C340:D340"/>
    <mergeCell ref="C341:D341"/>
    <mergeCell ref="C342:D342"/>
    <mergeCell ref="C328:D328"/>
    <mergeCell ref="C329:D329"/>
    <mergeCell ref="C331:D331"/>
    <mergeCell ref="C333:D333"/>
    <mergeCell ref="C335:D335"/>
    <mergeCell ref="C350:D350"/>
    <mergeCell ref="C351:K351"/>
    <mergeCell ref="C353:D353"/>
    <mergeCell ref="C355:D355"/>
    <mergeCell ref="C357:D357"/>
    <mergeCell ref="C343:D343"/>
    <mergeCell ref="C344:D344"/>
    <mergeCell ref="C345:D345"/>
    <mergeCell ref="C346:D346"/>
    <mergeCell ref="C348:D348"/>
    <mergeCell ref="C369:D369"/>
    <mergeCell ref="C371:D371"/>
    <mergeCell ref="C373:D373"/>
    <mergeCell ref="C374:D374"/>
    <mergeCell ref="C376:D376"/>
    <mergeCell ref="C359:D359"/>
    <mergeCell ref="C361:D361"/>
    <mergeCell ref="C363:D363"/>
    <mergeCell ref="C365:D365"/>
    <mergeCell ref="C367:D367"/>
    <mergeCell ref="C385:D385"/>
    <mergeCell ref="C387:D387"/>
    <mergeCell ref="C389:D389"/>
    <mergeCell ref="C391:D391"/>
    <mergeCell ref="C393:D393"/>
    <mergeCell ref="C377:D377"/>
    <mergeCell ref="C379:D379"/>
    <mergeCell ref="C380:D380"/>
    <mergeCell ref="C382:D382"/>
    <mergeCell ref="C383:D383"/>
    <mergeCell ref="C404:D404"/>
    <mergeCell ref="C406:D406"/>
    <mergeCell ref="C408:D408"/>
    <mergeCell ref="C410:D410"/>
    <mergeCell ref="C411:D411"/>
    <mergeCell ref="C394:D394"/>
    <mergeCell ref="C396:D396"/>
    <mergeCell ref="C397:K397"/>
    <mergeCell ref="C399:D399"/>
    <mergeCell ref="C402:D402"/>
    <mergeCell ref="C420:D420"/>
    <mergeCell ref="C422:D422"/>
    <mergeCell ref="C423:D423"/>
    <mergeCell ref="C424:D424"/>
    <mergeCell ref="C426:D426"/>
    <mergeCell ref="C412:D412"/>
    <mergeCell ref="C414:D414"/>
    <mergeCell ref="C416:D416"/>
    <mergeCell ref="C418:D418"/>
    <mergeCell ref="C419:D419"/>
    <mergeCell ref="C435:D435"/>
    <mergeCell ref="C436:D436"/>
    <mergeCell ref="C438:D438"/>
    <mergeCell ref="C440:D440"/>
    <mergeCell ref="C441:D441"/>
    <mergeCell ref="C428:D428"/>
    <mergeCell ref="C429:D429"/>
    <mergeCell ref="C430:D430"/>
    <mergeCell ref="C431:D431"/>
    <mergeCell ref="C433:D433"/>
    <mergeCell ref="C451:D451"/>
    <mergeCell ref="C452:D452"/>
    <mergeCell ref="C453:D453"/>
    <mergeCell ref="C455:D455"/>
    <mergeCell ref="C457:D457"/>
    <mergeCell ref="C443:D443"/>
    <mergeCell ref="C445:D445"/>
    <mergeCell ref="C446:D446"/>
    <mergeCell ref="C448:D448"/>
    <mergeCell ref="C449:D449"/>
    <mergeCell ref="C467:D467"/>
    <mergeCell ref="C469:D469"/>
    <mergeCell ref="C471:D471"/>
    <mergeCell ref="C473:D473"/>
    <mergeCell ref="C475:D475"/>
    <mergeCell ref="C459:D459"/>
    <mergeCell ref="C461:D461"/>
    <mergeCell ref="C463:D463"/>
    <mergeCell ref="C464:D464"/>
    <mergeCell ref="C465:D465"/>
    <mergeCell ref="C484:D484"/>
    <mergeCell ref="C486:D486"/>
    <mergeCell ref="C488:D488"/>
    <mergeCell ref="C489:D489"/>
    <mergeCell ref="C490:D490"/>
    <mergeCell ref="C476:D476"/>
    <mergeCell ref="C478:D478"/>
    <mergeCell ref="C479:D479"/>
    <mergeCell ref="C480:D480"/>
    <mergeCell ref="C482:D482"/>
    <mergeCell ref="C499:D499"/>
    <mergeCell ref="C500:D500"/>
    <mergeCell ref="C503:D503"/>
    <mergeCell ref="C506:D506"/>
    <mergeCell ref="C507:D507"/>
    <mergeCell ref="C492:D492"/>
    <mergeCell ref="C494:D494"/>
    <mergeCell ref="C495:D495"/>
    <mergeCell ref="C496:K496"/>
    <mergeCell ref="C498:D498"/>
    <mergeCell ref="C515:D515"/>
    <mergeCell ref="C516:K516"/>
    <mergeCell ref="C518:D518"/>
    <mergeCell ref="C519:D519"/>
    <mergeCell ref="C522:D522"/>
    <mergeCell ref="C508:K508"/>
    <mergeCell ref="C509:D509"/>
    <mergeCell ref="C510:K510"/>
    <mergeCell ref="C512:D512"/>
    <mergeCell ref="C513:K513"/>
    <mergeCell ref="C531:D531"/>
    <mergeCell ref="C532:D532"/>
    <mergeCell ref="C533:K533"/>
    <mergeCell ref="C534:D534"/>
    <mergeCell ref="C535:K535"/>
    <mergeCell ref="C524:D524"/>
    <mergeCell ref="C526:D526"/>
    <mergeCell ref="C528:D528"/>
    <mergeCell ref="C529:D529"/>
    <mergeCell ref="C530:K530"/>
    <mergeCell ref="C545:D545"/>
    <mergeCell ref="C547:D547"/>
    <mergeCell ref="C549:D549"/>
    <mergeCell ref="C551:D551"/>
    <mergeCell ref="C553:D553"/>
    <mergeCell ref="C537:D537"/>
    <mergeCell ref="C538:K538"/>
    <mergeCell ref="C540:D540"/>
    <mergeCell ref="C542:D542"/>
    <mergeCell ref="C543:D543"/>
    <mergeCell ref="C564:D564"/>
    <mergeCell ref="C566:D566"/>
    <mergeCell ref="C568:D568"/>
    <mergeCell ref="C569:K569"/>
    <mergeCell ref="C570:D570"/>
    <mergeCell ref="C555:D555"/>
    <mergeCell ref="C557:D557"/>
    <mergeCell ref="C559:D559"/>
    <mergeCell ref="C561:D561"/>
    <mergeCell ref="C563:D563"/>
    <mergeCell ref="C577:D577"/>
    <mergeCell ref="C578:D578"/>
    <mergeCell ref="C579:D579"/>
    <mergeCell ref="C580:K580"/>
    <mergeCell ref="C582:D582"/>
    <mergeCell ref="C571:D571"/>
    <mergeCell ref="C572:K572"/>
    <mergeCell ref="C573:D573"/>
    <mergeCell ref="C574:D574"/>
    <mergeCell ref="C575:K575"/>
    <mergeCell ref="C592:D592"/>
    <mergeCell ref="C593:D593"/>
    <mergeCell ref="H594:I594"/>
    <mergeCell ref="A596:K596"/>
    <mergeCell ref="C583:D583"/>
    <mergeCell ref="C585:D585"/>
    <mergeCell ref="C586:K586"/>
    <mergeCell ref="C588:D588"/>
    <mergeCell ref="C589:D589"/>
  </mergeCells>
  <pageMargins left="0.393999993801117" right="0.393999993801117" top="0.59100002050399802" bottom="0.59100002050399802" header="0" footer="0"/>
  <pageSetup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rozpočtu</vt:lpstr>
      <vt:lpstr>VORN</vt:lpstr>
      <vt:lpstr>Rozpočet - objekty</vt:lpstr>
      <vt:lpstr>Rozpočet - podskupiny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Martin Morcínek2</cp:lastModifiedBy>
  <dcterms:created xsi:type="dcterms:W3CDTF">2021-06-10T20:06:38Z</dcterms:created>
  <dcterms:modified xsi:type="dcterms:W3CDTF">2025-05-14T14:07:10Z</dcterms:modified>
</cp:coreProperties>
</file>