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jurakova3151\OneDrive - Moravskoslezský kraj\Plocha\RK + ZK\"/>
    </mc:Choice>
  </mc:AlternateContent>
  <xr:revisionPtr revIDLastSave="330" documentId="8_{9D1CB889-1A93-4430-A30B-F6BE52025694}" xr6:coauthVersionLast="44" xr6:coauthVersionMax="44" xr10:uidLastSave="{C81CD417-D533-42B9-BFFD-AFB9BC61EFEB}"/>
  <bookViews>
    <workbookView xWindow="-120" yWindow="-120" windowWidth="29040" windowHeight="15840" xr2:uid="{0B419988-225A-48F1-B058-63544495FE02}"/>
  </bookViews>
  <sheets>
    <sheet name="Příloha č. 1" sheetId="1" r:id="rId1"/>
  </sheets>
  <definedNames>
    <definedName name="__xlnm._FilterDatabase_1">#REF!</definedName>
    <definedName name="__xlnm._FilterDatabase_1_1">#REF!</definedName>
    <definedName name="_xlnm._FilterDatabase" localSheetId="0" hidden="1">'Příloha č. 1'!$A$6:$AR$40</definedName>
    <definedName name="_xlnm.Print_Area" localSheetId="0">'Příloha č. 1'!$A$1:$AR$45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21" i="1" l="1"/>
  <c r="AJ21" i="1"/>
  <c r="AN8" i="1"/>
  <c r="AJ8" i="1"/>
  <c r="AO8" i="1" l="1"/>
  <c r="AJ38" i="1" l="1"/>
  <c r="AJ37" i="1"/>
  <c r="AK37" i="1" l="1"/>
  <c r="AQ37" i="1"/>
  <c r="AP37" i="1"/>
  <c r="AO37" i="1"/>
  <c r="AN37" i="1"/>
  <c r="AM37" i="1"/>
  <c r="AL37" i="1"/>
  <c r="AK38" i="1"/>
  <c r="AL38" i="1"/>
  <c r="AM38" i="1"/>
  <c r="AN38" i="1"/>
  <c r="AO38" i="1"/>
  <c r="AP38" i="1"/>
  <c r="AQ38" i="1"/>
  <c r="AK33" i="1" l="1"/>
  <c r="AJ36" i="1" l="1"/>
  <c r="AI40" i="1"/>
  <c r="AJ19" i="1" l="1"/>
  <c r="AJ18" i="1"/>
  <c r="AJ20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K36" i="1"/>
  <c r="AK35" i="1"/>
  <c r="AK34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J17" i="1"/>
  <c r="AJ16" i="1"/>
  <c r="AJ15" i="1"/>
  <c r="AJ14" i="1"/>
  <c r="AJ13" i="1"/>
  <c r="AJ11" i="1"/>
  <c r="AJ12" i="1"/>
  <c r="AK13" i="1"/>
  <c r="AK12" i="1"/>
  <c r="AK11" i="1"/>
  <c r="AK10" i="1"/>
  <c r="AK9" i="1"/>
  <c r="AJ10" i="1"/>
  <c r="AJ9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K8" i="1"/>
  <c r="AK7" i="1"/>
  <c r="AJ7" i="1"/>
  <c r="AI39" i="1" l="1"/>
  <c r="AH39" i="1"/>
  <c r="AG39" i="1"/>
  <c r="AF39" i="1"/>
  <c r="AD39" i="1"/>
  <c r="AC39" i="1"/>
  <c r="AB39" i="1"/>
  <c r="AA39" i="1"/>
  <c r="Z39" i="1"/>
  <c r="Y39" i="1"/>
  <c r="W39" i="1"/>
  <c r="V39" i="1"/>
  <c r="U39" i="1"/>
  <c r="T39" i="1"/>
  <c r="S39" i="1"/>
  <c r="Q39" i="1"/>
  <c r="P39" i="1"/>
  <c r="O39" i="1"/>
  <c r="N39" i="1"/>
  <c r="M39" i="1"/>
  <c r="J39" i="1"/>
  <c r="AQ8" i="1"/>
  <c r="AP8" i="1"/>
  <c r="AQ21" i="1"/>
  <c r="AP21" i="1"/>
  <c r="AO21" i="1"/>
  <c r="AO20" i="1"/>
  <c r="AN20" i="1"/>
  <c r="AO36" i="1"/>
  <c r="AO35" i="1"/>
  <c r="AN35" i="1"/>
  <c r="AO34" i="1"/>
  <c r="AN34" i="1"/>
  <c r="AO33" i="1"/>
  <c r="AN33" i="1"/>
  <c r="AO32" i="1"/>
  <c r="AN32" i="1"/>
  <c r="AN31" i="1"/>
  <c r="R31" i="1"/>
  <c r="AO31" i="1" s="1"/>
  <c r="AO30" i="1"/>
  <c r="AN30" i="1"/>
  <c r="K30" i="1"/>
  <c r="AN29" i="1"/>
  <c r="AE29" i="1"/>
  <c r="AE39" i="1" s="1"/>
  <c r="L29" i="1"/>
  <c r="AO29" i="1" s="1"/>
  <c r="AO28" i="1"/>
  <c r="AN28" i="1"/>
  <c r="AO27" i="1"/>
  <c r="AN27" i="1"/>
  <c r="H27" i="1"/>
  <c r="AO26" i="1"/>
  <c r="AN26" i="1"/>
  <c r="H26" i="1"/>
  <c r="AN24" i="1"/>
  <c r="L24" i="1"/>
  <c r="AO24" i="1" s="1"/>
  <c r="K24" i="1"/>
  <c r="H24" i="1"/>
  <c r="AN25" i="1"/>
  <c r="R25" i="1"/>
  <c r="L25" i="1"/>
  <c r="H25" i="1"/>
  <c r="AN23" i="1"/>
  <c r="L23" i="1"/>
  <c r="AO23" i="1" s="1"/>
  <c r="K23" i="1"/>
  <c r="AN22" i="1"/>
  <c r="L22" i="1"/>
  <c r="AO22" i="1" s="1"/>
  <c r="K22" i="1"/>
  <c r="H22" i="1"/>
  <c r="AN19" i="1"/>
  <c r="R19" i="1"/>
  <c r="L19" i="1"/>
  <c r="H19" i="1"/>
  <c r="AN18" i="1"/>
  <c r="L18" i="1"/>
  <c r="AO18" i="1" s="1"/>
  <c r="K18" i="1"/>
  <c r="AN17" i="1"/>
  <c r="L17" i="1"/>
  <c r="AO17" i="1" s="1"/>
  <c r="K17" i="1"/>
  <c r="H17" i="1"/>
  <c r="AO15" i="1"/>
  <c r="I15" i="1"/>
  <c r="H15" i="1"/>
  <c r="L14" i="1"/>
  <c r="AO14" i="1" s="1"/>
  <c r="I14" i="1"/>
  <c r="G14" i="1"/>
  <c r="G39" i="1" s="1"/>
  <c r="AO13" i="1"/>
  <c r="AN13" i="1"/>
  <c r="H13" i="1"/>
  <c r="AN12" i="1"/>
  <c r="L12" i="1"/>
  <c r="AO12" i="1" s="1"/>
  <c r="H12" i="1"/>
  <c r="AN11" i="1"/>
  <c r="R11" i="1"/>
  <c r="L11" i="1"/>
  <c r="H11" i="1"/>
  <c r="AN10" i="1"/>
  <c r="X10" i="1"/>
  <c r="X39" i="1" s="1"/>
  <c r="R10" i="1"/>
  <c r="AO9" i="1"/>
  <c r="AN9" i="1"/>
  <c r="AN16" i="1"/>
  <c r="R16" i="1"/>
  <c r="L16" i="1"/>
  <c r="H16" i="1"/>
  <c r="AN7" i="1"/>
  <c r="R7" i="1"/>
  <c r="L7" i="1"/>
  <c r="H7" i="1"/>
  <c r="AC40" i="1" l="1"/>
  <c r="AP39" i="1"/>
  <c r="AO10" i="1"/>
  <c r="AO25" i="1"/>
  <c r="AO11" i="1"/>
  <c r="X40" i="1"/>
  <c r="R39" i="1"/>
  <c r="R40" i="1" s="1"/>
  <c r="M40" i="1"/>
  <c r="Q40" i="1"/>
  <c r="AO16" i="1"/>
  <c r="AO19" i="1"/>
  <c r="S40" i="1"/>
  <c r="AN15" i="1"/>
  <c r="I39" i="1"/>
  <c r="AN14" i="1"/>
  <c r="AE40" i="1"/>
  <c r="W40" i="1"/>
  <c r="AB40" i="1"/>
  <c r="AG40" i="1"/>
  <c r="AO7" i="1"/>
  <c r="K39" i="1"/>
  <c r="Y40" i="1"/>
  <c r="AQ39" i="1"/>
  <c r="AQ40" i="1" s="1"/>
  <c r="L39" i="1"/>
  <c r="H39" i="1"/>
  <c r="AO39" i="1" l="1"/>
  <c r="L40" i="1"/>
  <c r="K40" i="1"/>
  <c r="AN39" i="1"/>
  <c r="AM39" i="1"/>
  <c r="AJ39" i="1"/>
  <c r="AL39" i="1"/>
  <c r="AK39" i="1"/>
  <c r="AK40" i="1" l="1"/>
  <c r="AO40" i="1"/>
  <c r="AM40" i="1"/>
</calcChain>
</file>

<file path=xl/sharedStrings.xml><?xml version="1.0" encoding="utf-8"?>
<sst xmlns="http://schemas.openxmlformats.org/spreadsheetml/2006/main" count="256" uniqueCount="111">
  <si>
    <t>ROZPOČET AKCE (v tis. Kč)</t>
  </si>
  <si>
    <t xml:space="preserve">Upravený rozpočet
 05/2021 </t>
  </si>
  <si>
    <t>2021
návrh upraveného rozpočtu po revizi</t>
  </si>
  <si>
    <t>2022
schválený závazek</t>
  </si>
  <si>
    <t>2022
návrh závazku po revizi</t>
  </si>
  <si>
    <t>2023
schválený závazek</t>
  </si>
  <si>
    <t>2023
návrh závazku po revizi</t>
  </si>
  <si>
    <t>2024
schválený závazek</t>
  </si>
  <si>
    <t>2024
návrh závazku po revizi</t>
  </si>
  <si>
    <t>2025
schválený závazek</t>
  </si>
  <si>
    <t>2025
návrh závazku po revizi</t>
  </si>
  <si>
    <t>2026
schválený závazek</t>
  </si>
  <si>
    <t>2026
návrh závazku po revizi</t>
  </si>
  <si>
    <t>Jiné zdroje -  vlastní zdroje PO, plánovaný příjem u akcí "ISPROFIN" příp. dotace EU před revizí / zdroje PO</t>
  </si>
  <si>
    <t>Jiné zdroje - vlastní zdroje PO, plánovaný příjem u akcí "ISPROFIN" příp. dotace EU po revizí / zdroje PO</t>
  </si>
  <si>
    <t>Celkové výdaje na akci před revizí</t>
  </si>
  <si>
    <t>Celkové výdaje na akci po revizi</t>
  </si>
  <si>
    <t>Celkem financování z rozpočtu MSK před revizí</t>
  </si>
  <si>
    <t>Celkem financování z rozpočtu MSK po revizi</t>
  </si>
  <si>
    <t>Celkem financování z úvěru před revizí</t>
  </si>
  <si>
    <t>Celkem financování z úvěru po revizi</t>
  </si>
  <si>
    <t>Celkem z Fondu pro financování strategických projektů před revizí</t>
  </si>
  <si>
    <t>Celkem z Fondu pro financování strategických projektů po revizi</t>
  </si>
  <si>
    <t>Referent pro realizaci</t>
  </si>
  <si>
    <t>Kategorie</t>
  </si>
  <si>
    <t>Odvětví</t>
  </si>
  <si>
    <t>KRAJ,
DOTACE</t>
  </si>
  <si>
    <t>ORG</t>
  </si>
  <si>
    <t>Schválený závazek ZK usnesením</t>
  </si>
  <si>
    <t>Název akce</t>
  </si>
  <si>
    <t>Rok nákladu &lt; 2021</t>
  </si>
  <si>
    <t>z rozpočtu MSK</t>
  </si>
  <si>
    <t>z úvěru ČS</t>
  </si>
  <si>
    <t>Fond pro financování strategických projektů</t>
  </si>
  <si>
    <t>1.</t>
  </si>
  <si>
    <t>KUL</t>
  </si>
  <si>
    <t>D</t>
  </si>
  <si>
    <t xml:space="preserve">č. 2/21 ze dne 17. 12. 2020 (materiál č. 10/15) </t>
  </si>
  <si>
    <t xml:space="preserve">Zámek Bruntál - revitalizace objektu (Muzeum v Bruntále, příspěvková organizace) </t>
  </si>
  <si>
    <t>Blažková Alžběta, Ing.</t>
  </si>
  <si>
    <t>ZDR</t>
  </si>
  <si>
    <t>K</t>
  </si>
  <si>
    <t>Pavilon L - stavební úpravy (Slezská nemocnice v Opavě, příspěvková organizace)</t>
  </si>
  <si>
    <t>Kocich Petr, Ing.</t>
  </si>
  <si>
    <t>ŠKOL</t>
  </si>
  <si>
    <t>č. 16/1923 ze dne 4. 6. 2020 (materiál č. 7/5)</t>
  </si>
  <si>
    <t>Rekonstrukce nádvoří (Střední zdravotnická škola a Vyšší odborná škola zdravotnická, Ostrava, příspěvková organizace)</t>
  </si>
  <si>
    <t>Kollarová Marie, Ing.</t>
  </si>
  <si>
    <t>Sportovní areál na ul. Komenského, Opava (Mendelovo gymnázium, Opava, příspěvková organizace)</t>
  </si>
  <si>
    <t>Sýkora Pavel, Ing.</t>
  </si>
  <si>
    <t>Rekonstrukce objektu SŠ a domova mládeže (Střední škola společného stravování, Ostrava-Hrabůvka, příspěvková organizace)</t>
  </si>
  <si>
    <t>Jalůvka Martin, Ing.</t>
  </si>
  <si>
    <t>Rekonstrukce budovy na ulici Praskova čp. 411 v Opavě (Základní škola, Opava, Havlíčkova 1, příspěvková organizace)</t>
  </si>
  <si>
    <t>-</t>
  </si>
  <si>
    <t>Stavební úpravy části školy pro potřeby Vzdělávacího výcvikového středisk a umístění sídla Správy silnic MSK a Ostravě-Zábřehu (střední škola stavební a dřevozpracující, Ostrava, příspěvková organizace)</t>
  </si>
  <si>
    <t>Hendrych Štěpán, Ing.</t>
  </si>
  <si>
    <t>Rekonstrukce elektroinstalace hlavní budovy školy (Slezské gymnázium, Opava, příspěvková organizace)*</t>
  </si>
  <si>
    <t>Rekonstrukce objektů Polského gymnázia (Polské gymnázium - Polskie Gimnazjum im. Juliusza Słowackiego, Český Těšín, příspěvková organizace)*</t>
  </si>
  <si>
    <t>Ledvoňová Pavlína, Ing.</t>
  </si>
  <si>
    <t>2.</t>
  </si>
  <si>
    <t>SOC</t>
  </si>
  <si>
    <t>Chráněné bydlení Hynaisova (Fontána, příspěvková organizace, Hlučín)</t>
  </si>
  <si>
    <t>Chlumecká Ivana, Ing.</t>
  </si>
  <si>
    <t>Rekonstrukce školního dvora (Matiční gymnázium, Ostrava, příspěvková organizace)</t>
  </si>
  <si>
    <t>3.</t>
  </si>
  <si>
    <t>Zámek Nová Horka - dobudování infrastruktury  (Muzeum Novojičínska, příspěvková organizace)</t>
  </si>
  <si>
    <t>Körbelová Jindřiška, Ing.</t>
  </si>
  <si>
    <t>Rekonstrukce elektroinstalace (Mendelovo gymnázium, Opava, příspěvková organizace)</t>
  </si>
  <si>
    <t>Neuwirthová Pavlína, Bc.</t>
  </si>
  <si>
    <t>Rekonstrukce objektu na ul. B. Němcové, Opava (Střední odborné učiliště stavební, Opava, příspěvková organizace)</t>
  </si>
  <si>
    <t>Nemocnice Havířov - ČOV (Nemocnice s poliklinikou Havířov, příspěvková organizace)</t>
  </si>
  <si>
    <t xml:space="preserve">3. </t>
  </si>
  <si>
    <t>Rekonstrukce školní kuchyně a výdejny (Základní škola, Ostrava-Poruba, Čkalovova 942, příspěvková organizace)</t>
  </si>
  <si>
    <t>4.</t>
  </si>
  <si>
    <t>DOPR</t>
  </si>
  <si>
    <t xml:space="preserve">K  </t>
  </si>
  <si>
    <t>č. 2/21 ze dne 17. 12. 2020 (materiál č. 10/15) - jen PD</t>
  </si>
  <si>
    <t xml:space="preserve">Rekonstrukce vzletové a přistávací dráhy a navazujících provozních ploch Letiště Leoše Janáčka Ostrava </t>
  </si>
  <si>
    <t>Kožusznik Jaromír, Ing.</t>
  </si>
  <si>
    <t>Letiště Leoše Janáčka Ostrava, výstavba odbavovací plochy APN S3</t>
  </si>
  <si>
    <t>Vybavení rekonstruovaných objektů Polského gymnázia (Polské gymnázium - Polskie Gimnazjum im. Juliusza Słowackiego, Český Těšín, příspěvková organizace)</t>
  </si>
  <si>
    <t>Využití objektu v Bílé (Vzdělávací a sportovní centrum Bílá, příspěvková organizace)</t>
  </si>
  <si>
    <t>Stavební úpravy tělocvičny (Střední škola průmyslová, Krnov, příspěvková organizace)</t>
  </si>
  <si>
    <t>Přístavba tělocvičny (Gymnázium, Třinec, příspěvková organizace)</t>
  </si>
  <si>
    <t>5.</t>
  </si>
  <si>
    <t>nová akce</t>
  </si>
  <si>
    <t>Rekonstrukce silnice III/47811, II/478 Ostrava, ulice Mitrovická (Správa silnic Moravskoslezského kraje, příspěvková organizace)</t>
  </si>
  <si>
    <t>EP - Večeřa</t>
  </si>
  <si>
    <t>Rekonstrukce střechy a zateplení fasády (Gymnázium, Třinec, přípspěvková organizace)</t>
  </si>
  <si>
    <t>Rekonstrukce střechy budov dílen (Střední průmyslová škola, Ostrava - Vítkovice, příspěvková organizace)</t>
  </si>
  <si>
    <t>Kamrádová Simona, Ing.</t>
  </si>
  <si>
    <t>Pavilon F - stavební úpravy 1.NP pro rehabilitaci (Slezská nemocnice v Opavě, příspěvková organizace)</t>
  </si>
  <si>
    <t>6.</t>
  </si>
  <si>
    <t>č. 15/1812 ze dne 5. 3. 2020 (materiál č. 6/3)</t>
  </si>
  <si>
    <t>Modernizace a rekonstrukce silnice II/478 Ostrava, ulice Nová Krmelínská a silnice II/478 prodloužená Mostní II. etapa</t>
  </si>
  <si>
    <t>Kelišková</t>
  </si>
  <si>
    <t>Podpora rozvoje muzejnictví v Moravskoslezském kraji - příspěvkové organizace MSK (Jednotný systém evidence sbírek muzejní povahy)</t>
  </si>
  <si>
    <t>Skaunicová</t>
  </si>
  <si>
    <t>Přístavba Domu umění - Galerie 21. století (Galerie výtvarného umění v Ostravě, příspěvková organizace)</t>
  </si>
  <si>
    <t>Novostavba Moravskoslezské vědecké knihovny (Moravskoslezská vědecká knihovna v Ostravě, příspěvková organizace)**</t>
  </si>
  <si>
    <t>Janák</t>
  </si>
  <si>
    <t>5737</t>
  </si>
  <si>
    <t>Změna závazku po revizi</t>
  </si>
  <si>
    <t>Poznámka:</t>
  </si>
  <si>
    <t>*)</t>
  </si>
  <si>
    <t xml:space="preserve">**) </t>
  </si>
  <si>
    <t>Příprava projektu Černá kostka - Centrum digitalizace, vědy a inovací</t>
  </si>
  <si>
    <t>Financování vybraných akcí reprodukce majetku kraje na rok 2021, změna závazků kraje v dalších letech a změna financování akcí z úvěru České spořitelny, a. s. a z Fondu pro financování strategických projektů</t>
  </si>
  <si>
    <t>Výstavba domova pro seniory a domova se zvláštním režimem Kopřivnice*</t>
  </si>
  <si>
    <t>Rekonstrukce budovy a spojovací chodby Máchova (Domov Duha, příspěvková organizace, Nový Jičín)*</t>
  </si>
  <si>
    <t>Akce reprodukce majetku kraje, u kterých již proběhla změna rozpočtu 2021 (např. z důvodu urychlení jejich realizace). Je nutno změnit závazky v letech 2022 až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</si>
</sst>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0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tted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5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12" xfId="1" applyFont="1" applyBorder="1" applyAlignment="1" applyProtection="1">
      <alignment horizontal="center" vertical="center" textRotation="90" wrapText="1"/>
      <protection locked="0"/>
    </xf>
    <xf numFmtId="0" fontId="11" fillId="0" borderId="13" xfId="1" applyFont="1" applyBorder="1" applyAlignment="1" applyProtection="1">
      <alignment horizontal="center" vertical="center" textRotation="90" wrapText="1"/>
      <protection locked="0"/>
    </xf>
    <xf numFmtId="0" fontId="11" fillId="0" borderId="14" xfId="1" applyFont="1" applyBorder="1" applyAlignment="1" applyProtection="1">
      <alignment horizontal="center" vertical="center" textRotation="90" wrapText="1"/>
      <protection locked="0"/>
    </xf>
    <xf numFmtId="0" fontId="12" fillId="0" borderId="14" xfId="1" applyFont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11" fillId="0" borderId="16" xfId="1" applyFont="1" applyBorder="1" applyAlignment="1" applyProtection="1">
      <alignment horizontal="center" vertical="center" wrapText="1"/>
      <protection locked="0"/>
    </xf>
    <xf numFmtId="0" fontId="11" fillId="4" borderId="16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center" vertical="center" textRotation="90" wrapText="1"/>
      <protection locked="0"/>
    </xf>
    <xf numFmtId="0" fontId="11" fillId="0" borderId="5" xfId="1" applyFont="1" applyBorder="1" applyAlignment="1" applyProtection="1">
      <alignment horizontal="center" vertical="center" textRotation="90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4" borderId="5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" fontId="11" fillId="4" borderId="7" xfId="1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7" xfId="1" applyFont="1" applyFill="1" applyBorder="1" applyAlignment="1">
      <alignment horizontal="center" vertical="center" wrapText="1"/>
    </xf>
    <xf numFmtId="0" fontId="7" fillId="0" borderId="20" xfId="1" applyFont="1" applyBorder="1" applyAlignment="1" applyProtection="1">
      <alignment horizontal="center" vertical="center" wrapText="1"/>
      <protection locked="0"/>
    </xf>
    <xf numFmtId="0" fontId="7" fillId="0" borderId="21" xfId="1" applyFont="1" applyBorder="1" applyAlignment="1" applyProtection="1">
      <alignment horizontal="center" vertical="center" wrapText="1"/>
      <protection locked="0"/>
    </xf>
    <xf numFmtId="4" fontId="14" fillId="0" borderId="21" xfId="2" applyNumberFormat="1" applyFont="1" applyBorder="1" applyAlignment="1">
      <alignment wrapText="1"/>
    </xf>
    <xf numFmtId="0" fontId="7" fillId="0" borderId="21" xfId="1" applyFont="1" applyBorder="1" applyAlignment="1" applyProtection="1">
      <alignment horizontal="left" vertical="center" wrapText="1" shrinkToFit="1"/>
      <protection locked="0"/>
    </xf>
    <xf numFmtId="4" fontId="7" fillId="0" borderId="22" xfId="1" applyNumberFormat="1" applyFont="1" applyBorder="1" applyAlignment="1" applyProtection="1">
      <alignment horizontal="right" vertical="center" wrapText="1" shrinkToFit="1"/>
      <protection locked="0"/>
    </xf>
    <xf numFmtId="4" fontId="7" fillId="0" borderId="19" xfId="1" applyNumberFormat="1" applyFont="1" applyBorder="1" applyAlignment="1" applyProtection="1">
      <alignment horizontal="right" vertical="center" wrapText="1" shrinkToFit="1"/>
      <protection locked="0"/>
    </xf>
    <xf numFmtId="4" fontId="7" fillId="0" borderId="23" xfId="1" applyNumberFormat="1" applyFont="1" applyBorder="1" applyAlignment="1">
      <alignment horizontal="right" vertical="center" wrapText="1" shrinkToFit="1"/>
    </xf>
    <xf numFmtId="4" fontId="7" fillId="0" borderId="24" xfId="1" applyNumberFormat="1" applyFont="1" applyBorder="1" applyAlignment="1">
      <alignment horizontal="right" vertical="center" wrapText="1" shrinkToFit="1"/>
    </xf>
    <xf numFmtId="4" fontId="11" fillId="4" borderId="19" xfId="1" applyNumberFormat="1" applyFont="1" applyFill="1" applyBorder="1" applyAlignment="1" applyProtection="1">
      <alignment horizontal="right" vertical="center" wrapText="1" shrinkToFit="1"/>
      <protection locked="0"/>
    </xf>
    <xf numFmtId="4" fontId="11" fillId="4" borderId="21" xfId="1" applyNumberFormat="1" applyFont="1" applyFill="1" applyBorder="1" applyAlignment="1">
      <alignment horizontal="right" vertical="center" wrapText="1" shrinkToFit="1"/>
    </xf>
    <xf numFmtId="4" fontId="7" fillId="0" borderId="21" xfId="1" applyNumberFormat="1" applyFont="1" applyBorder="1" applyAlignment="1">
      <alignment horizontal="right" vertical="center" wrapText="1" shrinkToFit="1"/>
    </xf>
    <xf numFmtId="4" fontId="11" fillId="4" borderId="25" xfId="1" applyNumberFormat="1" applyFont="1" applyFill="1" applyBorder="1" applyAlignment="1">
      <alignment horizontal="right" vertical="center" wrapText="1" shrinkToFit="1"/>
    </xf>
    <xf numFmtId="4" fontId="11" fillId="4" borderId="26" xfId="1" applyNumberFormat="1" applyFont="1" applyFill="1" applyBorder="1" applyAlignment="1">
      <alignment horizontal="right" vertical="center" wrapText="1" shrinkToFit="1"/>
    </xf>
    <xf numFmtId="4" fontId="7" fillId="0" borderId="27" xfId="1" applyNumberFormat="1" applyFont="1" applyBorder="1" applyAlignment="1" applyProtection="1">
      <alignment horizontal="right" vertical="center" wrapText="1" shrinkToFit="1"/>
      <protection locked="0"/>
    </xf>
    <xf numFmtId="4" fontId="7" fillId="0" borderId="26" xfId="1" applyNumberFormat="1" applyFont="1" applyBorder="1" applyAlignment="1">
      <alignment horizontal="right" vertical="center" wrapText="1" shrinkToFit="1"/>
    </xf>
    <xf numFmtId="4" fontId="11" fillId="4" borderId="27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27" xfId="1" applyNumberFormat="1" applyFont="1" applyBorder="1" applyAlignment="1">
      <alignment horizontal="right" vertical="center" wrapText="1" shrinkToFit="1"/>
    </xf>
    <xf numFmtId="4" fontId="11" fillId="4" borderId="27" xfId="1" applyNumberFormat="1" applyFont="1" applyFill="1" applyBorder="1" applyAlignment="1">
      <alignment horizontal="right" vertical="center" wrapText="1" shrinkToFit="1"/>
    </xf>
    <xf numFmtId="0" fontId="15" fillId="5" borderId="28" xfId="0" applyFont="1" applyFill="1" applyBorder="1" applyAlignment="1">
      <alignment horizontal="center" vertical="center" wrapText="1"/>
    </xf>
    <xf numFmtId="4" fontId="14" fillId="0" borderId="21" xfId="2" applyNumberFormat="1" applyFont="1" applyBorder="1" applyAlignment="1">
      <alignment vertical="center" wrapText="1"/>
    </xf>
    <xf numFmtId="4" fontId="7" fillId="0" borderId="25" xfId="1" applyNumberFormat="1" applyFont="1" applyBorder="1" applyAlignment="1">
      <alignment horizontal="right" vertical="center" wrapText="1" shrinkToFit="1"/>
    </xf>
    <xf numFmtId="4" fontId="7" fillId="0" borderId="30" xfId="1" applyNumberFormat="1" applyFont="1" applyBorder="1" applyAlignment="1">
      <alignment horizontal="right" vertical="center" wrapText="1" shrinkToFit="1"/>
    </xf>
    <xf numFmtId="4" fontId="11" fillId="4" borderId="30" xfId="1" applyNumberFormat="1" applyFont="1" applyFill="1" applyBorder="1" applyAlignment="1">
      <alignment horizontal="right" vertical="center" wrapText="1" shrinkToFit="1"/>
    </xf>
    <xf numFmtId="4" fontId="7" fillId="0" borderId="31" xfId="1" applyNumberFormat="1" applyFont="1" applyBorder="1" applyAlignment="1" applyProtection="1">
      <alignment horizontal="right" vertical="center" wrapText="1" shrinkToFit="1"/>
      <protection locked="0"/>
    </xf>
    <xf numFmtId="4" fontId="11" fillId="4" borderId="31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31" xfId="1" applyNumberFormat="1" applyFont="1" applyBorder="1" applyAlignment="1">
      <alignment horizontal="right" vertical="center" wrapText="1" shrinkToFit="1"/>
    </xf>
    <xf numFmtId="4" fontId="11" fillId="4" borderId="31" xfId="1" applyNumberFormat="1" applyFont="1" applyFill="1" applyBorder="1" applyAlignment="1">
      <alignment horizontal="right" vertical="center" wrapText="1" shrinkToFit="1"/>
    </xf>
    <xf numFmtId="0" fontId="15" fillId="5" borderId="32" xfId="0" applyFont="1" applyFill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33" xfId="1" applyFont="1" applyBorder="1" applyAlignment="1" applyProtection="1">
      <alignment horizontal="center" vertical="center" wrapText="1"/>
      <protection locked="0"/>
    </xf>
    <xf numFmtId="4" fontId="14" fillId="0" borderId="33" xfId="2" applyNumberFormat="1" applyFont="1" applyBorder="1" applyAlignment="1">
      <alignment wrapText="1"/>
    </xf>
    <xf numFmtId="0" fontId="7" fillId="0" borderId="33" xfId="1" applyFont="1" applyBorder="1" applyAlignment="1" applyProtection="1">
      <alignment horizontal="left" vertical="center" wrapText="1" shrinkToFit="1"/>
      <protection locked="0"/>
    </xf>
    <xf numFmtId="4" fontId="7" fillId="0" borderId="34" xfId="1" applyNumberFormat="1" applyFont="1" applyBorder="1" applyAlignment="1" applyProtection="1">
      <alignment horizontal="right" vertical="center" wrapText="1" shrinkToFit="1"/>
      <protection locked="0"/>
    </xf>
    <xf numFmtId="4" fontId="7" fillId="0" borderId="29" xfId="1" applyNumberFormat="1" applyFont="1" applyBorder="1" applyAlignment="1" applyProtection="1">
      <alignment horizontal="right" vertical="center" wrapText="1" shrinkToFit="1"/>
      <protection locked="0"/>
    </xf>
    <xf numFmtId="4" fontId="7" fillId="0" borderId="35" xfId="1" applyNumberFormat="1" applyFont="1" applyBorder="1" applyAlignment="1">
      <alignment horizontal="right" vertical="center" wrapText="1" shrinkToFit="1"/>
    </xf>
    <xf numFmtId="4" fontId="11" fillId="4" borderId="29" xfId="1" applyNumberFormat="1" applyFont="1" applyFill="1" applyBorder="1" applyAlignment="1" applyProtection="1">
      <alignment horizontal="right" vertical="center" wrapText="1" shrinkToFit="1"/>
      <protection locked="0"/>
    </xf>
    <xf numFmtId="4" fontId="11" fillId="4" borderId="33" xfId="1" applyNumberFormat="1" applyFont="1" applyFill="1" applyBorder="1" applyAlignment="1">
      <alignment horizontal="right" vertical="center" wrapText="1" shrinkToFit="1"/>
    </xf>
    <xf numFmtId="4" fontId="7" fillId="0" borderId="33" xfId="1" applyNumberFormat="1" applyFont="1" applyBorder="1" applyAlignment="1">
      <alignment horizontal="right" vertical="center" wrapText="1" shrinkToFit="1"/>
    </xf>
    <xf numFmtId="4" fontId="11" fillId="4" borderId="36" xfId="1" applyNumberFormat="1" applyFont="1" applyFill="1" applyBorder="1" applyAlignment="1">
      <alignment horizontal="right" vertical="center" wrapText="1" shrinkToFi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4" fontId="7" fillId="0" borderId="36" xfId="1" applyNumberFormat="1" applyFont="1" applyBorder="1" applyAlignment="1" applyProtection="1">
      <alignment horizontal="right" vertical="center" wrapText="1" shrinkToFit="1"/>
      <protection locked="0"/>
    </xf>
    <xf numFmtId="0" fontId="7" fillId="0" borderId="33" xfId="0" applyFont="1" applyBorder="1" applyAlignment="1">
      <alignment horizontal="left" vertical="center" wrapText="1"/>
    </xf>
    <xf numFmtId="4" fontId="11" fillId="0" borderId="2" xfId="1" applyNumberFormat="1" applyFont="1" applyBorder="1" applyAlignment="1" applyProtection="1">
      <alignment horizontal="right" vertical="center" wrapText="1" shrinkToFit="1"/>
      <protection locked="0"/>
    </xf>
    <xf numFmtId="4" fontId="11" fillId="0" borderId="40" xfId="1" applyNumberFormat="1" applyFont="1" applyBorder="1" applyAlignment="1" applyProtection="1">
      <alignment horizontal="right" vertical="center" wrapText="1" shrinkToFit="1"/>
      <protection locked="0"/>
    </xf>
    <xf numFmtId="4" fontId="11" fillId="0" borderId="0" xfId="1" applyNumberFormat="1" applyFont="1" applyAlignment="1" applyProtection="1">
      <alignment horizontal="right" vertical="center" wrapText="1" shrinkToFit="1"/>
      <protection locked="0"/>
    </xf>
    <xf numFmtId="0" fontId="3" fillId="0" borderId="0" xfId="1" applyAlignment="1">
      <alignment horizontal="right" vertical="center"/>
    </xf>
    <xf numFmtId="0" fontId="13" fillId="0" borderId="0" xfId="1" applyFont="1"/>
    <xf numFmtId="0" fontId="18" fillId="0" borderId="0" xfId="1" applyFont="1" applyAlignment="1">
      <alignment vertical="center"/>
    </xf>
    <xf numFmtId="4" fontId="18" fillId="0" borderId="0" xfId="1" applyNumberFormat="1" applyFont="1" applyAlignment="1">
      <alignment vertical="center"/>
    </xf>
    <xf numFmtId="0" fontId="18" fillId="0" borderId="40" xfId="1" applyFont="1" applyBorder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4" fontId="6" fillId="0" borderId="40" xfId="1" applyNumberFormat="1" applyFont="1" applyBorder="1" applyAlignment="1">
      <alignment horizontal="right" vertical="center"/>
    </xf>
    <xf numFmtId="0" fontId="18" fillId="0" borderId="0" xfId="1" applyFont="1" applyAlignment="1">
      <alignment horizontal="right" vertical="center"/>
    </xf>
    <xf numFmtId="4" fontId="18" fillId="0" borderId="0" xfId="1" applyNumberFormat="1" applyFont="1" applyAlignment="1">
      <alignment horizontal="right" vertical="center"/>
    </xf>
    <xf numFmtId="4" fontId="19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7" fillId="0" borderId="21" xfId="1" applyFont="1" applyFill="1" applyBorder="1" applyAlignment="1" applyProtection="1">
      <alignment horizontal="center" vertical="center" wrapText="1"/>
      <protection locked="0"/>
    </xf>
    <xf numFmtId="0" fontId="7" fillId="0" borderId="21" xfId="1" applyFont="1" applyFill="1" applyBorder="1" applyAlignment="1" applyProtection="1">
      <alignment horizontal="left" vertical="center" wrapText="1" shrinkToFit="1"/>
      <protection locked="0"/>
    </xf>
    <xf numFmtId="4" fontId="18" fillId="0" borderId="40" xfId="1" applyNumberFormat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  <protection locked="0"/>
    </xf>
    <xf numFmtId="4" fontId="14" fillId="0" borderId="21" xfId="2" applyNumberFormat="1" applyFont="1" applyFill="1" applyBorder="1" applyAlignment="1">
      <alignment vertical="center" wrapText="1"/>
    </xf>
    <xf numFmtId="4" fontId="7" fillId="0" borderId="31" xfId="1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9" xfId="1" applyNumberFormat="1" applyFont="1" applyBorder="1" applyAlignment="1">
      <alignment vertical="center"/>
    </xf>
    <xf numFmtId="4" fontId="20" fillId="0" borderId="29" xfId="1" applyNumberFormat="1" applyFont="1" applyBorder="1" applyAlignment="1">
      <alignment vertical="center"/>
    </xf>
    <xf numFmtId="4" fontId="20" fillId="0" borderId="29" xfId="1" applyNumberFormat="1" applyFont="1" applyFill="1" applyBorder="1" applyAlignment="1">
      <alignment vertical="center"/>
    </xf>
    <xf numFmtId="4" fontId="11" fillId="4" borderId="41" xfId="1" applyNumberFormat="1" applyFont="1" applyFill="1" applyBorder="1" applyAlignment="1">
      <alignment horizontal="right" vertical="center" wrapText="1" shrinkToFit="1"/>
    </xf>
    <xf numFmtId="4" fontId="11" fillId="4" borderId="42" xfId="1" applyNumberFormat="1" applyFont="1" applyFill="1" applyBorder="1" applyAlignment="1">
      <alignment horizontal="right" vertical="center" wrapText="1" shrinkToFit="1"/>
    </xf>
    <xf numFmtId="4" fontId="11" fillId="4" borderId="24" xfId="1" applyNumberFormat="1" applyFont="1" applyFill="1" applyBorder="1" applyAlignment="1">
      <alignment horizontal="right" vertical="center" wrapText="1" shrinkToFit="1"/>
    </xf>
    <xf numFmtId="4" fontId="0" fillId="0" borderId="0" xfId="0" applyNumberFormat="1"/>
    <xf numFmtId="0" fontId="17" fillId="5" borderId="3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21" fillId="0" borderId="29" xfId="1" applyNumberFormat="1" applyFont="1" applyBorder="1" applyAlignment="1">
      <alignment horizontal="left" vertical="center"/>
    </xf>
    <xf numFmtId="0" fontId="7" fillId="0" borderId="20" xfId="1" applyFont="1" applyBorder="1" applyAlignment="1" applyProtection="1">
      <alignment horizontal="left" vertical="center" wrapText="1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4" fontId="14" fillId="0" borderId="21" xfId="2" applyNumberFormat="1" applyFont="1" applyBorder="1" applyAlignment="1">
      <alignment horizontal="left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4" fontId="11" fillId="4" borderId="8" xfId="1" applyNumberFormat="1" applyFont="1" applyFill="1" applyBorder="1" applyAlignment="1" applyProtection="1">
      <alignment horizontal="center" vertical="center" wrapText="1" shrinkToFit="1"/>
      <protection locked="0"/>
    </xf>
    <xf numFmtId="4" fontId="11" fillId="4" borderId="17" xfId="1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39" xfId="1" applyBorder="1" applyAlignment="1">
      <alignment horizontal="center" vertical="center"/>
    </xf>
  </cellXfs>
  <cellStyles count="3">
    <cellStyle name="Excel Built-in Normal" xfId="1" xr:uid="{E028BD24-C383-4E99-9CD0-147CB49CAABF}"/>
    <cellStyle name="Normální" xfId="0" builtinId="0"/>
    <cellStyle name="Normální 18" xfId="2" xr:uid="{7F32F8B9-A3EB-4995-B035-532B2D7EF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0</xdr:rowOff>
    </xdr:from>
    <xdr:to>
      <xdr:col>5</xdr:col>
      <xdr:colOff>438150</xdr:colOff>
      <xdr:row>1</xdr:row>
      <xdr:rowOff>314325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72BBAE7-B784-432C-8684-9BA1626713D7}"/>
            </a:ext>
          </a:extLst>
        </xdr:cNvPr>
        <xdr:cNvSpPr>
          <a:spLocks noChangeArrowheads="1"/>
        </xdr:cNvSpPr>
      </xdr:nvSpPr>
      <xdr:spPr bwMode="auto">
        <a:xfrm>
          <a:off x="3105150" y="180975"/>
          <a:ext cx="2857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152400</xdr:colOff>
      <xdr:row>1</xdr:row>
      <xdr:rowOff>0</xdr:rowOff>
    </xdr:from>
    <xdr:to>
      <xdr:col>5</xdr:col>
      <xdr:colOff>438150</xdr:colOff>
      <xdr:row>1</xdr:row>
      <xdr:rowOff>314325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E4C3A9-35D1-44B9-BBDA-9EEB05454C27}"/>
            </a:ext>
          </a:extLst>
        </xdr:cNvPr>
        <xdr:cNvSpPr>
          <a:spLocks noChangeArrowheads="1"/>
        </xdr:cNvSpPr>
      </xdr:nvSpPr>
      <xdr:spPr bwMode="auto">
        <a:xfrm>
          <a:off x="3105150" y="180975"/>
          <a:ext cx="2857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152400</xdr:colOff>
      <xdr:row>1</xdr:row>
      <xdr:rowOff>0</xdr:rowOff>
    </xdr:from>
    <xdr:to>
      <xdr:col>5</xdr:col>
      <xdr:colOff>438150</xdr:colOff>
      <xdr:row>1</xdr:row>
      <xdr:rowOff>314325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54AFC7F3-D9AE-48AE-AF27-3ED9964507BF}"/>
            </a:ext>
          </a:extLst>
        </xdr:cNvPr>
        <xdr:cNvSpPr>
          <a:spLocks noChangeArrowheads="1"/>
        </xdr:cNvSpPr>
      </xdr:nvSpPr>
      <xdr:spPr bwMode="auto">
        <a:xfrm>
          <a:off x="3105150" y="180975"/>
          <a:ext cx="2857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2C47-07AC-4F2E-A0F8-E36F843F6616}">
  <sheetPr>
    <pageSetUpPr fitToPage="1"/>
  </sheetPr>
  <dimension ref="A1:AV53"/>
  <sheetViews>
    <sheetView tabSelected="1" zoomScale="71" zoomScaleNormal="71" workbookViewId="0">
      <selection activeCell="A7" sqref="A7"/>
    </sheetView>
  </sheetViews>
  <sheetFormatPr defaultRowHeight="12.75" x14ac:dyDescent="0.2"/>
  <cols>
    <col min="1" max="1" width="3.7109375" customWidth="1"/>
    <col min="2" max="2" width="7.42578125" customWidth="1"/>
    <col min="3" max="3" width="4.42578125" hidden="1" customWidth="1"/>
    <col min="4" max="4" width="7.28515625" hidden="1" customWidth="1"/>
    <col min="5" max="5" width="18.42578125" customWidth="1"/>
    <col min="6" max="6" width="46.5703125" customWidth="1"/>
    <col min="7" max="8" width="14.28515625" customWidth="1"/>
    <col min="9" max="10" width="15.5703125" customWidth="1"/>
    <col min="11" max="11" width="16.7109375" customWidth="1"/>
    <col min="12" max="12" width="16" customWidth="1"/>
    <col min="13" max="13" width="16.140625" customWidth="1"/>
    <col min="14" max="14" width="12.7109375" customWidth="1"/>
    <col min="15" max="16" width="15" customWidth="1"/>
    <col min="17" max="17" width="13.85546875" customWidth="1"/>
    <col min="18" max="19" width="14.85546875" customWidth="1"/>
    <col min="20" max="20" width="13.140625" customWidth="1"/>
    <col min="21" max="22" width="15.140625" customWidth="1"/>
    <col min="23" max="23" width="13.140625" customWidth="1"/>
    <col min="24" max="25" width="14.85546875" customWidth="1"/>
    <col min="26" max="26" width="12" customWidth="1"/>
    <col min="27" max="27" width="14.7109375" customWidth="1"/>
    <col min="28" max="28" width="13.140625" customWidth="1"/>
    <col min="29" max="29" width="16.5703125" customWidth="1"/>
    <col min="30" max="30" width="12.140625" customWidth="1"/>
    <col min="31" max="31" width="17" customWidth="1"/>
    <col min="32" max="32" width="12.42578125" customWidth="1"/>
    <col min="33" max="33" width="15" customWidth="1"/>
    <col min="34" max="34" width="16.7109375" customWidth="1"/>
    <col min="35" max="35" width="17.5703125" customWidth="1"/>
    <col min="36" max="36" width="18.7109375" customWidth="1"/>
    <col min="37" max="37" width="19" customWidth="1"/>
    <col min="38" max="38" width="18.140625" customWidth="1"/>
    <col min="39" max="39" width="20.140625" customWidth="1"/>
    <col min="40" max="40" width="17.7109375" customWidth="1"/>
    <col min="41" max="42" width="16.7109375" customWidth="1"/>
    <col min="43" max="43" width="17.7109375" customWidth="1"/>
    <col min="44" max="44" width="0" hidden="1" customWidth="1"/>
    <col min="47" max="47" width="15" customWidth="1"/>
    <col min="48" max="48" width="13.7109375" customWidth="1"/>
  </cols>
  <sheetData>
    <row r="1" spans="1:48" ht="15" thickBot="1" x14ac:dyDescent="0.25">
      <c r="B1" s="1"/>
      <c r="C1" s="1"/>
      <c r="D1" s="2"/>
      <c r="E1" s="3"/>
      <c r="F1" s="4"/>
      <c r="G1" s="1"/>
      <c r="H1" s="1"/>
      <c r="I1" s="1"/>
      <c r="J1" s="1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6"/>
      <c r="AP1" s="6"/>
      <c r="AQ1" s="2"/>
    </row>
    <row r="2" spans="1:48" ht="18" customHeight="1" x14ac:dyDescent="0.2">
      <c r="A2" s="111" t="s">
        <v>107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3"/>
    </row>
    <row r="3" spans="1:48" ht="18.75" customHeight="1" thickBo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6"/>
    </row>
    <row r="4" spans="1:48" ht="65.25" customHeight="1" thickBot="1" x14ac:dyDescent="0.25">
      <c r="A4" s="117"/>
      <c r="B4" s="118"/>
      <c r="C4" s="118"/>
      <c r="D4" s="118"/>
      <c r="E4" s="118"/>
      <c r="F4" s="119"/>
      <c r="G4" s="7"/>
      <c r="H4" s="120" t="s">
        <v>1</v>
      </c>
      <c r="I4" s="121"/>
      <c r="J4" s="122"/>
      <c r="K4" s="123" t="s">
        <v>2</v>
      </c>
      <c r="L4" s="124"/>
      <c r="M4" s="125"/>
      <c r="N4" s="120" t="s">
        <v>3</v>
      </c>
      <c r="O4" s="121"/>
      <c r="P4" s="122"/>
      <c r="Q4" s="123" t="s">
        <v>4</v>
      </c>
      <c r="R4" s="124"/>
      <c r="S4" s="125"/>
      <c r="T4" s="120" t="s">
        <v>5</v>
      </c>
      <c r="U4" s="121"/>
      <c r="V4" s="122"/>
      <c r="W4" s="123" t="s">
        <v>6</v>
      </c>
      <c r="X4" s="124"/>
      <c r="Y4" s="125"/>
      <c r="Z4" s="120" t="s">
        <v>7</v>
      </c>
      <c r="AA4" s="122"/>
      <c r="AB4" s="123" t="s">
        <v>8</v>
      </c>
      <c r="AC4" s="124"/>
      <c r="AD4" s="91" t="s">
        <v>9</v>
      </c>
      <c r="AE4" s="92" t="s">
        <v>10</v>
      </c>
      <c r="AF4" s="8" t="s">
        <v>11</v>
      </c>
      <c r="AG4" s="92" t="s">
        <v>12</v>
      </c>
      <c r="AH4" s="130" t="s">
        <v>13</v>
      </c>
      <c r="AI4" s="126" t="s">
        <v>14</v>
      </c>
      <c r="AJ4" s="130" t="s">
        <v>15</v>
      </c>
      <c r="AK4" s="126" t="s">
        <v>16</v>
      </c>
      <c r="AL4" s="130" t="s">
        <v>17</v>
      </c>
      <c r="AM4" s="126" t="s">
        <v>18</v>
      </c>
      <c r="AN4" s="130" t="s">
        <v>19</v>
      </c>
      <c r="AO4" s="126" t="s">
        <v>20</v>
      </c>
      <c r="AP4" s="130" t="s">
        <v>21</v>
      </c>
      <c r="AQ4" s="126" t="s">
        <v>22</v>
      </c>
      <c r="AR4" s="128" t="s">
        <v>23</v>
      </c>
    </row>
    <row r="5" spans="1:48" ht="64.5" customHeight="1" thickBot="1" x14ac:dyDescent="0.25">
      <c r="A5" s="9" t="s">
        <v>24</v>
      </c>
      <c r="B5" s="10" t="s">
        <v>25</v>
      </c>
      <c r="C5" s="11" t="s">
        <v>26</v>
      </c>
      <c r="D5" s="12" t="s">
        <v>27</v>
      </c>
      <c r="E5" s="13" t="s">
        <v>28</v>
      </c>
      <c r="F5" s="14" t="s">
        <v>29</v>
      </c>
      <c r="G5" s="15" t="s">
        <v>30</v>
      </c>
      <c r="H5" s="15" t="s">
        <v>31</v>
      </c>
      <c r="I5" s="15" t="s">
        <v>32</v>
      </c>
      <c r="J5" s="15" t="s">
        <v>33</v>
      </c>
      <c r="K5" s="16" t="s">
        <v>31</v>
      </c>
      <c r="L5" s="16" t="s">
        <v>32</v>
      </c>
      <c r="M5" s="16" t="s">
        <v>33</v>
      </c>
      <c r="N5" s="15" t="s">
        <v>31</v>
      </c>
      <c r="O5" s="15" t="s">
        <v>32</v>
      </c>
      <c r="P5" s="15" t="s">
        <v>33</v>
      </c>
      <c r="Q5" s="16" t="s">
        <v>31</v>
      </c>
      <c r="R5" s="16" t="s">
        <v>32</v>
      </c>
      <c r="S5" s="16" t="s">
        <v>33</v>
      </c>
      <c r="T5" s="15" t="s">
        <v>31</v>
      </c>
      <c r="U5" s="15" t="s">
        <v>32</v>
      </c>
      <c r="V5" s="15" t="s">
        <v>33</v>
      </c>
      <c r="W5" s="16" t="s">
        <v>31</v>
      </c>
      <c r="X5" s="16" t="s">
        <v>32</v>
      </c>
      <c r="Y5" s="16" t="s">
        <v>33</v>
      </c>
      <c r="Z5" s="15" t="s">
        <v>31</v>
      </c>
      <c r="AA5" s="15" t="s">
        <v>32</v>
      </c>
      <c r="AB5" s="16" t="s">
        <v>31</v>
      </c>
      <c r="AC5" s="16" t="s">
        <v>32</v>
      </c>
      <c r="AD5" s="15" t="s">
        <v>31</v>
      </c>
      <c r="AE5" s="16" t="s">
        <v>31</v>
      </c>
      <c r="AF5" s="17" t="s">
        <v>31</v>
      </c>
      <c r="AG5" s="16" t="s">
        <v>31</v>
      </c>
      <c r="AH5" s="131"/>
      <c r="AI5" s="127"/>
      <c r="AJ5" s="131"/>
      <c r="AK5" s="127"/>
      <c r="AL5" s="131"/>
      <c r="AM5" s="127"/>
      <c r="AN5" s="131"/>
      <c r="AO5" s="127"/>
      <c r="AP5" s="131"/>
      <c r="AQ5" s="127"/>
      <c r="AR5" s="129"/>
    </row>
    <row r="6" spans="1:48" ht="15.75" thickBot="1" x14ac:dyDescent="0.25">
      <c r="A6" s="18"/>
      <c r="B6" s="19"/>
      <c r="C6" s="19"/>
      <c r="D6" s="20"/>
      <c r="E6" s="21"/>
      <c r="F6" s="21"/>
      <c r="G6" s="21"/>
      <c r="H6" s="21"/>
      <c r="I6" s="21"/>
      <c r="J6" s="21"/>
      <c r="K6" s="22"/>
      <c r="L6" s="22"/>
      <c r="M6" s="22"/>
      <c r="N6" s="21"/>
      <c r="O6" s="21"/>
      <c r="P6" s="21"/>
      <c r="Q6" s="22"/>
      <c r="R6" s="22"/>
      <c r="S6" s="22"/>
      <c r="T6" s="21"/>
      <c r="U6" s="21"/>
      <c r="V6" s="21"/>
      <c r="W6" s="22"/>
      <c r="X6" s="22"/>
      <c r="Y6" s="22"/>
      <c r="Z6" s="21"/>
      <c r="AA6" s="21"/>
      <c r="AB6" s="22"/>
      <c r="AC6" s="22"/>
      <c r="AD6" s="21"/>
      <c r="AE6" s="22"/>
      <c r="AF6" s="23"/>
      <c r="AG6" s="22"/>
      <c r="AH6" s="24"/>
      <c r="AI6" s="93"/>
      <c r="AJ6" s="25"/>
      <c r="AK6" s="26"/>
      <c r="AL6" s="25"/>
      <c r="AM6" s="92"/>
      <c r="AN6" s="25"/>
      <c r="AO6" s="27"/>
      <c r="AP6" s="92"/>
      <c r="AQ6" s="8"/>
      <c r="AR6" s="24"/>
    </row>
    <row r="7" spans="1:48" ht="54" customHeight="1" thickBot="1" x14ac:dyDescent="0.3">
      <c r="A7" s="97" t="s">
        <v>34</v>
      </c>
      <c r="B7" s="28" t="s">
        <v>35</v>
      </c>
      <c r="C7" s="29" t="s">
        <v>36</v>
      </c>
      <c r="D7" s="29">
        <v>5955</v>
      </c>
      <c r="E7" s="30" t="s">
        <v>37</v>
      </c>
      <c r="F7" s="31" t="s">
        <v>38</v>
      </c>
      <c r="G7" s="32">
        <v>2180.3000000000002</v>
      </c>
      <c r="H7" s="33">
        <f>47269.7-45000</f>
        <v>2269.6999999999971</v>
      </c>
      <c r="I7" s="34">
        <v>45000</v>
      </c>
      <c r="J7" s="35">
        <v>0</v>
      </c>
      <c r="K7" s="36">
        <v>2269.6999999999998</v>
      </c>
      <c r="L7" s="37">
        <f>45000-20000</f>
        <v>25000</v>
      </c>
      <c r="M7" s="37">
        <v>0</v>
      </c>
      <c r="N7" s="33">
        <v>0</v>
      </c>
      <c r="O7" s="38">
        <v>50000</v>
      </c>
      <c r="P7" s="38">
        <v>0</v>
      </c>
      <c r="Q7" s="37">
        <v>0</v>
      </c>
      <c r="R7" s="100">
        <f>50000+20000</f>
        <v>70000</v>
      </c>
      <c r="S7" s="102">
        <v>0</v>
      </c>
      <c r="T7" s="33">
        <v>0</v>
      </c>
      <c r="U7" s="38">
        <v>0</v>
      </c>
      <c r="V7" s="38">
        <v>0</v>
      </c>
      <c r="W7" s="37">
        <v>0</v>
      </c>
      <c r="X7" s="100">
        <v>0</v>
      </c>
      <c r="Y7" s="102">
        <v>0</v>
      </c>
      <c r="Z7" s="33">
        <v>0</v>
      </c>
      <c r="AA7" s="38">
        <v>0</v>
      </c>
      <c r="AB7" s="37">
        <v>0</v>
      </c>
      <c r="AC7" s="39">
        <v>0</v>
      </c>
      <c r="AD7" s="33">
        <v>0</v>
      </c>
      <c r="AE7" s="40">
        <v>0</v>
      </c>
      <c r="AF7" s="41">
        <v>0</v>
      </c>
      <c r="AG7" s="40">
        <v>0</v>
      </c>
      <c r="AH7" s="42">
        <v>0</v>
      </c>
      <c r="AI7" s="40">
        <v>0</v>
      </c>
      <c r="AJ7" s="41">
        <f>G7+H7+I7+N7+O7+T7+U7+Z7+AA7+AD7+AF7+AH7</f>
        <v>99450</v>
      </c>
      <c r="AK7" s="43">
        <f t="shared" ref="AK7:AK20" si="0">G7+K7+L7+M7+Q7+R7+W7+X7+AB7+AC7+AE7+AG7+AI7</f>
        <v>99450</v>
      </c>
      <c r="AL7" s="41">
        <f t="shared" ref="AL7:AL35" si="1">G7+H7+N7+T7+Z7+AD7+AF7</f>
        <v>4449.9999999999973</v>
      </c>
      <c r="AM7" s="43">
        <f t="shared" ref="AM7:AM38" si="2">G7+K7+Q7+W7+AB7+AE7+AG7</f>
        <v>4450</v>
      </c>
      <c r="AN7" s="44">
        <f t="shared" ref="AN7:AN13" si="3">I7+O7+U7+AA7</f>
        <v>95000</v>
      </c>
      <c r="AO7" s="45">
        <f t="shared" ref="AO7:AO38" si="4">L7+R7+X7+AC7</f>
        <v>95000</v>
      </c>
      <c r="AP7" s="44">
        <v>0</v>
      </c>
      <c r="AQ7" s="45">
        <v>0</v>
      </c>
      <c r="AR7" s="46" t="s">
        <v>39</v>
      </c>
      <c r="AU7" s="103"/>
      <c r="AV7" s="103"/>
    </row>
    <row r="8" spans="1:48" ht="54" customHeight="1" x14ac:dyDescent="0.25">
      <c r="A8" s="98" t="s">
        <v>34</v>
      </c>
      <c r="B8" s="28" t="s">
        <v>60</v>
      </c>
      <c r="C8" s="29" t="s">
        <v>41</v>
      </c>
      <c r="D8" s="29" t="s">
        <v>101</v>
      </c>
      <c r="E8" s="30" t="s">
        <v>37</v>
      </c>
      <c r="F8" s="73" t="s">
        <v>108</v>
      </c>
      <c r="G8" s="32">
        <v>6700.41</v>
      </c>
      <c r="H8" s="33">
        <v>0</v>
      </c>
      <c r="I8" s="34">
        <v>52961.03</v>
      </c>
      <c r="J8" s="48">
        <v>38.97</v>
      </c>
      <c r="K8" s="36">
        <v>0</v>
      </c>
      <c r="L8" s="37">
        <v>52961.03</v>
      </c>
      <c r="M8" s="37">
        <v>38.97</v>
      </c>
      <c r="N8" s="33">
        <v>0</v>
      </c>
      <c r="O8" s="38">
        <v>166000</v>
      </c>
      <c r="P8" s="38">
        <v>0</v>
      </c>
      <c r="Q8" s="37">
        <v>0</v>
      </c>
      <c r="R8" s="100">
        <v>130000</v>
      </c>
      <c r="S8" s="39">
        <v>0</v>
      </c>
      <c r="T8" s="33">
        <v>0</v>
      </c>
      <c r="U8" s="38">
        <v>0</v>
      </c>
      <c r="V8" s="38">
        <v>0</v>
      </c>
      <c r="W8" s="37">
        <v>0</v>
      </c>
      <c r="X8" s="100">
        <v>112039</v>
      </c>
      <c r="Y8" s="39">
        <v>0</v>
      </c>
      <c r="Z8" s="33">
        <v>0</v>
      </c>
      <c r="AA8" s="38">
        <v>0</v>
      </c>
      <c r="AB8" s="37">
        <v>0</v>
      </c>
      <c r="AC8" s="39">
        <v>0</v>
      </c>
      <c r="AD8" s="33">
        <v>0</v>
      </c>
      <c r="AE8" s="40">
        <v>0</v>
      </c>
      <c r="AF8" s="41">
        <v>0</v>
      </c>
      <c r="AG8" s="40">
        <v>0</v>
      </c>
      <c r="AH8" s="49">
        <v>65000</v>
      </c>
      <c r="AI8" s="50">
        <v>65000</v>
      </c>
      <c r="AJ8" s="51">
        <f>G8+H8+I8+N8+O8+T8+U8+Z8+AA8+AD8+AF8+AH8+76077.97</f>
        <v>366739.41000000003</v>
      </c>
      <c r="AK8" s="52">
        <f t="shared" si="0"/>
        <v>366739.41000000003</v>
      </c>
      <c r="AL8" s="51">
        <f t="shared" si="1"/>
        <v>6700.41</v>
      </c>
      <c r="AM8" s="52">
        <f t="shared" si="2"/>
        <v>6700.41</v>
      </c>
      <c r="AN8" s="53">
        <f>I8+O8+U8+AA8+76077.97-38.97</f>
        <v>295000.03000000003</v>
      </c>
      <c r="AO8" s="54">
        <f>L8+R8+X8+AC8</f>
        <v>295000.03000000003</v>
      </c>
      <c r="AP8" s="53">
        <f>J8+P8+V8</f>
        <v>38.97</v>
      </c>
      <c r="AQ8" s="54">
        <f>M8+S8+Y8</f>
        <v>38.97</v>
      </c>
      <c r="AR8" s="55"/>
      <c r="AU8" s="103"/>
      <c r="AV8" s="103"/>
    </row>
    <row r="9" spans="1:48" ht="54" customHeight="1" x14ac:dyDescent="0.25">
      <c r="A9" s="98" t="s">
        <v>34</v>
      </c>
      <c r="B9" s="56" t="s">
        <v>44</v>
      </c>
      <c r="C9" s="57" t="s">
        <v>36</v>
      </c>
      <c r="D9" s="57">
        <v>5967</v>
      </c>
      <c r="E9" s="58" t="s">
        <v>45</v>
      </c>
      <c r="F9" s="59" t="s">
        <v>46</v>
      </c>
      <c r="G9" s="60">
        <v>0</v>
      </c>
      <c r="H9" s="61">
        <v>300</v>
      </c>
      <c r="I9" s="62">
        <v>0</v>
      </c>
      <c r="J9" s="48">
        <v>0</v>
      </c>
      <c r="K9" s="63">
        <v>300</v>
      </c>
      <c r="L9" s="64">
        <v>0</v>
      </c>
      <c r="M9" s="64">
        <v>0</v>
      </c>
      <c r="N9" s="61">
        <v>4600</v>
      </c>
      <c r="O9" s="65">
        <v>0</v>
      </c>
      <c r="P9" s="38">
        <v>0</v>
      </c>
      <c r="Q9" s="64">
        <v>0</v>
      </c>
      <c r="R9" s="101">
        <v>0</v>
      </c>
      <c r="S9" s="39">
        <v>0</v>
      </c>
      <c r="T9" s="61">
        <v>0</v>
      </c>
      <c r="U9" s="65">
        <v>0</v>
      </c>
      <c r="V9" s="38">
        <v>0</v>
      </c>
      <c r="W9" s="64">
        <v>4600</v>
      </c>
      <c r="X9" s="101">
        <v>0</v>
      </c>
      <c r="Y9" s="39">
        <v>0</v>
      </c>
      <c r="Z9" s="61">
        <v>0</v>
      </c>
      <c r="AA9" s="65">
        <v>0</v>
      </c>
      <c r="AB9" s="64">
        <v>0</v>
      </c>
      <c r="AC9" s="66">
        <v>0</v>
      </c>
      <c r="AD9" s="61">
        <v>0</v>
      </c>
      <c r="AE9" s="50">
        <v>0</v>
      </c>
      <c r="AF9" s="51">
        <v>0</v>
      </c>
      <c r="AG9" s="50">
        <v>0</v>
      </c>
      <c r="AH9" s="49">
        <v>0</v>
      </c>
      <c r="AI9" s="50">
        <v>0</v>
      </c>
      <c r="AJ9" s="51">
        <f>G9+H9+I9+N9+O9+T9+U9+Z9+AA9+AD9+AF9+AH9</f>
        <v>4900</v>
      </c>
      <c r="AK9" s="52">
        <f t="shared" si="0"/>
        <v>4900</v>
      </c>
      <c r="AL9" s="51">
        <f t="shared" si="1"/>
        <v>4900</v>
      </c>
      <c r="AM9" s="52">
        <f t="shared" si="2"/>
        <v>4900</v>
      </c>
      <c r="AN9" s="53">
        <f t="shared" si="3"/>
        <v>0</v>
      </c>
      <c r="AO9" s="54">
        <f t="shared" si="4"/>
        <v>0</v>
      </c>
      <c r="AP9" s="44">
        <v>0</v>
      </c>
      <c r="AQ9" s="45">
        <v>0</v>
      </c>
      <c r="AR9" s="67" t="s">
        <v>47</v>
      </c>
      <c r="AU9" s="103"/>
      <c r="AV9" s="103"/>
    </row>
    <row r="10" spans="1:48" ht="54" customHeight="1" thickBot="1" x14ac:dyDescent="0.3">
      <c r="A10" s="98" t="s">
        <v>34</v>
      </c>
      <c r="B10" s="28" t="s">
        <v>44</v>
      </c>
      <c r="C10" s="29" t="s">
        <v>41</v>
      </c>
      <c r="D10" s="29">
        <v>5879</v>
      </c>
      <c r="E10" s="30" t="s">
        <v>37</v>
      </c>
      <c r="F10" s="31" t="s">
        <v>48</v>
      </c>
      <c r="G10" s="32">
        <v>552.97</v>
      </c>
      <c r="H10" s="33">
        <v>36.299999999999997</v>
      </c>
      <c r="I10" s="34">
        <v>5500</v>
      </c>
      <c r="J10" s="48">
        <v>0</v>
      </c>
      <c r="K10" s="36">
        <v>0</v>
      </c>
      <c r="L10" s="37">
        <v>0</v>
      </c>
      <c r="M10" s="37">
        <v>0</v>
      </c>
      <c r="N10" s="33">
        <v>0</v>
      </c>
      <c r="O10" s="38">
        <v>25000</v>
      </c>
      <c r="P10" s="38">
        <v>0</v>
      </c>
      <c r="Q10" s="37">
        <v>36.299999999999997</v>
      </c>
      <c r="R10" s="100">
        <f>25000-19500</f>
        <v>5500</v>
      </c>
      <c r="S10" s="39">
        <v>0</v>
      </c>
      <c r="T10" s="33">
        <v>0</v>
      </c>
      <c r="U10" s="38">
        <v>0</v>
      </c>
      <c r="V10" s="38">
        <v>0</v>
      </c>
      <c r="W10" s="37">
        <v>0</v>
      </c>
      <c r="X10" s="100">
        <f>25000</f>
        <v>25000</v>
      </c>
      <c r="Y10" s="39">
        <v>0</v>
      </c>
      <c r="Z10" s="33">
        <v>0</v>
      </c>
      <c r="AA10" s="38">
        <v>0</v>
      </c>
      <c r="AB10" s="37">
        <v>0</v>
      </c>
      <c r="AC10" s="39">
        <v>0</v>
      </c>
      <c r="AD10" s="33">
        <v>0</v>
      </c>
      <c r="AE10" s="40">
        <v>0</v>
      </c>
      <c r="AF10" s="41">
        <v>0</v>
      </c>
      <c r="AG10" s="40">
        <v>0</v>
      </c>
      <c r="AH10" s="49">
        <v>0</v>
      </c>
      <c r="AI10" s="50">
        <v>0</v>
      </c>
      <c r="AJ10" s="51">
        <f>G10+H10+I10+N10+O10+T10+U10+Z10+AA10+AD10+AF10+AH10</f>
        <v>31089.27</v>
      </c>
      <c r="AK10" s="52">
        <f t="shared" si="0"/>
        <v>31089.27</v>
      </c>
      <c r="AL10" s="51">
        <f t="shared" si="1"/>
        <v>589.27</v>
      </c>
      <c r="AM10" s="52">
        <f t="shared" si="2"/>
        <v>589.27</v>
      </c>
      <c r="AN10" s="53">
        <f t="shared" si="3"/>
        <v>30500</v>
      </c>
      <c r="AO10" s="54">
        <f t="shared" si="4"/>
        <v>30500</v>
      </c>
      <c r="AP10" s="44">
        <v>0</v>
      </c>
      <c r="AQ10" s="45">
        <v>0</v>
      </c>
      <c r="AR10" s="67" t="s">
        <v>49</v>
      </c>
      <c r="AU10" s="103"/>
      <c r="AV10" s="103"/>
    </row>
    <row r="11" spans="1:48" ht="54" customHeight="1" thickBot="1" x14ac:dyDescent="0.3">
      <c r="A11" s="98" t="s">
        <v>34</v>
      </c>
      <c r="B11" s="28" t="s">
        <v>44</v>
      </c>
      <c r="C11" s="29" t="s">
        <v>41</v>
      </c>
      <c r="D11" s="29">
        <v>5867</v>
      </c>
      <c r="E11" s="30" t="s">
        <v>37</v>
      </c>
      <c r="F11" s="31" t="s">
        <v>50</v>
      </c>
      <c r="G11" s="32">
        <v>0</v>
      </c>
      <c r="H11" s="33">
        <f>31361.25-30000</f>
        <v>1361.25</v>
      </c>
      <c r="I11" s="34">
        <v>30000</v>
      </c>
      <c r="J11" s="48">
        <v>0</v>
      </c>
      <c r="K11" s="36">
        <v>1361.25</v>
      </c>
      <c r="L11" s="37">
        <f>30000-29500</f>
        <v>500</v>
      </c>
      <c r="M11" s="37">
        <v>0</v>
      </c>
      <c r="N11" s="33">
        <v>0</v>
      </c>
      <c r="O11" s="38">
        <v>21139</v>
      </c>
      <c r="P11" s="38">
        <v>0</v>
      </c>
      <c r="Q11" s="37">
        <v>0</v>
      </c>
      <c r="R11" s="100">
        <f>46139+4500</f>
        <v>50639</v>
      </c>
      <c r="S11" s="39">
        <v>0</v>
      </c>
      <c r="T11" s="33">
        <v>0</v>
      </c>
      <c r="U11" s="38">
        <v>0</v>
      </c>
      <c r="V11" s="38">
        <v>0</v>
      </c>
      <c r="W11" s="37">
        <v>0</v>
      </c>
      <c r="X11" s="100">
        <v>0</v>
      </c>
      <c r="Y11" s="39">
        <v>0</v>
      </c>
      <c r="Z11" s="33">
        <v>0</v>
      </c>
      <c r="AA11" s="38">
        <v>0</v>
      </c>
      <c r="AB11" s="37">
        <v>0</v>
      </c>
      <c r="AC11" s="39">
        <v>0</v>
      </c>
      <c r="AD11" s="33">
        <v>0</v>
      </c>
      <c r="AE11" s="40">
        <v>0</v>
      </c>
      <c r="AF11" s="41">
        <v>0</v>
      </c>
      <c r="AG11" s="40">
        <v>0</v>
      </c>
      <c r="AH11" s="49">
        <v>0</v>
      </c>
      <c r="AI11" s="50">
        <v>0</v>
      </c>
      <c r="AJ11" s="51">
        <f>G11+H11+I11+N11+O11+T11+U11+Z11+AA11+AD11+AF11+AH11</f>
        <v>52500.25</v>
      </c>
      <c r="AK11" s="52">
        <f t="shared" si="0"/>
        <v>52500.25</v>
      </c>
      <c r="AL11" s="51">
        <f t="shared" si="1"/>
        <v>1361.25</v>
      </c>
      <c r="AM11" s="52">
        <f t="shared" si="2"/>
        <v>1361.25</v>
      </c>
      <c r="AN11" s="53">
        <f t="shared" si="3"/>
        <v>51139</v>
      </c>
      <c r="AO11" s="54">
        <f t="shared" si="4"/>
        <v>51139</v>
      </c>
      <c r="AP11" s="44">
        <v>0</v>
      </c>
      <c r="AQ11" s="45">
        <v>0</v>
      </c>
      <c r="AR11" s="68" t="s">
        <v>51</v>
      </c>
      <c r="AU11" s="103"/>
      <c r="AV11" s="103"/>
    </row>
    <row r="12" spans="1:48" ht="54" customHeight="1" thickBot="1" x14ac:dyDescent="0.25">
      <c r="A12" s="98" t="s">
        <v>34</v>
      </c>
      <c r="B12" s="28" t="s">
        <v>44</v>
      </c>
      <c r="C12" s="29" t="s">
        <v>41</v>
      </c>
      <c r="D12" s="29">
        <v>5730</v>
      </c>
      <c r="E12" s="47" t="s">
        <v>37</v>
      </c>
      <c r="F12" s="31" t="s">
        <v>52</v>
      </c>
      <c r="G12" s="32">
        <v>2407.4899999999998</v>
      </c>
      <c r="H12" s="33">
        <f>64487.5-62571</f>
        <v>1916.5</v>
      </c>
      <c r="I12" s="34">
        <v>62571</v>
      </c>
      <c r="J12" s="48">
        <v>0</v>
      </c>
      <c r="K12" s="36">
        <v>1916.5</v>
      </c>
      <c r="L12" s="37">
        <f>62571-42000</f>
        <v>20571</v>
      </c>
      <c r="M12" s="37">
        <v>0</v>
      </c>
      <c r="N12" s="33">
        <v>0</v>
      </c>
      <c r="O12" s="38">
        <v>113428</v>
      </c>
      <c r="P12" s="38">
        <v>0</v>
      </c>
      <c r="Q12" s="37">
        <v>0</v>
      </c>
      <c r="R12" s="100">
        <v>113428</v>
      </c>
      <c r="S12" s="39">
        <v>0</v>
      </c>
      <c r="T12" s="33">
        <v>0</v>
      </c>
      <c r="U12" s="38">
        <v>0</v>
      </c>
      <c r="V12" s="38">
        <v>0</v>
      </c>
      <c r="W12" s="37">
        <v>0</v>
      </c>
      <c r="X12" s="100">
        <v>42000</v>
      </c>
      <c r="Y12" s="39">
        <v>0</v>
      </c>
      <c r="Z12" s="33">
        <v>0</v>
      </c>
      <c r="AA12" s="38">
        <v>0</v>
      </c>
      <c r="AB12" s="37">
        <v>0</v>
      </c>
      <c r="AC12" s="39">
        <v>0</v>
      </c>
      <c r="AD12" s="33">
        <v>0</v>
      </c>
      <c r="AE12" s="40">
        <v>0</v>
      </c>
      <c r="AF12" s="41">
        <v>0</v>
      </c>
      <c r="AG12" s="40">
        <v>0</v>
      </c>
      <c r="AH12" s="49">
        <v>0</v>
      </c>
      <c r="AI12" s="50">
        <v>0</v>
      </c>
      <c r="AJ12" s="51">
        <f>G12+H12+I12+N12+O12+T12+U12+Z12+AA12+AD12+AF12+AH12</f>
        <v>180322.99</v>
      </c>
      <c r="AK12" s="52">
        <f t="shared" si="0"/>
        <v>180322.99</v>
      </c>
      <c r="AL12" s="51">
        <f t="shared" si="1"/>
        <v>4323.99</v>
      </c>
      <c r="AM12" s="52">
        <f t="shared" si="2"/>
        <v>4323.99</v>
      </c>
      <c r="AN12" s="53">
        <f t="shared" si="3"/>
        <v>175999</v>
      </c>
      <c r="AO12" s="54">
        <f t="shared" si="4"/>
        <v>175999</v>
      </c>
      <c r="AP12" s="44">
        <v>0</v>
      </c>
      <c r="AQ12" s="45">
        <v>0</v>
      </c>
      <c r="AR12" s="55" t="s">
        <v>49</v>
      </c>
      <c r="AU12" s="103"/>
      <c r="AV12" s="103"/>
    </row>
    <row r="13" spans="1:48" ht="64.5" customHeight="1" x14ac:dyDescent="0.2">
      <c r="A13" s="98" t="s">
        <v>34</v>
      </c>
      <c r="B13" s="28" t="s">
        <v>44</v>
      </c>
      <c r="C13" s="29" t="s">
        <v>36</v>
      </c>
      <c r="D13" s="29">
        <v>4002</v>
      </c>
      <c r="E13" s="47" t="s">
        <v>53</v>
      </c>
      <c r="F13" s="31" t="s">
        <v>54</v>
      </c>
      <c r="G13" s="32">
        <v>287.77</v>
      </c>
      <c r="H13" s="33">
        <f>39100-38000</f>
        <v>1100</v>
      </c>
      <c r="I13" s="34">
        <v>38000</v>
      </c>
      <c r="J13" s="48">
        <v>0</v>
      </c>
      <c r="K13" s="36">
        <v>1100</v>
      </c>
      <c r="L13" s="37">
        <v>10000</v>
      </c>
      <c r="M13" s="37">
        <v>0</v>
      </c>
      <c r="N13" s="33">
        <v>0</v>
      </c>
      <c r="O13" s="38">
        <v>0</v>
      </c>
      <c r="P13" s="38">
        <v>0</v>
      </c>
      <c r="Q13" s="37">
        <v>0</v>
      </c>
      <c r="R13" s="100">
        <v>28000</v>
      </c>
      <c r="S13" s="39">
        <v>0</v>
      </c>
      <c r="T13" s="33">
        <v>0</v>
      </c>
      <c r="U13" s="38">
        <v>0</v>
      </c>
      <c r="V13" s="38">
        <v>0</v>
      </c>
      <c r="W13" s="37">
        <v>0</v>
      </c>
      <c r="X13" s="100">
        <v>0</v>
      </c>
      <c r="Y13" s="39">
        <v>0</v>
      </c>
      <c r="Z13" s="33">
        <v>0</v>
      </c>
      <c r="AA13" s="38">
        <v>0</v>
      </c>
      <c r="AB13" s="37">
        <v>0</v>
      </c>
      <c r="AC13" s="39">
        <v>0</v>
      </c>
      <c r="AD13" s="33">
        <v>0</v>
      </c>
      <c r="AE13" s="40">
        <v>0</v>
      </c>
      <c r="AF13" s="41">
        <v>0</v>
      </c>
      <c r="AG13" s="40">
        <v>0</v>
      </c>
      <c r="AH13" s="49">
        <v>0</v>
      </c>
      <c r="AI13" s="50">
        <v>0</v>
      </c>
      <c r="AJ13" s="51">
        <f>G13+H13+I13+N13+O13+T13+U13+Z13+AA13+AD13+AF13+AH13</f>
        <v>39387.769999999997</v>
      </c>
      <c r="AK13" s="52">
        <f t="shared" si="0"/>
        <v>39387.770000000004</v>
      </c>
      <c r="AL13" s="51">
        <f t="shared" si="1"/>
        <v>1387.77</v>
      </c>
      <c r="AM13" s="52">
        <f t="shared" si="2"/>
        <v>1387.77</v>
      </c>
      <c r="AN13" s="53">
        <f t="shared" si="3"/>
        <v>38000</v>
      </c>
      <c r="AO13" s="54">
        <f t="shared" si="4"/>
        <v>38000</v>
      </c>
      <c r="AP13" s="44">
        <v>0</v>
      </c>
      <c r="AQ13" s="45">
        <v>0</v>
      </c>
      <c r="AR13" s="55" t="s">
        <v>55</v>
      </c>
      <c r="AU13" s="103"/>
      <c r="AV13" s="103"/>
    </row>
    <row r="14" spans="1:48" ht="54" customHeight="1" x14ac:dyDescent="0.25">
      <c r="A14" s="98" t="s">
        <v>34</v>
      </c>
      <c r="B14" s="28" t="s">
        <v>44</v>
      </c>
      <c r="C14" s="29" t="s">
        <v>36</v>
      </c>
      <c r="D14" s="29">
        <v>5866</v>
      </c>
      <c r="E14" s="30" t="s">
        <v>37</v>
      </c>
      <c r="F14" s="31" t="s">
        <v>56</v>
      </c>
      <c r="G14" s="32">
        <f>922+60</f>
        <v>982</v>
      </c>
      <c r="H14" s="33">
        <v>0</v>
      </c>
      <c r="I14" s="34">
        <f>20000+20000</f>
        <v>40000</v>
      </c>
      <c r="J14" s="48">
        <v>0</v>
      </c>
      <c r="K14" s="36">
        <v>0</v>
      </c>
      <c r="L14" s="37">
        <f>20000+20000</f>
        <v>40000</v>
      </c>
      <c r="M14" s="37">
        <v>0</v>
      </c>
      <c r="N14" s="33">
        <v>0</v>
      </c>
      <c r="O14" s="38">
        <v>20000</v>
      </c>
      <c r="P14" s="38">
        <v>0</v>
      </c>
      <c r="Q14" s="37">
        <v>0</v>
      </c>
      <c r="R14" s="100">
        <v>0</v>
      </c>
      <c r="S14" s="39">
        <v>0</v>
      </c>
      <c r="T14" s="33">
        <v>0</v>
      </c>
      <c r="U14" s="38">
        <v>0</v>
      </c>
      <c r="V14" s="38">
        <v>0</v>
      </c>
      <c r="W14" s="37">
        <v>0</v>
      </c>
      <c r="X14" s="100">
        <v>0</v>
      </c>
      <c r="Y14" s="39">
        <v>0</v>
      </c>
      <c r="Z14" s="33">
        <v>0</v>
      </c>
      <c r="AA14" s="38">
        <v>0</v>
      </c>
      <c r="AB14" s="37">
        <v>0</v>
      </c>
      <c r="AC14" s="39">
        <v>0</v>
      </c>
      <c r="AD14" s="33">
        <v>0</v>
      </c>
      <c r="AE14" s="40">
        <v>0</v>
      </c>
      <c r="AF14" s="41">
        <v>0</v>
      </c>
      <c r="AG14" s="40">
        <v>0</v>
      </c>
      <c r="AH14" s="49">
        <v>0</v>
      </c>
      <c r="AI14" s="50">
        <v>0</v>
      </c>
      <c r="AJ14" s="51">
        <f>G14+H14+I14+N14+O14+T14+U14+Z14+AA14+AD14+AF14+AH14-20000</f>
        <v>40982</v>
      </c>
      <c r="AK14" s="52">
        <f t="shared" si="0"/>
        <v>40982</v>
      </c>
      <c r="AL14" s="51">
        <f t="shared" si="1"/>
        <v>982</v>
      </c>
      <c r="AM14" s="52">
        <f t="shared" si="2"/>
        <v>982</v>
      </c>
      <c r="AN14" s="53">
        <f>I14+O14+U14+AA14-20000</f>
        <v>40000</v>
      </c>
      <c r="AO14" s="54">
        <f t="shared" si="4"/>
        <v>40000</v>
      </c>
      <c r="AP14" s="44">
        <v>0</v>
      </c>
      <c r="AQ14" s="45">
        <v>0</v>
      </c>
      <c r="AR14" s="67" t="s">
        <v>43</v>
      </c>
      <c r="AU14" s="103"/>
      <c r="AV14" s="103"/>
    </row>
    <row r="15" spans="1:48" ht="54" customHeight="1" thickBot="1" x14ac:dyDescent="0.3">
      <c r="A15" s="98" t="s">
        <v>34</v>
      </c>
      <c r="B15" s="28" t="s">
        <v>44</v>
      </c>
      <c r="C15" s="29" t="s">
        <v>41</v>
      </c>
      <c r="D15" s="29">
        <v>5750</v>
      </c>
      <c r="E15" s="30" t="s">
        <v>37</v>
      </c>
      <c r="F15" s="31" t="s">
        <v>57</v>
      </c>
      <c r="G15" s="32">
        <v>29119.03</v>
      </c>
      <c r="H15" s="33">
        <f>15893.66-14891.24</f>
        <v>1002.4200000000001</v>
      </c>
      <c r="I15" s="34">
        <f xml:space="preserve"> 14891.24+2206.76+14000</f>
        <v>31098</v>
      </c>
      <c r="J15" s="48">
        <v>0</v>
      </c>
      <c r="K15" s="36">
        <v>1002.42</v>
      </c>
      <c r="L15" s="37">
        <v>31098</v>
      </c>
      <c r="M15" s="37">
        <v>0</v>
      </c>
      <c r="N15" s="33">
        <v>0</v>
      </c>
      <c r="O15" s="38">
        <v>20000</v>
      </c>
      <c r="P15" s="38">
        <v>0</v>
      </c>
      <c r="Q15" s="37">
        <v>0</v>
      </c>
      <c r="R15" s="100">
        <v>19500</v>
      </c>
      <c r="S15" s="39">
        <v>0</v>
      </c>
      <c r="T15" s="33">
        <v>0</v>
      </c>
      <c r="U15" s="38">
        <v>13500</v>
      </c>
      <c r="V15" s="38">
        <v>0</v>
      </c>
      <c r="W15" s="37">
        <v>0</v>
      </c>
      <c r="X15" s="100">
        <v>0</v>
      </c>
      <c r="Y15" s="39">
        <v>0</v>
      </c>
      <c r="Z15" s="33">
        <v>0</v>
      </c>
      <c r="AA15" s="38">
        <v>0</v>
      </c>
      <c r="AB15" s="37">
        <v>0</v>
      </c>
      <c r="AC15" s="39">
        <v>0</v>
      </c>
      <c r="AD15" s="33">
        <v>0</v>
      </c>
      <c r="AE15" s="40">
        <v>0</v>
      </c>
      <c r="AF15" s="41">
        <v>0</v>
      </c>
      <c r="AG15" s="40">
        <v>0</v>
      </c>
      <c r="AH15" s="49">
        <v>0</v>
      </c>
      <c r="AI15" s="50">
        <v>0</v>
      </c>
      <c r="AJ15" s="51">
        <f>G15+H15+I15+N15+O15+T15+U15+Z15+AA15+AD15+AF15+AH15-13500-500</f>
        <v>80719.45</v>
      </c>
      <c r="AK15" s="52">
        <f t="shared" si="0"/>
        <v>80719.45</v>
      </c>
      <c r="AL15" s="51">
        <f t="shared" si="1"/>
        <v>30121.449999999997</v>
      </c>
      <c r="AM15" s="52">
        <f t="shared" si="2"/>
        <v>30121.449999999997</v>
      </c>
      <c r="AN15" s="53">
        <f>I15+O15+U15+AA15-14000</f>
        <v>50598</v>
      </c>
      <c r="AO15" s="54">
        <f t="shared" si="4"/>
        <v>50598</v>
      </c>
      <c r="AP15" s="44">
        <v>0</v>
      </c>
      <c r="AQ15" s="45">
        <v>0</v>
      </c>
      <c r="AR15" s="67" t="s">
        <v>58</v>
      </c>
      <c r="AU15" s="103"/>
      <c r="AV15" s="103"/>
    </row>
    <row r="16" spans="1:48" ht="54" customHeight="1" thickBot="1" x14ac:dyDescent="0.25">
      <c r="A16" s="98" t="s">
        <v>34</v>
      </c>
      <c r="B16" s="28" t="s">
        <v>40</v>
      </c>
      <c r="C16" s="29" t="s">
        <v>41</v>
      </c>
      <c r="D16" s="29">
        <v>5690</v>
      </c>
      <c r="E16" s="47" t="s">
        <v>37</v>
      </c>
      <c r="F16" s="31" t="s">
        <v>42</v>
      </c>
      <c r="G16" s="32">
        <v>3787</v>
      </c>
      <c r="H16" s="33">
        <f>115197-115000</f>
        <v>197</v>
      </c>
      <c r="I16" s="34">
        <v>115000</v>
      </c>
      <c r="J16" s="48">
        <v>0</v>
      </c>
      <c r="K16" s="36">
        <v>197</v>
      </c>
      <c r="L16" s="37">
        <f>115000-100000</f>
        <v>15000</v>
      </c>
      <c r="M16" s="37">
        <v>0</v>
      </c>
      <c r="N16" s="33">
        <v>0</v>
      </c>
      <c r="O16" s="38">
        <v>69416</v>
      </c>
      <c r="P16" s="38">
        <v>0</v>
      </c>
      <c r="Q16" s="37">
        <v>0</v>
      </c>
      <c r="R16" s="100">
        <f>69416+50000</f>
        <v>119416</v>
      </c>
      <c r="S16" s="39">
        <v>0</v>
      </c>
      <c r="T16" s="33">
        <v>0</v>
      </c>
      <c r="U16" s="38">
        <v>0</v>
      </c>
      <c r="V16" s="38">
        <v>0</v>
      </c>
      <c r="W16" s="37">
        <v>0</v>
      </c>
      <c r="X16" s="100">
        <v>50000</v>
      </c>
      <c r="Y16" s="39">
        <v>0</v>
      </c>
      <c r="Z16" s="33">
        <v>0</v>
      </c>
      <c r="AA16" s="38">
        <v>0</v>
      </c>
      <c r="AB16" s="37">
        <v>0</v>
      </c>
      <c r="AC16" s="39">
        <v>0</v>
      </c>
      <c r="AD16" s="33">
        <v>0</v>
      </c>
      <c r="AE16" s="40">
        <v>0</v>
      </c>
      <c r="AF16" s="41">
        <v>0</v>
      </c>
      <c r="AG16" s="40">
        <v>0</v>
      </c>
      <c r="AH16" s="49">
        <v>0</v>
      </c>
      <c r="AI16" s="50">
        <v>0</v>
      </c>
      <c r="AJ16" s="51">
        <f>G16+H16+I16+N16+O16+T16+U16+Z16+AA16+AD16+AF16+AH16</f>
        <v>188400</v>
      </c>
      <c r="AK16" s="52">
        <f t="shared" si="0"/>
        <v>188400</v>
      </c>
      <c r="AL16" s="51">
        <f t="shared" si="1"/>
        <v>3984</v>
      </c>
      <c r="AM16" s="52">
        <f t="shared" si="2"/>
        <v>3984</v>
      </c>
      <c r="AN16" s="53">
        <f t="shared" ref="AN16:AN35" si="5">I16+O16+U16+AA16</f>
        <v>184416</v>
      </c>
      <c r="AO16" s="54">
        <f t="shared" si="4"/>
        <v>184416</v>
      </c>
      <c r="AP16" s="44">
        <v>0</v>
      </c>
      <c r="AQ16" s="45">
        <v>0</v>
      </c>
      <c r="AR16" s="55" t="s">
        <v>43</v>
      </c>
      <c r="AU16" s="103"/>
      <c r="AV16" s="103"/>
    </row>
    <row r="17" spans="1:48" ht="54" customHeight="1" thickBot="1" x14ac:dyDescent="0.25">
      <c r="A17" s="98" t="s">
        <v>59</v>
      </c>
      <c r="B17" s="28" t="s">
        <v>60</v>
      </c>
      <c r="C17" s="29" t="s">
        <v>36</v>
      </c>
      <c r="D17" s="29">
        <v>4165</v>
      </c>
      <c r="E17" s="47" t="s">
        <v>53</v>
      </c>
      <c r="F17" s="31" t="s">
        <v>61</v>
      </c>
      <c r="G17" s="32">
        <v>612.12</v>
      </c>
      <c r="H17" s="33">
        <f>9846.31+1600</f>
        <v>11446.31</v>
      </c>
      <c r="I17" s="34">
        <v>10000</v>
      </c>
      <c r="J17" s="48">
        <v>0</v>
      </c>
      <c r="K17" s="36">
        <f>9846.31+1600-9000</f>
        <v>2446.3099999999995</v>
      </c>
      <c r="L17" s="37">
        <f>10000-1000</f>
        <v>9000</v>
      </c>
      <c r="M17" s="37">
        <v>0</v>
      </c>
      <c r="N17" s="33">
        <v>0</v>
      </c>
      <c r="O17" s="38">
        <v>0</v>
      </c>
      <c r="P17" s="38">
        <v>0</v>
      </c>
      <c r="Q17" s="37">
        <v>0</v>
      </c>
      <c r="R17" s="100">
        <v>10000</v>
      </c>
      <c r="S17" s="39">
        <v>0</v>
      </c>
      <c r="T17" s="33">
        <v>0</v>
      </c>
      <c r="U17" s="38">
        <v>0</v>
      </c>
      <c r="V17" s="38">
        <v>0</v>
      </c>
      <c r="W17" s="37">
        <v>0</v>
      </c>
      <c r="X17" s="100">
        <v>0</v>
      </c>
      <c r="Y17" s="39">
        <v>0</v>
      </c>
      <c r="Z17" s="33">
        <v>0</v>
      </c>
      <c r="AA17" s="38">
        <v>0</v>
      </c>
      <c r="AB17" s="37">
        <v>0</v>
      </c>
      <c r="AC17" s="39">
        <v>0</v>
      </c>
      <c r="AD17" s="33">
        <v>0</v>
      </c>
      <c r="AE17" s="40">
        <v>0</v>
      </c>
      <c r="AF17" s="41">
        <v>0</v>
      </c>
      <c r="AG17" s="40">
        <v>0</v>
      </c>
      <c r="AH17" s="49">
        <v>0</v>
      </c>
      <c r="AI17" s="50">
        <v>0</v>
      </c>
      <c r="AJ17" s="51">
        <f>G17+H17+I17+N17+O17+T17+U17+Z17+AA17+AD17+AF17+AH17</f>
        <v>22058.43</v>
      </c>
      <c r="AK17" s="52">
        <f t="shared" si="0"/>
        <v>22058.43</v>
      </c>
      <c r="AL17" s="51">
        <f t="shared" si="1"/>
        <v>12058.43</v>
      </c>
      <c r="AM17" s="52">
        <f t="shared" si="2"/>
        <v>3058.4299999999994</v>
      </c>
      <c r="AN17" s="53">
        <f t="shared" si="5"/>
        <v>10000</v>
      </c>
      <c r="AO17" s="54">
        <f t="shared" si="4"/>
        <v>19000</v>
      </c>
      <c r="AP17" s="44">
        <v>0</v>
      </c>
      <c r="AQ17" s="45">
        <v>0</v>
      </c>
      <c r="AR17" s="68" t="s">
        <v>62</v>
      </c>
      <c r="AU17" s="103"/>
      <c r="AV17" s="103"/>
    </row>
    <row r="18" spans="1:48" ht="54" customHeight="1" thickBot="1" x14ac:dyDescent="0.25">
      <c r="A18" s="98" t="s">
        <v>59</v>
      </c>
      <c r="B18" s="28" t="s">
        <v>44</v>
      </c>
      <c r="C18" s="29" t="s">
        <v>41</v>
      </c>
      <c r="D18" s="29">
        <v>4012</v>
      </c>
      <c r="E18" s="47" t="s">
        <v>53</v>
      </c>
      <c r="F18" s="31" t="s">
        <v>63</v>
      </c>
      <c r="G18" s="32">
        <v>300</v>
      </c>
      <c r="H18" s="33">
        <v>14350</v>
      </c>
      <c r="I18" s="34">
        <v>0</v>
      </c>
      <c r="J18" s="48">
        <v>0</v>
      </c>
      <c r="K18" s="36">
        <f>14350-14350</f>
        <v>0</v>
      </c>
      <c r="L18" s="37">
        <f>1500</f>
        <v>1500</v>
      </c>
      <c r="M18" s="37">
        <v>0</v>
      </c>
      <c r="N18" s="33">
        <v>0</v>
      </c>
      <c r="O18" s="38">
        <v>0</v>
      </c>
      <c r="P18" s="38">
        <v>0</v>
      </c>
      <c r="Q18" s="37">
        <v>0</v>
      </c>
      <c r="R18" s="100">
        <v>12850</v>
      </c>
      <c r="S18" s="39">
        <v>0</v>
      </c>
      <c r="T18" s="33">
        <v>0</v>
      </c>
      <c r="U18" s="38">
        <v>0</v>
      </c>
      <c r="V18" s="38">
        <v>0</v>
      </c>
      <c r="W18" s="37">
        <v>0</v>
      </c>
      <c r="X18" s="100">
        <v>0</v>
      </c>
      <c r="Y18" s="39">
        <v>0</v>
      </c>
      <c r="Z18" s="33">
        <v>0</v>
      </c>
      <c r="AA18" s="38">
        <v>0</v>
      </c>
      <c r="AB18" s="37">
        <v>0</v>
      </c>
      <c r="AC18" s="39">
        <v>0</v>
      </c>
      <c r="AD18" s="33">
        <v>0</v>
      </c>
      <c r="AE18" s="40">
        <v>0</v>
      </c>
      <c r="AF18" s="41">
        <v>0</v>
      </c>
      <c r="AG18" s="40">
        <v>0</v>
      </c>
      <c r="AH18" s="49">
        <v>0</v>
      </c>
      <c r="AI18" s="50">
        <v>0</v>
      </c>
      <c r="AJ18" s="51">
        <f>G18+H18+I18+N18+O18+T18+U18+Z18+AA18+AD18+AF18+AH18</f>
        <v>14650</v>
      </c>
      <c r="AK18" s="52">
        <f t="shared" si="0"/>
        <v>14650</v>
      </c>
      <c r="AL18" s="51">
        <f t="shared" si="1"/>
        <v>14650</v>
      </c>
      <c r="AM18" s="52">
        <f t="shared" si="2"/>
        <v>300</v>
      </c>
      <c r="AN18" s="53">
        <f t="shared" si="5"/>
        <v>0</v>
      </c>
      <c r="AO18" s="54">
        <f t="shared" si="4"/>
        <v>14350</v>
      </c>
      <c r="AP18" s="44">
        <v>0</v>
      </c>
      <c r="AQ18" s="45">
        <v>0</v>
      </c>
      <c r="AR18" s="55" t="s">
        <v>55</v>
      </c>
      <c r="AU18" s="103"/>
      <c r="AV18" s="103"/>
    </row>
    <row r="19" spans="1:48" ht="54" customHeight="1" thickBot="1" x14ac:dyDescent="0.25">
      <c r="A19" s="98" t="s">
        <v>64</v>
      </c>
      <c r="B19" s="28" t="s">
        <v>35</v>
      </c>
      <c r="C19" s="29" t="s">
        <v>41</v>
      </c>
      <c r="D19" s="29">
        <v>5748</v>
      </c>
      <c r="E19" s="47" t="s">
        <v>53</v>
      </c>
      <c r="F19" s="31" t="s">
        <v>65</v>
      </c>
      <c r="G19" s="32">
        <v>242</v>
      </c>
      <c r="H19" s="33">
        <f>36518.17-35215</f>
        <v>1303.1699999999983</v>
      </c>
      <c r="I19" s="34">
        <v>35215</v>
      </c>
      <c r="J19" s="48">
        <v>0</v>
      </c>
      <c r="K19" s="36">
        <v>1303.17</v>
      </c>
      <c r="L19" s="37">
        <f>35215-34600</f>
        <v>615</v>
      </c>
      <c r="M19" s="37">
        <v>0</v>
      </c>
      <c r="N19" s="33">
        <v>0</v>
      </c>
      <c r="O19" s="38">
        <v>0</v>
      </c>
      <c r="P19" s="38">
        <v>0</v>
      </c>
      <c r="Q19" s="37">
        <v>0</v>
      </c>
      <c r="R19" s="100">
        <f>34600+5800</f>
        <v>40400</v>
      </c>
      <c r="S19" s="39">
        <v>0</v>
      </c>
      <c r="T19" s="33">
        <v>0</v>
      </c>
      <c r="U19" s="38">
        <v>0</v>
      </c>
      <c r="V19" s="38">
        <v>0</v>
      </c>
      <c r="W19" s="37">
        <v>0</v>
      </c>
      <c r="X19" s="100">
        <v>10000</v>
      </c>
      <c r="Y19" s="39">
        <v>0</v>
      </c>
      <c r="Z19" s="33">
        <v>0</v>
      </c>
      <c r="AA19" s="38">
        <v>0</v>
      </c>
      <c r="AB19" s="37">
        <v>0</v>
      </c>
      <c r="AC19" s="39">
        <v>0</v>
      </c>
      <c r="AD19" s="33">
        <v>0</v>
      </c>
      <c r="AE19" s="40">
        <v>0</v>
      </c>
      <c r="AF19" s="41">
        <v>0</v>
      </c>
      <c r="AG19" s="40">
        <v>0</v>
      </c>
      <c r="AH19" s="49">
        <v>0</v>
      </c>
      <c r="AI19" s="50">
        <v>0</v>
      </c>
      <c r="AJ19" s="51">
        <f>G19+H19+I19+N19+O19+T19+U19+Z19+AA19+AD19+AF19+AH19</f>
        <v>36760.17</v>
      </c>
      <c r="AK19" s="52">
        <f t="shared" si="0"/>
        <v>52560.17</v>
      </c>
      <c r="AL19" s="51">
        <f t="shared" si="1"/>
        <v>1545.1699999999983</v>
      </c>
      <c r="AM19" s="52">
        <f t="shared" si="2"/>
        <v>1545.17</v>
      </c>
      <c r="AN19" s="53">
        <f t="shared" si="5"/>
        <v>35215</v>
      </c>
      <c r="AO19" s="54">
        <f t="shared" si="4"/>
        <v>51015</v>
      </c>
      <c r="AP19" s="44">
        <v>0</v>
      </c>
      <c r="AQ19" s="45">
        <v>0</v>
      </c>
      <c r="AR19" s="55" t="s">
        <v>66</v>
      </c>
      <c r="AU19" s="103"/>
      <c r="AV19" s="103"/>
    </row>
    <row r="20" spans="1:48" ht="54" customHeight="1" thickBot="1" x14ac:dyDescent="0.25">
      <c r="A20" s="99" t="s">
        <v>64</v>
      </c>
      <c r="B20" s="94" t="s">
        <v>35</v>
      </c>
      <c r="C20" s="88" t="s">
        <v>41</v>
      </c>
      <c r="D20" s="88">
        <v>5254</v>
      </c>
      <c r="E20" s="95" t="s">
        <v>37</v>
      </c>
      <c r="F20" s="89" t="s">
        <v>96</v>
      </c>
      <c r="G20" s="32">
        <v>0</v>
      </c>
      <c r="H20" s="33">
        <v>3142.63</v>
      </c>
      <c r="I20" s="34">
        <v>0</v>
      </c>
      <c r="J20" s="48">
        <v>0</v>
      </c>
      <c r="K20" s="36">
        <v>3142.63</v>
      </c>
      <c r="L20" s="37">
        <v>0</v>
      </c>
      <c r="M20" s="37">
        <v>0</v>
      </c>
      <c r="N20" s="33">
        <v>708</v>
      </c>
      <c r="O20" s="38">
        <v>0</v>
      </c>
      <c r="P20" s="38">
        <v>0</v>
      </c>
      <c r="Q20" s="37">
        <v>1309</v>
      </c>
      <c r="R20" s="100">
        <v>0</v>
      </c>
      <c r="S20" s="39">
        <v>0</v>
      </c>
      <c r="T20" s="33">
        <v>1106</v>
      </c>
      <c r="U20" s="38">
        <v>0</v>
      </c>
      <c r="V20" s="38">
        <v>0</v>
      </c>
      <c r="W20" s="37">
        <v>1309</v>
      </c>
      <c r="X20" s="100">
        <v>0</v>
      </c>
      <c r="Y20" s="39">
        <v>0</v>
      </c>
      <c r="Z20" s="33">
        <v>1106</v>
      </c>
      <c r="AA20" s="38">
        <v>0</v>
      </c>
      <c r="AB20" s="37">
        <v>588</v>
      </c>
      <c r="AC20" s="39">
        <v>0</v>
      </c>
      <c r="AD20" s="33">
        <v>593</v>
      </c>
      <c r="AE20" s="40">
        <v>588</v>
      </c>
      <c r="AF20" s="41">
        <v>0</v>
      </c>
      <c r="AG20" s="40">
        <v>0</v>
      </c>
      <c r="AH20" s="49">
        <v>0</v>
      </c>
      <c r="AI20" s="50">
        <v>0</v>
      </c>
      <c r="AJ20" s="96">
        <f>G20+H20+I20+N20+O20+T20+U20+Z20+AA20+AD20+AF20+AH20</f>
        <v>6655.63</v>
      </c>
      <c r="AK20" s="52">
        <f t="shared" si="0"/>
        <v>6936.63</v>
      </c>
      <c r="AL20" s="51">
        <f t="shared" si="1"/>
        <v>6655.63</v>
      </c>
      <c r="AM20" s="52">
        <f t="shared" si="2"/>
        <v>6936.63</v>
      </c>
      <c r="AN20" s="53">
        <f t="shared" si="5"/>
        <v>0</v>
      </c>
      <c r="AO20" s="54">
        <f t="shared" si="4"/>
        <v>0</v>
      </c>
      <c r="AP20" s="53">
        <v>0</v>
      </c>
      <c r="AQ20" s="54">
        <v>0</v>
      </c>
      <c r="AR20" s="55" t="s">
        <v>97</v>
      </c>
      <c r="AU20" s="103"/>
      <c r="AV20" s="103"/>
    </row>
    <row r="21" spans="1:48" ht="54" customHeight="1" thickBot="1" x14ac:dyDescent="0.3">
      <c r="A21" s="98" t="s">
        <v>64</v>
      </c>
      <c r="B21" s="28" t="s">
        <v>60</v>
      </c>
      <c r="C21" s="29" t="s">
        <v>41</v>
      </c>
      <c r="D21" s="29">
        <v>5758</v>
      </c>
      <c r="E21" s="30" t="s">
        <v>37</v>
      </c>
      <c r="F21" s="73" t="s">
        <v>109</v>
      </c>
      <c r="G21" s="32">
        <v>1794.43</v>
      </c>
      <c r="H21" s="33">
        <v>2135.5700000000002</v>
      </c>
      <c r="I21" s="34">
        <v>15864.43</v>
      </c>
      <c r="J21" s="48">
        <v>0</v>
      </c>
      <c r="K21" s="36">
        <v>2135.5700000000002</v>
      </c>
      <c r="L21" s="37">
        <v>15864.43</v>
      </c>
      <c r="M21" s="37">
        <v>0</v>
      </c>
      <c r="N21" s="33">
        <v>0</v>
      </c>
      <c r="O21" s="38">
        <v>62206</v>
      </c>
      <c r="P21" s="38">
        <v>0</v>
      </c>
      <c r="Q21" s="37">
        <v>0</v>
      </c>
      <c r="R21" s="100">
        <v>82731</v>
      </c>
      <c r="S21" s="39">
        <v>0</v>
      </c>
      <c r="T21" s="33">
        <v>0</v>
      </c>
      <c r="U21" s="38">
        <v>25698</v>
      </c>
      <c r="V21" s="38">
        <v>0</v>
      </c>
      <c r="W21" s="37">
        <v>0</v>
      </c>
      <c r="X21" s="100">
        <v>19761</v>
      </c>
      <c r="Y21" s="39">
        <v>46900</v>
      </c>
      <c r="Z21" s="33">
        <v>0</v>
      </c>
      <c r="AA21" s="38">
        <v>0</v>
      </c>
      <c r="AB21" s="37">
        <v>0</v>
      </c>
      <c r="AC21" s="39">
        <v>0</v>
      </c>
      <c r="AD21" s="33">
        <v>0</v>
      </c>
      <c r="AE21" s="40">
        <v>0</v>
      </c>
      <c r="AF21" s="41">
        <v>0</v>
      </c>
      <c r="AG21" s="40">
        <v>0</v>
      </c>
      <c r="AH21" s="49">
        <v>37794</v>
      </c>
      <c r="AI21" s="50">
        <v>37794</v>
      </c>
      <c r="AJ21" s="51">
        <f>G21+H21+I21+N21+O21+T21+U21+Z21+AA21+AD21+AF21+AH21+14587.57</f>
        <v>160080</v>
      </c>
      <c r="AK21" s="52">
        <f>G21+K21+L21+M21+Q21+R21+W21+X21+AB21+AC21+AE21+AG21+AI21+S21+Y21</f>
        <v>206980.43</v>
      </c>
      <c r="AL21" s="51">
        <f t="shared" si="1"/>
        <v>3930</v>
      </c>
      <c r="AM21" s="52">
        <f t="shared" si="2"/>
        <v>3930</v>
      </c>
      <c r="AN21" s="53">
        <f>I21+O21+U21+AA21+14587.57</f>
        <v>118356</v>
      </c>
      <c r="AO21" s="54">
        <f t="shared" si="4"/>
        <v>118356.43</v>
      </c>
      <c r="AP21" s="53">
        <f>J21+P21+V21</f>
        <v>0</v>
      </c>
      <c r="AQ21" s="54">
        <f>M21+S21+Y21</f>
        <v>46900</v>
      </c>
      <c r="AR21" s="55"/>
      <c r="AU21" s="103"/>
      <c r="AV21" s="103"/>
    </row>
    <row r="22" spans="1:48" ht="54" customHeight="1" thickBot="1" x14ac:dyDescent="0.3">
      <c r="A22" s="98" t="s">
        <v>64</v>
      </c>
      <c r="B22" s="28" t="s">
        <v>44</v>
      </c>
      <c r="C22" s="29" t="s">
        <v>36</v>
      </c>
      <c r="D22" s="29">
        <v>4013</v>
      </c>
      <c r="E22" s="30" t="s">
        <v>37</v>
      </c>
      <c r="F22" s="31" t="s">
        <v>67</v>
      </c>
      <c r="G22" s="32">
        <v>0</v>
      </c>
      <c r="H22" s="33">
        <f>16400-15000</f>
        <v>1400</v>
      </c>
      <c r="I22" s="34">
        <v>15000</v>
      </c>
      <c r="J22" s="48">
        <v>0</v>
      </c>
      <c r="K22" s="36">
        <f>1400</f>
        <v>1400</v>
      </c>
      <c r="L22" s="37">
        <f>15000+15000+15000</f>
        <v>45000</v>
      </c>
      <c r="M22" s="37">
        <v>0</v>
      </c>
      <c r="N22" s="33">
        <v>0</v>
      </c>
      <c r="O22" s="38">
        <v>15000</v>
      </c>
      <c r="P22" s="38">
        <v>0</v>
      </c>
      <c r="Q22" s="37">
        <v>0</v>
      </c>
      <c r="R22" s="100">
        <v>0</v>
      </c>
      <c r="S22" s="39">
        <v>0</v>
      </c>
      <c r="T22" s="33">
        <v>0</v>
      </c>
      <c r="U22" s="38">
        <v>0</v>
      </c>
      <c r="V22" s="38">
        <v>0</v>
      </c>
      <c r="W22" s="37">
        <v>0</v>
      </c>
      <c r="X22" s="100">
        <v>0</v>
      </c>
      <c r="Y22" s="39">
        <v>0</v>
      </c>
      <c r="Z22" s="33">
        <v>0</v>
      </c>
      <c r="AA22" s="38">
        <v>0</v>
      </c>
      <c r="AB22" s="37">
        <v>0</v>
      </c>
      <c r="AC22" s="39">
        <v>0</v>
      </c>
      <c r="AD22" s="33">
        <v>0</v>
      </c>
      <c r="AE22" s="40">
        <v>0</v>
      </c>
      <c r="AF22" s="41">
        <v>0</v>
      </c>
      <c r="AG22" s="40">
        <v>0</v>
      </c>
      <c r="AH22" s="49">
        <v>0</v>
      </c>
      <c r="AI22" s="50">
        <v>0</v>
      </c>
      <c r="AJ22" s="51">
        <f t="shared" ref="AJ22:AJ36" si="6">G22+H22+I22+N22+O22+T22+U22+Z22+AA22+AD22+AF22+AH22</f>
        <v>31400</v>
      </c>
      <c r="AK22" s="52">
        <f t="shared" ref="AK22:AK36" si="7">G22+K22+L22+M22+Q22+R22+W22+X22+AB22+AC22+AE22+AG22+AI22</f>
        <v>46400</v>
      </c>
      <c r="AL22" s="51">
        <f t="shared" si="1"/>
        <v>1400</v>
      </c>
      <c r="AM22" s="52">
        <f t="shared" si="2"/>
        <v>1400</v>
      </c>
      <c r="AN22" s="53">
        <f t="shared" si="5"/>
        <v>30000</v>
      </c>
      <c r="AO22" s="54">
        <f t="shared" si="4"/>
        <v>45000</v>
      </c>
      <c r="AP22" s="44">
        <v>0</v>
      </c>
      <c r="AQ22" s="45">
        <v>0</v>
      </c>
      <c r="AR22" s="68" t="s">
        <v>68</v>
      </c>
      <c r="AU22" s="103"/>
      <c r="AV22" s="103"/>
    </row>
    <row r="23" spans="1:48" ht="54" customHeight="1" thickBot="1" x14ac:dyDescent="0.25">
      <c r="A23" s="98" t="s">
        <v>64</v>
      </c>
      <c r="B23" s="28" t="s">
        <v>44</v>
      </c>
      <c r="C23" s="29" t="s">
        <v>41</v>
      </c>
      <c r="D23" s="29">
        <v>5456</v>
      </c>
      <c r="E23" s="47" t="s">
        <v>53</v>
      </c>
      <c r="F23" s="31" t="s">
        <v>69</v>
      </c>
      <c r="G23" s="32">
        <v>1381.76</v>
      </c>
      <c r="H23" s="33">
        <v>366.51</v>
      </c>
      <c r="I23" s="34">
        <v>52090</v>
      </c>
      <c r="J23" s="48">
        <v>0</v>
      </c>
      <c r="K23" s="36">
        <f>366.51</f>
        <v>366.51</v>
      </c>
      <c r="L23" s="37">
        <f>52090-50000</f>
        <v>2090</v>
      </c>
      <c r="M23" s="37">
        <v>0</v>
      </c>
      <c r="N23" s="33">
        <v>0</v>
      </c>
      <c r="O23" s="38">
        <v>0</v>
      </c>
      <c r="P23" s="38">
        <v>0</v>
      </c>
      <c r="Q23" s="37">
        <v>0</v>
      </c>
      <c r="R23" s="100">
        <v>0</v>
      </c>
      <c r="S23" s="39">
        <v>0</v>
      </c>
      <c r="T23" s="33">
        <v>0</v>
      </c>
      <c r="U23" s="38">
        <v>0</v>
      </c>
      <c r="V23" s="38">
        <v>0</v>
      </c>
      <c r="W23" s="37">
        <v>0</v>
      </c>
      <c r="X23" s="100">
        <v>26000</v>
      </c>
      <c r="Y23" s="39">
        <v>0</v>
      </c>
      <c r="Z23" s="33">
        <v>0</v>
      </c>
      <c r="AA23" s="38">
        <v>0</v>
      </c>
      <c r="AB23" s="37">
        <v>0</v>
      </c>
      <c r="AC23" s="39">
        <v>27610</v>
      </c>
      <c r="AD23" s="33">
        <v>0</v>
      </c>
      <c r="AE23" s="40">
        <v>0</v>
      </c>
      <c r="AF23" s="41">
        <v>0</v>
      </c>
      <c r="AG23" s="40">
        <v>0</v>
      </c>
      <c r="AH23" s="49">
        <v>0</v>
      </c>
      <c r="AI23" s="50">
        <v>0</v>
      </c>
      <c r="AJ23" s="51">
        <f t="shared" si="6"/>
        <v>53838.27</v>
      </c>
      <c r="AK23" s="52">
        <f t="shared" si="7"/>
        <v>57448.270000000004</v>
      </c>
      <c r="AL23" s="51">
        <f t="shared" si="1"/>
        <v>1748.27</v>
      </c>
      <c r="AM23" s="52">
        <f t="shared" si="2"/>
        <v>1748.27</v>
      </c>
      <c r="AN23" s="53">
        <f t="shared" si="5"/>
        <v>52090</v>
      </c>
      <c r="AO23" s="54">
        <f t="shared" si="4"/>
        <v>55700</v>
      </c>
      <c r="AP23" s="44">
        <v>0</v>
      </c>
      <c r="AQ23" s="45">
        <v>0</v>
      </c>
      <c r="AR23" s="55" t="s">
        <v>43</v>
      </c>
      <c r="AU23" s="103"/>
      <c r="AV23" s="103"/>
    </row>
    <row r="24" spans="1:48" ht="54" customHeight="1" thickBot="1" x14ac:dyDescent="0.25">
      <c r="A24" s="98" t="s">
        <v>71</v>
      </c>
      <c r="B24" s="28" t="s">
        <v>44</v>
      </c>
      <c r="C24" s="29" t="s">
        <v>36</v>
      </c>
      <c r="D24" s="29">
        <v>5971</v>
      </c>
      <c r="E24" s="47" t="s">
        <v>53</v>
      </c>
      <c r="F24" s="31" t="s">
        <v>72</v>
      </c>
      <c r="G24" s="32">
        <v>338.8</v>
      </c>
      <c r="H24" s="33">
        <f>15433.18-15000</f>
        <v>433.18000000000029</v>
      </c>
      <c r="I24" s="34">
        <v>15000</v>
      </c>
      <c r="J24" s="48">
        <v>0</v>
      </c>
      <c r="K24" s="36">
        <f>433.18+21700</f>
        <v>22133.18</v>
      </c>
      <c r="L24" s="37">
        <f>15000+10000-21700</f>
        <v>3300</v>
      </c>
      <c r="M24" s="37">
        <v>0</v>
      </c>
      <c r="N24" s="33">
        <v>0</v>
      </c>
      <c r="O24" s="38">
        <v>0</v>
      </c>
      <c r="P24" s="38">
        <v>0</v>
      </c>
      <c r="Q24" s="37">
        <v>0</v>
      </c>
      <c r="R24" s="100">
        <v>0</v>
      </c>
      <c r="S24" s="39">
        <v>0</v>
      </c>
      <c r="T24" s="33">
        <v>0</v>
      </c>
      <c r="U24" s="38">
        <v>0</v>
      </c>
      <c r="V24" s="38">
        <v>0</v>
      </c>
      <c r="W24" s="37">
        <v>0</v>
      </c>
      <c r="X24" s="100">
        <v>0</v>
      </c>
      <c r="Y24" s="39">
        <v>0</v>
      </c>
      <c r="Z24" s="33">
        <v>0</v>
      </c>
      <c r="AA24" s="38">
        <v>0</v>
      </c>
      <c r="AB24" s="37">
        <v>0</v>
      </c>
      <c r="AC24" s="39">
        <v>0</v>
      </c>
      <c r="AD24" s="33">
        <v>0</v>
      </c>
      <c r="AE24" s="40">
        <v>0</v>
      </c>
      <c r="AF24" s="41">
        <v>0</v>
      </c>
      <c r="AG24" s="40">
        <v>0</v>
      </c>
      <c r="AH24" s="49">
        <v>0</v>
      </c>
      <c r="AI24" s="50">
        <v>0</v>
      </c>
      <c r="AJ24" s="51">
        <f t="shared" si="6"/>
        <v>15771.98</v>
      </c>
      <c r="AK24" s="52">
        <f t="shared" si="7"/>
        <v>25771.98</v>
      </c>
      <c r="AL24" s="51">
        <f t="shared" si="1"/>
        <v>771.98000000000025</v>
      </c>
      <c r="AM24" s="52">
        <f t="shared" si="2"/>
        <v>22471.98</v>
      </c>
      <c r="AN24" s="53">
        <f t="shared" si="5"/>
        <v>15000</v>
      </c>
      <c r="AO24" s="54">
        <f t="shared" si="4"/>
        <v>3300</v>
      </c>
      <c r="AP24" s="44">
        <v>0</v>
      </c>
      <c r="AQ24" s="45">
        <v>0</v>
      </c>
      <c r="AR24" s="55" t="s">
        <v>47</v>
      </c>
      <c r="AU24" s="103"/>
      <c r="AV24" s="103"/>
    </row>
    <row r="25" spans="1:48" ht="54" customHeight="1" thickBot="1" x14ac:dyDescent="0.25">
      <c r="A25" s="98" t="s">
        <v>64</v>
      </c>
      <c r="B25" s="28" t="s">
        <v>40</v>
      </c>
      <c r="C25" s="29" t="s">
        <v>41</v>
      </c>
      <c r="D25" s="29">
        <v>5761</v>
      </c>
      <c r="E25" s="47" t="s">
        <v>37</v>
      </c>
      <c r="F25" s="31" t="s">
        <v>70</v>
      </c>
      <c r="G25" s="32">
        <v>443.22</v>
      </c>
      <c r="H25" s="33">
        <f>4208.69-3500</f>
        <v>708.6899999999996</v>
      </c>
      <c r="I25" s="34">
        <v>3500</v>
      </c>
      <c r="J25" s="48">
        <v>0</v>
      </c>
      <c r="K25" s="36">
        <v>708.69</v>
      </c>
      <c r="L25" s="37">
        <f>3500-1500</f>
        <v>2000</v>
      </c>
      <c r="M25" s="37">
        <v>0</v>
      </c>
      <c r="N25" s="33">
        <v>0</v>
      </c>
      <c r="O25" s="38">
        <v>15500</v>
      </c>
      <c r="P25" s="38">
        <v>0</v>
      </c>
      <c r="Q25" s="37">
        <v>0</v>
      </c>
      <c r="R25" s="100">
        <f>15500+1500+5000</f>
        <v>22000</v>
      </c>
      <c r="S25" s="39">
        <v>0</v>
      </c>
      <c r="T25" s="33">
        <v>0</v>
      </c>
      <c r="U25" s="38">
        <v>0</v>
      </c>
      <c r="V25" s="38">
        <v>0</v>
      </c>
      <c r="W25" s="37">
        <v>0</v>
      </c>
      <c r="X25" s="100">
        <v>0</v>
      </c>
      <c r="Y25" s="39">
        <v>0</v>
      </c>
      <c r="Z25" s="33">
        <v>0</v>
      </c>
      <c r="AA25" s="38">
        <v>0</v>
      </c>
      <c r="AB25" s="37">
        <v>0</v>
      </c>
      <c r="AC25" s="39">
        <v>0</v>
      </c>
      <c r="AD25" s="33">
        <v>0</v>
      </c>
      <c r="AE25" s="40">
        <v>0</v>
      </c>
      <c r="AF25" s="41">
        <v>0</v>
      </c>
      <c r="AG25" s="40">
        <v>0</v>
      </c>
      <c r="AH25" s="49">
        <v>0</v>
      </c>
      <c r="AI25" s="50">
        <v>0</v>
      </c>
      <c r="AJ25" s="51">
        <f t="shared" si="6"/>
        <v>20151.91</v>
      </c>
      <c r="AK25" s="52">
        <f t="shared" si="7"/>
        <v>25151.91</v>
      </c>
      <c r="AL25" s="51">
        <f t="shared" si="1"/>
        <v>1151.9099999999996</v>
      </c>
      <c r="AM25" s="52">
        <f t="shared" si="2"/>
        <v>1151.9100000000001</v>
      </c>
      <c r="AN25" s="53">
        <f t="shared" si="5"/>
        <v>19000</v>
      </c>
      <c r="AO25" s="54">
        <f t="shared" si="4"/>
        <v>24000</v>
      </c>
      <c r="AP25" s="44">
        <v>0</v>
      </c>
      <c r="AQ25" s="45">
        <v>0</v>
      </c>
      <c r="AR25" s="55" t="s">
        <v>62</v>
      </c>
      <c r="AU25" s="103"/>
      <c r="AV25" s="103"/>
    </row>
    <row r="26" spans="1:48" ht="54" customHeight="1" thickBot="1" x14ac:dyDescent="0.3">
      <c r="A26" s="98" t="s">
        <v>73</v>
      </c>
      <c r="B26" s="28" t="s">
        <v>74</v>
      </c>
      <c r="C26" s="29" t="s">
        <v>75</v>
      </c>
      <c r="D26" s="29">
        <v>5954</v>
      </c>
      <c r="E26" s="30" t="s">
        <v>76</v>
      </c>
      <c r="F26" s="31" t="s">
        <v>77</v>
      </c>
      <c r="G26" s="32">
        <v>31.25</v>
      </c>
      <c r="H26" s="33">
        <f>50062.51-50000</f>
        <v>62.510000000002037</v>
      </c>
      <c r="I26" s="34">
        <v>50000</v>
      </c>
      <c r="J26" s="48">
        <v>0</v>
      </c>
      <c r="K26" s="36">
        <v>62.510000000002002</v>
      </c>
      <c r="L26" s="37">
        <v>27298</v>
      </c>
      <c r="M26" s="37">
        <v>0</v>
      </c>
      <c r="N26" s="33">
        <v>0</v>
      </c>
      <c r="O26" s="38">
        <v>76000</v>
      </c>
      <c r="P26" s="38">
        <v>0</v>
      </c>
      <c r="Q26" s="37">
        <v>0</v>
      </c>
      <c r="R26" s="100">
        <v>29993</v>
      </c>
      <c r="S26" s="39">
        <v>0</v>
      </c>
      <c r="T26" s="33">
        <v>0</v>
      </c>
      <c r="U26" s="38">
        <v>0</v>
      </c>
      <c r="V26" s="38">
        <v>0</v>
      </c>
      <c r="W26" s="37">
        <v>0</v>
      </c>
      <c r="X26" s="100">
        <v>64999</v>
      </c>
      <c r="Y26" s="39">
        <v>0</v>
      </c>
      <c r="Z26" s="33">
        <v>0</v>
      </c>
      <c r="AA26" s="38">
        <v>0</v>
      </c>
      <c r="AB26" s="37">
        <v>0</v>
      </c>
      <c r="AC26" s="39">
        <v>3710</v>
      </c>
      <c r="AD26" s="33">
        <v>0</v>
      </c>
      <c r="AE26" s="40">
        <v>150000</v>
      </c>
      <c r="AF26" s="41">
        <v>0</v>
      </c>
      <c r="AG26" s="40">
        <v>0</v>
      </c>
      <c r="AH26" s="49">
        <v>0</v>
      </c>
      <c r="AI26" s="50">
        <v>2705396</v>
      </c>
      <c r="AJ26" s="51">
        <f t="shared" si="6"/>
        <v>126093.76000000001</v>
      </c>
      <c r="AK26" s="52">
        <f t="shared" si="7"/>
        <v>2981489.76</v>
      </c>
      <c r="AL26" s="51">
        <f t="shared" si="1"/>
        <v>93.760000000002037</v>
      </c>
      <c r="AM26" s="52">
        <f t="shared" si="2"/>
        <v>150093.76000000001</v>
      </c>
      <c r="AN26" s="53">
        <f t="shared" si="5"/>
        <v>126000</v>
      </c>
      <c r="AO26" s="54">
        <f t="shared" si="4"/>
        <v>126000</v>
      </c>
      <c r="AP26" s="44">
        <v>0</v>
      </c>
      <c r="AQ26" s="45">
        <v>0</v>
      </c>
      <c r="AR26" s="55" t="s">
        <v>78</v>
      </c>
      <c r="AU26" s="103"/>
      <c r="AV26" s="103"/>
    </row>
    <row r="27" spans="1:48" ht="54" customHeight="1" x14ac:dyDescent="0.25">
      <c r="A27" s="98" t="s">
        <v>73</v>
      </c>
      <c r="B27" s="28" t="s">
        <v>74</v>
      </c>
      <c r="C27" s="29" t="s">
        <v>75</v>
      </c>
      <c r="D27" s="29">
        <v>4081</v>
      </c>
      <c r="E27" s="30" t="s">
        <v>37</v>
      </c>
      <c r="F27" s="31" t="s">
        <v>79</v>
      </c>
      <c r="G27" s="32">
        <v>1009.14</v>
      </c>
      <c r="H27" s="33">
        <f>2221.86-1800</f>
        <v>421.86000000000013</v>
      </c>
      <c r="I27" s="34">
        <v>1800</v>
      </c>
      <c r="J27" s="48">
        <v>0</v>
      </c>
      <c r="K27" s="36">
        <v>421.86</v>
      </c>
      <c r="L27" s="37">
        <v>807</v>
      </c>
      <c r="M27" s="37">
        <v>0</v>
      </c>
      <c r="N27" s="33">
        <v>0</v>
      </c>
      <c r="O27" s="38">
        <v>130000</v>
      </c>
      <c r="P27" s="38">
        <v>0</v>
      </c>
      <c r="Q27" s="37">
        <v>0</v>
      </c>
      <c r="R27" s="100">
        <v>130993</v>
      </c>
      <c r="S27" s="39">
        <v>0</v>
      </c>
      <c r="T27" s="33">
        <v>0</v>
      </c>
      <c r="U27" s="38">
        <v>0</v>
      </c>
      <c r="V27" s="38">
        <v>0</v>
      </c>
      <c r="W27" s="37">
        <v>0</v>
      </c>
      <c r="X27" s="100">
        <v>277178</v>
      </c>
      <c r="Y27" s="39">
        <v>0</v>
      </c>
      <c r="Z27" s="33">
        <v>0</v>
      </c>
      <c r="AA27" s="38">
        <v>0</v>
      </c>
      <c r="AB27" s="37">
        <v>0</v>
      </c>
      <c r="AC27" s="39">
        <v>0</v>
      </c>
      <c r="AD27" s="33">
        <v>0</v>
      </c>
      <c r="AE27" s="40">
        <v>0</v>
      </c>
      <c r="AF27" s="41">
        <v>0</v>
      </c>
      <c r="AG27" s="40">
        <v>0</v>
      </c>
      <c r="AH27" s="49">
        <v>0</v>
      </c>
      <c r="AI27" s="50">
        <v>0</v>
      </c>
      <c r="AJ27" s="51">
        <f t="shared" si="6"/>
        <v>133231</v>
      </c>
      <c r="AK27" s="52">
        <f t="shared" si="7"/>
        <v>410409</v>
      </c>
      <c r="AL27" s="51">
        <f t="shared" si="1"/>
        <v>1431</v>
      </c>
      <c r="AM27" s="52">
        <f t="shared" si="2"/>
        <v>1431</v>
      </c>
      <c r="AN27" s="53">
        <f t="shared" si="5"/>
        <v>131800</v>
      </c>
      <c r="AO27" s="54">
        <f t="shared" si="4"/>
        <v>408978</v>
      </c>
      <c r="AP27" s="44">
        <v>0</v>
      </c>
      <c r="AQ27" s="45">
        <v>0</v>
      </c>
      <c r="AR27" s="55" t="s">
        <v>78</v>
      </c>
      <c r="AU27" s="103"/>
      <c r="AV27" s="103"/>
    </row>
    <row r="28" spans="1:48" ht="54" customHeight="1" x14ac:dyDescent="0.2">
      <c r="A28" s="98" t="s">
        <v>73</v>
      </c>
      <c r="B28" s="28" t="s">
        <v>44</v>
      </c>
      <c r="C28" s="29" t="s">
        <v>36</v>
      </c>
      <c r="D28" s="29">
        <v>4105</v>
      </c>
      <c r="E28" s="47" t="s">
        <v>53</v>
      </c>
      <c r="F28" s="31" t="s">
        <v>80</v>
      </c>
      <c r="G28" s="32">
        <v>0</v>
      </c>
      <c r="H28" s="33">
        <v>680</v>
      </c>
      <c r="I28" s="34">
        <v>0</v>
      </c>
      <c r="J28" s="48">
        <v>0</v>
      </c>
      <c r="K28" s="36">
        <v>680</v>
      </c>
      <c r="L28" s="37">
        <v>0</v>
      </c>
      <c r="M28" s="37">
        <v>0</v>
      </c>
      <c r="N28" s="33">
        <v>0</v>
      </c>
      <c r="O28" s="38">
        <v>0</v>
      </c>
      <c r="P28" s="38">
        <v>0</v>
      </c>
      <c r="Q28" s="37">
        <v>0</v>
      </c>
      <c r="R28" s="100">
        <v>11420</v>
      </c>
      <c r="S28" s="39">
        <v>0</v>
      </c>
      <c r="T28" s="33">
        <v>0</v>
      </c>
      <c r="U28" s="38">
        <v>0</v>
      </c>
      <c r="V28" s="38">
        <v>0</v>
      </c>
      <c r="W28" s="37">
        <v>0</v>
      </c>
      <c r="X28" s="100">
        <v>0</v>
      </c>
      <c r="Y28" s="39">
        <v>0</v>
      </c>
      <c r="Z28" s="33">
        <v>0</v>
      </c>
      <c r="AA28" s="38">
        <v>0</v>
      </c>
      <c r="AB28" s="37">
        <v>0</v>
      </c>
      <c r="AC28" s="39">
        <v>0</v>
      </c>
      <c r="AD28" s="33">
        <v>0</v>
      </c>
      <c r="AE28" s="40">
        <v>0</v>
      </c>
      <c r="AF28" s="41">
        <v>0</v>
      </c>
      <c r="AG28" s="40">
        <v>0</v>
      </c>
      <c r="AH28" s="49">
        <v>0</v>
      </c>
      <c r="AI28" s="50">
        <v>0</v>
      </c>
      <c r="AJ28" s="51">
        <f t="shared" si="6"/>
        <v>680</v>
      </c>
      <c r="AK28" s="52">
        <f t="shared" si="7"/>
        <v>12100</v>
      </c>
      <c r="AL28" s="51">
        <f t="shared" si="1"/>
        <v>680</v>
      </c>
      <c r="AM28" s="52">
        <f t="shared" si="2"/>
        <v>680</v>
      </c>
      <c r="AN28" s="53">
        <f t="shared" si="5"/>
        <v>0</v>
      </c>
      <c r="AO28" s="54">
        <f t="shared" si="4"/>
        <v>11420</v>
      </c>
      <c r="AP28" s="44">
        <v>0</v>
      </c>
      <c r="AQ28" s="45">
        <v>0</v>
      </c>
      <c r="AR28" s="69" t="s">
        <v>58</v>
      </c>
      <c r="AU28" s="103"/>
      <c r="AV28" s="103"/>
    </row>
    <row r="29" spans="1:48" ht="54" customHeight="1" x14ac:dyDescent="0.2">
      <c r="A29" s="98" t="s">
        <v>73</v>
      </c>
      <c r="B29" s="28" t="s">
        <v>44</v>
      </c>
      <c r="C29" s="29" t="s">
        <v>41</v>
      </c>
      <c r="D29" s="29">
        <v>5681</v>
      </c>
      <c r="E29" s="47" t="s">
        <v>53</v>
      </c>
      <c r="F29" s="31" t="s">
        <v>81</v>
      </c>
      <c r="G29" s="32">
        <v>2312.36</v>
      </c>
      <c r="H29" s="33">
        <v>5064.91</v>
      </c>
      <c r="I29" s="34">
        <v>0</v>
      </c>
      <c r="J29" s="48">
        <v>0</v>
      </c>
      <c r="K29" s="36">
        <v>100</v>
      </c>
      <c r="L29" s="37">
        <f>5064.91+6000</f>
        <v>11064.91</v>
      </c>
      <c r="M29" s="37">
        <v>0</v>
      </c>
      <c r="N29" s="33">
        <v>0</v>
      </c>
      <c r="O29" s="38">
        <v>0</v>
      </c>
      <c r="P29" s="38">
        <v>0</v>
      </c>
      <c r="Q29" s="37">
        <v>0</v>
      </c>
      <c r="R29" s="100">
        <v>0</v>
      </c>
      <c r="S29" s="39">
        <v>0</v>
      </c>
      <c r="T29" s="33">
        <v>0</v>
      </c>
      <c r="U29" s="38">
        <v>0</v>
      </c>
      <c r="V29" s="38">
        <v>0</v>
      </c>
      <c r="W29" s="37">
        <v>0</v>
      </c>
      <c r="X29" s="100">
        <v>100000</v>
      </c>
      <c r="Y29" s="39">
        <v>0</v>
      </c>
      <c r="Z29" s="33">
        <v>0</v>
      </c>
      <c r="AA29" s="38">
        <v>0</v>
      </c>
      <c r="AB29" s="37">
        <v>0</v>
      </c>
      <c r="AC29" s="39">
        <v>100000</v>
      </c>
      <c r="AD29" s="33">
        <v>0</v>
      </c>
      <c r="AE29" s="40">
        <f>75130-6107</f>
        <v>69023</v>
      </c>
      <c r="AF29" s="41">
        <v>0</v>
      </c>
      <c r="AG29" s="40">
        <v>0</v>
      </c>
      <c r="AH29" s="49">
        <v>0</v>
      </c>
      <c r="AI29" s="50">
        <v>0</v>
      </c>
      <c r="AJ29" s="51">
        <f t="shared" si="6"/>
        <v>7377.27</v>
      </c>
      <c r="AK29" s="52">
        <f t="shared" si="7"/>
        <v>282500.27</v>
      </c>
      <c r="AL29" s="51">
        <f t="shared" si="1"/>
        <v>7377.27</v>
      </c>
      <c r="AM29" s="52">
        <f t="shared" si="2"/>
        <v>71435.360000000001</v>
      </c>
      <c r="AN29" s="53">
        <f t="shared" si="5"/>
        <v>0</v>
      </c>
      <c r="AO29" s="54">
        <f t="shared" si="4"/>
        <v>211064.91</v>
      </c>
      <c r="AP29" s="44">
        <v>0</v>
      </c>
      <c r="AQ29" s="45">
        <v>0</v>
      </c>
      <c r="AR29" s="70" t="s">
        <v>58</v>
      </c>
      <c r="AU29" s="103"/>
      <c r="AV29" s="103"/>
    </row>
    <row r="30" spans="1:48" ht="54" customHeight="1" thickBot="1" x14ac:dyDescent="0.25">
      <c r="A30" s="98" t="s">
        <v>73</v>
      </c>
      <c r="B30" s="28" t="s">
        <v>44</v>
      </c>
      <c r="C30" s="29" t="s">
        <v>36</v>
      </c>
      <c r="D30" s="29">
        <v>4036</v>
      </c>
      <c r="E30" s="47" t="s">
        <v>53</v>
      </c>
      <c r="F30" s="31" t="s">
        <v>82</v>
      </c>
      <c r="G30" s="32">
        <v>0</v>
      </c>
      <c r="H30" s="33">
        <v>8000</v>
      </c>
      <c r="I30" s="34">
        <v>0</v>
      </c>
      <c r="J30" s="48">
        <v>0</v>
      </c>
      <c r="K30" s="36">
        <f>8000</f>
        <v>8000</v>
      </c>
      <c r="L30" s="37">
        <v>9120</v>
      </c>
      <c r="M30" s="37">
        <v>0</v>
      </c>
      <c r="N30" s="33">
        <v>0</v>
      </c>
      <c r="O30" s="38">
        <v>0</v>
      </c>
      <c r="P30" s="38">
        <v>0</v>
      </c>
      <c r="Q30" s="37">
        <v>0</v>
      </c>
      <c r="R30" s="100">
        <v>0</v>
      </c>
      <c r="S30" s="39">
        <v>0</v>
      </c>
      <c r="T30" s="33">
        <v>0</v>
      </c>
      <c r="U30" s="38">
        <v>0</v>
      </c>
      <c r="V30" s="38">
        <v>0</v>
      </c>
      <c r="W30" s="37">
        <v>0</v>
      </c>
      <c r="X30" s="100">
        <v>0</v>
      </c>
      <c r="Y30" s="39">
        <v>0</v>
      </c>
      <c r="Z30" s="33">
        <v>0</v>
      </c>
      <c r="AA30" s="38">
        <v>0</v>
      </c>
      <c r="AB30" s="37">
        <v>0</v>
      </c>
      <c r="AC30" s="39">
        <v>0</v>
      </c>
      <c r="AD30" s="33">
        <v>0</v>
      </c>
      <c r="AE30" s="40">
        <v>0</v>
      </c>
      <c r="AF30" s="41">
        <v>0</v>
      </c>
      <c r="AG30" s="40">
        <v>0</v>
      </c>
      <c r="AH30" s="49">
        <v>0</v>
      </c>
      <c r="AI30" s="50">
        <v>0</v>
      </c>
      <c r="AJ30" s="51">
        <f t="shared" si="6"/>
        <v>8000</v>
      </c>
      <c r="AK30" s="52">
        <f t="shared" si="7"/>
        <v>17120</v>
      </c>
      <c r="AL30" s="51">
        <f t="shared" si="1"/>
        <v>8000</v>
      </c>
      <c r="AM30" s="52">
        <f t="shared" si="2"/>
        <v>8000</v>
      </c>
      <c r="AN30" s="53">
        <f t="shared" si="5"/>
        <v>0</v>
      </c>
      <c r="AO30" s="54">
        <f t="shared" si="4"/>
        <v>9120</v>
      </c>
      <c r="AP30" s="44">
        <v>0</v>
      </c>
      <c r="AQ30" s="45">
        <v>0</v>
      </c>
      <c r="AR30" s="70" t="s">
        <v>68</v>
      </c>
      <c r="AU30" s="103"/>
      <c r="AV30" s="103"/>
    </row>
    <row r="31" spans="1:48" ht="54" customHeight="1" x14ac:dyDescent="0.2">
      <c r="A31" s="98" t="s">
        <v>73</v>
      </c>
      <c r="B31" s="28" t="s">
        <v>44</v>
      </c>
      <c r="C31" s="29" t="s">
        <v>36</v>
      </c>
      <c r="D31" s="29">
        <v>5834</v>
      </c>
      <c r="E31" s="47" t="s">
        <v>53</v>
      </c>
      <c r="F31" s="31" t="s">
        <v>83</v>
      </c>
      <c r="G31" s="32">
        <v>1781.15</v>
      </c>
      <c r="H31" s="33">
        <v>908.59</v>
      </c>
      <c r="I31" s="34">
        <v>0</v>
      </c>
      <c r="J31" s="48">
        <v>0</v>
      </c>
      <c r="K31" s="36">
        <v>908.59</v>
      </c>
      <c r="L31" s="37">
        <v>0</v>
      </c>
      <c r="M31" s="37">
        <v>0</v>
      </c>
      <c r="N31" s="33">
        <v>0</v>
      </c>
      <c r="O31" s="38">
        <v>0</v>
      </c>
      <c r="P31" s="38">
        <v>0</v>
      </c>
      <c r="Q31" s="37">
        <v>0</v>
      </c>
      <c r="R31" s="100">
        <f>30000+30500</f>
        <v>60500</v>
      </c>
      <c r="S31" s="39">
        <v>0</v>
      </c>
      <c r="T31" s="33">
        <v>0</v>
      </c>
      <c r="U31" s="38">
        <v>0</v>
      </c>
      <c r="V31" s="38">
        <v>0</v>
      </c>
      <c r="W31" s="37">
        <v>0</v>
      </c>
      <c r="X31" s="100">
        <v>0</v>
      </c>
      <c r="Y31" s="39">
        <v>0</v>
      </c>
      <c r="Z31" s="33">
        <v>0</v>
      </c>
      <c r="AA31" s="38">
        <v>0</v>
      </c>
      <c r="AB31" s="37">
        <v>0</v>
      </c>
      <c r="AC31" s="39">
        <v>0</v>
      </c>
      <c r="AD31" s="33">
        <v>0</v>
      </c>
      <c r="AE31" s="40">
        <v>0</v>
      </c>
      <c r="AF31" s="41">
        <v>0</v>
      </c>
      <c r="AG31" s="40">
        <v>0</v>
      </c>
      <c r="AH31" s="49">
        <v>0</v>
      </c>
      <c r="AI31" s="50">
        <v>0</v>
      </c>
      <c r="AJ31" s="51">
        <f t="shared" si="6"/>
        <v>2689.7400000000002</v>
      </c>
      <c r="AK31" s="52">
        <f t="shared" si="7"/>
        <v>63189.74</v>
      </c>
      <c r="AL31" s="51">
        <f t="shared" si="1"/>
        <v>2689.7400000000002</v>
      </c>
      <c r="AM31" s="52">
        <f t="shared" si="2"/>
        <v>2689.7400000000002</v>
      </c>
      <c r="AN31" s="53">
        <f t="shared" si="5"/>
        <v>0</v>
      </c>
      <c r="AO31" s="54">
        <f t="shared" si="4"/>
        <v>60500</v>
      </c>
      <c r="AP31" s="44">
        <v>0</v>
      </c>
      <c r="AQ31" s="45">
        <v>0</v>
      </c>
      <c r="AR31" s="55" t="s">
        <v>43</v>
      </c>
      <c r="AU31" s="103"/>
      <c r="AV31" s="103"/>
    </row>
    <row r="32" spans="1:48" ht="54" customHeight="1" thickBot="1" x14ac:dyDescent="0.25">
      <c r="A32" s="98" t="s">
        <v>84</v>
      </c>
      <c r="B32" s="28" t="s">
        <v>74</v>
      </c>
      <c r="C32" s="29" t="s">
        <v>41</v>
      </c>
      <c r="D32" s="29" t="s">
        <v>85</v>
      </c>
      <c r="E32" s="47" t="s">
        <v>53</v>
      </c>
      <c r="F32" s="31" t="s">
        <v>86</v>
      </c>
      <c r="G32" s="32">
        <v>0</v>
      </c>
      <c r="H32" s="33">
        <v>0</v>
      </c>
      <c r="I32" s="34">
        <v>0</v>
      </c>
      <c r="J32" s="48">
        <v>0</v>
      </c>
      <c r="K32" s="36">
        <v>0</v>
      </c>
      <c r="L32" s="37">
        <v>0</v>
      </c>
      <c r="M32" s="37">
        <v>0</v>
      </c>
      <c r="N32" s="33">
        <v>0</v>
      </c>
      <c r="O32" s="38">
        <v>0</v>
      </c>
      <c r="P32" s="38">
        <v>0</v>
      </c>
      <c r="Q32" s="37">
        <v>0</v>
      </c>
      <c r="R32" s="100">
        <v>0</v>
      </c>
      <c r="S32" s="39">
        <v>0</v>
      </c>
      <c r="T32" s="33">
        <v>0</v>
      </c>
      <c r="U32" s="38">
        <v>0</v>
      </c>
      <c r="V32" s="38">
        <v>0</v>
      </c>
      <c r="W32" s="37">
        <v>0</v>
      </c>
      <c r="X32" s="100">
        <v>75300</v>
      </c>
      <c r="Y32" s="39">
        <v>0</v>
      </c>
      <c r="Z32" s="33">
        <v>0</v>
      </c>
      <c r="AA32" s="38">
        <v>0</v>
      </c>
      <c r="AB32" s="37">
        <v>0</v>
      </c>
      <c r="AC32" s="39">
        <v>0</v>
      </c>
      <c r="AD32" s="33">
        <v>0</v>
      </c>
      <c r="AE32" s="40">
        <v>0</v>
      </c>
      <c r="AF32" s="41">
        <v>0</v>
      </c>
      <c r="AG32" s="40">
        <v>0</v>
      </c>
      <c r="AH32" s="49">
        <v>0</v>
      </c>
      <c r="AI32" s="50">
        <v>0</v>
      </c>
      <c r="AJ32" s="51">
        <f t="shared" si="6"/>
        <v>0</v>
      </c>
      <c r="AK32" s="52">
        <f t="shared" si="7"/>
        <v>75300</v>
      </c>
      <c r="AL32" s="51">
        <f t="shared" si="1"/>
        <v>0</v>
      </c>
      <c r="AM32" s="52">
        <f t="shared" si="2"/>
        <v>0</v>
      </c>
      <c r="AN32" s="53">
        <f t="shared" si="5"/>
        <v>0</v>
      </c>
      <c r="AO32" s="54">
        <f t="shared" si="4"/>
        <v>75300</v>
      </c>
      <c r="AP32" s="44">
        <v>0</v>
      </c>
      <c r="AQ32" s="45">
        <v>0</v>
      </c>
      <c r="AR32" s="70" t="s">
        <v>87</v>
      </c>
      <c r="AU32" s="103"/>
      <c r="AV32" s="103"/>
    </row>
    <row r="33" spans="1:48" ht="54" customHeight="1" thickBot="1" x14ac:dyDescent="0.25">
      <c r="A33" s="98" t="s">
        <v>84</v>
      </c>
      <c r="B33" s="28" t="s">
        <v>44</v>
      </c>
      <c r="C33" s="29" t="s">
        <v>36</v>
      </c>
      <c r="D33" s="88">
        <v>4004</v>
      </c>
      <c r="E33" s="47" t="s">
        <v>53</v>
      </c>
      <c r="F33" s="31" t="s">
        <v>88</v>
      </c>
      <c r="G33" s="32">
        <v>0</v>
      </c>
      <c r="H33" s="33">
        <v>0</v>
      </c>
      <c r="I33" s="34">
        <v>0</v>
      </c>
      <c r="J33" s="48">
        <v>0</v>
      </c>
      <c r="K33" s="36">
        <v>0</v>
      </c>
      <c r="L33" s="37">
        <v>1500</v>
      </c>
      <c r="M33" s="37">
        <v>0</v>
      </c>
      <c r="N33" s="33">
        <v>0</v>
      </c>
      <c r="O33" s="38">
        <v>0</v>
      </c>
      <c r="P33" s="38">
        <v>0</v>
      </c>
      <c r="Q33" s="37">
        <v>0</v>
      </c>
      <c r="R33" s="100">
        <v>20000</v>
      </c>
      <c r="S33" s="39">
        <v>0</v>
      </c>
      <c r="T33" s="33">
        <v>0</v>
      </c>
      <c r="U33" s="38">
        <v>0</v>
      </c>
      <c r="V33" s="38">
        <v>0</v>
      </c>
      <c r="W33" s="37">
        <v>0</v>
      </c>
      <c r="X33" s="100">
        <v>0</v>
      </c>
      <c r="Y33" s="39">
        <v>0</v>
      </c>
      <c r="Z33" s="33">
        <v>0</v>
      </c>
      <c r="AA33" s="38">
        <v>0</v>
      </c>
      <c r="AB33" s="37">
        <v>0</v>
      </c>
      <c r="AC33" s="39">
        <v>0</v>
      </c>
      <c r="AD33" s="33">
        <v>0</v>
      </c>
      <c r="AE33" s="40">
        <v>0</v>
      </c>
      <c r="AF33" s="41">
        <v>0</v>
      </c>
      <c r="AG33" s="40">
        <v>0</v>
      </c>
      <c r="AH33" s="49">
        <v>0</v>
      </c>
      <c r="AI33" s="50">
        <v>0</v>
      </c>
      <c r="AJ33" s="51">
        <f t="shared" si="6"/>
        <v>0</v>
      </c>
      <c r="AK33" s="52">
        <f>G33+K33+L33+M33+Q33+R33+W33+X33+AB33+AC33+AE33+AG33+AI33</f>
        <v>21500</v>
      </c>
      <c r="AL33" s="51">
        <f t="shared" si="1"/>
        <v>0</v>
      </c>
      <c r="AM33" s="52">
        <f t="shared" si="2"/>
        <v>0</v>
      </c>
      <c r="AN33" s="53">
        <f t="shared" si="5"/>
        <v>0</v>
      </c>
      <c r="AO33" s="54">
        <f t="shared" si="4"/>
        <v>21500</v>
      </c>
      <c r="AP33" s="44">
        <v>0</v>
      </c>
      <c r="AQ33" s="45">
        <v>0</v>
      </c>
      <c r="AR33" s="55" t="s">
        <v>43</v>
      </c>
      <c r="AU33" s="103"/>
      <c r="AV33" s="103"/>
    </row>
    <row r="34" spans="1:48" ht="54" customHeight="1" x14ac:dyDescent="0.2">
      <c r="A34" s="98" t="s">
        <v>84</v>
      </c>
      <c r="B34" s="28" t="s">
        <v>44</v>
      </c>
      <c r="C34" s="29" t="s">
        <v>36</v>
      </c>
      <c r="D34" s="88">
        <v>4007</v>
      </c>
      <c r="E34" s="47" t="s">
        <v>53</v>
      </c>
      <c r="F34" s="31" t="s">
        <v>89</v>
      </c>
      <c r="G34" s="32">
        <v>0</v>
      </c>
      <c r="H34" s="33">
        <v>0</v>
      </c>
      <c r="I34" s="34">
        <v>0</v>
      </c>
      <c r="J34" s="48">
        <v>0</v>
      </c>
      <c r="K34" s="36">
        <v>0</v>
      </c>
      <c r="L34" s="37">
        <v>23000</v>
      </c>
      <c r="M34" s="37">
        <v>0</v>
      </c>
      <c r="N34" s="33">
        <v>0</v>
      </c>
      <c r="O34" s="38">
        <v>0</v>
      </c>
      <c r="P34" s="38">
        <v>0</v>
      </c>
      <c r="Q34" s="37">
        <v>0</v>
      </c>
      <c r="R34" s="100">
        <v>0</v>
      </c>
      <c r="S34" s="39">
        <v>0</v>
      </c>
      <c r="T34" s="33">
        <v>0</v>
      </c>
      <c r="U34" s="38">
        <v>0</v>
      </c>
      <c r="V34" s="38">
        <v>0</v>
      </c>
      <c r="W34" s="37">
        <v>0</v>
      </c>
      <c r="X34" s="100">
        <v>0</v>
      </c>
      <c r="Y34" s="39">
        <v>0</v>
      </c>
      <c r="Z34" s="33">
        <v>0</v>
      </c>
      <c r="AA34" s="38">
        <v>0</v>
      </c>
      <c r="AB34" s="37">
        <v>0</v>
      </c>
      <c r="AC34" s="39">
        <v>0</v>
      </c>
      <c r="AD34" s="33">
        <v>0</v>
      </c>
      <c r="AE34" s="40">
        <v>0</v>
      </c>
      <c r="AF34" s="41">
        <v>0</v>
      </c>
      <c r="AG34" s="40">
        <v>0</v>
      </c>
      <c r="AH34" s="49">
        <v>240</v>
      </c>
      <c r="AI34" s="50">
        <v>240</v>
      </c>
      <c r="AJ34" s="51">
        <f t="shared" si="6"/>
        <v>240</v>
      </c>
      <c r="AK34" s="52">
        <f t="shared" si="7"/>
        <v>23240</v>
      </c>
      <c r="AL34" s="51">
        <f t="shared" si="1"/>
        <v>0</v>
      </c>
      <c r="AM34" s="52">
        <f t="shared" si="2"/>
        <v>0</v>
      </c>
      <c r="AN34" s="53">
        <f t="shared" si="5"/>
        <v>0</v>
      </c>
      <c r="AO34" s="54">
        <f t="shared" si="4"/>
        <v>23000</v>
      </c>
      <c r="AP34" s="53">
        <v>0</v>
      </c>
      <c r="AQ34" s="54">
        <v>0</v>
      </c>
      <c r="AR34" s="55" t="s">
        <v>90</v>
      </c>
      <c r="AU34" s="103"/>
      <c r="AV34" s="103"/>
    </row>
    <row r="35" spans="1:48" ht="54" customHeight="1" x14ac:dyDescent="0.2">
      <c r="A35" s="98" t="s">
        <v>84</v>
      </c>
      <c r="B35" s="28" t="s">
        <v>40</v>
      </c>
      <c r="C35" s="29" t="s">
        <v>36</v>
      </c>
      <c r="D35" s="88">
        <v>4301</v>
      </c>
      <c r="E35" s="47" t="s">
        <v>53</v>
      </c>
      <c r="F35" s="89" t="s">
        <v>91</v>
      </c>
      <c r="G35" s="32">
        <v>62.92</v>
      </c>
      <c r="H35" s="33">
        <v>0</v>
      </c>
      <c r="I35" s="34">
        <v>0</v>
      </c>
      <c r="J35" s="48">
        <v>0</v>
      </c>
      <c r="K35" s="36">
        <v>0</v>
      </c>
      <c r="L35" s="37">
        <v>21700</v>
      </c>
      <c r="M35" s="37">
        <v>0</v>
      </c>
      <c r="N35" s="33">
        <v>0</v>
      </c>
      <c r="O35" s="38">
        <v>0</v>
      </c>
      <c r="P35" s="38">
        <v>0</v>
      </c>
      <c r="Q35" s="37">
        <v>0</v>
      </c>
      <c r="R35" s="100">
        <v>0</v>
      </c>
      <c r="S35" s="39">
        <v>0</v>
      </c>
      <c r="T35" s="33">
        <v>0</v>
      </c>
      <c r="U35" s="38">
        <v>0</v>
      </c>
      <c r="V35" s="38">
        <v>0</v>
      </c>
      <c r="W35" s="37">
        <v>0</v>
      </c>
      <c r="X35" s="100">
        <v>0</v>
      </c>
      <c r="Y35" s="39">
        <v>0</v>
      </c>
      <c r="Z35" s="33">
        <v>0</v>
      </c>
      <c r="AA35" s="38">
        <v>0</v>
      </c>
      <c r="AB35" s="37">
        <v>0</v>
      </c>
      <c r="AC35" s="39">
        <v>0</v>
      </c>
      <c r="AD35" s="33">
        <v>0</v>
      </c>
      <c r="AE35" s="40">
        <v>0</v>
      </c>
      <c r="AF35" s="41">
        <v>0</v>
      </c>
      <c r="AG35" s="40">
        <v>0</v>
      </c>
      <c r="AH35" s="49">
        <v>788.92</v>
      </c>
      <c r="AI35" s="50">
        <v>788.92</v>
      </c>
      <c r="AJ35" s="51">
        <f t="shared" si="6"/>
        <v>851.83999999999992</v>
      </c>
      <c r="AK35" s="52">
        <f t="shared" si="7"/>
        <v>22551.839999999997</v>
      </c>
      <c r="AL35" s="51">
        <f t="shared" si="1"/>
        <v>62.92</v>
      </c>
      <c r="AM35" s="52">
        <f t="shared" si="2"/>
        <v>62.92</v>
      </c>
      <c r="AN35" s="53">
        <f t="shared" si="5"/>
        <v>0</v>
      </c>
      <c r="AO35" s="54">
        <f t="shared" si="4"/>
        <v>21700</v>
      </c>
      <c r="AP35" s="53">
        <v>0</v>
      </c>
      <c r="AQ35" s="54">
        <v>0</v>
      </c>
      <c r="AR35" s="71"/>
      <c r="AU35" s="103"/>
      <c r="AV35" s="103"/>
    </row>
    <row r="36" spans="1:48" s="105" customFormat="1" ht="54" customHeight="1" thickBot="1" x14ac:dyDescent="0.3">
      <c r="A36" s="107" t="s">
        <v>92</v>
      </c>
      <c r="B36" s="108" t="s">
        <v>74</v>
      </c>
      <c r="C36" s="109" t="s">
        <v>41</v>
      </c>
      <c r="D36" s="109" t="s">
        <v>85</v>
      </c>
      <c r="E36" s="110" t="s">
        <v>93</v>
      </c>
      <c r="F36" s="31" t="s">
        <v>94</v>
      </c>
      <c r="G36" s="32">
        <v>0</v>
      </c>
      <c r="H36" s="33">
        <v>0</v>
      </c>
      <c r="I36" s="34">
        <v>0</v>
      </c>
      <c r="J36" s="48">
        <v>0</v>
      </c>
      <c r="K36" s="36">
        <v>0</v>
      </c>
      <c r="L36" s="37">
        <v>0</v>
      </c>
      <c r="M36" s="37">
        <v>0</v>
      </c>
      <c r="N36" s="33">
        <v>86000</v>
      </c>
      <c r="O36" s="38">
        <v>0</v>
      </c>
      <c r="P36" s="38">
        <v>0</v>
      </c>
      <c r="Q36" s="37">
        <v>0</v>
      </c>
      <c r="R36" s="100">
        <v>0</v>
      </c>
      <c r="S36" s="39">
        <v>0</v>
      </c>
      <c r="T36" s="33">
        <v>86000</v>
      </c>
      <c r="U36" s="38">
        <v>0</v>
      </c>
      <c r="V36" s="38">
        <v>0</v>
      </c>
      <c r="W36" s="37">
        <v>23000</v>
      </c>
      <c r="X36" s="100">
        <v>0</v>
      </c>
      <c r="Y36" s="39">
        <v>0</v>
      </c>
      <c r="Z36" s="33">
        <v>87000</v>
      </c>
      <c r="AA36" s="38">
        <v>0</v>
      </c>
      <c r="AB36" s="37">
        <v>24190</v>
      </c>
      <c r="AC36" s="39">
        <v>0</v>
      </c>
      <c r="AD36" s="33">
        <v>0</v>
      </c>
      <c r="AE36" s="40">
        <v>100000</v>
      </c>
      <c r="AF36" s="41">
        <v>0</v>
      </c>
      <c r="AG36" s="40">
        <v>103000</v>
      </c>
      <c r="AH36" s="49">
        <v>0</v>
      </c>
      <c r="AI36" s="50">
        <v>0</v>
      </c>
      <c r="AJ36" s="51">
        <f t="shared" si="6"/>
        <v>259000</v>
      </c>
      <c r="AK36" s="52">
        <f t="shared" si="7"/>
        <v>250190</v>
      </c>
      <c r="AL36" s="51">
        <v>259000</v>
      </c>
      <c r="AM36" s="52">
        <f t="shared" si="2"/>
        <v>250190</v>
      </c>
      <c r="AN36" s="53">
        <v>0</v>
      </c>
      <c r="AO36" s="54">
        <f t="shared" si="4"/>
        <v>0</v>
      </c>
      <c r="AP36" s="53">
        <v>0</v>
      </c>
      <c r="AQ36" s="54">
        <v>0</v>
      </c>
      <c r="AR36" s="104" t="s">
        <v>95</v>
      </c>
      <c r="AU36" s="103"/>
      <c r="AV36" s="106"/>
    </row>
    <row r="37" spans="1:48" ht="54" customHeight="1" thickBot="1" x14ac:dyDescent="0.3">
      <c r="A37" s="98" t="s">
        <v>92</v>
      </c>
      <c r="B37" s="28" t="s">
        <v>35</v>
      </c>
      <c r="C37" s="29" t="s">
        <v>41</v>
      </c>
      <c r="D37" s="29">
        <v>4724</v>
      </c>
      <c r="E37" s="30" t="s">
        <v>37</v>
      </c>
      <c r="F37" s="31" t="s">
        <v>98</v>
      </c>
      <c r="G37" s="32">
        <v>6511.38</v>
      </c>
      <c r="H37" s="32">
        <v>268.70999999999998</v>
      </c>
      <c r="I37" s="65">
        <v>2760</v>
      </c>
      <c r="J37" s="72">
        <v>71.91</v>
      </c>
      <c r="K37" s="36">
        <v>268.70999999999998</v>
      </c>
      <c r="L37" s="37">
        <v>0</v>
      </c>
      <c r="M37" s="37">
        <v>71.91</v>
      </c>
      <c r="N37" s="33">
        <v>0</v>
      </c>
      <c r="O37" s="38">
        <v>9940</v>
      </c>
      <c r="P37" s="38">
        <v>0</v>
      </c>
      <c r="Q37" s="37">
        <v>0</v>
      </c>
      <c r="R37" s="100">
        <v>0</v>
      </c>
      <c r="S37" s="39">
        <v>0</v>
      </c>
      <c r="T37" s="33">
        <v>0</v>
      </c>
      <c r="U37" s="38">
        <v>60448</v>
      </c>
      <c r="V37" s="38">
        <v>0</v>
      </c>
      <c r="W37" s="37">
        <v>0</v>
      </c>
      <c r="X37" s="100">
        <v>0</v>
      </c>
      <c r="Y37" s="39">
        <v>0</v>
      </c>
      <c r="Z37" s="33">
        <v>0</v>
      </c>
      <c r="AA37" s="38">
        <v>220000</v>
      </c>
      <c r="AB37" s="37">
        <v>0</v>
      </c>
      <c r="AC37" s="39">
        <v>0</v>
      </c>
      <c r="AD37" s="33">
        <v>0</v>
      </c>
      <c r="AE37" s="40">
        <v>35000</v>
      </c>
      <c r="AF37" s="41">
        <v>0</v>
      </c>
      <c r="AG37" s="40">
        <v>0</v>
      </c>
      <c r="AH37" s="49">
        <v>450000</v>
      </c>
      <c r="AI37" s="50">
        <v>0</v>
      </c>
      <c r="AJ37" s="51">
        <f>G37+H37+I37+J37+P37+N37+O37+T37+U37+Z37+AA37+AD37+AF37+AH37</f>
        <v>750000</v>
      </c>
      <c r="AK37" s="52">
        <f>G37+K37+L37++M37+Q37+R37+W37+X37+AB37+AC37+AE37+AG37+AI37</f>
        <v>41852</v>
      </c>
      <c r="AL37" s="51">
        <f>G37+H37+N37+T37+Z37+AD37+AF37</f>
        <v>6780.09</v>
      </c>
      <c r="AM37" s="52">
        <f>G37+K37+Q37+W37+AB37+AE37+AG37</f>
        <v>41780.089999999997</v>
      </c>
      <c r="AN37" s="53">
        <f>I37+O37+U37+AA37</f>
        <v>293148</v>
      </c>
      <c r="AO37" s="54">
        <f>L37+R37+X37+AC37</f>
        <v>0</v>
      </c>
      <c r="AP37" s="53">
        <f>J37+P37+V37</f>
        <v>71.91</v>
      </c>
      <c r="AQ37" s="54">
        <f>M37+S37+Y37</f>
        <v>71.91</v>
      </c>
      <c r="AR37" s="55" t="s">
        <v>66</v>
      </c>
      <c r="AU37" s="103"/>
      <c r="AV37" s="103"/>
    </row>
    <row r="38" spans="1:48" ht="54" customHeight="1" x14ac:dyDescent="0.25">
      <c r="A38" s="98" t="s">
        <v>92</v>
      </c>
      <c r="B38" s="28" t="s">
        <v>35</v>
      </c>
      <c r="C38" s="29" t="s">
        <v>41</v>
      </c>
      <c r="D38" s="29">
        <v>5635</v>
      </c>
      <c r="E38" s="30" t="s">
        <v>37</v>
      </c>
      <c r="F38" s="31" t="s">
        <v>99</v>
      </c>
      <c r="G38" s="32">
        <v>13385.73</v>
      </c>
      <c r="H38" s="33">
        <v>451.28</v>
      </c>
      <c r="I38" s="34">
        <v>17174</v>
      </c>
      <c r="J38" s="48">
        <v>37193.040000000001</v>
      </c>
      <c r="K38" s="36">
        <v>451.28</v>
      </c>
      <c r="L38" s="37">
        <v>0</v>
      </c>
      <c r="M38" s="37">
        <v>37193.040000000001</v>
      </c>
      <c r="N38" s="33">
        <v>0</v>
      </c>
      <c r="O38" s="38">
        <v>50000</v>
      </c>
      <c r="P38" s="38">
        <v>0</v>
      </c>
      <c r="Q38" s="37">
        <v>0</v>
      </c>
      <c r="R38" s="100">
        <v>0</v>
      </c>
      <c r="S38" s="39">
        <v>17174</v>
      </c>
      <c r="T38" s="33">
        <v>0</v>
      </c>
      <c r="U38" s="38">
        <v>50000</v>
      </c>
      <c r="V38" s="38">
        <v>0</v>
      </c>
      <c r="W38" s="37">
        <v>0</v>
      </c>
      <c r="X38" s="100">
        <v>0</v>
      </c>
      <c r="Y38" s="39">
        <v>0</v>
      </c>
      <c r="Z38" s="33">
        <v>0</v>
      </c>
      <c r="AA38" s="38">
        <v>382334</v>
      </c>
      <c r="AB38" s="37">
        <v>0</v>
      </c>
      <c r="AC38" s="39">
        <v>0</v>
      </c>
      <c r="AD38" s="33">
        <v>0</v>
      </c>
      <c r="AE38" s="40">
        <v>0</v>
      </c>
      <c r="AF38" s="41">
        <v>0</v>
      </c>
      <c r="AG38" s="40">
        <v>0</v>
      </c>
      <c r="AH38" s="49">
        <v>950000</v>
      </c>
      <c r="AI38" s="50">
        <v>0</v>
      </c>
      <c r="AJ38" s="51">
        <f>G38+H38+I38+J38+P38+N38+O38+T38+U38+Z38+AA38+AD38+AF38+AH38</f>
        <v>1500538.05</v>
      </c>
      <c r="AK38" s="52">
        <f>G38+K38+L38+M38+Q38+R38+W38+X38+AB38+AC38+AE38+AG38+AI38+S38+Y38</f>
        <v>68204.05</v>
      </c>
      <c r="AL38" s="51">
        <f>G38+H38+N38+T38+Z38+AD38+AF38</f>
        <v>13837.01</v>
      </c>
      <c r="AM38" s="52">
        <f t="shared" si="2"/>
        <v>13837.01</v>
      </c>
      <c r="AN38" s="53">
        <f>I38+O38+U38+AA38</f>
        <v>499508</v>
      </c>
      <c r="AO38" s="54">
        <f t="shared" si="4"/>
        <v>0</v>
      </c>
      <c r="AP38" s="53">
        <f>J38+P38+V38</f>
        <v>37193.040000000001</v>
      </c>
      <c r="AQ38" s="54">
        <f>M38+S38+Y38</f>
        <v>54367.040000000001</v>
      </c>
      <c r="AR38" s="55" t="s">
        <v>100</v>
      </c>
      <c r="AU38" s="103"/>
      <c r="AV38" s="103"/>
    </row>
    <row r="39" spans="1:48" s="77" customFormat="1" ht="29.45" customHeight="1" thickBot="1" x14ac:dyDescent="0.25">
      <c r="A39" s="132"/>
      <c r="B39" s="133"/>
      <c r="C39" s="133"/>
      <c r="D39" s="133"/>
      <c r="E39" s="133"/>
      <c r="F39" s="134"/>
      <c r="G39" s="74">
        <f t="shared" ref="G39:AQ39" si="8">SUM(G7:G38)</f>
        <v>76223.23000000001</v>
      </c>
      <c r="H39" s="74">
        <f t="shared" si="8"/>
        <v>59327.089999999989</v>
      </c>
      <c r="I39" s="74">
        <f t="shared" si="8"/>
        <v>638533.46</v>
      </c>
      <c r="J39" s="74">
        <f t="shared" si="8"/>
        <v>37303.919999999998</v>
      </c>
      <c r="K39" s="74">
        <f t="shared" si="8"/>
        <v>52675.88</v>
      </c>
      <c r="L39" s="74">
        <f t="shared" si="8"/>
        <v>368989.36999999994</v>
      </c>
      <c r="M39" s="74">
        <f t="shared" si="8"/>
        <v>37303.919999999998</v>
      </c>
      <c r="N39" s="74">
        <f t="shared" si="8"/>
        <v>91308</v>
      </c>
      <c r="O39" s="74">
        <f t="shared" si="8"/>
        <v>843629</v>
      </c>
      <c r="P39" s="74">
        <f t="shared" si="8"/>
        <v>0</v>
      </c>
      <c r="Q39" s="74">
        <f t="shared" si="8"/>
        <v>1345.3</v>
      </c>
      <c r="R39" s="74">
        <f t="shared" si="8"/>
        <v>957370</v>
      </c>
      <c r="S39" s="74">
        <f t="shared" si="8"/>
        <v>17174</v>
      </c>
      <c r="T39" s="74">
        <f t="shared" si="8"/>
        <v>87106</v>
      </c>
      <c r="U39" s="74">
        <f t="shared" si="8"/>
        <v>149646</v>
      </c>
      <c r="V39" s="74">
        <f t="shared" si="8"/>
        <v>0</v>
      </c>
      <c r="W39" s="74">
        <f t="shared" si="8"/>
        <v>28909</v>
      </c>
      <c r="X39" s="74">
        <f t="shared" si="8"/>
        <v>802277</v>
      </c>
      <c r="Y39" s="74">
        <f t="shared" si="8"/>
        <v>46900</v>
      </c>
      <c r="Z39" s="74">
        <f t="shared" si="8"/>
        <v>88106</v>
      </c>
      <c r="AA39" s="74">
        <f t="shared" si="8"/>
        <v>602334</v>
      </c>
      <c r="AB39" s="74">
        <f t="shared" si="8"/>
        <v>24778</v>
      </c>
      <c r="AC39" s="74">
        <f t="shared" si="8"/>
        <v>131320</v>
      </c>
      <c r="AD39" s="74">
        <f t="shared" si="8"/>
        <v>593</v>
      </c>
      <c r="AE39" s="74">
        <f t="shared" si="8"/>
        <v>354611</v>
      </c>
      <c r="AF39" s="74">
        <f t="shared" si="8"/>
        <v>0</v>
      </c>
      <c r="AG39" s="74">
        <f t="shared" si="8"/>
        <v>103000</v>
      </c>
      <c r="AH39" s="74">
        <f t="shared" si="8"/>
        <v>1503822.92</v>
      </c>
      <c r="AI39" s="74">
        <f t="shared" si="8"/>
        <v>2809218.92</v>
      </c>
      <c r="AJ39" s="74">
        <f t="shared" si="8"/>
        <v>4234559.1899999995</v>
      </c>
      <c r="AK39" s="74">
        <f t="shared" si="8"/>
        <v>5812095.6200000001</v>
      </c>
      <c r="AL39" s="74">
        <f t="shared" si="8"/>
        <v>402663.32000000007</v>
      </c>
      <c r="AM39" s="74">
        <f t="shared" si="8"/>
        <v>641542.41</v>
      </c>
      <c r="AN39" s="74">
        <f t="shared" si="8"/>
        <v>2290769.0300000003</v>
      </c>
      <c r="AO39" s="75">
        <f t="shared" si="8"/>
        <v>2259956.37</v>
      </c>
      <c r="AP39" s="75">
        <f t="shared" si="8"/>
        <v>37303.919999999998</v>
      </c>
      <c r="AQ39" s="75">
        <f t="shared" si="8"/>
        <v>101377.92000000001</v>
      </c>
      <c r="AR39" s="76"/>
      <c r="AU39" s="103"/>
    </row>
    <row r="40" spans="1:48" s="78" customFormat="1" ht="33.75" customHeight="1" thickBot="1" x14ac:dyDescent="0.3">
      <c r="B40" s="5"/>
      <c r="C40" s="5"/>
      <c r="D40" s="79"/>
      <c r="E40" s="80"/>
      <c r="F40" s="81" t="s">
        <v>102</v>
      </c>
      <c r="G40" s="82"/>
      <c r="H40" s="82"/>
      <c r="I40" s="82"/>
      <c r="J40" s="82"/>
      <c r="K40" s="83">
        <f>K39-H39</f>
        <v>-6651.2099999999919</v>
      </c>
      <c r="L40" s="83">
        <f>L39-I39</f>
        <v>-269544.09000000003</v>
      </c>
      <c r="M40" s="83">
        <f>M39-J39</f>
        <v>0</v>
      </c>
      <c r="N40" s="82"/>
      <c r="O40" s="82"/>
      <c r="P40" s="82"/>
      <c r="Q40" s="83">
        <f>Q39-N39</f>
        <v>-89962.7</v>
      </c>
      <c r="R40" s="83">
        <f>R39-O39</f>
        <v>113741</v>
      </c>
      <c r="S40" s="83">
        <f>S39-P39</f>
        <v>17174</v>
      </c>
      <c r="T40" s="82"/>
      <c r="U40" s="82"/>
      <c r="V40" s="82"/>
      <c r="W40" s="83">
        <f>W39-T39</f>
        <v>-58197</v>
      </c>
      <c r="X40" s="83">
        <f>X39-U39</f>
        <v>652631</v>
      </c>
      <c r="Y40" s="83">
        <f>Y39-V39</f>
        <v>46900</v>
      </c>
      <c r="Z40" s="82"/>
      <c r="AA40" s="82"/>
      <c r="AB40" s="83">
        <f>AB39-Z39</f>
        <v>-63328</v>
      </c>
      <c r="AC40" s="83">
        <f>AC39-AA39</f>
        <v>-471014</v>
      </c>
      <c r="AD40" s="82"/>
      <c r="AE40" s="83">
        <f>AE39-AD39</f>
        <v>354018</v>
      </c>
      <c r="AF40" s="84"/>
      <c r="AG40" s="83">
        <f>AG39-AF39</f>
        <v>103000</v>
      </c>
      <c r="AH40" s="84"/>
      <c r="AI40" s="83">
        <f>AI39-AH39</f>
        <v>1305396</v>
      </c>
      <c r="AJ40" s="84"/>
      <c r="AK40" s="83">
        <f>AK39-AJ39</f>
        <v>1577536.4300000006</v>
      </c>
      <c r="AL40" s="84"/>
      <c r="AM40" s="83">
        <f>AM39-AL39</f>
        <v>238879.08999999997</v>
      </c>
      <c r="AN40" s="85"/>
      <c r="AO40" s="90">
        <f>AO39-AN39</f>
        <v>-30812.660000000149</v>
      </c>
      <c r="AP40" s="86"/>
      <c r="AQ40" s="90">
        <f>AQ39-AP39</f>
        <v>64074.000000000015</v>
      </c>
      <c r="AR40" s="87"/>
      <c r="AU40" s="103"/>
    </row>
    <row r="42" spans="1:48" x14ac:dyDescent="0.2">
      <c r="A42" t="s">
        <v>103</v>
      </c>
    </row>
    <row r="43" spans="1:48" x14ac:dyDescent="0.2">
      <c r="A43" t="s">
        <v>104</v>
      </c>
      <c r="B43" t="s">
        <v>110</v>
      </c>
    </row>
    <row r="44" spans="1:48" x14ac:dyDescent="0.2">
      <c r="A44" t="s">
        <v>105</v>
      </c>
      <c r="B44" t="s">
        <v>106</v>
      </c>
      <c r="AM44" s="103"/>
    </row>
    <row r="45" spans="1:48" x14ac:dyDescent="0.2">
      <c r="AJ45" s="103"/>
      <c r="AK45" s="103"/>
    </row>
    <row r="46" spans="1:48" x14ac:dyDescent="0.2">
      <c r="AM46" s="103"/>
      <c r="AN46" s="103"/>
    </row>
    <row r="48" spans="1:48" x14ac:dyDescent="0.2">
      <c r="AK48" s="103"/>
    </row>
    <row r="49" spans="37:39" x14ac:dyDescent="0.2">
      <c r="AM49" s="103"/>
    </row>
    <row r="50" spans="37:39" x14ac:dyDescent="0.2">
      <c r="AM50" s="103"/>
    </row>
    <row r="53" spans="37:39" x14ac:dyDescent="0.2">
      <c r="AK53" s="103"/>
    </row>
  </sheetData>
  <autoFilter ref="A6:AR40" xr:uid="{00000000-0009-0000-0000-000000000000}"/>
  <mergeCells count="23">
    <mergeCell ref="A39:F39"/>
    <mergeCell ref="AM4:AM5"/>
    <mergeCell ref="AN4:AN5"/>
    <mergeCell ref="AO4:AO5"/>
    <mergeCell ref="AP4:AP5"/>
    <mergeCell ref="AR4:AR5"/>
    <mergeCell ref="AB4:AC4"/>
    <mergeCell ref="AH4:AH5"/>
    <mergeCell ref="AI4:AI5"/>
    <mergeCell ref="AJ4:AJ5"/>
    <mergeCell ref="AK4:AK5"/>
    <mergeCell ref="AL4:AL5"/>
    <mergeCell ref="A2:AQ2"/>
    <mergeCell ref="A3:AQ3"/>
    <mergeCell ref="A4:F4"/>
    <mergeCell ref="H4:J4"/>
    <mergeCell ref="K4:M4"/>
    <mergeCell ref="N4:P4"/>
    <mergeCell ref="Q4:S4"/>
    <mergeCell ref="T4:V4"/>
    <mergeCell ref="W4:Y4"/>
    <mergeCell ref="Z4:AA4"/>
    <mergeCell ref="AQ4:AQ5"/>
  </mergeCells>
  <pageMargins left="0.70866141732283472" right="0.70866141732283472" top="0.78740157480314965" bottom="0.78740157480314965" header="0.31496062992125984" footer="0.31496062992125984"/>
  <pageSetup paperSize="8" scale="30" orientation="landscape" r:id="rId1"/>
  <headerFooter>
    <oddHeader>&amp;LPříloha č.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Juráková Renata</cp:lastModifiedBy>
  <cp:lastPrinted>2021-05-25T05:32:11Z</cp:lastPrinted>
  <dcterms:created xsi:type="dcterms:W3CDTF">2021-05-20T15:06:48Z</dcterms:created>
  <dcterms:modified xsi:type="dcterms:W3CDTF">2021-05-27T05:36:13Z</dcterms:modified>
</cp:coreProperties>
</file>