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7.xml" ContentType="application/vnd.openxmlformats-officedocument.spreadsheetml.work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EAADF69B-7579-4137-9CEC-CF072C93B1C1}" xr6:coauthVersionLast="46" xr6:coauthVersionMax="46" xr10:uidLastSave="{00000000-0000-0000-0000-000000000000}"/>
  <bookViews>
    <workbookView xWindow="-120" yWindow="-120" windowWidth="29040" windowHeight="15840" tabRatio="903" xr2:uid="{00000000-000D-0000-FFFF-FFFF00000000}"/>
  </bookViews>
  <sheets>
    <sheet name="OBSAH" sheetId="2" r:id="rId1"/>
    <sheet name="Dotační programy" sheetId="25" r:id="rId2"/>
    <sheet name="Akce spolufin. z evr.fin.zdrojů" sheetId="33" r:id="rId3"/>
    <sheet name="Akce fin. z úvěrových zdrojů" sheetId="35" r:id="rId4"/>
    <sheet name="Přehled příjmů 2022" sheetId="34" r:id="rId5"/>
    <sheet name="Graf 1. Rozpočet 2018 - 2022" sheetId="9" r:id="rId6"/>
    <sheet name="Zdrojová data I.s" sheetId="10" state="hidden" r:id="rId7"/>
    <sheet name="Graf 2. Příjmy 2018 - 2022" sheetId="11" r:id="rId8"/>
    <sheet name="Graf 3. Výdaje B+K 2018 - 2022" sheetId="12" r:id="rId9"/>
    <sheet name="Zdrojová data II. a III. s" sheetId="13" state="hidden" r:id="rId10"/>
    <sheet name="Graf 4. Příjmy 2022" sheetId="14" r:id="rId11"/>
    <sheet name="Zdrojová data IV." sheetId="15" state="hidden" r:id="rId12"/>
    <sheet name="Graf 5. Výdaje 2022" sheetId="16" r:id="rId13"/>
    <sheet name="Graf 6. Výdaje EU 2022" sheetId="17" r:id="rId14"/>
    <sheet name="Zdrojová data V.a VI." sheetId="18" state="hidden" r:id="rId15"/>
  </sheets>
  <externalReferences>
    <externalReference r:id="rId16"/>
    <externalReference r:id="rId17"/>
    <externalReference r:id="rId18"/>
  </externalReferences>
  <definedNames>
    <definedName name="_xlnm._FilterDatabase" localSheetId="3" hidden="1">'Akce fin. z úvěrových zdrojů'!$A$3:$I$61</definedName>
    <definedName name="_xlnm._FilterDatabase" localSheetId="4" hidden="1">'Přehled příjmů 2022'!$A$18:$D$46</definedName>
    <definedName name="DF_GRID_1">#REF!</definedName>
    <definedName name="kurz" localSheetId="3">[1]rozhodnutí!$N$31</definedName>
    <definedName name="kurz" localSheetId="2">[2]rozhodnutí!$N$31</definedName>
    <definedName name="kurz" localSheetId="4">[2]rozhodnutí!$N$31</definedName>
    <definedName name="kurz">[3]rozhodnutí!$N$31</definedName>
    <definedName name="_xlnm.Print_Titles" localSheetId="3">'Akce fin. z úvěrových zdrojů'!$2:$4</definedName>
    <definedName name="_xlnm.Print_Titles" localSheetId="2">'Akce spolufin. z evr.fin.zdrojů'!$2:$4</definedName>
    <definedName name="_xlnm.Print_Titles" localSheetId="1">'Dotační programy'!$2:$2</definedName>
    <definedName name="_xlnm.Print_Titles" localSheetId="4">'Přehled příjmů 2022'!$4:$4</definedName>
    <definedName name="_xlnm.Print_Area" localSheetId="2">'Akce spolufin. z evr.fin.zdrojů'!$A$1:$M$110</definedName>
    <definedName name="_xlnm.Print_Area" localSheetId="1">'Dotační programy'!$A$1:$G$80</definedName>
    <definedName name="_xlnm.Print_Area" localSheetId="4">'Přehled příjmů 2022'!$A$1:$D$101</definedName>
    <definedName name="SAPBEXhrIndnt" hidden="1">"Wide"</definedName>
    <definedName name="SAPsysID" hidden="1">"708C5W7SBKP804JT78WJ0JNKI"</definedName>
    <definedName name="SAPwbID" hidden="1">"ARS"</definedName>
    <definedName name="Z_14FC9820_EF8C_4D55_8881_D5E51DC559B3_.wvu.Cols" localSheetId="1" hidden="1">'Dotační programy'!#REF!</definedName>
    <definedName name="Z_632980EE_AB4F_49FA_B8D9_C4F0628108CE_.wvu.Cols" localSheetId="6" hidden="1">'Zdrojová data I.s'!$B:$E</definedName>
    <definedName name="Z_632980EE_AB4F_49FA_B8D9_C4F0628108CE_.wvu.Cols" localSheetId="9" hidden="1">'Zdrojová data II. a III. s'!$B:$E</definedName>
    <definedName name="Z_632980EE_AB4F_49FA_B8D9_C4F0628108CE_.wvu.Cols" localSheetId="11" hidden="1">'Zdrojová data IV.'!$B:$I</definedName>
    <definedName name="Z_632980EE_AB4F_49FA_B8D9_C4F0628108CE_.wvu.Cols" localSheetId="14" hidden="1">'Zdrojová data V.a VI.'!$B:$I</definedName>
    <definedName name="Z_632980EE_AB4F_49FA_B8D9_C4F0628108CE_.wvu.Rows" localSheetId="6" hidden="1">'Zdrojová data I.s'!$16:$30</definedName>
    <definedName name="Z_632980EE_AB4F_49FA_B8D9_C4F0628108CE_.wvu.Rows" localSheetId="14" hidden="1">'Zdrojová data V.a VI.'!$10:$10,'Zdrojová data V.a VI.'!$28:$28</definedName>
    <definedName name="Z_6667F704_353F_485F_A09F_F23ECB85BB95_.wvu.Cols" localSheetId="2" hidden="1">'Akce spolufin. z evr.fin.zdrojů'!$C:$C,'Akce spolufin. z evr.fin.zdrojů'!$F:$F,'Akce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6667F704_353F_485F_A09F_F23ECB85BB95_.wvu.PrintArea" localSheetId="2" hidden="1">'Akce spolufin. z evr.fin.zdrojů'!$A$1:$M$110</definedName>
    <definedName name="Z_6667F704_353F_485F_A09F_F23ECB85BB95_.wvu.PrintTitles" localSheetId="2" hidden="1">'Akce spolufin. z evr.fin.zdrojů'!$2:$4</definedName>
    <definedName name="Z_8135008D_FA09_47D0_A3D6_431443FF0074_.wvu.PrintArea" localSheetId="1" hidden="1">'Dotační programy'!$A$1:$G$80</definedName>
    <definedName name="Z_816DCA7E_FC41_44AE_85AF_FE12F0BC4BE0_.wvu.PrintArea" localSheetId="1" hidden="1">'Dotační programy'!$A$1:$G$80</definedName>
    <definedName name="Z_8DF5934D_271D_4996_8FBD_8BBE47175559_.wvu.Cols" localSheetId="2" hidden="1">'Akce spolufin. z evr.fin.zdrojů'!$C:$C,'Akce spolufin. z evr.fin.zdrojů'!$F:$F,'Akce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8DF5934D_271D_4996_8FBD_8BBE47175559_.wvu.Cols" localSheetId="6" hidden="1">'Zdrojová data I.s'!$B:$E</definedName>
    <definedName name="Z_8DF5934D_271D_4996_8FBD_8BBE47175559_.wvu.Cols" localSheetId="9" hidden="1">'Zdrojová data II. a III. s'!$B:$E</definedName>
    <definedName name="Z_8DF5934D_271D_4996_8FBD_8BBE47175559_.wvu.Cols" localSheetId="11" hidden="1">'Zdrojová data IV.'!$B:$M</definedName>
    <definedName name="Z_8DF5934D_271D_4996_8FBD_8BBE47175559_.wvu.Cols" localSheetId="14" hidden="1">'Zdrojová data V.a VI.'!$B:$M</definedName>
    <definedName name="Z_8DF5934D_271D_4996_8FBD_8BBE47175559_.wvu.PrintArea" localSheetId="2" hidden="1">'Akce spolufin. z evr.fin.zdrojů'!$A$1:$M$110</definedName>
    <definedName name="Z_8DF5934D_271D_4996_8FBD_8BBE47175559_.wvu.PrintArea" localSheetId="1" hidden="1">'Dotační programy'!$A$1:$G$80</definedName>
    <definedName name="Z_8DF5934D_271D_4996_8FBD_8BBE47175559_.wvu.PrintTitles" localSheetId="2" hidden="1">'Akce spolufin. z evr.fin.zdrojů'!$2:$4</definedName>
    <definedName name="Z_8DF5934D_271D_4996_8FBD_8BBE47175559_.wvu.Rows" localSheetId="6" hidden="1">'Zdrojová data I.s'!$16:$30</definedName>
    <definedName name="Z_8DF5934D_271D_4996_8FBD_8BBE47175559_.wvu.Rows" localSheetId="14" hidden="1">'Zdrojová data V.a VI.'!$10:$10,'Zdrojová data V.a VI.'!$28:$28</definedName>
    <definedName name="Z_AE6F0D81_F630_472F_8BD4_EE2E1E40DF28_.wvu.PrintArea" localSheetId="1" hidden="1">'Dotační programy'!$A$1:$G$80</definedName>
    <definedName name="Z_AF65B0D2_A89B_4D75_B4AE_5BFEE1615BA9_.wvu.Cols" localSheetId="2" hidden="1">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AF65B0D2_A89B_4D75_B4AE_5BFEE1615BA9_.wvu.PrintArea" localSheetId="1" hidden="1">'Dotační programy'!$A$1:$G$80</definedName>
    <definedName name="Z_AF65B0D2_A89B_4D75_B4AE_5BFEE1615BA9_.wvu.PrintTitles" localSheetId="2" hidden="1">'Akce spolufin. z evr.fin.zdrojů'!$2:$4</definedName>
    <definedName name="Z_C49FCFC9_CF51_484E_9F6E_E5FACC7A48A4_.wvu.Cols" localSheetId="1" hidden="1">'Dotační programy'!#REF!</definedName>
    <definedName name="Z_EFAD90BE_EFFB_4F0D_9A95_6915124B8751_.wvu.Cols" localSheetId="6" hidden="1">'Zdrojová data I.s'!$B:$E</definedName>
    <definedName name="Z_EFAD90BE_EFFB_4F0D_9A95_6915124B8751_.wvu.Cols" localSheetId="9" hidden="1">'Zdrojová data II. a III. s'!$B:$E</definedName>
    <definedName name="Z_EFAD90BE_EFFB_4F0D_9A95_6915124B8751_.wvu.Cols" localSheetId="11" hidden="1">'Zdrojová data IV.'!$B:$M</definedName>
    <definedName name="Z_EFAD90BE_EFFB_4F0D_9A95_6915124B8751_.wvu.Cols" localSheetId="14" hidden="1">'Zdrojová data V.a VI.'!$B:$M</definedName>
    <definedName name="Z_EFAD90BE_EFFB_4F0D_9A95_6915124B8751_.wvu.Rows" localSheetId="6" hidden="1">'Zdrojová data I.s'!$16:$30</definedName>
    <definedName name="Z_EFAD90BE_EFFB_4F0D_9A95_6915124B8751_.wvu.Rows" localSheetId="14" hidden="1">'Zdrojová data V.a VI.'!$10:$10,'Zdrojová data V.a VI.'!$28:$28</definedName>
    <definedName name="Z_F55F3396_F003_4C77_BF1B_160F1F658C4B_.wvu.Cols" localSheetId="1" hidden="1">'Dotační programy'!#REF!</definedName>
    <definedName name="Z_F55F3396_F003_4C77_BF1B_160F1F658C4B_.wvu.PrintArea" localSheetId="1" hidden="1">'Dotační programy'!$B$1:$H$80</definedName>
    <definedName name="Z_FE857634_B83D_4669_BE72_6E5297B7F9FE_.wvu.Rows" localSheetId="6" hidden="1">'Zdrojová data I.s'!$16:$30</definedName>
    <definedName name="Z_FFF09864_B75B_45CC_8A23_7ED56E2D3858_.wvu.Cols" localSheetId="2" hidden="1">'Akce spolufin. z evr.fin.zdrojů'!#REF!,'Akce spolufin. z evr.fin.zdrojů'!$IU:$IU,'Akce spolufin. z evr.fin.zdrojů'!$SQ:$SQ,'Akce spolufin. z evr.fin.zdrojů'!$ACM:$ACM,'Akce spolufin. z evr.fin.zdrojů'!$AMI:$AMI,'Akce spolufin. z evr.fin.zdrojů'!$AWE:$AWE,'Akce spolufin. z evr.fin.zdrojů'!$BGA:$BGA,'Akce spolufin. z evr.fin.zdrojů'!$BPW:$BPW,'Akce spolufin. z evr.fin.zdrojů'!$BZS:$BZS,'Akce spolufin. z evr.fin.zdrojů'!$CJO:$CJO,'Akce spolufin. z evr.fin.zdrojů'!$CTK:$CTK,'Akce spolufin. z evr.fin.zdrojů'!$DDG:$DDG,'Akce spolufin. z evr.fin.zdrojů'!$DNC:$DNC,'Akce spolufin. z evr.fin.zdrojů'!$DWY:$DWY,'Akce spolufin. z evr.fin.zdrojů'!$EGU:$EGU,'Akce spolufin. z evr.fin.zdrojů'!$EQQ:$EQQ,'Akce spolufin. z evr.fin.zdrojů'!$FAM:$FAM,'Akce spolufin. z evr.fin.zdrojů'!$FKI:$FKI,'Akce spolufin. z evr.fin.zdrojů'!$FUE:$FUE,'Akce spolufin. z evr.fin.zdrojů'!$GEA:$GEA,'Akce spolufin. z evr.fin.zdrojů'!$GNW:$GNW,'Akce spolufin. z evr.fin.zdrojů'!$GXS:$GXS,'Akce spolufin. z evr.fin.zdrojů'!$HHO:$HHO,'Akce spolufin. z evr.fin.zdrojů'!$HRK:$HRK,'Akce spolufin. z evr.fin.zdrojů'!$IBG:$IBG,'Akce spolufin. z evr.fin.zdrojů'!$ILC:$ILC,'Akce spolufin. z evr.fin.zdrojů'!$IUY:$IUY,'Akce spolufin. z evr.fin.zdrojů'!$JEU:$JEU,'Akce spolufin. z evr.fin.zdrojů'!$JOQ:$JOQ,'Akce spolufin. z evr.fin.zdrojů'!$JYM:$JYM,'Akce spolufin. z evr.fin.zdrojů'!$KII:$KII,'Akce spolufin. z evr.fin.zdrojů'!$KSE:$KSE,'Akce spolufin. z evr.fin.zdrojů'!$LCA:$LCA,'Akce spolufin. z evr.fin.zdrojů'!$LLW:$LLW,'Akce spolufin. z evr.fin.zdrojů'!$LVS:$LVS,'Akce spolufin. z evr.fin.zdrojů'!$MFO:$MFO,'Akce spolufin. z evr.fin.zdrojů'!$MPK:$MPK,'Akce spolufin. z evr.fin.zdrojů'!$MZG:$MZG,'Akce spolufin. z evr.fin.zdrojů'!$NJC:$NJC,'Akce spolufin. z evr.fin.zdrojů'!$NSY:$NSY,'Akce spolufin. z evr.fin.zdrojů'!$OCU:$OCU,'Akce spolufin. z evr.fin.zdrojů'!$OMQ:$OMQ,'Akce spolufin. z evr.fin.zdrojů'!$OWM:$OWM,'Akce spolufin. z evr.fin.zdrojů'!$PGI:$PGI,'Akce spolufin. z evr.fin.zdrojů'!$PQE:$PQE,'Akce spolufin. z evr.fin.zdrojů'!$QAA:$QAA,'Akce spolufin. z evr.fin.zdrojů'!$QJW:$QJW,'Akce spolufin. z evr.fin.zdrojů'!$QTS:$QTS,'Akce spolufin. z evr.fin.zdrojů'!$RDO:$RDO,'Akce spolufin. z evr.fin.zdrojů'!$RNK:$RNK,'Akce spolufin. z evr.fin.zdrojů'!$RXG:$RXG,'Akce spolufin. z evr.fin.zdrojů'!$SHC:$SHC,'Akce spolufin. z evr.fin.zdrojů'!$SQY:$SQY,'Akce spolufin. z evr.fin.zdrojů'!$TAU:$TAU,'Akce spolufin. z evr.fin.zdrojů'!$TKQ:$TKQ,'Akce spolufin. z evr.fin.zdrojů'!$TUM:$TUM,'Akce spolufin. z evr.fin.zdrojů'!$UEI:$UEI,'Akce spolufin. z evr.fin.zdrojů'!$UOE:$UOE,'Akce spolufin. z evr.fin.zdrojů'!$UYA:$UYA,'Akce spolufin. z evr.fin.zdrojů'!$VHW:$VHW,'Akce spolufin. z evr.fin.zdrojů'!$VRS:$VRS,'Akce spolufin. z evr.fin.zdrojů'!$WBO:$WBO,'Akce spolufin. z evr.fin.zdrojů'!$WLK:$WLK,'Akce spolufin. z evr.fin.zdrojů'!$WVG:$WVG</definedName>
    <definedName name="Z_FFF09864_B75B_45CC_8A23_7ED56E2D3858_.wvu.PrintArea" localSheetId="1" hidden="1">'Dotační programy'!$A$1:$G$80</definedName>
    <definedName name="Z_FFF09864_B75B_45CC_8A23_7ED56E2D3858_.wvu.PrintTitles" localSheetId="2" hidden="1">'Akce spolufin. z evr.fin.zdrojů'!$2:$4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1" i="35" l="1"/>
  <c r="E111" i="35"/>
  <c r="F111" i="35"/>
  <c r="G111" i="35"/>
  <c r="H111" i="35"/>
  <c r="I111" i="35"/>
  <c r="C111" i="35"/>
  <c r="D104" i="35"/>
  <c r="E104" i="35"/>
  <c r="F104" i="35"/>
  <c r="G104" i="35"/>
  <c r="H104" i="35"/>
  <c r="I104" i="35"/>
  <c r="C104" i="35"/>
  <c r="D99" i="35"/>
  <c r="E99" i="35"/>
  <c r="F99" i="35"/>
  <c r="G99" i="35"/>
  <c r="H99" i="35"/>
  <c r="I99" i="35"/>
  <c r="C99" i="35"/>
  <c r="D81" i="35"/>
  <c r="E81" i="35"/>
  <c r="F81" i="35"/>
  <c r="G81" i="35"/>
  <c r="H81" i="35"/>
  <c r="I81" i="35"/>
  <c r="C81" i="35"/>
  <c r="D76" i="35"/>
  <c r="E76" i="35"/>
  <c r="F76" i="35"/>
  <c r="G76" i="35"/>
  <c r="H76" i="35"/>
  <c r="I76" i="35"/>
  <c r="C76" i="35"/>
  <c r="D72" i="35"/>
  <c r="E72" i="35"/>
  <c r="F72" i="35"/>
  <c r="G72" i="35"/>
  <c r="H72" i="35"/>
  <c r="I72" i="35"/>
  <c r="C72" i="35"/>
  <c r="D49" i="35" l="1"/>
  <c r="E49" i="35"/>
  <c r="F49" i="35"/>
  <c r="G49" i="35"/>
  <c r="H49" i="35"/>
  <c r="I49" i="35"/>
  <c r="C49" i="35"/>
  <c r="D33" i="35"/>
  <c r="E33" i="35"/>
  <c r="F33" i="35"/>
  <c r="G33" i="35"/>
  <c r="H33" i="35"/>
  <c r="I33" i="35"/>
  <c r="C33" i="35"/>
  <c r="D23" i="35"/>
  <c r="E23" i="35"/>
  <c r="F23" i="35"/>
  <c r="G23" i="35"/>
  <c r="H23" i="35"/>
  <c r="I23" i="35"/>
  <c r="C23" i="35"/>
  <c r="D18" i="35"/>
  <c r="E18" i="35"/>
  <c r="F18" i="35"/>
  <c r="G18" i="35"/>
  <c r="H18" i="35"/>
  <c r="I18" i="35"/>
  <c r="C18" i="35"/>
  <c r="A107" i="33" l="1"/>
  <c r="A102" i="33"/>
  <c r="A103" i="33" s="1"/>
  <c r="A104" i="33" s="1"/>
  <c r="A105" i="33" s="1"/>
  <c r="A106" i="33" s="1"/>
  <c r="A101" i="33"/>
  <c r="A63" i="25"/>
  <c r="A64" i="25" s="1"/>
  <c r="A65" i="25" s="1"/>
  <c r="A66" i="25" s="1"/>
  <c r="A62" i="25"/>
  <c r="A90" i="33" l="1"/>
  <c r="A91" i="33" s="1"/>
  <c r="A92" i="33" s="1"/>
  <c r="A93" i="33" s="1"/>
  <c r="A94" i="33" s="1"/>
  <c r="A95" i="33" s="1"/>
  <c r="A96" i="33" s="1"/>
  <c r="A97" i="33" s="1"/>
  <c r="A57" i="25"/>
  <c r="A58" i="25" s="1"/>
  <c r="A59" i="25" s="1"/>
  <c r="A78" i="33"/>
  <c r="A68" i="33"/>
  <c r="A69" i="33" s="1"/>
  <c r="A70" i="33" s="1"/>
  <c r="A71" i="33" s="1"/>
  <c r="A72" i="33" s="1"/>
  <c r="A73" i="33" s="1"/>
  <c r="A74" i="33" s="1"/>
  <c r="A75" i="33" s="1"/>
  <c r="A76" i="33" s="1"/>
  <c r="A77" i="33" s="1"/>
  <c r="A53" i="25"/>
  <c r="A54" i="25" s="1"/>
  <c r="A52" i="25"/>
  <c r="A64" i="33"/>
  <c r="A63" i="33"/>
  <c r="A62" i="33"/>
  <c r="A57" i="33"/>
  <c r="A56" i="33"/>
  <c r="A49" i="33"/>
  <c r="A46" i="33"/>
  <c r="A45" i="33"/>
  <c r="A46" i="25"/>
  <c r="A44" i="25"/>
  <c r="A42" i="25"/>
  <c r="A43" i="25" s="1"/>
  <c r="A41" i="25"/>
  <c r="A37" i="25"/>
  <c r="A36" i="25"/>
  <c r="A32" i="25"/>
  <c r="A31" i="25"/>
  <c r="A33" i="25" s="1"/>
  <c r="A34" i="25" s="1"/>
  <c r="A35" i="25" s="1"/>
  <c r="A30" i="25"/>
  <c r="A26" i="25"/>
  <c r="A23" i="25"/>
  <c r="A17" i="25"/>
  <c r="A16" i="25"/>
  <c r="A13" i="25"/>
  <c r="A14" i="25" s="1"/>
  <c r="A15" i="25" s="1"/>
  <c r="A12" i="25"/>
  <c r="A33" i="33"/>
  <c r="A34" i="33" s="1"/>
  <c r="A35" i="33" s="1"/>
  <c r="A32" i="33"/>
  <c r="A7" i="25"/>
  <c r="A8" i="25" s="1"/>
  <c r="A9" i="25" s="1"/>
  <c r="A6" i="25"/>
  <c r="A11" i="33"/>
  <c r="A12" i="33"/>
  <c r="A13" i="33" s="1"/>
  <c r="A14" i="33" s="1"/>
  <c r="A15" i="33" s="1"/>
  <c r="A16" i="33" s="1"/>
  <c r="A17" i="33" s="1"/>
  <c r="A18" i="33" s="1"/>
  <c r="A19" i="33" s="1"/>
  <c r="A10" i="33"/>
  <c r="I58" i="35"/>
  <c r="D58" i="35"/>
  <c r="E58" i="35"/>
  <c r="F58" i="35"/>
  <c r="G58" i="35"/>
  <c r="H58" i="35"/>
  <c r="C58" i="35"/>
  <c r="I109" i="35"/>
  <c r="H109" i="35"/>
  <c r="I52" i="35"/>
  <c r="H52" i="35"/>
  <c r="G52" i="35"/>
  <c r="F52" i="35"/>
  <c r="E52" i="35"/>
  <c r="D52" i="35"/>
  <c r="C52" i="35"/>
  <c r="I61" i="35"/>
  <c r="H61" i="35"/>
  <c r="G61" i="35"/>
  <c r="F61" i="35"/>
  <c r="E61" i="35"/>
  <c r="D61" i="35"/>
  <c r="C61" i="35"/>
  <c r="G105" i="35" l="1"/>
  <c r="A79" i="33"/>
  <c r="A80" i="33" s="1"/>
  <c r="A81" i="33" s="1"/>
  <c r="A82" i="33" s="1"/>
  <c r="A83" i="33" s="1"/>
  <c r="A47" i="33"/>
  <c r="A48" i="33" s="1"/>
  <c r="A50" i="33" s="1"/>
  <c r="A51" i="33" s="1"/>
  <c r="A52" i="33" s="1"/>
  <c r="A53" i="33" s="1"/>
  <c r="A54" i="33" s="1"/>
  <c r="A55" i="33" s="1"/>
  <c r="A58" i="33" s="1"/>
  <c r="A59" i="33" s="1"/>
  <c r="A60" i="33" s="1"/>
  <c r="A61" i="33" s="1"/>
  <c r="A45" i="25"/>
  <c r="A47" i="25" s="1"/>
  <c r="A48" i="25" s="1"/>
  <c r="A49" i="25" s="1"/>
  <c r="A18" i="25"/>
  <c r="A19" i="25" s="1"/>
  <c r="A20" i="25" s="1"/>
  <c r="A21" i="25" s="1"/>
  <c r="A22" i="25" s="1"/>
  <c r="A24" i="25" s="1"/>
  <c r="A25" i="25" s="1"/>
  <c r="I62" i="35"/>
  <c r="C62" i="35"/>
  <c r="D62" i="35"/>
  <c r="H105" i="35"/>
  <c r="E62" i="35"/>
  <c r="F62" i="35"/>
  <c r="G62" i="35"/>
  <c r="G113" i="35" s="1"/>
  <c r="I105" i="35"/>
  <c r="I113" i="35" s="1"/>
  <c r="H62" i="35"/>
  <c r="C105" i="35"/>
  <c r="D105" i="35"/>
  <c r="E105" i="35"/>
  <c r="F105" i="35"/>
  <c r="C113" i="35" l="1"/>
  <c r="H113" i="35"/>
  <c r="D113" i="35"/>
  <c r="F113" i="35"/>
  <c r="E113" i="35"/>
  <c r="V14" i="10"/>
  <c r="AF19" i="18" l="1"/>
  <c r="AG25" i="18" s="1"/>
  <c r="AF13" i="18"/>
  <c r="AG8" i="18" s="1"/>
  <c r="AG21" i="18" l="1"/>
  <c r="AG32" i="18"/>
  <c r="AG24" i="18"/>
  <c r="AG28" i="18"/>
  <c r="AG22" i="18"/>
  <c r="AG27" i="18"/>
  <c r="AG34" i="18"/>
  <c r="AG26" i="18"/>
  <c r="AG31" i="18"/>
  <c r="AG23" i="18"/>
  <c r="AG30" i="18"/>
  <c r="AG29" i="18"/>
  <c r="AG20" i="18"/>
  <c r="AG33" i="18"/>
  <c r="AG7" i="18"/>
  <c r="AG6" i="18"/>
  <c r="AG2" i="18"/>
  <c r="AG4" i="18"/>
  <c r="AG11" i="18"/>
  <c r="AG3" i="18"/>
  <c r="AG9" i="18"/>
  <c r="AG5" i="18"/>
  <c r="AG10" i="18"/>
  <c r="AG19" i="18" l="1"/>
  <c r="AG13" i="18"/>
  <c r="AF13" i="15" l="1"/>
  <c r="AF10" i="15"/>
  <c r="AG7" i="15" s="1"/>
  <c r="AG5" i="15" l="1"/>
  <c r="AG6" i="15"/>
  <c r="AG4" i="15"/>
  <c r="AG3" i="15"/>
  <c r="AG2" i="15"/>
  <c r="AG8" i="15"/>
  <c r="W14" i="13"/>
  <c r="W5" i="13"/>
  <c r="AG10" i="15" l="1"/>
  <c r="F87" i="33"/>
  <c r="G87" i="33"/>
  <c r="H87" i="33"/>
  <c r="I87" i="33"/>
  <c r="J87" i="33"/>
  <c r="K87" i="33"/>
  <c r="L87" i="33"/>
  <c r="E87" i="33"/>
  <c r="F108" i="33"/>
  <c r="G108" i="33"/>
  <c r="H108" i="33"/>
  <c r="I108" i="33"/>
  <c r="J108" i="33"/>
  <c r="K108" i="33"/>
  <c r="L108" i="33"/>
  <c r="F98" i="33"/>
  <c r="G98" i="33"/>
  <c r="H98" i="33"/>
  <c r="I98" i="33"/>
  <c r="J98" i="33"/>
  <c r="K98" i="33"/>
  <c r="L98" i="33"/>
  <c r="E98" i="33"/>
  <c r="C99" i="34" l="1"/>
  <c r="C54" i="34"/>
  <c r="C46" i="34"/>
  <c r="C14" i="34"/>
  <c r="C101" i="34" l="1"/>
  <c r="C108" i="33"/>
  <c r="E107" i="33"/>
  <c r="D107" i="33"/>
  <c r="E106" i="33"/>
  <c r="D106" i="33"/>
  <c r="D105" i="33"/>
  <c r="E104" i="33"/>
  <c r="D104" i="33"/>
  <c r="D103" i="33"/>
  <c r="D102" i="33"/>
  <c r="E101" i="33"/>
  <c r="D101" i="33"/>
  <c r="E100" i="33"/>
  <c r="E108" i="33" s="1"/>
  <c r="D100" i="33"/>
  <c r="C98" i="33"/>
  <c r="D97" i="33"/>
  <c r="D96" i="33"/>
  <c r="D95" i="33"/>
  <c r="D94" i="33"/>
  <c r="D93" i="33"/>
  <c r="D92" i="33"/>
  <c r="D91" i="33"/>
  <c r="D90" i="33"/>
  <c r="D89" i="33"/>
  <c r="C87" i="33"/>
  <c r="D86" i="33"/>
  <c r="L84" i="33"/>
  <c r="K84" i="33"/>
  <c r="J84" i="33"/>
  <c r="I84" i="33"/>
  <c r="H84" i="33"/>
  <c r="G84" i="33"/>
  <c r="F84" i="33"/>
  <c r="C84" i="33"/>
  <c r="E83" i="33"/>
  <c r="D83" i="33"/>
  <c r="E82" i="33"/>
  <c r="D82" i="33"/>
  <c r="D81" i="33"/>
  <c r="E80" i="33"/>
  <c r="D80" i="33"/>
  <c r="D79" i="33"/>
  <c r="E78" i="33"/>
  <c r="D78" i="33"/>
  <c r="D77" i="33"/>
  <c r="E76" i="33"/>
  <c r="D76" i="33"/>
  <c r="E75" i="33"/>
  <c r="D75" i="33"/>
  <c r="E74" i="33"/>
  <c r="D74" i="33"/>
  <c r="E73" i="33"/>
  <c r="D73" i="33"/>
  <c r="E72" i="33"/>
  <c r="D72" i="33"/>
  <c r="E71" i="33"/>
  <c r="D71" i="33"/>
  <c r="E70" i="33"/>
  <c r="D70" i="33"/>
  <c r="E69" i="33"/>
  <c r="D69" i="33"/>
  <c r="E68" i="33"/>
  <c r="D68" i="33"/>
  <c r="E67" i="33"/>
  <c r="D67" i="33"/>
  <c r="L65" i="33"/>
  <c r="K65" i="33"/>
  <c r="J65" i="33"/>
  <c r="I65" i="33"/>
  <c r="H65" i="33"/>
  <c r="G65" i="33"/>
  <c r="F65" i="33"/>
  <c r="C65" i="33"/>
  <c r="D64" i="33"/>
  <c r="E63" i="33"/>
  <c r="D63" i="33"/>
  <c r="E62" i="33"/>
  <c r="D62" i="33"/>
  <c r="E61" i="33"/>
  <c r="D61" i="33"/>
  <c r="D60" i="33"/>
  <c r="D59" i="33"/>
  <c r="D58" i="33"/>
  <c r="D57" i="33"/>
  <c r="D56" i="33"/>
  <c r="D55" i="33"/>
  <c r="D54" i="33"/>
  <c r="D53" i="33"/>
  <c r="D52" i="33"/>
  <c r="D51" i="33"/>
  <c r="D50" i="33"/>
  <c r="D49" i="33"/>
  <c r="D48" i="33"/>
  <c r="D47" i="33"/>
  <c r="D46" i="33"/>
  <c r="E45" i="33"/>
  <c r="D45" i="33"/>
  <c r="E44" i="33"/>
  <c r="E65" i="33" s="1"/>
  <c r="D44" i="33"/>
  <c r="L42" i="33"/>
  <c r="K42" i="33"/>
  <c r="J42" i="33"/>
  <c r="I42" i="33"/>
  <c r="H42" i="33"/>
  <c r="G42" i="33"/>
  <c r="F42" i="33"/>
  <c r="C42" i="33"/>
  <c r="E41" i="33"/>
  <c r="D41" i="33"/>
  <c r="E40" i="33"/>
  <c r="D40" i="33"/>
  <c r="D39" i="33"/>
  <c r="E38" i="33"/>
  <c r="D38" i="33"/>
  <c r="L36" i="33"/>
  <c r="K36" i="33"/>
  <c r="J36" i="33"/>
  <c r="I36" i="33"/>
  <c r="H36" i="33"/>
  <c r="G36" i="33"/>
  <c r="F36" i="33"/>
  <c r="C36" i="33"/>
  <c r="E35" i="33"/>
  <c r="D35" i="33"/>
  <c r="E34" i="33"/>
  <c r="D34" i="33"/>
  <c r="E33" i="33"/>
  <c r="D33" i="33"/>
  <c r="E32" i="33"/>
  <c r="D32" i="33"/>
  <c r="E31" i="33"/>
  <c r="D31" i="33"/>
  <c r="L29" i="33"/>
  <c r="K29" i="33"/>
  <c r="J29" i="33"/>
  <c r="I29" i="33"/>
  <c r="H29" i="33"/>
  <c r="G29" i="33"/>
  <c r="F29" i="33"/>
  <c r="C29" i="33"/>
  <c r="E28" i="33"/>
  <c r="D28" i="33"/>
  <c r="E27" i="33"/>
  <c r="D27" i="33"/>
  <c r="E26" i="33"/>
  <c r="D26" i="33"/>
  <c r="L24" i="33"/>
  <c r="K24" i="33"/>
  <c r="J24" i="33"/>
  <c r="I24" i="33"/>
  <c r="H24" i="33"/>
  <c r="G24" i="33"/>
  <c r="F24" i="33"/>
  <c r="C24" i="33"/>
  <c r="E23" i="33"/>
  <c r="D23" i="33"/>
  <c r="E22" i="33"/>
  <c r="D22" i="33"/>
  <c r="L20" i="33"/>
  <c r="K20" i="33"/>
  <c r="J20" i="33"/>
  <c r="I20" i="33"/>
  <c r="H20" i="33"/>
  <c r="G20" i="33"/>
  <c r="F20" i="33"/>
  <c r="C20" i="33"/>
  <c r="D19" i="33"/>
  <c r="E18" i="33"/>
  <c r="D18" i="33"/>
  <c r="E17" i="33"/>
  <c r="D17" i="33"/>
  <c r="E16" i="33"/>
  <c r="D16" i="33"/>
  <c r="E15" i="33"/>
  <c r="D15" i="33"/>
  <c r="E14" i="33"/>
  <c r="D14" i="33"/>
  <c r="E13" i="33"/>
  <c r="D13" i="33"/>
  <c r="E12" i="33"/>
  <c r="D12" i="33"/>
  <c r="E11" i="33"/>
  <c r="D11" i="33"/>
  <c r="E10" i="33"/>
  <c r="D10" i="33"/>
  <c r="E9" i="33"/>
  <c r="D9" i="33"/>
  <c r="L7" i="33"/>
  <c r="K7" i="33"/>
  <c r="J7" i="33"/>
  <c r="I7" i="33"/>
  <c r="H7" i="33"/>
  <c r="G7" i="33"/>
  <c r="F7" i="33"/>
  <c r="C7" i="33"/>
  <c r="E6" i="33"/>
  <c r="E7" i="33" s="1"/>
  <c r="D6" i="33"/>
  <c r="E29" i="33" l="1"/>
  <c r="G110" i="33"/>
  <c r="F110" i="33"/>
  <c r="E84" i="33"/>
  <c r="H110" i="33"/>
  <c r="I110" i="33"/>
  <c r="J110" i="33"/>
  <c r="K110" i="33"/>
  <c r="E24" i="33"/>
  <c r="E20" i="33"/>
  <c r="E36" i="33"/>
  <c r="L110" i="33"/>
  <c r="E42" i="33"/>
  <c r="C110" i="33"/>
  <c r="E60" i="25"/>
  <c r="D60" i="25"/>
  <c r="C60" i="25"/>
  <c r="G15" i="25"/>
  <c r="G17" i="25"/>
  <c r="G19" i="25"/>
  <c r="G22" i="25"/>
  <c r="G24" i="25"/>
  <c r="G26" i="25"/>
  <c r="G27" i="25"/>
  <c r="E110" i="33" l="1"/>
  <c r="G66" i="25"/>
  <c r="F60" i="25" l="1"/>
  <c r="G30" i="25"/>
  <c r="C28" i="25"/>
  <c r="G12" i="25"/>
  <c r="G59" i="25"/>
  <c r="G37" i="25" l="1"/>
  <c r="G35" i="25"/>
  <c r="G33" i="25"/>
  <c r="G32" i="25"/>
  <c r="C68" i="25"/>
  <c r="C55" i="25"/>
  <c r="C50" i="25"/>
  <c r="C39" i="25"/>
  <c r="C10" i="25"/>
  <c r="C4" i="25"/>
  <c r="C69" i="25" l="1"/>
  <c r="AD19" i="18"/>
  <c r="AE22" i="18" s="1"/>
  <c r="AD13" i="18"/>
  <c r="AE5" i="18" s="1"/>
  <c r="AD13" i="15"/>
  <c r="AD10" i="15"/>
  <c r="AE8" i="15" s="1"/>
  <c r="AE7" i="15" l="1"/>
  <c r="AE10" i="15" s="1"/>
  <c r="AE6" i="15"/>
  <c r="AE5" i="15"/>
  <c r="AE4" i="15"/>
  <c r="AE3" i="15"/>
  <c r="AE2" i="15"/>
  <c r="AE20" i="18"/>
  <c r="AE29" i="18"/>
  <c r="AE28" i="18"/>
  <c r="AE26" i="18"/>
  <c r="AE27" i="18"/>
  <c r="AE33" i="18"/>
  <c r="AE25" i="18"/>
  <c r="AE34" i="18"/>
  <c r="AE32" i="18"/>
  <c r="AE24" i="18"/>
  <c r="AE31" i="18"/>
  <c r="AE23" i="18"/>
  <c r="AE30" i="18"/>
  <c r="AE4" i="18"/>
  <c r="AE6" i="18"/>
  <c r="AE2" i="18"/>
  <c r="AE11" i="18"/>
  <c r="AE3" i="18"/>
  <c r="AE10" i="18"/>
  <c r="AE9" i="18"/>
  <c r="AE8" i="18"/>
  <c r="AE7" i="18"/>
  <c r="AE19" i="18" l="1"/>
  <c r="AE13" i="18"/>
  <c r="V14" i="13"/>
  <c r="V5" i="13"/>
  <c r="F68" i="25" l="1"/>
  <c r="D68" i="25"/>
  <c r="E68" i="25"/>
  <c r="F55" i="25" l="1"/>
  <c r="E55" i="25"/>
  <c r="D55" i="25"/>
  <c r="G65" i="25" l="1"/>
  <c r="F10" i="25" l="1"/>
  <c r="D10" i="25"/>
  <c r="E10" i="25"/>
  <c r="G9" i="25" l="1"/>
  <c r="G31" i="25"/>
  <c r="AB19" i="18" l="1"/>
  <c r="AB13" i="18"/>
  <c r="AC6" i="18" s="1"/>
  <c r="AC24" i="18" l="1"/>
  <c r="AC28" i="18"/>
  <c r="AC29" i="18"/>
  <c r="AC30" i="18"/>
  <c r="AC32" i="18"/>
  <c r="AC27" i="18"/>
  <c r="AC23" i="18"/>
  <c r="AC20" i="18"/>
  <c r="AC31" i="18"/>
  <c r="AC26" i="18"/>
  <c r="AC22" i="18"/>
  <c r="AC34" i="18"/>
  <c r="AC25" i="18"/>
  <c r="AC33" i="18"/>
  <c r="AC5" i="18"/>
  <c r="AC2" i="18"/>
  <c r="AC9" i="18"/>
  <c r="AC8" i="18"/>
  <c r="AC4" i="18"/>
  <c r="AC11" i="18"/>
  <c r="AC7" i="18"/>
  <c r="AC3" i="18"/>
  <c r="AC10" i="18"/>
  <c r="AC19" i="18" l="1"/>
  <c r="AC13" i="18"/>
  <c r="C75" i="25" l="1"/>
  <c r="F79" i="25"/>
  <c r="G62" i="25"/>
  <c r="G63" i="25"/>
  <c r="G61" i="25"/>
  <c r="C78" i="25"/>
  <c r="G58" i="25"/>
  <c r="G57" i="25"/>
  <c r="G56" i="25"/>
  <c r="F77" i="25"/>
  <c r="E77" i="25"/>
  <c r="D77" i="25"/>
  <c r="G51" i="25"/>
  <c r="F50" i="25"/>
  <c r="G50" i="25" s="1"/>
  <c r="E50" i="25"/>
  <c r="E76" i="25" s="1"/>
  <c r="D50" i="25"/>
  <c r="D76" i="25" s="1"/>
  <c r="C76" i="25"/>
  <c r="G49" i="25"/>
  <c r="G47" i="25"/>
  <c r="G46" i="25"/>
  <c r="G45" i="25"/>
  <c r="G44" i="25"/>
  <c r="G43" i="25"/>
  <c r="G42" i="25"/>
  <c r="G41" i="25"/>
  <c r="G40" i="25"/>
  <c r="F39" i="25"/>
  <c r="F75" i="25" s="1"/>
  <c r="E39" i="25"/>
  <c r="E75" i="25" s="1"/>
  <c r="D39" i="25"/>
  <c r="D75" i="25" s="1"/>
  <c r="F28" i="25"/>
  <c r="F74" i="25" s="1"/>
  <c r="C74" i="25"/>
  <c r="E28" i="25"/>
  <c r="E74" i="25" s="1"/>
  <c r="D28" i="25"/>
  <c r="D74" i="25" s="1"/>
  <c r="F73" i="25"/>
  <c r="E73" i="25"/>
  <c r="D73" i="25"/>
  <c r="G8" i="25"/>
  <c r="G7" i="25"/>
  <c r="G5" i="25"/>
  <c r="F4" i="25"/>
  <c r="F72" i="25" s="1"/>
  <c r="E4" i="25"/>
  <c r="E72" i="25" s="1"/>
  <c r="D4" i="25"/>
  <c r="D72" i="25" s="1"/>
  <c r="G3" i="25"/>
  <c r="E78" i="25" l="1"/>
  <c r="E69" i="25"/>
  <c r="D78" i="25"/>
  <c r="D69" i="25"/>
  <c r="F78" i="25"/>
  <c r="G78" i="25" s="1"/>
  <c r="F69" i="25"/>
  <c r="G69" i="25" s="1"/>
  <c r="G39" i="25"/>
  <c r="G10" i="25"/>
  <c r="G4" i="25"/>
  <c r="G55" i="25"/>
  <c r="G74" i="25"/>
  <c r="G75" i="25"/>
  <c r="G68" i="25"/>
  <c r="F76" i="25"/>
  <c r="G76" i="25" s="1"/>
  <c r="G28" i="25"/>
  <c r="D79" i="25"/>
  <c r="C72" i="25"/>
  <c r="G72" i="25" s="1"/>
  <c r="C73" i="25"/>
  <c r="G73" i="25" s="1"/>
  <c r="C77" i="25"/>
  <c r="G77" i="25" s="1"/>
  <c r="E79" i="25"/>
  <c r="C79" i="25"/>
  <c r="G79" i="25" s="1"/>
  <c r="G60" i="25"/>
  <c r="D80" i="25" l="1"/>
  <c r="E80" i="25"/>
  <c r="F80" i="25"/>
  <c r="C80" i="25"/>
  <c r="G80" i="25" l="1"/>
  <c r="AB13" i="15"/>
  <c r="AB10" i="15"/>
  <c r="U14" i="13"/>
  <c r="U5" i="13"/>
  <c r="AC3" i="15" l="1"/>
  <c r="AC7" i="15"/>
  <c r="AC8" i="15"/>
  <c r="AC5" i="15"/>
  <c r="AC6" i="15"/>
  <c r="AC4" i="15"/>
  <c r="AC2" i="15"/>
  <c r="AC10" i="15" s="1"/>
  <c r="Z19" i="18" l="1"/>
  <c r="AA26" i="18" s="1"/>
  <c r="Z13" i="18"/>
  <c r="AA4" i="18" s="1"/>
  <c r="Z13" i="15"/>
  <c r="X13" i="15"/>
  <c r="V13" i="15"/>
  <c r="T13" i="15"/>
  <c r="R13" i="15"/>
  <c r="AA22" i="18" l="1"/>
  <c r="AA32" i="18"/>
  <c r="AA24" i="18"/>
  <c r="AA28" i="18"/>
  <c r="AA34" i="18"/>
  <c r="AA25" i="18"/>
  <c r="AA20" i="18"/>
  <c r="AA23" i="18"/>
  <c r="AA27" i="18"/>
  <c r="AA33" i="18"/>
  <c r="AA31" i="18"/>
  <c r="AA11" i="18"/>
  <c r="AA7" i="18"/>
  <c r="AA3" i="18"/>
  <c r="AA10" i="18"/>
  <c r="AA6" i="18"/>
  <c r="AA9" i="18"/>
  <c r="AA5" i="18"/>
  <c r="AA2" i="18"/>
  <c r="AA8" i="18"/>
  <c r="AA19" i="18" l="1"/>
  <c r="AA13" i="18"/>
  <c r="Z10" i="15" l="1"/>
  <c r="T14" i="13"/>
  <c r="T5" i="13"/>
  <c r="AA5" i="15" l="1"/>
  <c r="AA2" i="15"/>
  <c r="AA7" i="15"/>
  <c r="AA4" i="15"/>
  <c r="AA8" i="15"/>
  <c r="AA6" i="15"/>
  <c r="AA3" i="15"/>
  <c r="AA10" i="15" l="1"/>
  <c r="T3" i="18"/>
  <c r="P4" i="18"/>
  <c r="D5" i="18"/>
  <c r="F5" i="18"/>
  <c r="K5" i="18"/>
  <c r="P5" i="18"/>
  <c r="P13" i="18" s="1"/>
  <c r="Q7" i="18" s="1"/>
  <c r="R5" i="18"/>
  <c r="R13" i="18" s="1"/>
  <c r="S2" i="18" s="1"/>
  <c r="T5" i="18"/>
  <c r="D6" i="18"/>
  <c r="F6" i="18"/>
  <c r="B13" i="18"/>
  <c r="C2" i="18" s="1"/>
  <c r="D13" i="18"/>
  <c r="G8" i="18" s="1"/>
  <c r="F13" i="18"/>
  <c r="H13" i="18"/>
  <c r="I7" i="18" s="1"/>
  <c r="J13" i="18"/>
  <c r="K2" i="18" s="1"/>
  <c r="L13" i="18"/>
  <c r="M5" i="18" s="1"/>
  <c r="N13" i="18"/>
  <c r="O5" i="18" s="1"/>
  <c r="T13" i="18"/>
  <c r="U2" i="18" s="1"/>
  <c r="V13" i="18"/>
  <c r="W5" i="18" s="1"/>
  <c r="X13" i="18"/>
  <c r="Y3" i="18" s="1"/>
  <c r="D19" i="18"/>
  <c r="F19" i="18"/>
  <c r="G20" i="18" s="1"/>
  <c r="J19" i="18"/>
  <c r="K22" i="18" s="1"/>
  <c r="L19" i="18"/>
  <c r="N19" i="18"/>
  <c r="O32" i="18" s="1"/>
  <c r="P19" i="18"/>
  <c r="Q20" i="18" s="1"/>
  <c r="R19" i="18"/>
  <c r="S22" i="18" s="1"/>
  <c r="T19" i="18"/>
  <c r="U27" i="18" s="1"/>
  <c r="V19" i="18"/>
  <c r="W25" i="18" s="1"/>
  <c r="X19" i="18"/>
  <c r="Y20" i="18" s="1"/>
  <c r="K20" i="18"/>
  <c r="M20" i="18"/>
  <c r="S20" i="18"/>
  <c r="M22" i="18"/>
  <c r="K23" i="18"/>
  <c r="M23" i="18"/>
  <c r="S23" i="18"/>
  <c r="B24" i="18"/>
  <c r="K24" i="18"/>
  <c r="M24" i="18"/>
  <c r="K25" i="18"/>
  <c r="M25" i="18"/>
  <c r="H26" i="18"/>
  <c r="K26" i="18"/>
  <c r="M26" i="18"/>
  <c r="B27" i="18"/>
  <c r="H27" i="18"/>
  <c r="K27" i="18"/>
  <c r="M27" i="18"/>
  <c r="K28" i="18"/>
  <c r="M28" i="18"/>
  <c r="S28" i="18"/>
  <c r="K31" i="18"/>
  <c r="M31" i="18"/>
  <c r="K32" i="18"/>
  <c r="M32" i="18"/>
  <c r="S32" i="18"/>
  <c r="B33" i="18"/>
  <c r="K33" i="18"/>
  <c r="M33" i="18"/>
  <c r="J5" i="15"/>
  <c r="L5" i="15"/>
  <c r="L10" i="15" s="1"/>
  <c r="N5" i="15"/>
  <c r="P5" i="15"/>
  <c r="I6" i="15"/>
  <c r="B10" i="15"/>
  <c r="C2" i="15" s="1"/>
  <c r="D10" i="15"/>
  <c r="E6" i="15" s="1"/>
  <c r="F10" i="15"/>
  <c r="H10" i="15"/>
  <c r="M8" i="15" s="1"/>
  <c r="J10" i="15"/>
  <c r="K2" i="15" s="1"/>
  <c r="N10" i="15"/>
  <c r="O2" i="15" s="1"/>
  <c r="R10" i="15"/>
  <c r="S2" i="15" s="1"/>
  <c r="T10" i="15"/>
  <c r="U6" i="15" s="1"/>
  <c r="V10" i="15"/>
  <c r="W2" i="15" s="1"/>
  <c r="X10" i="15"/>
  <c r="Y6" i="15" s="1"/>
  <c r="D13" i="15"/>
  <c r="H13" i="15"/>
  <c r="J13" i="15"/>
  <c r="L13" i="15"/>
  <c r="N13" i="15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B14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D17" i="13"/>
  <c r="F17" i="13"/>
  <c r="E10" i="10"/>
  <c r="H14" i="10"/>
  <c r="I14" i="10"/>
  <c r="C20" i="10"/>
  <c r="D20" i="10"/>
  <c r="B25" i="10"/>
  <c r="C25" i="10"/>
  <c r="D25" i="10"/>
  <c r="U32" i="18" l="1"/>
  <c r="W8" i="18"/>
  <c r="O8" i="18"/>
  <c r="I4" i="15"/>
  <c r="S33" i="18"/>
  <c r="S31" i="18"/>
  <c r="S26" i="18"/>
  <c r="W28" i="18"/>
  <c r="W23" i="18"/>
  <c r="U22" i="18"/>
  <c r="W33" i="18"/>
  <c r="U25" i="18"/>
  <c r="U33" i="18"/>
  <c r="U23" i="18"/>
  <c r="U20" i="18"/>
  <c r="W22" i="18"/>
  <c r="W31" i="18"/>
  <c r="W26" i="18"/>
  <c r="U31" i="18"/>
  <c r="U26" i="18"/>
  <c r="U24" i="18"/>
  <c r="O23" i="18"/>
  <c r="S24" i="18"/>
  <c r="U28" i="18"/>
  <c r="S27" i="18"/>
  <c r="Y8" i="15"/>
  <c r="P10" i="15"/>
  <c r="P13" i="15"/>
  <c r="G4" i="15"/>
  <c r="W11" i="18"/>
  <c r="W7" i="18"/>
  <c r="G2" i="15"/>
  <c r="Y5" i="15"/>
  <c r="O26" i="18"/>
  <c r="O20" i="18"/>
  <c r="K8" i="15"/>
  <c r="O5" i="15"/>
  <c r="Y3" i="15"/>
  <c r="O11" i="18"/>
  <c r="O7" i="18"/>
  <c r="I8" i="15"/>
  <c r="I3" i="15"/>
  <c r="O33" i="18"/>
  <c r="B19" i="18"/>
  <c r="C20" i="18" s="1"/>
  <c r="W10" i="18"/>
  <c r="G6" i="18"/>
  <c r="W4" i="18"/>
  <c r="Y7" i="15"/>
  <c r="K5" i="15"/>
  <c r="G3" i="15"/>
  <c r="O28" i="18"/>
  <c r="O22" i="18"/>
  <c r="O10" i="18"/>
  <c r="E6" i="18"/>
  <c r="Q4" i="18"/>
  <c r="C17" i="13"/>
  <c r="E17" i="13"/>
  <c r="I7" i="15"/>
  <c r="I5" i="15"/>
  <c r="Y2" i="15"/>
  <c r="W9" i="18"/>
  <c r="W3" i="18"/>
  <c r="Y4" i="15"/>
  <c r="B17" i="13"/>
  <c r="B12" i="15"/>
  <c r="G5" i="15"/>
  <c r="I2" i="15"/>
  <c r="C33" i="18"/>
  <c r="O31" i="18"/>
  <c r="O9" i="18"/>
  <c r="U3" i="18"/>
  <c r="Y22" i="18"/>
  <c r="Y26" i="18"/>
  <c r="Q26" i="18"/>
  <c r="W20" i="18"/>
  <c r="Y33" i="18"/>
  <c r="Q33" i="18"/>
  <c r="G33" i="18"/>
  <c r="Y28" i="18"/>
  <c r="Q28" i="18"/>
  <c r="G28" i="18"/>
  <c r="Y27" i="18"/>
  <c r="Q27" i="18"/>
  <c r="G26" i="18"/>
  <c r="Q25" i="18"/>
  <c r="Q24" i="18"/>
  <c r="G24" i="18"/>
  <c r="M19" i="18"/>
  <c r="Y32" i="18"/>
  <c r="Q32" i="18"/>
  <c r="G32" i="18"/>
  <c r="W27" i="18"/>
  <c r="O27" i="18"/>
  <c r="G27" i="18"/>
  <c r="Y25" i="18"/>
  <c r="O25" i="18"/>
  <c r="W24" i="18"/>
  <c r="O24" i="18"/>
  <c r="G22" i="18"/>
  <c r="K19" i="18"/>
  <c r="Y24" i="18"/>
  <c r="Y34" i="18"/>
  <c r="W32" i="18"/>
  <c r="Y31" i="18"/>
  <c r="Q31" i="18"/>
  <c r="G31" i="18"/>
  <c r="Y23" i="18"/>
  <c r="Q23" i="18"/>
  <c r="G23" i="18"/>
  <c r="Q22" i="18"/>
  <c r="C32" i="18"/>
  <c r="C27" i="18"/>
  <c r="C28" i="18"/>
  <c r="C23" i="18"/>
  <c r="C26" i="18"/>
  <c r="C31" i="18"/>
  <c r="C22" i="18"/>
  <c r="I6" i="18"/>
  <c r="Q5" i="18"/>
  <c r="E5" i="18"/>
  <c r="Q3" i="18"/>
  <c r="I3" i="18"/>
  <c r="Y2" i="18"/>
  <c r="Q2" i="18"/>
  <c r="I2" i="18"/>
  <c r="S25" i="18"/>
  <c r="C24" i="18"/>
  <c r="H19" i="18"/>
  <c r="U11" i="18"/>
  <c r="M11" i="18"/>
  <c r="E11" i="18"/>
  <c r="U10" i="18"/>
  <c r="M10" i="18"/>
  <c r="E10" i="18"/>
  <c r="U9" i="18"/>
  <c r="M9" i="18"/>
  <c r="E9" i="18"/>
  <c r="U8" i="18"/>
  <c r="M8" i="18"/>
  <c r="E8" i="18"/>
  <c r="U7" i="18"/>
  <c r="M7" i="18"/>
  <c r="W6" i="18"/>
  <c r="O6" i="18"/>
  <c r="C6" i="18"/>
  <c r="I5" i="18"/>
  <c r="U4" i="18"/>
  <c r="O4" i="18"/>
  <c r="G4" i="18"/>
  <c r="O3" i="18"/>
  <c r="G3" i="18"/>
  <c r="W2" i="18"/>
  <c r="O2" i="18"/>
  <c r="G2" i="18"/>
  <c r="G10" i="18"/>
  <c r="G9" i="18"/>
  <c r="Q6" i="18"/>
  <c r="U5" i="18"/>
  <c r="I4" i="18"/>
  <c r="S11" i="18"/>
  <c r="K11" i="18"/>
  <c r="C11" i="18"/>
  <c r="S10" i="18"/>
  <c r="K10" i="18"/>
  <c r="C10" i="18"/>
  <c r="S9" i="18"/>
  <c r="K9" i="18"/>
  <c r="C9" i="18"/>
  <c r="S8" i="18"/>
  <c r="K8" i="18"/>
  <c r="C8" i="18"/>
  <c r="S7" i="18"/>
  <c r="K7" i="18"/>
  <c r="U6" i="18"/>
  <c r="M6" i="18"/>
  <c r="Y5" i="18"/>
  <c r="S5" i="18"/>
  <c r="G5" i="18"/>
  <c r="C5" i="18"/>
  <c r="S4" i="18"/>
  <c r="M4" i="18"/>
  <c r="E4" i="18"/>
  <c r="M3" i="18"/>
  <c r="E3" i="18"/>
  <c r="M2" i="18"/>
  <c r="E2" i="18"/>
  <c r="G11" i="18"/>
  <c r="Y6" i="18"/>
  <c r="Y11" i="18"/>
  <c r="Q11" i="18"/>
  <c r="I11" i="18"/>
  <c r="Y10" i="18"/>
  <c r="Q10" i="18"/>
  <c r="I10" i="18"/>
  <c r="Y9" i="18"/>
  <c r="Q9" i="18"/>
  <c r="I9" i="18"/>
  <c r="Y8" i="18"/>
  <c r="Q8" i="18"/>
  <c r="I8" i="18"/>
  <c r="Y7" i="18"/>
  <c r="S6" i="18"/>
  <c r="K6" i="18"/>
  <c r="Y4" i="18"/>
  <c r="K4" i="18"/>
  <c r="S3" i="18"/>
  <c r="K3" i="18"/>
  <c r="C3" i="18"/>
  <c r="C13" i="18" s="1"/>
  <c r="Q7" i="15"/>
  <c r="Q2" i="15"/>
  <c r="Q3" i="15"/>
  <c r="Q4" i="15"/>
  <c r="Q5" i="15"/>
  <c r="Q6" i="15"/>
  <c r="Q8" i="15"/>
  <c r="M6" i="15"/>
  <c r="M7" i="15"/>
  <c r="M2" i="15"/>
  <c r="M3" i="15"/>
  <c r="M4" i="15"/>
  <c r="M5" i="15"/>
  <c r="S7" i="15"/>
  <c r="C7" i="15"/>
  <c r="W5" i="15"/>
  <c r="W4" i="15"/>
  <c r="O4" i="15"/>
  <c r="W3" i="15"/>
  <c r="O3" i="15"/>
  <c r="W8" i="15"/>
  <c r="O8" i="15"/>
  <c r="G8" i="15"/>
  <c r="W7" i="15"/>
  <c r="O7" i="15"/>
  <c r="G7" i="15"/>
  <c r="W6" i="15"/>
  <c r="O6" i="15"/>
  <c r="G6" i="15"/>
  <c r="U5" i="15"/>
  <c r="E5" i="15"/>
  <c r="U4" i="15"/>
  <c r="E4" i="15"/>
  <c r="U3" i="15"/>
  <c r="E3" i="15"/>
  <c r="U2" i="15"/>
  <c r="E2" i="15"/>
  <c r="S8" i="15"/>
  <c r="C8" i="15"/>
  <c r="K7" i="15"/>
  <c r="S6" i="15"/>
  <c r="K6" i="15"/>
  <c r="U8" i="15"/>
  <c r="E8" i="15"/>
  <c r="U7" i="15"/>
  <c r="E7" i="15"/>
  <c r="S5" i="15"/>
  <c r="C5" i="15"/>
  <c r="S4" i="15"/>
  <c r="K4" i="15"/>
  <c r="C4" i="15"/>
  <c r="S3" i="15"/>
  <c r="K3" i="15"/>
  <c r="C3" i="15"/>
  <c r="S19" i="18" l="1"/>
  <c r="U19" i="18"/>
  <c r="C10" i="15"/>
  <c r="K10" i="15"/>
  <c r="E10" i="15"/>
  <c r="G10" i="15"/>
  <c r="W10" i="15"/>
  <c r="S10" i="15"/>
  <c r="O10" i="15"/>
  <c r="Q10" i="15"/>
  <c r="E13" i="18"/>
  <c r="Y10" i="15"/>
  <c r="I10" i="15"/>
  <c r="W13" i="18"/>
  <c r="O19" i="18"/>
  <c r="W19" i="18"/>
  <c r="G19" i="18"/>
  <c r="Q19" i="18"/>
  <c r="Y19" i="18"/>
  <c r="U13" i="18"/>
  <c r="S13" i="18"/>
  <c r="K13" i="18"/>
  <c r="G13" i="18"/>
  <c r="M13" i="18"/>
  <c r="O13" i="18"/>
  <c r="I13" i="18"/>
  <c r="C19" i="18"/>
  <c r="I23" i="18"/>
  <c r="I24" i="18"/>
  <c r="I31" i="18"/>
  <c r="I32" i="18"/>
  <c r="I33" i="18"/>
  <c r="I22" i="18"/>
  <c r="I25" i="18"/>
  <c r="I28" i="18"/>
  <c r="I20" i="18"/>
  <c r="Q13" i="18"/>
  <c r="I26" i="18"/>
  <c r="I27" i="18"/>
  <c r="Y13" i="18"/>
  <c r="M10" i="15"/>
  <c r="U10" i="15"/>
  <c r="I19" i="18" l="1"/>
</calcChain>
</file>

<file path=xl/sharedStrings.xml><?xml version="1.0" encoding="utf-8"?>
<sst xmlns="http://schemas.openxmlformats.org/spreadsheetml/2006/main" count="688" uniqueCount="464">
  <si>
    <t>Str. přílohy č. 2</t>
  </si>
  <si>
    <t>DOTAČNÍ PROGRAMY
(v tis. Kč)</t>
  </si>
  <si>
    <t>Odvětví krizového řízení celkem</t>
  </si>
  <si>
    <t>Program obnovy kulturních památek a památkově chráněných nemovitostí v Moravskoslezském kraji</t>
  </si>
  <si>
    <t>Program podpory aktivit příslušníků národnostních menšin žijících na území Moravskoslezského kraje</t>
  </si>
  <si>
    <t>Odvětví kultury celkem</t>
  </si>
  <si>
    <t>x</t>
  </si>
  <si>
    <t>Odvětví regionálního rozvoje celkem</t>
  </si>
  <si>
    <t>Odvětví cestovního ruchu celkem</t>
  </si>
  <si>
    <t xml:space="preserve">Program na podporu neinvestičních aktivit z oblasti  prevence kriminality </t>
  </si>
  <si>
    <t>Program realizace specifických aktivit Moravskoslezského krajského plánu vyrovnávání příležitostí pro občany se zdravotním postižením</t>
  </si>
  <si>
    <t xml:space="preserve">Program na podporu zvýšení kvality sociálních služeb poskytovaných v Moravskoslezském kraji </t>
  </si>
  <si>
    <t>Program na podporu financování běžných výdajů souvisejících s poskytováním sociálních služeb včetně realizace protidrogové politiky kraje</t>
  </si>
  <si>
    <t>Program pro poskytování návratných finančních výpomocí z Fondu sociálních služeb</t>
  </si>
  <si>
    <t>Odvětví sociálních věcí celkem</t>
  </si>
  <si>
    <t>Podpora vrcholového sportu v Moravskoslezském kraji</t>
  </si>
  <si>
    <t>Odvětví školství celkem</t>
  </si>
  <si>
    <t>Specializační vzdělávání všeobecných praktických lékařů pro dospělé a praktických lékařů pro děti a dorost</t>
  </si>
  <si>
    <t>Odvětví zdravotnictví celkem</t>
  </si>
  <si>
    <t>Drobné vodohospodářské akce</t>
  </si>
  <si>
    <t>Odvětví životního prostředí celkem</t>
  </si>
  <si>
    <t>Celkový součet</t>
  </si>
  <si>
    <t>Rekapitulace dotačních programů dle odvětví</t>
  </si>
  <si>
    <t>Krizové řízení</t>
  </si>
  <si>
    <t>Kultura</t>
  </si>
  <si>
    <t>Regionální rozvoj</t>
  </si>
  <si>
    <t>Cestovní ruch</t>
  </si>
  <si>
    <t>Sociální věci</t>
  </si>
  <si>
    <t>Školství</t>
  </si>
  <si>
    <t>Zdravotnictví</t>
  </si>
  <si>
    <t>Životní prostředí</t>
  </si>
  <si>
    <t>Obsah:</t>
  </si>
  <si>
    <t>str.</t>
  </si>
  <si>
    <t>Podpora hospicové péče</t>
  </si>
  <si>
    <t>v tis. Kč</t>
  </si>
  <si>
    <t>CELKEM</t>
  </si>
  <si>
    <t>Podpora dobrovolných aktivit v oblasti udržitelného rozvoje a místní Agendy 21</t>
  </si>
  <si>
    <t>Program na podporu zdravého stárnutí v Moravskoslezském kraji</t>
  </si>
  <si>
    <t>Podpora návrhu řešení nakládání s vodami na území, příp. části území, obce</t>
  </si>
  <si>
    <t>Podpora vzdělávání a poradenství v oblasti životního prostředí</t>
  </si>
  <si>
    <t>Název akce</t>
  </si>
  <si>
    <t>Poznámka</t>
  </si>
  <si>
    <t>2019</t>
  </si>
  <si>
    <t>ODVĚTVÍ KRIZOVÉHO ŘÍZENÍ:</t>
  </si>
  <si>
    <t>ODVĚTVÍ KRIZOVÉHO ŘÍZENÍ CELKEM</t>
  </si>
  <si>
    <t>ODVĚTVÍ KULTURY:</t>
  </si>
  <si>
    <t>ODVĚTVÍ KULTURY CELKEM</t>
  </si>
  <si>
    <t>ODVĚTVÍ SOCIÁLNÍCH VĚCÍ:</t>
  </si>
  <si>
    <t>ODVĚTVÍ SOCIÁLNÍCH VĚCÍ CELKEM</t>
  </si>
  <si>
    <t>ODVĚTVÍ ŠKOLSTVÍ:</t>
  </si>
  <si>
    <t>ODVĚTVÍ ŠKOLSTVÍ CELKEM</t>
  </si>
  <si>
    <t>ODVĚTVÍ ZDRAVOTNICTVÍ:</t>
  </si>
  <si>
    <t>ODVĚTVÍ ZDRAVOTNICTVÍ CELKEM</t>
  </si>
  <si>
    <t>Celkové výdaje
na akci</t>
  </si>
  <si>
    <t>2020</t>
  </si>
  <si>
    <t xml:space="preserve">Projekt je financován formou záloh. Výdaje jsou určeny na úhradu podílu kraje a neuznatelných výdajů. </t>
  </si>
  <si>
    <t>Vybudování expozice muzea Těšínska v Jablunkově "Muzeum Trojmezí"</t>
  </si>
  <si>
    <t>ODVĚTVÍ REGIONÁLNÍHO ROZVOJE:</t>
  </si>
  <si>
    <t>Regionální poradenské centrum SK-CZ</t>
  </si>
  <si>
    <t>Prostředky na přípravu projektů</t>
  </si>
  <si>
    <t>ODVĚTVÍ REGIONÁLNÍHO ROZVOJE CELKEM</t>
  </si>
  <si>
    <t>Domov pro osoby se zdravotním postižením Harmonie, p. o.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</si>
  <si>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</si>
  <si>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</si>
  <si>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</si>
  <si>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</si>
  <si>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ODVĚTVÍ ŽIVOTNÍHO PROSTŘEDÍ:</t>
  </si>
  <si>
    <t>EVL Paskov, tvorba biotopu páchníka hnědého</t>
  </si>
  <si>
    <t>EVL Šilheřovice, tvorba biotopu páchníka hnědého</t>
  </si>
  <si>
    <t>Revitalizace EVL Děhylovský potok - Štěpán</t>
  </si>
  <si>
    <t>ODVĚTVÍ ŽIVOTNÍHO PROSTŘEDÍ CELKEM</t>
  </si>
  <si>
    <t>ODVĚTVÍ VLASTNÍ SPRÁVNÍ ČINNOST KRAJE A ČINNOST ZASTUPITELSTVA KRAJE:</t>
  </si>
  <si>
    <t>ODVĚTVÍ VLASTNÍ SPRÁVNÍ ČINNOST KRAJE A ČINNOST ZASTUPITELSTVA KRAJE CELKEM</t>
  </si>
  <si>
    <t>Celkové výdaje na projekt</t>
  </si>
  <si>
    <t>Podíl MSK</t>
  </si>
  <si>
    <t>Evropské finanční zdroje
a státní rozpočet</t>
  </si>
  <si>
    <t>celkem</t>
  </si>
  <si>
    <t>AKCE SPOLUFINANCOVANÉ Z EVROPSKÝCH FINANČNÍCH ZDROJŮ</t>
  </si>
  <si>
    <t>NÁVRATNÁ FINANČNÍ VÝPOMOC PŘÍSPĚVKOVÝM ORGANIZACÍM NA PROFINANCOVÁNÍ PODÍLŮ STÁTNÍHO ROZPOČTU A EVROPSKÉ UNIE</t>
  </si>
  <si>
    <t>Návratná finanční výpomoc příspěvkovým organizacím v odvětví kultury</t>
  </si>
  <si>
    <t>Návratná finanční výpomoc příspěvkovým organizacím v odvětví zdravotnictví</t>
  </si>
  <si>
    <t>Daňové příjmy</t>
  </si>
  <si>
    <t>Nedaňové příjmy</t>
  </si>
  <si>
    <t>Kapitálové příjmy</t>
  </si>
  <si>
    <t>Přijaté dotace</t>
  </si>
  <si>
    <t>Očekávané účelové dotace</t>
  </si>
  <si>
    <t>Úprava rozpočtu</t>
  </si>
  <si>
    <t xml:space="preserve">Schválený rozpočet </t>
  </si>
  <si>
    <t>2004 - Varianta II (RUD)</t>
  </si>
  <si>
    <t>2004 - Varianta I</t>
  </si>
  <si>
    <t>Upravený rozpočet</t>
  </si>
  <si>
    <t>Výdaje</t>
  </si>
  <si>
    <t>Příjmy</t>
  </si>
  <si>
    <t>převody+oček.dotace+ISPROFIN+oček.záloh.platby</t>
  </si>
  <si>
    <t>při schodkovém</t>
  </si>
  <si>
    <r>
      <t xml:space="preserve">Úprava rozpočtu </t>
    </r>
    <r>
      <rPr>
        <sz val="12"/>
        <rFont val="Times New Roman CE"/>
        <charset val="238"/>
      </rPr>
      <t>= tzn. o kolik se navýšil upravený rozpočet (tj. UR-SR=úprava rozpočtu)</t>
    </r>
  </si>
  <si>
    <t>Očekávané účelové dotace a převody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</si>
  <si>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</si>
  <si>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</si>
  <si>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</si>
  <si>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</si>
  <si>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</si>
  <si>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</si>
  <si>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</si>
  <si>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</si>
  <si>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</si>
  <si>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2007</t>
  </si>
  <si>
    <t>2005</t>
  </si>
  <si>
    <t>2004</t>
  </si>
  <si>
    <t>přebytkový - příjmy - nepřičítat převody!</t>
  </si>
  <si>
    <t>k 9/14(dle kalk.)</t>
  </si>
  <si>
    <t>Schválený rozpočet</t>
  </si>
  <si>
    <t>Příjmy po konsolidaci</t>
  </si>
  <si>
    <t xml:space="preserve">Daňové příjmy </t>
  </si>
  <si>
    <t>Výdaje po konsolidaci</t>
  </si>
  <si>
    <t>Kapitálové výdaje</t>
  </si>
  <si>
    <t>Běžné výdaje</t>
  </si>
  <si>
    <t>Celkem</t>
  </si>
  <si>
    <t>Ostatní přijaté dotace</t>
  </si>
  <si>
    <t>Přijatá dotace v rámci souhrnného finančního vztahu</t>
  </si>
  <si>
    <t>Přijatá dotace na drážní obslužnost</t>
  </si>
  <si>
    <t>Přijaté dotace na akce spolufinancované z evropských finančních zdrojů</t>
  </si>
  <si>
    <t>Rozpočet 2018</t>
  </si>
  <si>
    <t>Rozpočet 2017</t>
  </si>
  <si>
    <t>Rozpočet 2016</t>
  </si>
  <si>
    <t>Rozpočet 2015</t>
  </si>
  <si>
    <t>Rozpočet 2014</t>
  </si>
  <si>
    <t>Rozpočet 2013</t>
  </si>
  <si>
    <t>Rozpočet 2012</t>
  </si>
  <si>
    <t>Rozpočet 2011</t>
  </si>
  <si>
    <t>Rozpočet 2010</t>
  </si>
  <si>
    <t>Rozpočet 2009</t>
  </si>
  <si>
    <t>Rozpočet 2008</t>
  </si>
  <si>
    <t>Rozpočet 2007</t>
  </si>
  <si>
    <t>PŘÍJMY</t>
  </si>
  <si>
    <t>Finance a správa majetku</t>
  </si>
  <si>
    <t>Krajský úřad</t>
  </si>
  <si>
    <t>Územní plánování a stavební řád</t>
  </si>
  <si>
    <t xml:space="preserve">Regionální rozvoj </t>
  </si>
  <si>
    <t>odvětví</t>
  </si>
  <si>
    <t>Akce spolufinancované z EU a EHP</t>
  </si>
  <si>
    <t>Ostatní výdaje</t>
  </si>
  <si>
    <t>Průmyslová zóna Nošovice</t>
  </si>
  <si>
    <t>Akce spolufinancované z evropských finančních zdrojů</t>
  </si>
  <si>
    <t>Reprodukce majetku kraje vyjma akcí EU</t>
  </si>
  <si>
    <t>Návratné finanční výpomoci příspěvkovým organizacím</t>
  </si>
  <si>
    <t>Samosprávné činnosti celkem</t>
  </si>
  <si>
    <t>Běžné výdaje na zastupitelstvo kraje a krajský úřad</t>
  </si>
  <si>
    <t>Činnost zastupitelstva</t>
  </si>
  <si>
    <t>VÝDAJE</t>
  </si>
  <si>
    <t>Požadavek na rozpočet kraje</t>
  </si>
  <si>
    <t>Příloha č. 10</t>
  </si>
  <si>
    <t>Program na podporu dobrovolných hasičů</t>
  </si>
  <si>
    <t>Program podpory aktivit v oblasti kultury v Moravskoslezském kraji</t>
  </si>
  <si>
    <t>Zvýšení přístupnosti a bezpečnosti ke kulturním památkám v česko-slovenském pohraničí</t>
  </si>
  <si>
    <t>Rekonstrukce a výstavba Domova Březiny</t>
  </si>
  <si>
    <t>Naplňování protidrogové politiky Moravskoslezského kraje</t>
  </si>
  <si>
    <t>Optimalizace odborného sociálního poradenství a poskytování dluhového poradenství v Moravskoslezském kraji</t>
  </si>
  <si>
    <t>Podpora duše II</t>
  </si>
  <si>
    <t>Podpora komunitní práce v MSK II</t>
  </si>
  <si>
    <t>Podpora zadavatelů a poskytovatelů sociálních služeb při procesu střednědobého plánování sociálních služeb v MSK</t>
  </si>
  <si>
    <t>Moderní metody pěstování rostlin</t>
  </si>
  <si>
    <t>Přírodní vědy v technických oborech</t>
  </si>
  <si>
    <t>Revitalizace přírodní památky Stará řeka</t>
  </si>
  <si>
    <t>Kotlíkové dotace v Moravskoslezském kraji – 3. grantové schéma</t>
  </si>
  <si>
    <t>Podpora technických a řemeslných oborů v MSK</t>
  </si>
  <si>
    <t>Rozpočet 2019</t>
  </si>
  <si>
    <t>Příspěvek na provoz příspěvkovým organizacím</t>
  </si>
  <si>
    <t>Položka</t>
  </si>
  <si>
    <t>Název položky</t>
  </si>
  <si>
    <t>Příjem
(v tis. Kč)</t>
  </si>
  <si>
    <t>Komentář</t>
  </si>
  <si>
    <t>Daň z příjmů fyzických osob placená plátci (ze závislé činnosti a funkčních požitků) - na základě zákona č. 243/2000 Sb., o rozpočtovém určení daní.</t>
  </si>
  <si>
    <t>Daň z příjmů fyzických osob placená poplatníky (ze samostatné výdělečné činnosti) - na základě zákona č. 243/2000 Sb., o rozpočtovém určení daní.</t>
  </si>
  <si>
    <t>Daň z příjmů fyzických osob vybíraná srážkou - na základě zákona č. 243/2000 Sb., o rozpočtovém určení daní.</t>
  </si>
  <si>
    <t>Daň z příjmů právnických osob - na základě zákona č. 243/2000 Sb., o rozpočtovém určení daní.</t>
  </si>
  <si>
    <t>Daň z příjmů právnických osob za kraj - na základě zákona č. 243/2000 Sb., o rozpočtovém určení daní.</t>
  </si>
  <si>
    <t>Daň z přidané hodnoty -  na základě zákona č. 243/2000 Sb., o rozpočtovém určení daní.</t>
  </si>
  <si>
    <t>Daňové příjmy celkem</t>
  </si>
  <si>
    <t>Příjmy z refakturovaných nákladů za dodávky energií a poskytnuté služby související s užíváním nebytových prostor v budovách krajského úřadu cizími subjekty na základě uzavřených smluv.</t>
  </si>
  <si>
    <t>Zpracování posudků EIA - příjem kraje od žadatele za zprostředkování zpracování posudku krajským úřadem na základě zákona č. 100/2001 Sb., o posuzování vlivů na životní prostředí.</t>
  </si>
  <si>
    <t>Ostatní příjmy z vlastní činnosti</t>
  </si>
  <si>
    <t>Příjmy za věcná břemena - dle obecně platných právních předpisů.</t>
  </si>
  <si>
    <t>Příjem z pachtového Průmyslové zóny Nošovice na základě smlouvy 04105/2016/RRC.</t>
  </si>
  <si>
    <t>Úroky - přijaté úroky z bankovních účtů zřízených Moravskoslezským krajem.</t>
  </si>
  <si>
    <t>Přijaté sankční platby - pokuty podle zákona č. 117/2001 Sb., o veřejných sbírkách, blokové pokuty, pokuty ve správním řízení KŽÚ podle § 8a, odst. 5-9 zákona č. 40/1995 Sb., o regulaci reklamy a o změně a doplnění zákona č. 468/1991, dále podle zákona č. 526/1990 Sb., § 17a, o cenách, pokuty právnickým osobám a podnikajícím fyzickým osobám dle zákona č. 129/2000 Sb.</t>
  </si>
  <si>
    <t>Pokuty a kauce -  na základě zákona č. 111/1994 Sb., o silniční dopravě, zákona č. 247/2000 Sb., o získávání a zdokonalování odborné způsobilosti k řízení motorových vozidel, zákona č. 56/2001 Sb., o podmínkách provozu vozidel na pozemních komunikacích a zákona č. 13/1997 Sb., o pozemních komunikacích.</t>
  </si>
  <si>
    <t>Ostatní nedaňové příjmy jinde nezařazené</t>
  </si>
  <si>
    <t>Příspěvek společnosti Hyundai Motor Manufacturing Czech s.r.o na zabezpečení úkolů JPO IV - příspěvek poskytován na základě smlouvy č. 01865/2008/KH.</t>
  </si>
  <si>
    <t>Splátky půjčených prostředků na základě operačních smluv s Fondy rozvoje měst.</t>
  </si>
  <si>
    <t>Splátka návratné finanční výpomoci od obchodní společnosti Sanatorium Jablunkov, a.s., poskytnuté na zajištění financování akce „Úprava lůžkových oddělení – 1. etapa“.</t>
  </si>
  <si>
    <t>2420</t>
  </si>
  <si>
    <t>Splátky půjčených prostředků od obcí</t>
  </si>
  <si>
    <t>Splátky půjčených prostředků od příspěvkových organizací</t>
  </si>
  <si>
    <t>Vratky návratných finančních výpomocí poskytnutých příspěvkovým organizacím v odvětví zdravotnictví na předfinancování podílů státu a EU při realizaci projektů spolufinancovaných z evropských finančních zdrojů.</t>
  </si>
  <si>
    <t>Nedaňové příjmy celkem</t>
  </si>
  <si>
    <t>Prodej pozemků - v souladu s požadavky Moravskoslezského kraje a § 36 zákona č. 129/2000 Sb., o krajích.</t>
  </si>
  <si>
    <t>Příspěvek společnosti Hyundai Motor Manufacturing Czech s.r.o. na zabezpečení úkolů JPO IV -  příspěvek poskytován na základě smlouvy č. 01865/2008/KH.</t>
  </si>
  <si>
    <t>Kapitálové příjmy celkem</t>
  </si>
  <si>
    <t>Neinvestiční přijaté transfery ze státního rozpočtu v rámci souhrnného dotačního vztahu</t>
  </si>
  <si>
    <t>Souhrnný dotační vztah - na základě zákona o státním rozpočtu.</t>
  </si>
  <si>
    <t>Ostatní neinvestiční přijaté transfery ze státního rozpočtu</t>
  </si>
  <si>
    <t>Dopravní obslužnost - drážní doprava</t>
  </si>
  <si>
    <t>Neinvestiční převody z Národního fondu</t>
  </si>
  <si>
    <t>Neinvestiční přijaté transfery od obcí</t>
  </si>
  <si>
    <t>Dopravní obslužnost - linková doprava</t>
  </si>
  <si>
    <t>Ostatní investiční přijaté transfery ze státního rozpočtu</t>
  </si>
  <si>
    <t>Investiční přijaté transfery od obcí</t>
  </si>
  <si>
    <t>Přijaté dotace celkem</t>
  </si>
  <si>
    <t>PŘÍJMY CELKEM</t>
  </si>
  <si>
    <t>Neinvestiční přijaté transfery od krajů</t>
  </si>
  <si>
    <t>Zateplení a stavební úpravy správní budovy, pavilonu E a F Domova Březiny</t>
  </si>
  <si>
    <t>Rozpočet 2020</t>
  </si>
  <si>
    <t>Úprava lyžařských běžeckých tras v Moravskoslezském kraji 2019/2020, 2020/2021 a 2021/2022</t>
  </si>
  <si>
    <t>Program podpory činností v oblasti rodinné politiky, sociálně právní ochrany dětí a navazujících činností v sociálních službách</t>
  </si>
  <si>
    <t>Program na podporu komunitní práce a na zmírňování následků sociálního vyloučení v Moravskoslezském kraji</t>
  </si>
  <si>
    <t>Program na podporu aktivit sociálního podnikání v Moravskoslezském kraji</t>
  </si>
  <si>
    <t>Podpora včelařství v Moravskoslezském kraji</t>
  </si>
  <si>
    <t>2023</t>
  </si>
  <si>
    <t>Rozvoj ICT a služeb v prostředí IZS</t>
  </si>
  <si>
    <t>Vybudování komunikační platformy krizového řízení</t>
  </si>
  <si>
    <t>Vstřícný a kompetentní KÚ MSK</t>
  </si>
  <si>
    <t>Rekonstrukce budovy krajského úřadu – fotovoltaika budovy G</t>
  </si>
  <si>
    <t>Energetické úspory SSMSK - CM Odry</t>
  </si>
  <si>
    <t>Energetické úspory SSMSK - CM Rýmařov</t>
  </si>
  <si>
    <t xml:space="preserve">Nové vedení trasy silnice III/4848, ul. Palkovická, Frýdek - Místek </t>
  </si>
  <si>
    <t>Rekonstrukce silnice II/462 Jelenice – Lesní Albrechtice</t>
  </si>
  <si>
    <t>Multidisciplinární spolupráce v Moravskoslezském kraji</t>
  </si>
  <si>
    <t>Podpora služeb sociální prevence 3</t>
  </si>
  <si>
    <t>Podpora transformace zařízení pro děti do tří let v Moravskoslezském kraji</t>
  </si>
  <si>
    <t>Podporujeme hrdinství, které není vidět III</t>
  </si>
  <si>
    <t>Žít normálně</t>
  </si>
  <si>
    <t>Energetické úspory Mendelova gymnázia v Opavě</t>
  </si>
  <si>
    <t>Modernizace škol a školských poradenských zařízení v rámci výzvy č. 86</t>
  </si>
  <si>
    <t>Výuka pro Průmysl 4.0 II</t>
  </si>
  <si>
    <t>ODVĚTVÍ ÚZEMNÍHO PLÁNOVÁNÍ A STAVEBNÍHO ŘÁDU:</t>
  </si>
  <si>
    <t>Digitální technická mapa Moravskoslezského kraje</t>
  </si>
  <si>
    <t>ODVĚTVÍ ÚZEMNÍHO PLÁNOVÁNÍ A STAVEBNÍHO ŘÁDU CELKEM</t>
  </si>
  <si>
    <t>Příjmy z prodeje příkazových bloků a příjmy z poplatků za kopírování.</t>
  </si>
  <si>
    <t>Pronájem podniku společnost Letiště Ostrava a. s. - na základě usnesení rady kraje č.43/3413 z 28.6.2004 a smlouvy č. 0671/2004/POR včetně dodatků.</t>
  </si>
  <si>
    <t>Pronájem podniku Nemocnice v Novém Jičíně - na základě usnesení zastupitelstva č.21/1723 ze dne 21. 9. 2011 a smlouvy o nájmu podniku č.02262/2011/ZDR.</t>
  </si>
  <si>
    <t>Podpora činnosti sekretariátu Regionální stálé konference Moravskoslezského kraje III</t>
  </si>
  <si>
    <t>Podpora obnovy a rozvoje venkova Moravskoslezského kraje 2021</t>
  </si>
  <si>
    <t>Podpora vědy a výzkumu v Moravskoslezském kraji 2021</t>
  </si>
  <si>
    <t>Podpora podnikání v Moravskoslezském kraji 2021</t>
  </si>
  <si>
    <t>Program na podporu stáží žáků a studentů ve firmách 2021</t>
  </si>
  <si>
    <t>Podpora rozvoje cykloturistiky v Moravskoslezském kraji 2021+</t>
  </si>
  <si>
    <t>Doprava</t>
  </si>
  <si>
    <t>Program na podporu přípravy projektové dokumentace 2019</t>
  </si>
  <si>
    <t>Program na podporu přípravy projektové dokumentace 2016</t>
  </si>
  <si>
    <t>Podpora natáčení audiovizuálních děl v Moravskoslezském kraji</t>
  </si>
  <si>
    <t>Podpora turistických informačních center v Moravskoslezském kraji</t>
  </si>
  <si>
    <t>Podpora systému destinačního managementu turistických oblastí 2021 - 2022</t>
  </si>
  <si>
    <t>Podpora cestovního ruchu v Moravskoslezském kraji</t>
  </si>
  <si>
    <t>Program na podporu technických atraktivit</t>
  </si>
  <si>
    <t>IP LIFE for Coal Mining Landscape Adaptation</t>
  </si>
  <si>
    <t>Finanční prostředky jsou určeny na kofinancování projektu. Žadatelem o podporu u poskytovatele dotace je příspěvková organizace.</t>
  </si>
  <si>
    <t>Odborné, kariérové a polytechnické vzdělávání v MSK II</t>
  </si>
  <si>
    <t>Modernizace výuky informačních technologií II</t>
  </si>
  <si>
    <t>ODVĚTVÍ DOPRAVY CELKEM</t>
  </si>
  <si>
    <t>Geoportál MSK - část dopravní infrastruktura</t>
  </si>
  <si>
    <t>Silnice II/479 Ostrava, ulice Opavská, mosty 479-004 přes vodní tok Odra</t>
  </si>
  <si>
    <t xml:space="preserve">Rekonstrukce a modernizace silnice II/478 Klimkovice – Polanka nad Odrou – Stará Bělá </t>
  </si>
  <si>
    <t>Modernizace silnice II/473 Šenov - Frýdek-Místek</t>
  </si>
  <si>
    <t>ODVĚTVÍ DOPRAVY:</t>
  </si>
  <si>
    <t>2024</t>
  </si>
  <si>
    <t>Pavilon L - stavební úpravy (Slezská nemocnice v Opavě, příspěvková organizace)</t>
  </si>
  <si>
    <t>Přístavba a nástavba rehabilitace (Nemocnice Třinec, příspěvková organizace)</t>
  </si>
  <si>
    <t>Rekonstrukce objektu SŠ a domova mládeže (Střední škola společného stravování, Ostrava-Hrabůvka, příspěvková organizace)</t>
  </si>
  <si>
    <t>Vybudování dílen pro praktické vyučování (Střední odborná škola, Frýdek-Místek,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</si>
  <si>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</si>
  <si>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Rekonstrukce školní kuchyně a výdejny (Základní škola, Ostrava - Poruba, Čkalovova 942, příspěvková organizace)</t>
  </si>
  <si>
    <t>Rekonstrukce budovy na ulici Praskova čp. 411 v Opavě (Základní škola, Opava, Havlíčkova 1, příspěvková organizace)</t>
  </si>
  <si>
    <t>Rekultivace vnitrobloku a zpevněné plochy (Polské gymnázium - Polskie Gimnazjum im. Juliusza Słowackiego, Český Těšín, příspěvková organizace)</t>
  </si>
  <si>
    <t>Rekonstrukce objektů Polského gymnázia (Polské gymnázium - Polskie Gimnazjum im. Juliusza Słowackiego, Český Těšín, příspěvková organizace)</t>
  </si>
  <si>
    <t>Sportovní areál na ul. Komenského, Opava (Mendelovo gymnázium, Opava, příspěvková organizace)</t>
  </si>
  <si>
    <t>Výstavba domova pro seniory a domova se zvláštním režimem Kopřivnice</t>
  </si>
  <si>
    <t>Rekonstrukce budovy a spojovací chodby Máchova (Domov Duha, příspěvková organizace, Nový Jičín)</t>
  </si>
  <si>
    <t>Zámek Bruntál - revitalizace objektu (Muzeum v Bruntále, příspěvková organizace)</t>
  </si>
  <si>
    <t>Zámek Nová Horka - dobudování infrastruktury (Muzeum Novojičínska, příspěvková organizace)</t>
  </si>
  <si>
    <t>Letiště Leoše Janáčka Ostrava, výstavba odbavovací plochy APN S3</t>
  </si>
  <si>
    <t>z toho
na splátku
za akce financované z úvěru UCB</t>
  </si>
  <si>
    <t>z toho financováno z úvěru UCB</t>
  </si>
  <si>
    <t>z toho financováno z úvěru ČS</t>
  </si>
  <si>
    <t>Nové vedení trasy silnice III/4848, ul. Palkovická, Frýdek - Místek</t>
  </si>
  <si>
    <t>RESOLVE – Sustainable mobility and the transition to a low-carbon retailing economy – RESOLVE - Udržitelná mobilita a přechod k nízkouhlíkové ekonomice služeb (obchodu)</t>
  </si>
  <si>
    <t>Podpora aktivit v rámci Programu Interreg V-A ČR – PL III</t>
  </si>
  <si>
    <t>Vratky návratných finančních výpomocí poskytnutých příspěvkovým organizacím v odvětví kultury na předfinancování podílů státu a evropské unie při realizaci projektů spolufinancovaných z evropských finančních zdrojů.</t>
  </si>
  <si>
    <t>Splátky jistin půjčených prostředků od obcí v rámci Jessica II.</t>
  </si>
  <si>
    <t xml:space="preserve">Splátky návratných finančních výpomocí poskytnutých v rámci „Programu pro poskytování návratných finančních výpomocí z Fondu sociálních služeb v roce 2021“ </t>
  </si>
  <si>
    <t>Příjmy z inkasovaných dobropisů, náhrady poštovného za ztracené nebo nedoručené zásilky.</t>
  </si>
  <si>
    <t>Příjmy z umístění zařízení v budově A krajského úřadu na základě smluv uzavřených se společnostmi - CETIN a.s., Česká spořitelna, a.s. a Automaty Kavamat Vending, s.r.o.</t>
  </si>
  <si>
    <t>Správní poplatky - poplatky vybírané převážně na základě zákona č. 634/2004 Sb., o správních poplatcích, zákona č. 160/1992 Sb., o zdravotní péči v nestátních zdravotnických zařízeních, zákona č. 13/1997 Sb., o pozemních komunikacích, zákona 254/2001 Sb. o vodách a o změně některých zákonů (vodní zákon) a zákona č. 183/2006 o územním plánování a stavebním řádu (stavební zákon).</t>
  </si>
  <si>
    <t>Poplatek za odebrané množství podzemní vody dle § 88 zákona 254/2001 Sb. o vodách a o změně některých zákonů (vodní zákon) - část poplatků za odběr podzemní vody ve výši 50 % je příjmem rozpočtu kraje, na jehož území se odběr podzemní vody uskutečňuje.</t>
  </si>
  <si>
    <t>REPRODUKCE MAJETKU KRAJE VYJMA AKCÍ SPOLUFINANCOVANÝCH Z EVROPSKÝCH FINANČNÍCH ZDROJŮ</t>
  </si>
  <si>
    <t>NÁVRATNÁ FINANČNÍ VÝPOMOC PŘÍSPĚVKOVÝM ORGANIZACÍM NA PROFINANCOVÁNÍ PODÍLŮ STÁTNÍHO ROZPOČTU A EVROPSKÉ UNIE CELKEM</t>
  </si>
  <si>
    <t>CELKEM ZA AKCE SPOLUFINANCOVANÉ Z EVROPSKÝCH FINANČNÍCH ZDROJŮ</t>
  </si>
  <si>
    <t>CELKEM ZA AKCE REPRODUKCE MAJETKU KRAJE VYJMA AKCÍ SPOLUFINANCOVANÝCH Z EVROPSKÝCH FINANČNÍCH ZDROJŮ</t>
  </si>
  <si>
    <t>Vratky návratných finančních výpomocí poskytnutých příspěvkovým organizacím v odvětví sociálních věcí na zajištění běžného chodu organizací.</t>
  </si>
  <si>
    <t>2021</t>
  </si>
  <si>
    <t>Rozpočet 2021</t>
  </si>
  <si>
    <t>Přijaté sankční platby - pokuty podle zákona č. 117/2001 Sb., o veřejných sbírkách.</t>
  </si>
  <si>
    <t>Rozborové tabulky a grafy k návrhu rozpočtu kraje
na rok 2022</t>
  </si>
  <si>
    <t>Přehled dotačních programů v návrhu rozpočtu kraje na rok 2022</t>
  </si>
  <si>
    <t>Přehled akcí spolufinancovaných z evropských finančních zdrojů v návrhu rozpočtu kraje na rok 2022 včetně závazků kraje vyvolaných pro rok 2023 a další léta</t>
  </si>
  <si>
    <t>Přehled akcí financovaných z úvěrových zdrojů v návrhu rozpočtu kraje na rok 2022</t>
  </si>
  <si>
    <t>Přehled příjmů zařazených v návrhu rozpočtu kraje na rok 2022</t>
  </si>
  <si>
    <t>Graf č. 1 - Rozpočet Moravskoslezského kraje v letech 2018 až 2021, návrh rozpočtu Moravskoslezského kraje na rok 2022</t>
  </si>
  <si>
    <t>Graf č. 2 - Schválený rozpočet příjmů Moravskoslezského kraje v letech 2018 až 2021, návrh rozpočtu příjmů Moravskoslezského kraje na rok 2022 v členění na přijaté dotace, daňové, nedaňové a kapitálové příjmy</t>
  </si>
  <si>
    <t>Graf č. 3 - Schválený rozpočet výdajů Moravskoslezského kraje v letech 2018 až 2021, návrh rozpočtu výdajů Moravskoslezského kraje na rok 2022 v členění na běžné a kapitálové výdaje</t>
  </si>
  <si>
    <t>Graf č. 4 - Struktura návrhu rozpočtu Moravskoslezského kraje na rok 2022 - PŘÍJMY</t>
  </si>
  <si>
    <t>Graf č. 5 - Struktura návrhu rozpočtu Moravskoslezského kraje na rok 2022 - VÝDAJE</t>
  </si>
  <si>
    <t>Graf č. 6 - Struktura návrhu rozpočtu Moravskoslezského kraje na rok 2022 - Objemy výdajů na akce spolufinancované z evropských finančních zdrojů pro rok 2022 v členění dle odvětví</t>
  </si>
  <si>
    <t>PŘEHLED DOTAČNÍCH PROGRAMŮ V NÁVRHU ROZPOČTU KRAJE NA ROK 2022 (v tis. Kč)</t>
  </si>
  <si>
    <t>Schválený rozpočet 2021</t>
  </si>
  <si>
    <t>Upravený rozpočet 9/2021</t>
  </si>
  <si>
    <t>Čerpání
k 9/2021</t>
  </si>
  <si>
    <t>Rok 2022</t>
  </si>
  <si>
    <t>% 2022/
SR 2021</t>
  </si>
  <si>
    <t>Dotační programy nezařazené do rozpočtu na rok 2022 (odvětví regionálního rozvoje)</t>
  </si>
  <si>
    <t>Dotační programy nezařazené do rozpočtu na rok 2022 (odvětví cestovního ruchu)</t>
  </si>
  <si>
    <t>Dotační programy nezařazené do rozpočtu na rok 2022 (odvětví životního prostředí)</t>
  </si>
  <si>
    <t>Program obnovy památek nadregionálního významu v Moravskoslezském kraji</t>
  </si>
  <si>
    <t>Podpora obnovy a rozvoje venkova Moravskoslezského kraje 2022</t>
  </si>
  <si>
    <t>Program na podporu přípravy projektové dokumentace 2022</t>
  </si>
  <si>
    <t>Program na podporu přípravy projektové dokumentace 2018</t>
  </si>
  <si>
    <t>Podpora vědy a výzkumu v Moravskoslezském kraji 2022</t>
  </si>
  <si>
    <t>Podpora vědy a výzkumu v Moravskoslezském kraji 2019</t>
  </si>
  <si>
    <t>Podpora podnikání v Moravskoslezském kraji 2022</t>
  </si>
  <si>
    <t>Program na podporu stáží žáků a studentů ve firmách 2022</t>
  </si>
  <si>
    <t>Podpora znevýhodněných oblastí Moravskoslezského kraje 2019</t>
  </si>
  <si>
    <t>Program na podporu přípravy projektové dokumentace 2020</t>
  </si>
  <si>
    <t>Úprava lyžařských běžeckých tras v Moravskoslezském kraji 2022/2023, 2023/2024 a 2024/2025</t>
  </si>
  <si>
    <t>Podpora systému destinačního managementu turistických oblastí 2022 - 2023</t>
  </si>
  <si>
    <t>Podpora rozvoje cykloturistiky v Moravskoslezském kraji 2022+</t>
  </si>
  <si>
    <t>Program podpory spolufinancování investičních projektů</t>
  </si>
  <si>
    <t>Podpora významných sportovních akcí v Moravskoslezském kraji</t>
  </si>
  <si>
    <t>Podpora aktivit v oblasti prevence rizikových projevů chování u dětí a mládeže</t>
  </si>
  <si>
    <t>Podpora volnočasových aktivit pro mládež</t>
  </si>
  <si>
    <t>Podpora projektů ve zdravotnictví</t>
  </si>
  <si>
    <t>Podpora rozvoje zdravotní části multidisciplinárních terénních týmů v oblasti péče o osoby s duševním onemocněním</t>
  </si>
  <si>
    <t>Podpora odpadového hospodářství</t>
  </si>
  <si>
    <t xml:space="preserve"> PŘEHLED AKCÍ SPOLUFINANCOVANÝCH Z EVROPSKÝCH FINANČNÍCH ZDROJŮ V NÁVRHU ROZPOČTU KRAJE NA ROK 2022
VČETNĚ ZÁVAZKŮ KRAJE VYVOLANÝCH PRO ROK 2023 A DALŠÍ LÉTA (v tis. Kč)             </t>
  </si>
  <si>
    <t>ČÍSLO AKCE</t>
  </si>
  <si>
    <t>Skutečné výdaje
před r. 2021</t>
  </si>
  <si>
    <t>Předpokl. výdaje
r. 2021</t>
  </si>
  <si>
    <t>Návrh
na rok 2022</t>
  </si>
  <si>
    <t>2025</t>
  </si>
  <si>
    <t>po r. 2025</t>
  </si>
  <si>
    <t>Energetické úspory SSMSK - SM Rýmařov</t>
  </si>
  <si>
    <t>Silnice II/445 hranice Olomouckého kraje - Stránské</t>
  </si>
  <si>
    <t>Příprava staveb a přípravy vypořádání pozemků (Správa silnic Moravskoslezského kraje, příspěvková organizace, Ostrava)</t>
  </si>
  <si>
    <t>Celkové výdaje uvedeny jen pro rok 2022.</t>
  </si>
  <si>
    <t>ODVĚTVÍ CHYTRÉHO REGIONU:</t>
  </si>
  <si>
    <t>Centrum veřejných energetiků (Moravskoslezské energetické centrum, příspěvková organizace, Ostrava)</t>
  </si>
  <si>
    <t>ODVĚTVÍ CHYTRÉHO REGIONU CELKEM</t>
  </si>
  <si>
    <t>Modernizace technicko-výcvikové základny Hranečník</t>
  </si>
  <si>
    <t>Černá kostka - Centrum digitalizace, vědy a inovací</t>
  </si>
  <si>
    <t>Revitalizace NKP Zámek Bruntál a nové expozice</t>
  </si>
  <si>
    <t>Zámek Nová Horka - Muzeum pro veřejnost II.</t>
  </si>
  <si>
    <t>Žerotínský zámek – centrum relaxace a poznání</t>
  </si>
  <si>
    <t>Podpora činnosti sekretariátu Regionální stálé konference Moravskosleszkého kraje IV</t>
  </si>
  <si>
    <t>Podpora aktivit v rámci Programu Interreg V-A ČR - PL III</t>
  </si>
  <si>
    <t>Chráněné bydlení Okrajová</t>
  </si>
  <si>
    <t>Podpora komunitní práce v MSK III</t>
  </si>
  <si>
    <t>Podpora kvality v sociálních službách</t>
  </si>
  <si>
    <t>Podpora procesu plánování sociálních služeb na území MSK</t>
  </si>
  <si>
    <t>Podpora procesu transformace zařízení pro děti a posílení kvality péče o děti se specifickými potřebami</t>
  </si>
  <si>
    <t>Podporujeme hrdinství, které není vidět IV</t>
  </si>
  <si>
    <t>Profesionalizace systému péče o ohrožené děti v Moravskoslezském kraji</t>
  </si>
  <si>
    <t>Energetické úspory v Dětském domově Úsměv</t>
  </si>
  <si>
    <t>Energetické úspory v MSŠZe a VOŠ Opava - tělocvična</t>
  </si>
  <si>
    <t>Energetické úspory v SOŠ dopravy a cestovního ruchu Krnov</t>
  </si>
  <si>
    <t>Energetické úspory v ZŠ Čkalovova</t>
  </si>
  <si>
    <t>Energetické úspory v ZŠ speciální Slezská Ostrava</t>
  </si>
  <si>
    <t>Energetické úspory v ZUŠ Klimkovice</t>
  </si>
  <si>
    <t>Energetické úspory v ZUŠ L. Janáčka Havířov</t>
  </si>
  <si>
    <t>Energetické úspory ve SŠ služeb a podnikání Ostrava-Poruba (tělocvična)</t>
  </si>
  <si>
    <t>Energetické úspory ve VOŠ zdravotnická Ostrava</t>
  </si>
  <si>
    <t>Energeticky úsporná opatření - Mendelova SŠ</t>
  </si>
  <si>
    <t>Krajský akční plán rozvoje vzdělávání Moravskoslezského kraje III</t>
  </si>
  <si>
    <t>Supporting attractivness of health and social care professions in regions</t>
  </si>
  <si>
    <t>Technologická a podnikatelská akademie a digitální, inovační a mediální laboratoř (TPA a DIMLab)</t>
  </si>
  <si>
    <t>Celkem Územní plánování</t>
  </si>
  <si>
    <t>Vozidla a technika proti covidu</t>
  </si>
  <si>
    <t>Výstavba výjezdového stanoviště v Novém Jičíně</t>
  </si>
  <si>
    <t>Vzdělávání a nácvik proti covidu</t>
  </si>
  <si>
    <t>Záchranný komunikační systém</t>
  </si>
  <si>
    <t>Revitalizace parku Nemocnice s poliklinikou Karviná-Ráj – Karviná (Nemocnice s poliklinikou Karviná-Ráj, příspěvková organizace)</t>
  </si>
  <si>
    <t>Rekonstrukce a modernizace infekčního oddělení (Nemocnice Havířov, příspěvková organizace)</t>
  </si>
  <si>
    <t>Rozvoj infektologického pracoviště Slezské nemocnice v Opavě (Slezská nemocnice v Opavě, příspěvková organizace)</t>
  </si>
  <si>
    <t>Krajský akční plán pro oblast ochrany ovzduší</t>
  </si>
  <si>
    <t>River Continuum</t>
  </si>
  <si>
    <t xml:space="preserve">Kotlíkové dotace v Moravskoslezském kraji – 4. grantové schéma </t>
  </si>
  <si>
    <t>Modernizace silnice II/477, II/647 Ostrava, ul. Bohumínská - III. etapa</t>
  </si>
  <si>
    <t>Příjmy z pronájmu nebytových prostor v budovách krajského úřadu na základě smluv uzavřených Ministerstvem pro místní rozvoj ČR, Českou poštou a Sodexem.</t>
  </si>
  <si>
    <t>Příjmy z pronájmu budov nebo prostor v budovách ve vlastnictví kraje.</t>
  </si>
  <si>
    <t>Příjmy za odebrané stravovací služby poskytnuté zaměstnancům v jídelně a bufetu krajského úřadu, příjmy z inkasovaných dobropisů, vratky přeplatků záloh, náhrady za náklady soudního nebo správního řízení, náhrady za škody způsobené zaměstnanci.</t>
  </si>
  <si>
    <t>Vratky návratných finančních výpomocí poskytnutých příspěvkovým organizacím v odvětví školství na zajištění běžného chodu organizací a na předfinancování podílů státu a evropské unie při realizaci projektů spolufinancovaných z evropských finančních zdrojů.</t>
  </si>
  <si>
    <t>Prodej budov a staveb - v souladu s požadavky Moravskoslezského kraje a § 36 zákona č. 129/2000 Sb., o krajích.</t>
  </si>
  <si>
    <t>Neinvestiční přijaté transfery ze státních fondů</t>
  </si>
  <si>
    <t>Podpora provozu venkovských prodejen v Moravskoslezském kraji 2021</t>
  </si>
  <si>
    <t>Odborné, kariérové a polytechnické vzdělávání II</t>
  </si>
  <si>
    <t>Poskytování bezplatné stravy dětem ohroženým chudobou ve školách z prostředků OP PMP v Moravskoslezském kraji V</t>
  </si>
  <si>
    <t>Podpora činnosti sekretariátu a zajištění chodu Regionální stálé konference MSK IV</t>
  </si>
  <si>
    <t>Dotační program - Kotlíkové dotace v Moravskoslezském kraji 3. grantové schéma (AMO)</t>
  </si>
  <si>
    <t>Vybudování expozice muzea Těšínska v Jablunkově "Muzea Trojmezí"</t>
  </si>
  <si>
    <t>Rekonstrukce a modernizace silnice II/478 Klimkovice – Polanka nad Odrou – Stará Bělá</t>
  </si>
  <si>
    <t>Poplatky za znečišťování ovzduší - poplatky vybírané na základě zákona č. 201/2012 Sb., o ochraně ovzduší, ve znění pozdějších předpisů. Výnos z poplatků za znečišťování ve výši 25 % je příjmem kraje, na jehož území se stacionární zdroj nachází.</t>
  </si>
  <si>
    <t>Příjmy z prezentace partnera při realizaci projektů realizovaných krajem na základě smlouvy o spolupráci č. 00880/2021/KH.</t>
  </si>
  <si>
    <t>Rozpočet 2022</t>
  </si>
  <si>
    <t>2022</t>
  </si>
  <si>
    <t>Chytrý region</t>
  </si>
  <si>
    <t>Snížení energetické náročnosti budov Slezské nemocnice v Opavě (Slezská nemocnice v Opavě, příspěvková organizace)</t>
  </si>
  <si>
    <t>PŘEHLED AKCÍ FINANCOVANÝCH Z ÚVĚROVÝCH ZDROJŮ V NÁVRHU ROZPOČTU KRAJE NA ROK 2022</t>
  </si>
  <si>
    <t>Návrh výdajů
na rok 2022 celkem</t>
  </si>
  <si>
    <t>Návrh příjmů
na rok 2022</t>
  </si>
  <si>
    <t>Rekonstrukce vzletové a přistávací dráhy a navazujících provozních ploch Letiště Leoše Janáčka Ostrava</t>
  </si>
  <si>
    <t>Rekonstrukce mostů ev. č. 486-011, 012 Hukvaldy (Správa silnic Moravskoslezského kraje, příspěvková organizace, Ostrava)</t>
  </si>
  <si>
    <t>Rekonstrukce mostu ev. č. 478-008 Polanka nad Odrou (Správa silnic Moravskoslezského kraje, příspěvková organizace, Ostrava)</t>
  </si>
  <si>
    <t>Rekonstrukce mostu ev. č. 4804-2 Košatka (Správa silnic Moravskoslezského kraje, příspěvková organizace, Ostrava)</t>
  </si>
  <si>
    <t>Nákup budov a pozemků v Opavě (Sírius, příspěvková organizace, Opava)</t>
  </si>
  <si>
    <t>Rekonstrukce objektu na ul. B. Němcové, Opava (Střední odborné učiliště stavební, Opava, příspěvková organizace)</t>
  </si>
  <si>
    <t>Využití objektu v Bílé (Vzdělávací a sportovní centrum, Bílá, příspěvková organizace)</t>
  </si>
  <si>
    <t>Rekonstrukce školního dvora (Matiční gymnázium, Ostrava, příspěvková organizace)</t>
  </si>
  <si>
    <t>Vybavení rekonstruovaných objektů Polského gymnázia (Polské gymnázium - Polskie Gimnazjum im. Juliusza Słowackiego, Český Těšín, příspěvková organizace)</t>
  </si>
  <si>
    <t>Přístavba tělocvičny (Gymnázium, Třinec, příspěvková organizace)</t>
  </si>
  <si>
    <t>Rekonstrukce střechy a zateplení fasády (Gymnázium Třinec, příspěvková organizace)</t>
  </si>
  <si>
    <t>Rekonstrukce střechy budov dílen (Střední průmyslová škola, Ostrava - Vítkovice, příspěvková organizace)</t>
  </si>
  <si>
    <t>Oprava izolačních vrstev střešního pláště (Střední škola prof. Zdeňka Matějčka, Ostrava-Poruba, příspěvková organizace)</t>
  </si>
  <si>
    <t>Návratná finanční výpomoc příspěvkovým organizacím v odvětví školství</t>
  </si>
  <si>
    <t>ODVĚTVÍ ÚZEMNÍ PLÁNOVÁNÍ A STAVEBNÍHO ŘÁDU:</t>
  </si>
  <si>
    <t>ODVĚTVÍ ÚZEMNÍ PLÁNOVÁNÍ A STAVEBNÍHO ŘÁDU CELKEM</t>
  </si>
  <si>
    <t>Rekonstrukce silnice III/47811, II/478 Ostrava, ulice Mitrovická</t>
  </si>
  <si>
    <t>Nemocnice Havířov - ČOV (Nemocnice Havířov, příspěvková organizace)</t>
  </si>
  <si>
    <t>Revitalizace parku Nemocnice s poliklinikou Karviná-Ráj – Orlová (Nemocnice s poliklinikou Karviná-Ráj, příspěvková organizace)</t>
  </si>
  <si>
    <t>"RESOLVE – Sustainable mobility and the transition to a low-carbon retailing economy" – "RESOLVE - Udržitelná mobilita a přechod k nízkouhlíkové ekonomice služeb (obchodu)"</t>
  </si>
  <si>
    <t>Zámek Nová Horka - Muzeum pro veřejnost II</t>
  </si>
  <si>
    <t>Kotlíkové dotace v Moravskoslezském kraji 3. grantové schéma (AMO)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</si>
  <si>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</si>
  <si>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</si>
  <si>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</si>
  <si>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</si>
  <si>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</si>
  <si>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</si>
  <si>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 poplatků za znečišťování ovzduší</t>
  </si>
  <si>
    <t>Příjem z poplatku za odebrané množství podzemní vody</t>
  </si>
  <si>
    <t>Příjem ze správních poplatků</t>
  </si>
  <si>
    <t>Příjem z poskytování služeb, výrobků, prací, výkonů a práv</t>
  </si>
  <si>
    <t>Příjem z pronájmu nebo pachtu pozemků</t>
  </si>
  <si>
    <t>Příjem z pronájmu nebo pachtu ostatních nemovitých věcí a jejich částí</t>
  </si>
  <si>
    <t>Ostatní příjmy z pronájmu nebo pachtu majetku</t>
  </si>
  <si>
    <t>Příjem z úroků</t>
  </si>
  <si>
    <t>Příjem sankčních plateb přijatých od státu, obcí a krajů</t>
  </si>
  <si>
    <t>Příjem sankčních plateb přijatých od jiných subjektů</t>
  </si>
  <si>
    <t>Přijaté neinvestiční příspěvky a náhrady</t>
  </si>
  <si>
    <t>Splátky půjčených prostředků od nefinančních podnikatelů - právnických osob</t>
  </si>
  <si>
    <t>Splátky půjčených prostředků od obecně prospěšných společností a obdobných osob</t>
  </si>
  <si>
    <t>Příjem z prodeje pozemků</t>
  </si>
  <si>
    <t>Příjem z prodeje ostatních nemovitých věcí a jejich částí</t>
  </si>
  <si>
    <t>Ostatní kapitálové příjmy jinde nezařazené</t>
  </si>
  <si>
    <t>Neinvestiční přijaté transfery od jiných států</t>
  </si>
  <si>
    <t>Neinvestiční přijaté transfery od mezinárodních organizací a některých zahraničních orgánů a právnických osob</t>
  </si>
  <si>
    <t>PŘEHLED PŘÍJMŮ ZAŘAZENÝCH V NÁVRHU ROZPOČTU KRAJE NA ROK 2022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</si>
</sst>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5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10"/>
      <name val="Arial"/>
      <family val="2"/>
      <charset val="238"/>
    </font>
    <font>
      <sz val="8"/>
      <color indexed="10"/>
      <name val="Tahoma"/>
      <family val="2"/>
      <charset val="238"/>
    </font>
    <font>
      <sz val="9"/>
      <name val="Tahoma"/>
      <family val="2"/>
      <charset val="238"/>
    </font>
    <font>
      <sz val="12"/>
      <name val="Times New Roman"/>
      <family val="1"/>
    </font>
    <font>
      <b/>
      <sz val="16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12"/>
      <color indexed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2"/>
      <color indexed="12"/>
      <name val="Times New Roman CE"/>
      <family val="1"/>
      <charset val="238"/>
    </font>
    <font>
      <sz val="12"/>
      <color indexed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0"/>
      <color theme="0" tint="-0.249977111117893"/>
      <name val="Tahoma"/>
      <family val="2"/>
      <charset val="238"/>
    </font>
    <font>
      <b/>
      <sz val="12"/>
      <color theme="0" tint="-0.249977111117893"/>
      <name val="Tahoma"/>
      <family val="2"/>
      <charset val="238"/>
    </font>
    <font>
      <sz val="8"/>
      <color theme="0" tint="-0.249977111117893"/>
      <name val="Tahoma"/>
      <family val="2"/>
      <charset val="238"/>
    </font>
    <font>
      <b/>
      <sz val="8"/>
      <color theme="0" tint="-0.24997711111789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FF0000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color indexed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theme="1"/>
      <name val="Arial"/>
      <family val="2"/>
      <charset val="238"/>
    </font>
    <font>
      <sz val="12"/>
      <color rgb="FFFF0000"/>
      <name val="Times New Roman CE"/>
      <charset val="238"/>
    </font>
    <font>
      <sz val="1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5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21" fillId="0" borderId="0"/>
    <xf numFmtId="0" fontId="22" fillId="0" borderId="0"/>
    <xf numFmtId="0" fontId="26" fillId="0" borderId="0"/>
    <xf numFmtId="0" fontId="26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6" fillId="0" borderId="0"/>
    <xf numFmtId="0" fontId="43" fillId="0" borderId="0"/>
    <xf numFmtId="0" fontId="1" fillId="0" borderId="0">
      <alignment wrapText="1"/>
    </xf>
  </cellStyleXfs>
  <cellXfs count="439">
    <xf numFmtId="0" fontId="0" fillId="0" borderId="0" xfId="0"/>
    <xf numFmtId="0" fontId="4" fillId="0" borderId="0" xfId="1" applyFont="1"/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4" fillId="0" borderId="5" xfId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164" fontId="5" fillId="0" borderId="7" xfId="1" applyNumberFormat="1" applyFont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 wrapText="1"/>
    </xf>
    <xf numFmtId="164" fontId="4" fillId="0" borderId="7" xfId="1" applyNumberFormat="1" applyFont="1" applyFill="1" applyBorder="1" applyAlignment="1">
      <alignment vertical="center"/>
    </xf>
    <xf numFmtId="3" fontId="4" fillId="0" borderId="6" xfId="1" applyNumberFormat="1" applyFont="1" applyBorder="1" applyAlignment="1">
      <alignment vertical="center" wrapText="1"/>
    </xf>
    <xf numFmtId="0" fontId="4" fillId="0" borderId="6" xfId="1" applyFont="1" applyFill="1" applyBorder="1" applyAlignment="1">
      <alignment vertical="center"/>
    </xf>
    <xf numFmtId="3" fontId="5" fillId="2" borderId="11" xfId="1" applyNumberFormat="1" applyFont="1" applyFill="1" applyBorder="1" applyAlignment="1">
      <alignment vertical="center" wrapText="1"/>
    </xf>
    <xf numFmtId="164" fontId="5" fillId="2" borderId="12" xfId="1" applyNumberFormat="1" applyFont="1" applyFill="1" applyBorder="1" applyAlignment="1">
      <alignment vertical="center"/>
    </xf>
    <xf numFmtId="0" fontId="4" fillId="3" borderId="0" xfId="1" applyFont="1" applyFill="1" applyBorder="1"/>
    <xf numFmtId="0" fontId="5" fillId="0" borderId="0" xfId="1" applyFont="1" applyFill="1" applyBorder="1" applyAlignment="1">
      <alignment horizontal="left" vertical="center"/>
    </xf>
    <xf numFmtId="4" fontId="5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 wrapText="1"/>
    </xf>
    <xf numFmtId="4" fontId="5" fillId="0" borderId="0" xfId="1" applyNumberFormat="1" applyFont="1" applyFill="1" applyBorder="1" applyAlignment="1">
      <alignment vertical="center"/>
    </xf>
    <xf numFmtId="0" fontId="4" fillId="3" borderId="0" xfId="1" applyFont="1" applyFill="1" applyBorder="1" applyAlignment="1"/>
    <xf numFmtId="0" fontId="1" fillId="0" borderId="0" xfId="1" applyBorder="1" applyAlignment="1"/>
    <xf numFmtId="0" fontId="9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4" fillId="0" borderId="0" xfId="1" applyFont="1" applyBorder="1"/>
    <xf numFmtId="0" fontId="10" fillId="0" borderId="0" xfId="1" applyFont="1" applyFill="1"/>
    <xf numFmtId="0" fontId="10" fillId="0" borderId="0" xfId="1" applyFont="1"/>
    <xf numFmtId="0" fontId="11" fillId="0" borderId="0" xfId="1" applyFont="1" applyFill="1"/>
    <xf numFmtId="0" fontId="13" fillId="0" borderId="0" xfId="1" applyFont="1" applyAlignment="1"/>
    <xf numFmtId="0" fontId="14" fillId="0" borderId="0" xfId="1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right"/>
    </xf>
    <xf numFmtId="0" fontId="11" fillId="0" borderId="0" xfId="1" applyFont="1"/>
    <xf numFmtId="0" fontId="15" fillId="0" borderId="0" xfId="1" applyFont="1" applyFill="1"/>
    <xf numFmtId="0" fontId="15" fillId="0" borderId="0" xfId="3" applyFont="1" applyAlignment="1">
      <alignment vertical="center"/>
    </xf>
    <xf numFmtId="4" fontId="5" fillId="0" borderId="0" xfId="3" applyNumberFormat="1" applyFont="1" applyAlignment="1">
      <alignment horizontal="right" vertical="center"/>
    </xf>
    <xf numFmtId="49" fontId="5" fillId="2" borderId="6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3" fontId="4" fillId="2" borderId="6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vertical="center" wrapText="1"/>
    </xf>
    <xf numFmtId="0" fontId="4" fillId="2" borderId="7" xfId="3" applyFont="1" applyFill="1" applyBorder="1" applyAlignment="1">
      <alignment horizontal="justify" vertical="center"/>
    </xf>
    <xf numFmtId="3" fontId="5" fillId="2" borderId="16" xfId="3" applyNumberFormat="1" applyFont="1" applyFill="1" applyBorder="1" applyAlignment="1">
      <alignment vertical="center" wrapText="1"/>
    </xf>
    <xf numFmtId="49" fontId="4" fillId="2" borderId="17" xfId="3" applyNumberFormat="1" applyFont="1" applyFill="1" applyBorder="1" applyAlignment="1">
      <alignment horizontal="justify" vertical="center"/>
    </xf>
    <xf numFmtId="0" fontId="18" fillId="0" borderId="0" xfId="0" applyFont="1"/>
    <xf numFmtId="3" fontId="4" fillId="4" borderId="6" xfId="0" applyNumberFormat="1" applyFont="1" applyFill="1" applyBorder="1" applyAlignment="1">
      <alignment vertical="center"/>
    </xf>
    <xf numFmtId="3" fontId="26" fillId="0" borderId="0" xfId="9" applyNumberFormat="1"/>
    <xf numFmtId="3" fontId="26" fillId="0" borderId="0" xfId="9" applyNumberFormat="1" applyAlignment="1">
      <alignment horizontal="center"/>
    </xf>
    <xf numFmtId="3" fontId="27" fillId="0" borderId="0" xfId="9" applyNumberFormat="1" applyFont="1" applyAlignment="1">
      <alignment horizontal="center"/>
    </xf>
    <xf numFmtId="3" fontId="28" fillId="0" borderId="0" xfId="9" applyNumberFormat="1" applyFont="1"/>
    <xf numFmtId="3" fontId="27" fillId="0" borderId="6" xfId="9" applyNumberFormat="1" applyFont="1" applyBorder="1" applyAlignment="1">
      <alignment horizontal="center"/>
    </xf>
    <xf numFmtId="3" fontId="28" fillId="0" borderId="6" xfId="9" applyNumberFormat="1" applyFont="1" applyBorder="1"/>
    <xf numFmtId="49" fontId="28" fillId="0" borderId="6" xfId="9" applyNumberFormat="1" applyFont="1" applyBorder="1" applyAlignment="1">
      <alignment horizontal="center"/>
    </xf>
    <xf numFmtId="3" fontId="27" fillId="0" borderId="0" xfId="9" applyNumberFormat="1" applyFont="1"/>
    <xf numFmtId="49" fontId="28" fillId="0" borderId="6" xfId="9" applyNumberFormat="1" applyFont="1" applyBorder="1"/>
    <xf numFmtId="3" fontId="26" fillId="0" borderId="0" xfId="9" applyNumberFormat="1" applyFill="1"/>
    <xf numFmtId="3" fontId="26" fillId="0" borderId="0" xfId="9" applyNumberFormat="1" applyFill="1" applyAlignment="1">
      <alignment horizontal="center"/>
    </xf>
    <xf numFmtId="3" fontId="26" fillId="0" borderId="0" xfId="9" applyNumberFormat="1" applyFont="1"/>
    <xf numFmtId="3" fontId="26" fillId="0" borderId="0" xfId="9" applyNumberFormat="1" applyAlignment="1">
      <alignment horizontal="right"/>
    </xf>
    <xf numFmtId="3" fontId="29" fillId="0" borderId="0" xfId="9" applyNumberFormat="1" applyFont="1"/>
    <xf numFmtId="3" fontId="29" fillId="0" borderId="0" xfId="9" applyNumberFormat="1" applyFont="1" applyAlignment="1">
      <alignment horizontal="center"/>
    </xf>
    <xf numFmtId="3" fontId="26" fillId="0" borderId="0" xfId="9" applyNumberFormat="1" applyFill="1" applyBorder="1"/>
    <xf numFmtId="3" fontId="30" fillId="0" borderId="0" xfId="9" applyNumberFormat="1" applyFont="1" applyBorder="1"/>
    <xf numFmtId="3" fontId="26" fillId="0" borderId="6" xfId="9" applyNumberFormat="1" applyFont="1" applyFill="1" applyBorder="1"/>
    <xf numFmtId="3" fontId="26" fillId="0" borderId="6" xfId="9" applyNumberFormat="1" applyFill="1" applyBorder="1"/>
    <xf numFmtId="3" fontId="29" fillId="0" borderId="6" xfId="9" applyNumberFormat="1" applyFont="1" applyBorder="1" applyAlignment="1">
      <alignment horizontal="center"/>
    </xf>
    <xf numFmtId="3" fontId="26" fillId="0" borderId="6" xfId="9" applyNumberFormat="1" applyBorder="1" applyAlignment="1">
      <alignment horizontal="center"/>
    </xf>
    <xf numFmtId="3" fontId="30" fillId="5" borderId="6" xfId="9" applyNumberFormat="1" applyFont="1" applyFill="1" applyBorder="1"/>
    <xf numFmtId="3" fontId="26" fillId="0" borderId="6" xfId="9" applyNumberFormat="1" applyFill="1" applyBorder="1" applyAlignment="1">
      <alignment horizontal="center"/>
    </xf>
    <xf numFmtId="3" fontId="26" fillId="0" borderId="6" xfId="9" applyNumberFormat="1" applyFont="1" applyBorder="1" applyAlignment="1">
      <alignment horizontal="center"/>
    </xf>
    <xf numFmtId="3" fontId="30" fillId="0" borderId="6" xfId="9" applyNumberFormat="1" applyFont="1" applyBorder="1"/>
    <xf numFmtId="3" fontId="26" fillId="6" borderId="6" xfId="9" applyNumberFormat="1" applyFill="1" applyBorder="1"/>
    <xf numFmtId="49" fontId="30" fillId="0" borderId="6" xfId="9" applyNumberFormat="1" applyFont="1" applyBorder="1" applyAlignment="1">
      <alignment horizontal="center"/>
    </xf>
    <xf numFmtId="3" fontId="26" fillId="0" borderId="0" xfId="9" applyNumberFormat="1" applyBorder="1"/>
    <xf numFmtId="3" fontId="26" fillId="0" borderId="6" xfId="9" applyNumberFormat="1" applyBorder="1"/>
    <xf numFmtId="3" fontId="30" fillId="0" borderId="0" xfId="9" applyNumberFormat="1" applyFont="1"/>
    <xf numFmtId="0" fontId="26" fillId="0" borderId="0" xfId="9"/>
    <xf numFmtId="3" fontId="31" fillId="6" borderId="6" xfId="9" applyNumberFormat="1" applyFont="1" applyFill="1" applyBorder="1"/>
    <xf numFmtId="3" fontId="31" fillId="0" borderId="6" xfId="9" applyNumberFormat="1" applyFont="1" applyFill="1" applyBorder="1"/>
    <xf numFmtId="3" fontId="30" fillId="0" borderId="6" xfId="10" applyNumberFormat="1" applyFont="1" applyFill="1" applyBorder="1" applyAlignment="1">
      <alignment horizontal="right" vertical="center"/>
    </xf>
    <xf numFmtId="0" fontId="30" fillId="0" borderId="6" xfId="10" applyFont="1" applyFill="1" applyBorder="1" applyAlignment="1">
      <alignment vertical="center"/>
    </xf>
    <xf numFmtId="3" fontId="26" fillId="0" borderId="6" xfId="9" applyNumberFormat="1" applyFont="1" applyBorder="1"/>
    <xf numFmtId="3" fontId="11" fillId="0" borderId="6" xfId="9" applyNumberFormat="1" applyFont="1" applyBorder="1" applyAlignment="1">
      <alignment horizontal="right"/>
    </xf>
    <xf numFmtId="3" fontId="32" fillId="0" borderId="6" xfId="10" applyNumberFormat="1" applyFont="1" applyFill="1" applyBorder="1" applyAlignment="1">
      <alignment horizontal="right"/>
    </xf>
    <xf numFmtId="3" fontId="32" fillId="0" borderId="6" xfId="10" applyNumberFormat="1" applyFont="1" applyFill="1" applyBorder="1"/>
    <xf numFmtId="0" fontId="32" fillId="0" borderId="6" xfId="10" applyFont="1" applyFill="1" applyBorder="1"/>
    <xf numFmtId="0" fontId="32" fillId="0" borderId="6" xfId="10" applyFont="1" applyFill="1" applyBorder="1" applyAlignment="1">
      <alignment horizontal="right"/>
    </xf>
    <xf numFmtId="3" fontId="26" fillId="6" borderId="6" xfId="9" applyNumberFormat="1" applyFont="1" applyFill="1" applyBorder="1"/>
    <xf numFmtId="0" fontId="31" fillId="6" borderId="6" xfId="9" applyFont="1" applyFill="1" applyBorder="1" applyAlignment="1">
      <alignment horizontal="center"/>
    </xf>
    <xf numFmtId="0" fontId="31" fillId="0" borderId="6" xfId="9" applyFont="1" applyFill="1" applyBorder="1" applyAlignment="1">
      <alignment horizontal="center"/>
    </xf>
    <xf numFmtId="0" fontId="30" fillId="0" borderId="22" xfId="9" applyFont="1" applyBorder="1" applyAlignment="1">
      <alignment horizontal="center"/>
    </xf>
    <xf numFmtId="0" fontId="26" fillId="0" borderId="22" xfId="9" applyFont="1" applyBorder="1"/>
    <xf numFmtId="3" fontId="33" fillId="0" borderId="6" xfId="9" applyNumberFormat="1" applyFont="1" applyFill="1" applyBorder="1" applyAlignment="1">
      <alignment vertical="center"/>
    </xf>
    <xf numFmtId="0" fontId="33" fillId="0" borderId="6" xfId="9" applyFont="1" applyFill="1" applyBorder="1" applyAlignment="1">
      <alignment vertical="center"/>
    </xf>
    <xf numFmtId="3" fontId="32" fillId="0" borderId="6" xfId="9" applyNumberFormat="1" applyFont="1" applyFill="1" applyBorder="1" applyAlignment="1">
      <alignment horizontal="right"/>
    </xf>
    <xf numFmtId="3" fontId="32" fillId="0" borderId="6" xfId="9" applyNumberFormat="1" applyFont="1" applyFill="1" applyBorder="1"/>
    <xf numFmtId="0" fontId="32" fillId="0" borderId="6" xfId="9" applyFont="1" applyFill="1" applyBorder="1"/>
    <xf numFmtId="0" fontId="30" fillId="0" borderId="6" xfId="9" applyFont="1" applyBorder="1" applyAlignment="1">
      <alignment horizontal="center"/>
    </xf>
    <xf numFmtId="0" fontId="26" fillId="0" borderId="6" xfId="9" applyBorder="1"/>
    <xf numFmtId="0" fontId="26" fillId="0" borderId="0" xfId="9" applyFill="1"/>
    <xf numFmtId="4" fontId="30" fillId="6" borderId="6" xfId="9" applyNumberFormat="1" applyFont="1" applyFill="1" applyBorder="1" applyAlignment="1">
      <alignment horizontal="right"/>
    </xf>
    <xf numFmtId="3" fontId="34" fillId="6" borderId="6" xfId="9" applyNumberFormat="1" applyFont="1" applyFill="1" applyBorder="1" applyAlignment="1">
      <alignment wrapText="1"/>
    </xf>
    <xf numFmtId="4" fontId="30" fillId="0" borderId="6" xfId="9" applyNumberFormat="1" applyFont="1" applyFill="1" applyBorder="1" applyAlignment="1">
      <alignment horizontal="right"/>
    </xf>
    <xf numFmtId="3" fontId="34" fillId="0" borderId="6" xfId="9" applyNumberFormat="1" applyFont="1" applyFill="1" applyBorder="1" applyAlignment="1">
      <alignment wrapText="1"/>
    </xf>
    <xf numFmtId="4" fontId="30" fillId="0" borderId="6" xfId="9" applyNumberFormat="1" applyFont="1" applyBorder="1" applyAlignment="1">
      <alignment horizontal="right"/>
    </xf>
    <xf numFmtId="3" fontId="34" fillId="0" borderId="6" xfId="9" applyNumberFormat="1" applyFont="1" applyBorder="1" applyAlignment="1">
      <alignment wrapText="1"/>
    </xf>
    <xf numFmtId="0" fontId="30" fillId="0" borderId="6" xfId="9" applyFont="1" applyBorder="1" applyAlignment="1">
      <alignment wrapText="1"/>
    </xf>
    <xf numFmtId="3" fontId="35" fillId="0" borderId="0" xfId="9" applyNumberFormat="1" applyFont="1"/>
    <xf numFmtId="3" fontId="35" fillId="0" borderId="0" xfId="9" applyNumberFormat="1" applyFont="1" applyFill="1"/>
    <xf numFmtId="4" fontId="32" fillId="6" borderId="6" xfId="9" applyNumberFormat="1" applyFont="1" applyFill="1" applyBorder="1" applyAlignment="1">
      <alignment horizontal="right"/>
    </xf>
    <xf numFmtId="3" fontId="32" fillId="6" borderId="6" xfId="9" applyNumberFormat="1" applyFont="1" applyFill="1" applyBorder="1" applyAlignment="1">
      <alignment wrapText="1"/>
    </xf>
    <xf numFmtId="4" fontId="32" fillId="0" borderId="6" xfId="9" applyNumberFormat="1" applyFont="1" applyFill="1" applyBorder="1" applyAlignment="1">
      <alignment horizontal="right"/>
    </xf>
    <xf numFmtId="3" fontId="32" fillId="0" borderId="6" xfId="9" applyNumberFormat="1" applyFont="1" applyFill="1" applyBorder="1" applyAlignment="1">
      <alignment wrapText="1"/>
    </xf>
    <xf numFmtId="4" fontId="32" fillId="0" borderId="6" xfId="9" applyNumberFormat="1" applyFont="1" applyBorder="1" applyAlignment="1">
      <alignment horizontal="right"/>
    </xf>
    <xf numFmtId="3" fontId="32" fillId="0" borderId="6" xfId="9" applyNumberFormat="1" applyFont="1" applyBorder="1" applyAlignment="1">
      <alignment wrapText="1"/>
    </xf>
    <xf numFmtId="0" fontId="32" fillId="0" borderId="6" xfId="9" applyFont="1" applyBorder="1" applyAlignment="1">
      <alignment wrapText="1"/>
    </xf>
    <xf numFmtId="3" fontId="32" fillId="3" borderId="6" xfId="9" applyNumberFormat="1" applyFont="1" applyFill="1" applyBorder="1" applyAlignment="1">
      <alignment wrapText="1"/>
    </xf>
    <xf numFmtId="0" fontId="32" fillId="0" borderId="6" xfId="9" applyFont="1" applyFill="1" applyBorder="1" applyAlignment="1">
      <alignment wrapText="1"/>
    </xf>
    <xf numFmtId="3" fontId="32" fillId="6" borderId="6" xfId="9" applyNumberFormat="1" applyFont="1" applyFill="1" applyBorder="1" applyAlignment="1"/>
    <xf numFmtId="3" fontId="32" fillId="0" borderId="6" xfId="9" applyNumberFormat="1" applyFont="1" applyFill="1" applyBorder="1" applyAlignment="1"/>
    <xf numFmtId="3" fontId="32" fillId="3" borderId="6" xfId="9" applyNumberFormat="1" applyFont="1" applyFill="1" applyBorder="1" applyAlignment="1"/>
    <xf numFmtId="0" fontId="32" fillId="0" borderId="6" xfId="9" applyFont="1" applyBorder="1" applyAlignment="1"/>
    <xf numFmtId="4" fontId="32" fillId="0" borderId="6" xfId="9" applyNumberFormat="1" applyFont="1" applyBorder="1" applyAlignment="1">
      <alignment wrapText="1"/>
    </xf>
    <xf numFmtId="4" fontId="30" fillId="6" borderId="6" xfId="9" applyNumberFormat="1" applyFont="1" applyFill="1" applyBorder="1" applyAlignment="1">
      <alignment horizontal="center" vertical="center" wrapText="1"/>
    </xf>
    <xf numFmtId="4" fontId="30" fillId="0" borderId="6" xfId="9" applyNumberFormat="1" applyFont="1" applyFill="1" applyBorder="1" applyAlignment="1">
      <alignment horizontal="center" vertical="center" wrapText="1"/>
    </xf>
    <xf numFmtId="4" fontId="30" fillId="0" borderId="6" xfId="9" applyNumberFormat="1" applyFont="1" applyBorder="1" applyAlignment="1">
      <alignment horizontal="center" vertical="center" wrapText="1"/>
    </xf>
    <xf numFmtId="0" fontId="30" fillId="0" borderId="6" xfId="9" applyFont="1" applyBorder="1" applyAlignment="1">
      <alignment horizontal="center" vertical="center" wrapText="1"/>
    </xf>
    <xf numFmtId="4" fontId="36" fillId="0" borderId="0" xfId="9" applyNumberFormat="1" applyFont="1"/>
    <xf numFmtId="4" fontId="36" fillId="0" borderId="0" xfId="9" applyNumberFormat="1" applyFont="1" applyFill="1"/>
    <xf numFmtId="3" fontId="15" fillId="6" borderId="33" xfId="11" applyNumberFormat="1" applyFont="1" applyFill="1" applyBorder="1"/>
    <xf numFmtId="4" fontId="36" fillId="6" borderId="38" xfId="11" applyNumberFormat="1" applyFont="1" applyFill="1" applyBorder="1"/>
    <xf numFmtId="4" fontId="36" fillId="0" borderId="38" xfId="11" applyNumberFormat="1" applyFont="1" applyFill="1" applyBorder="1"/>
    <xf numFmtId="4" fontId="11" fillId="0" borderId="6" xfId="12" applyNumberFormat="1" applyFont="1" applyFill="1" applyBorder="1"/>
    <xf numFmtId="0" fontId="11" fillId="0" borderId="4" xfId="12" applyFont="1" applyFill="1" applyBorder="1" applyAlignment="1">
      <alignment horizontal="left"/>
    </xf>
    <xf numFmtId="4" fontId="36" fillId="6" borderId="33" xfId="11" applyNumberFormat="1" applyFont="1" applyFill="1" applyBorder="1"/>
    <xf numFmtId="4" fontId="36" fillId="0" borderId="33" xfId="11" applyNumberFormat="1" applyFont="1" applyFill="1" applyBorder="1"/>
    <xf numFmtId="3" fontId="15" fillId="6" borderId="39" xfId="11" applyNumberFormat="1" applyFont="1" applyFill="1" applyBorder="1"/>
    <xf numFmtId="4" fontId="36" fillId="6" borderId="6" xfId="12" applyNumberFormat="1" applyFont="1" applyFill="1" applyBorder="1"/>
    <xf numFmtId="4" fontId="36" fillId="0" borderId="6" xfId="12" applyNumberFormat="1" applyFont="1" applyFill="1" applyBorder="1"/>
    <xf numFmtId="4" fontId="37" fillId="6" borderId="6" xfId="12" applyNumberFormat="1" applyFont="1" applyFill="1" applyBorder="1"/>
    <xf numFmtId="4" fontId="37" fillId="0" borderId="6" xfId="12" applyNumberFormat="1" applyFont="1" applyFill="1" applyBorder="1"/>
    <xf numFmtId="4" fontId="38" fillId="0" borderId="6" xfId="12" applyNumberFormat="1" applyFont="1" applyFill="1" applyBorder="1"/>
    <xf numFmtId="0" fontId="38" fillId="0" borderId="4" xfId="12" applyFont="1" applyFill="1" applyBorder="1" applyAlignment="1">
      <alignment horizontal="left"/>
    </xf>
    <xf numFmtId="49" fontId="37" fillId="0" borderId="0" xfId="9" applyNumberFormat="1" applyFont="1" applyAlignment="1">
      <alignment horizontal="right"/>
    </xf>
    <xf numFmtId="49" fontId="37" fillId="0" borderId="0" xfId="9" applyNumberFormat="1" applyFont="1" applyFill="1" applyAlignment="1">
      <alignment horizontal="right"/>
    </xf>
    <xf numFmtId="0" fontId="31" fillId="0" borderId="0" xfId="9" applyFont="1" applyFill="1"/>
    <xf numFmtId="0" fontId="31" fillId="0" borderId="0" xfId="9" applyFont="1"/>
    <xf numFmtId="3" fontId="37" fillId="6" borderId="6" xfId="9" applyNumberFormat="1" applyFont="1" applyFill="1" applyBorder="1" applyAlignment="1">
      <alignment wrapText="1"/>
    </xf>
    <xf numFmtId="3" fontId="37" fillId="0" borderId="6" xfId="9" applyNumberFormat="1" applyFont="1" applyFill="1" applyBorder="1" applyAlignment="1">
      <alignment wrapText="1"/>
    </xf>
    <xf numFmtId="3" fontId="30" fillId="0" borderId="6" xfId="9" applyNumberFormat="1" applyFont="1" applyFill="1" applyBorder="1" applyAlignment="1">
      <alignment wrapText="1"/>
    </xf>
    <xf numFmtId="3" fontId="30" fillId="0" borderId="6" xfId="9" applyNumberFormat="1" applyFont="1" applyBorder="1" applyAlignment="1">
      <alignment wrapText="1"/>
    </xf>
    <xf numFmtId="3" fontId="36" fillId="0" borderId="0" xfId="9" applyNumberFormat="1" applyFont="1" applyFill="1"/>
    <xf numFmtId="3" fontId="36" fillId="6" borderId="6" xfId="9" applyNumberFormat="1" applyFont="1" applyFill="1" applyBorder="1" applyAlignment="1">
      <alignment wrapText="1"/>
    </xf>
    <xf numFmtId="3" fontId="36" fillId="0" borderId="6" xfId="9" applyNumberFormat="1" applyFont="1" applyFill="1" applyBorder="1" applyAlignment="1">
      <alignment wrapText="1"/>
    </xf>
    <xf numFmtId="3" fontId="36" fillId="6" borderId="6" xfId="9" applyNumberFormat="1" applyFont="1" applyFill="1" applyBorder="1" applyAlignment="1"/>
    <xf numFmtId="3" fontId="36" fillId="0" borderId="6" xfId="9" applyNumberFormat="1" applyFont="1" applyFill="1" applyBorder="1" applyAlignment="1"/>
    <xf numFmtId="3" fontId="32" fillId="0" borderId="6" xfId="9" applyNumberFormat="1" applyFont="1" applyBorder="1" applyAlignment="1"/>
    <xf numFmtId="4" fontId="37" fillId="6" borderId="6" xfId="9" applyNumberFormat="1" applyFont="1" applyFill="1" applyBorder="1" applyAlignment="1">
      <alignment horizontal="center" vertical="center" wrapText="1"/>
    </xf>
    <xf numFmtId="4" fontId="37" fillId="0" borderId="6" xfId="9" applyNumberFormat="1" applyFont="1" applyFill="1" applyBorder="1" applyAlignment="1">
      <alignment horizontal="center" vertical="center" wrapText="1"/>
    </xf>
    <xf numFmtId="3" fontId="26" fillId="7" borderId="6" xfId="9" applyNumberFormat="1" applyFont="1" applyFill="1" applyBorder="1"/>
    <xf numFmtId="0" fontId="4" fillId="0" borderId="5" xfId="1" applyFont="1" applyBorder="1" applyAlignment="1">
      <alignment vertical="center" wrapText="1"/>
    </xf>
    <xf numFmtId="0" fontId="4" fillId="0" borderId="0" xfId="1" applyFont="1" applyFill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39" fillId="0" borderId="0" xfId="14" applyFont="1"/>
    <xf numFmtId="0" fontId="40" fillId="0" borderId="0" xfId="14" applyFont="1" applyAlignment="1">
      <alignment horizontal="center"/>
    </xf>
    <xf numFmtId="0" fontId="5" fillId="0" borderId="0" xfId="14" applyFont="1" applyAlignment="1">
      <alignment horizontal="left"/>
    </xf>
    <xf numFmtId="3" fontId="41" fillId="0" borderId="0" xfId="14" applyNumberFormat="1" applyFont="1"/>
    <xf numFmtId="0" fontId="41" fillId="0" borderId="0" xfId="1" applyFont="1" applyAlignment="1">
      <alignment wrapText="1"/>
    </xf>
    <xf numFmtId="0" fontId="41" fillId="0" borderId="0" xfId="14" applyFont="1"/>
    <xf numFmtId="0" fontId="5" fillId="0" borderId="40" xfId="14" applyFont="1" applyBorder="1" applyAlignment="1">
      <alignment horizontal="center" vertical="center" wrapText="1"/>
    </xf>
    <xf numFmtId="0" fontId="5" fillId="0" borderId="41" xfId="14" applyFont="1" applyBorder="1" applyAlignment="1">
      <alignment horizontal="center" vertical="center" wrapText="1"/>
    </xf>
    <xf numFmtId="3" fontId="5" fillId="0" borderId="42" xfId="14" applyNumberFormat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3" fontId="5" fillId="0" borderId="41" xfId="14" applyNumberFormat="1" applyFont="1" applyBorder="1" applyAlignment="1">
      <alignment horizontal="center" vertical="center" wrapText="1"/>
    </xf>
    <xf numFmtId="0" fontId="42" fillId="0" borderId="0" xfId="14" applyFont="1"/>
    <xf numFmtId="0" fontId="5" fillId="0" borderId="63" xfId="14" applyFont="1" applyBorder="1" applyAlignment="1">
      <alignment horizontal="center" vertical="center" wrapText="1"/>
    </xf>
    <xf numFmtId="0" fontId="5" fillId="0" borderId="64" xfId="14" applyFont="1" applyBorder="1" applyAlignment="1">
      <alignment horizontal="center" vertical="center" wrapText="1"/>
    </xf>
    <xf numFmtId="3" fontId="5" fillId="0" borderId="64" xfId="14" applyNumberFormat="1" applyFont="1" applyBorder="1" applyAlignment="1">
      <alignment horizontal="center" vertical="center" wrapText="1"/>
    </xf>
    <xf numFmtId="0" fontId="41" fillId="0" borderId="0" xfId="14" applyFont="1" applyAlignment="1">
      <alignment horizontal="center"/>
    </xf>
    <xf numFmtId="0" fontId="4" fillId="0" borderId="5" xfId="1" applyFont="1" applyFill="1" applyBorder="1" applyAlignment="1">
      <alignment horizontal="left" vertical="center" wrapText="1"/>
    </xf>
    <xf numFmtId="3" fontId="26" fillId="8" borderId="6" xfId="9" applyNumberFormat="1" applyFill="1" applyBorder="1"/>
    <xf numFmtId="0" fontId="5" fillId="0" borderId="0" xfId="3" applyFont="1" applyAlignment="1">
      <alignment vertical="center" wrapText="1"/>
    </xf>
    <xf numFmtId="4" fontId="5" fillId="0" borderId="0" xfId="3" applyNumberFormat="1" applyFont="1" applyAlignment="1">
      <alignment vertical="center"/>
    </xf>
    <xf numFmtId="49" fontId="5" fillId="2" borderId="32" xfId="4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5" fillId="0" borderId="0" xfId="1" applyFont="1" applyAlignment="1">
      <alignment vertical="center"/>
    </xf>
    <xf numFmtId="164" fontId="4" fillId="0" borderId="7" xfId="1" applyNumberFormat="1" applyFont="1" applyBorder="1" applyAlignment="1">
      <alignment horizontal="right" vertical="center"/>
    </xf>
    <xf numFmtId="0" fontId="2" fillId="0" borderId="0" xfId="14" applyFont="1" applyAlignment="1">
      <alignment horizontal="center"/>
    </xf>
    <xf numFmtId="0" fontId="45" fillId="0" borderId="0" xfId="1" applyFont="1" applyFill="1" applyAlignment="1">
      <alignment vertical="center"/>
    </xf>
    <xf numFmtId="0" fontId="4" fillId="0" borderId="7" xfId="3" applyFont="1" applyBorder="1" applyAlignment="1">
      <alignment horizontal="justify" vertical="center"/>
    </xf>
    <xf numFmtId="3" fontId="4" fillId="0" borderId="33" xfId="3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 vertical="center"/>
    </xf>
    <xf numFmtId="0" fontId="5" fillId="0" borderId="21" xfId="3" applyFont="1" applyBorder="1" applyAlignment="1">
      <alignment vertical="center"/>
    </xf>
    <xf numFmtId="0" fontId="5" fillId="0" borderId="32" xfId="3" applyFont="1" applyBorder="1" applyAlignment="1">
      <alignment vertical="center"/>
    </xf>
    <xf numFmtId="0" fontId="5" fillId="0" borderId="8" xfId="3" applyFont="1" applyBorder="1" applyAlignment="1">
      <alignment vertical="center"/>
    </xf>
    <xf numFmtId="49" fontId="4" fillId="0" borderId="6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49" fontId="4" fillId="0" borderId="7" xfId="3" applyNumberFormat="1" applyFont="1" applyBorder="1" applyAlignment="1">
      <alignment horizontal="justify" vertical="center"/>
    </xf>
    <xf numFmtId="4" fontId="18" fillId="0" borderId="0" xfId="0" applyNumberFormat="1" applyFont="1"/>
    <xf numFmtId="3" fontId="18" fillId="0" borderId="0" xfId="0" applyNumberFormat="1" applyFont="1"/>
    <xf numFmtId="0" fontId="4" fillId="0" borderId="0" xfId="17" applyFont="1" applyAlignment="1">
      <alignment vertical="center"/>
    </xf>
    <xf numFmtId="0" fontId="41" fillId="0" borderId="0" xfId="1" applyFont="1"/>
    <xf numFmtId="0" fontId="42" fillId="0" borderId="0" xfId="1" applyFont="1"/>
    <xf numFmtId="0" fontId="42" fillId="0" borderId="0" xfId="1" applyFont="1" applyAlignment="1">
      <alignment wrapText="1"/>
    </xf>
    <xf numFmtId="0" fontId="4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2" fillId="0" borderId="17" xfId="1" applyFont="1" applyBorder="1" applyAlignment="1">
      <alignment wrapText="1"/>
    </xf>
    <xf numFmtId="3" fontId="5" fillId="0" borderId="16" xfId="1" applyNumberFormat="1" applyFont="1" applyBorder="1" applyAlignment="1">
      <alignment wrapText="1"/>
    </xf>
    <xf numFmtId="0" fontId="39" fillId="0" borderId="0" xfId="1" applyFont="1" applyAlignment="1">
      <alignment horizontal="left"/>
    </xf>
    <xf numFmtId="0" fontId="42" fillId="0" borderId="0" xfId="14" applyFont="1" applyAlignment="1">
      <alignment horizontal="left"/>
    </xf>
    <xf numFmtId="3" fontId="5" fillId="0" borderId="36" xfId="14" applyNumberFormat="1" applyFont="1" applyBorder="1"/>
    <xf numFmtId="0" fontId="42" fillId="0" borderId="36" xfId="14" applyFont="1" applyBorder="1"/>
    <xf numFmtId="0" fontId="5" fillId="0" borderId="35" xfId="14" applyFont="1" applyBorder="1" applyAlignment="1">
      <alignment horizontal="left"/>
    </xf>
    <xf numFmtId="3" fontId="4" fillId="0" borderId="45" xfId="14" applyNumberFormat="1" applyFont="1" applyBorder="1" applyAlignment="1">
      <alignment vertical="center"/>
    </xf>
    <xf numFmtId="0" fontId="4" fillId="0" borderId="7" xfId="1" applyFont="1" applyBorder="1" applyAlignment="1">
      <alignment horizontal="justify" vertical="center" wrapText="1"/>
    </xf>
    <xf numFmtId="3" fontId="4" fillId="0" borderId="6" xfId="14" applyNumberFormat="1" applyFont="1" applyBorder="1" applyAlignment="1">
      <alignment vertical="center"/>
    </xf>
    <xf numFmtId="0" fontId="4" fillId="0" borderId="56" xfId="1" applyFont="1" applyBorder="1" applyAlignment="1">
      <alignment horizontal="justify" vertical="center" wrapText="1"/>
    </xf>
    <xf numFmtId="3" fontId="4" fillId="0" borderId="19" xfId="14" applyNumberFormat="1" applyFont="1" applyBorder="1" applyAlignment="1">
      <alignment vertical="center"/>
    </xf>
    <xf numFmtId="0" fontId="4" fillId="0" borderId="6" xfId="15" applyFont="1" applyBorder="1" applyAlignment="1">
      <alignment vertical="center" wrapText="1"/>
    </xf>
    <xf numFmtId="0" fontId="4" fillId="0" borderId="4" xfId="14" applyFont="1" applyBorder="1" applyAlignment="1">
      <alignment horizontal="center" vertical="center" wrapText="1"/>
    </xf>
    <xf numFmtId="3" fontId="42" fillId="0" borderId="0" xfId="14" applyNumberFormat="1" applyFont="1"/>
    <xf numFmtId="0" fontId="5" fillId="0" borderId="0" xfId="14" applyFont="1"/>
    <xf numFmtId="0" fontId="42" fillId="0" borderId="0" xfId="14" applyFont="1" applyAlignment="1">
      <alignment horizontal="center"/>
    </xf>
    <xf numFmtId="3" fontId="42" fillId="0" borderId="60" xfId="14" applyNumberFormat="1" applyFont="1" applyBorder="1"/>
    <xf numFmtId="0" fontId="24" fillId="0" borderId="0" xfId="1" applyFont="1" applyAlignment="1">
      <alignment horizontal="center" vertical="center" wrapText="1"/>
    </xf>
    <xf numFmtId="0" fontId="4" fillId="0" borderId="45" xfId="15" applyFont="1" applyBorder="1" applyAlignment="1">
      <alignment horizontal="left" vertical="center" wrapText="1"/>
    </xf>
    <xf numFmtId="0" fontId="4" fillId="0" borderId="44" xfId="14" applyFont="1" applyBorder="1" applyAlignment="1">
      <alignment horizontal="center" vertical="center"/>
    </xf>
    <xf numFmtId="0" fontId="4" fillId="0" borderId="54" xfId="1" applyFont="1" applyBorder="1" applyAlignment="1">
      <alignment horizontal="justify" vertical="center" wrapText="1"/>
    </xf>
    <xf numFmtId="3" fontId="5" fillId="0" borderId="61" xfId="14" applyNumberFormat="1" applyFont="1" applyBorder="1"/>
    <xf numFmtId="0" fontId="5" fillId="0" borderId="61" xfId="14" applyFont="1" applyBorder="1"/>
    <xf numFmtId="0" fontId="5" fillId="0" borderId="61" xfId="14" applyFont="1" applyBorder="1" applyAlignment="1">
      <alignment horizontal="left"/>
    </xf>
    <xf numFmtId="3" fontId="4" fillId="0" borderId="22" xfId="14" applyNumberFormat="1" applyFont="1" applyBorder="1" applyAlignment="1">
      <alignment vertical="center"/>
    </xf>
    <xf numFmtId="3" fontId="4" fillId="0" borderId="53" xfId="14" applyNumberFormat="1" applyFont="1" applyBorder="1" applyAlignment="1">
      <alignment vertical="center"/>
    </xf>
    <xf numFmtId="0" fontId="5" fillId="0" borderId="0" xfId="1" applyFont="1" applyAlignment="1">
      <alignment wrapText="1"/>
    </xf>
    <xf numFmtId="3" fontId="5" fillId="0" borderId="0" xfId="14" applyNumberFormat="1" applyFont="1"/>
    <xf numFmtId="0" fontId="42" fillId="0" borderId="50" xfId="1" applyFont="1" applyBorder="1" applyAlignment="1">
      <alignment wrapText="1"/>
    </xf>
    <xf numFmtId="3" fontId="5" fillId="0" borderId="49" xfId="1" applyNumberFormat="1" applyFont="1" applyBorder="1" applyAlignment="1">
      <alignment wrapText="1"/>
    </xf>
    <xf numFmtId="0" fontId="5" fillId="0" borderId="48" xfId="14" applyFont="1" applyBorder="1"/>
    <xf numFmtId="0" fontId="5" fillId="0" borderId="47" xfId="14" applyFont="1" applyBorder="1" applyAlignment="1">
      <alignment horizontal="left"/>
    </xf>
    <xf numFmtId="0" fontId="4" fillId="0" borderId="69" xfId="1" applyFont="1" applyBorder="1" applyAlignment="1">
      <alignment horizontal="justify" vertical="center" wrapText="1"/>
    </xf>
    <xf numFmtId="3" fontId="4" fillId="0" borderId="46" xfId="14" applyNumberFormat="1" applyFont="1" applyBorder="1" applyAlignment="1">
      <alignment vertical="center"/>
    </xf>
    <xf numFmtId="0" fontId="4" fillId="0" borderId="46" xfId="1" applyFont="1" applyBorder="1" applyAlignment="1">
      <alignment horizontal="left" vertical="center" wrapText="1"/>
    </xf>
    <xf numFmtId="0" fontId="4" fillId="0" borderId="44" xfId="1" applyFont="1" applyBorder="1" applyAlignment="1">
      <alignment horizontal="center" vertical="center"/>
    </xf>
    <xf numFmtId="0" fontId="4" fillId="0" borderId="21" xfId="1" applyFont="1" applyBorder="1" applyAlignment="1">
      <alignment horizontal="justify" vertical="center" wrapText="1"/>
    </xf>
    <xf numFmtId="0" fontId="4" fillId="0" borderId="38" xfId="15" applyFont="1" applyBorder="1" applyAlignment="1">
      <alignment horizontal="left" vertical="center" wrapText="1"/>
    </xf>
    <xf numFmtId="0" fontId="45" fillId="0" borderId="0" xfId="1" applyFont="1" applyAlignment="1">
      <alignment horizontal="justify" vertical="center"/>
    </xf>
    <xf numFmtId="0" fontId="45" fillId="0" borderId="0" xfId="1" applyFont="1" applyAlignment="1">
      <alignment horizontal="justify" vertical="center" wrapText="1"/>
    </xf>
    <xf numFmtId="0" fontId="24" fillId="0" borderId="0" xfId="1" applyFont="1" applyAlignment="1">
      <alignment horizontal="center" vertical="center"/>
    </xf>
    <xf numFmtId="0" fontId="4" fillId="0" borderId="70" xfId="14" applyFont="1" applyBorder="1" applyAlignment="1">
      <alignment horizontal="center" vertical="center"/>
    </xf>
    <xf numFmtId="0" fontId="4" fillId="0" borderId="53" xfId="15" applyFont="1" applyBorder="1" applyAlignment="1">
      <alignment horizontal="left" vertical="center" wrapText="1"/>
    </xf>
    <xf numFmtId="3" fontId="50" fillId="0" borderId="67" xfId="17" applyNumberFormat="1" applyFont="1" applyBorder="1" applyAlignment="1">
      <alignment horizontal="center" vertical="center" wrapText="1"/>
    </xf>
    <xf numFmtId="3" fontId="50" fillId="0" borderId="65" xfId="17" applyNumberFormat="1" applyFont="1" applyBorder="1" applyAlignment="1">
      <alignment horizontal="right" vertical="center" wrapText="1"/>
    </xf>
    <xf numFmtId="3" fontId="20" fillId="0" borderId="0" xfId="0" applyNumberFormat="1" applyFont="1" applyAlignment="1">
      <alignment horizontal="right"/>
    </xf>
    <xf numFmtId="3" fontId="50" fillId="4" borderId="12" xfId="17" applyNumberFormat="1" applyFont="1" applyFill="1" applyBorder="1" applyAlignment="1">
      <alignment horizontal="center" vertical="center" wrapText="1"/>
    </xf>
    <xf numFmtId="3" fontId="23" fillId="0" borderId="6" xfId="17" applyNumberFormat="1" applyFont="1" applyBorder="1" applyAlignment="1">
      <alignment horizontal="right" vertical="center" wrapText="1"/>
    </xf>
    <xf numFmtId="3" fontId="50" fillId="0" borderId="11" xfId="17" applyNumberFormat="1" applyFont="1" applyBorder="1" applyAlignment="1">
      <alignment horizontal="center" vertical="center" wrapText="1"/>
    </xf>
    <xf numFmtId="3" fontId="50" fillId="4" borderId="11" xfId="17" applyNumberFormat="1" applyFont="1" applyFill="1" applyBorder="1" applyAlignment="1">
      <alignment horizontal="center" vertical="center" wrapText="1"/>
    </xf>
    <xf numFmtId="3" fontId="23" fillId="4" borderId="6" xfId="17" applyNumberFormat="1" applyFont="1" applyFill="1" applyBorder="1" applyAlignment="1">
      <alignment horizontal="right" vertical="center" wrapText="1"/>
    </xf>
    <xf numFmtId="3" fontId="50" fillId="4" borderId="6" xfId="17" applyNumberFormat="1" applyFont="1" applyFill="1" applyBorder="1" applyAlignment="1">
      <alignment horizontal="right" vertical="center" wrapText="1"/>
    </xf>
    <xf numFmtId="3" fontId="4" fillId="4" borderId="6" xfId="17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3" fontId="50" fillId="4" borderId="34" xfId="17" applyNumberFormat="1" applyFont="1" applyFill="1" applyBorder="1" applyAlignment="1">
      <alignment horizontal="left" vertical="center" wrapText="1"/>
    </xf>
    <xf numFmtId="3" fontId="50" fillId="4" borderId="16" xfId="17" applyNumberFormat="1" applyFont="1" applyFill="1" applyBorder="1" applyAlignment="1">
      <alignment horizontal="right" vertical="center" wrapText="1"/>
    </xf>
    <xf numFmtId="3" fontId="50" fillId="4" borderId="17" xfId="17" applyNumberFormat="1" applyFont="1" applyFill="1" applyBorder="1" applyAlignment="1">
      <alignment horizontal="right" vertical="center" wrapText="1"/>
    </xf>
    <xf numFmtId="3" fontId="4" fillId="4" borderId="7" xfId="0" applyNumberFormat="1" applyFont="1" applyFill="1" applyBorder="1" applyAlignment="1">
      <alignment vertical="center"/>
    </xf>
    <xf numFmtId="3" fontId="23" fillId="4" borderId="7" xfId="17" applyNumberFormat="1" applyFont="1" applyFill="1" applyBorder="1" applyAlignment="1">
      <alignment horizontal="right" vertical="center" wrapText="1"/>
    </xf>
    <xf numFmtId="3" fontId="50" fillId="4" borderId="4" xfId="17" applyNumberFormat="1" applyFont="1" applyFill="1" applyBorder="1" applyAlignment="1">
      <alignment horizontal="left" vertical="center" wrapText="1"/>
    </xf>
    <xf numFmtId="3" fontId="50" fillId="4" borderId="7" xfId="17" applyNumberFormat="1" applyFont="1" applyFill="1" applyBorder="1" applyAlignment="1">
      <alignment horizontal="right" vertical="center" wrapText="1"/>
    </xf>
    <xf numFmtId="3" fontId="53" fillId="4" borderId="7" xfId="0" applyNumberFormat="1" applyFont="1" applyFill="1" applyBorder="1" applyAlignment="1">
      <alignment horizontal="right" vertical="center" wrapText="1"/>
    </xf>
    <xf numFmtId="3" fontId="4" fillId="4" borderId="7" xfId="17" applyNumberFormat="1" applyFont="1" applyFill="1" applyBorder="1" applyAlignment="1">
      <alignment horizontal="right" vertical="center" wrapText="1"/>
    </xf>
    <xf numFmtId="3" fontId="50" fillId="0" borderId="71" xfId="17" applyNumberFormat="1" applyFont="1" applyBorder="1" applyAlignment="1">
      <alignment horizontal="left" vertical="center" wrapText="1"/>
    </xf>
    <xf numFmtId="3" fontId="55" fillId="7" borderId="0" xfId="9" applyNumberFormat="1" applyFont="1" applyFill="1"/>
    <xf numFmtId="3" fontId="26" fillId="7" borderId="0" xfId="9" applyNumberFormat="1" applyFont="1" applyFill="1"/>
    <xf numFmtId="0" fontId="4" fillId="0" borderId="8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/>
    </xf>
    <xf numFmtId="0" fontId="5" fillId="2" borderId="5" xfId="3" applyFont="1" applyFill="1" applyBorder="1" applyAlignment="1">
      <alignment vertical="center" wrapText="1"/>
    </xf>
    <xf numFmtId="0" fontId="4" fillId="0" borderId="4" xfId="14" applyFont="1" applyBorder="1" applyAlignment="1">
      <alignment horizontal="center" vertical="center"/>
    </xf>
    <xf numFmtId="0" fontId="4" fillId="0" borderId="6" xfId="15" applyFont="1" applyBorder="1" applyAlignment="1">
      <alignment horizontal="left" vertical="center" wrapText="1"/>
    </xf>
    <xf numFmtId="0" fontId="4" fillId="0" borderId="37" xfId="14" applyFont="1" applyBorder="1" applyAlignment="1">
      <alignment horizontal="center" vertical="center" wrapText="1"/>
    </xf>
    <xf numFmtId="0" fontId="4" fillId="0" borderId="19" xfId="15" applyFont="1" applyBorder="1" applyAlignment="1">
      <alignment horizontal="left" vertical="center" wrapText="1"/>
    </xf>
    <xf numFmtId="0" fontId="4" fillId="0" borderId="29" xfId="14" applyFont="1" applyBorder="1" applyAlignment="1">
      <alignment horizontal="center" vertical="center"/>
    </xf>
    <xf numFmtId="0" fontId="4" fillId="0" borderId="57" xfId="14" applyFont="1" applyBorder="1" applyAlignment="1">
      <alignment horizontal="center" vertical="center"/>
    </xf>
    <xf numFmtId="0" fontId="4" fillId="0" borderId="22" xfId="15" applyFont="1" applyBorder="1" applyAlignment="1">
      <alignment horizontal="left" vertical="center" wrapText="1"/>
    </xf>
    <xf numFmtId="0" fontId="4" fillId="0" borderId="37" xfId="14" applyFont="1" applyBorder="1" applyAlignment="1">
      <alignment horizontal="center" vertical="center"/>
    </xf>
    <xf numFmtId="0" fontId="4" fillId="0" borderId="29" xfId="14" applyFont="1" applyBorder="1" applyAlignment="1">
      <alignment horizontal="center" vertical="center" wrapText="1"/>
    </xf>
    <xf numFmtId="0" fontId="4" fillId="0" borderId="22" xfId="15" applyFont="1" applyBorder="1" applyAlignment="1">
      <alignment vertical="center" wrapText="1"/>
    </xf>
    <xf numFmtId="0" fontId="4" fillId="0" borderId="19" xfId="15" applyFont="1" applyBorder="1" applyAlignment="1">
      <alignment vertical="center" wrapText="1"/>
    </xf>
    <xf numFmtId="0" fontId="4" fillId="0" borderId="55" xfId="15" applyFont="1" applyBorder="1" applyAlignment="1">
      <alignment vertical="center" wrapText="1"/>
    </xf>
    <xf numFmtId="164" fontId="4" fillId="0" borderId="7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0" fontId="5" fillId="2" borderId="24" xfId="3" applyFont="1" applyFill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3" fontId="4" fillId="0" borderId="6" xfId="3" applyNumberFormat="1" applyFont="1" applyBorder="1" applyAlignment="1">
      <alignment horizontal="center" vertical="center" wrapText="1"/>
    </xf>
    <xf numFmtId="3" fontId="4" fillId="7" borderId="6" xfId="3" applyNumberFormat="1" applyFont="1" applyFill="1" applyBorder="1" applyAlignment="1">
      <alignment horizontal="center" vertical="center" wrapText="1"/>
    </xf>
    <xf numFmtId="0" fontId="4" fillId="0" borderId="15" xfId="3" applyFont="1" applyBorder="1" applyAlignment="1">
      <alignment vertical="center"/>
    </xf>
    <xf numFmtId="0" fontId="4" fillId="0" borderId="30" xfId="3" applyFont="1" applyBorder="1" applyAlignment="1">
      <alignment vertical="center" wrapText="1"/>
    </xf>
    <xf numFmtId="3" fontId="4" fillId="0" borderId="30" xfId="3" applyNumberFormat="1" applyFont="1" applyBorder="1" applyAlignment="1">
      <alignment vertical="center" wrapText="1"/>
    </xf>
    <xf numFmtId="49" fontId="4" fillId="0" borderId="18" xfId="3" applyNumberFormat="1" applyFont="1" applyBorder="1" applyAlignment="1">
      <alignment horizontal="justify" vertical="center"/>
    </xf>
    <xf numFmtId="0" fontId="5" fillId="2" borderId="16" xfId="3" applyFont="1" applyFill="1" applyBorder="1" applyAlignment="1">
      <alignment vertical="center" wrapText="1"/>
    </xf>
    <xf numFmtId="3" fontId="15" fillId="0" borderId="0" xfId="3" applyNumberFormat="1" applyFont="1" applyAlignment="1">
      <alignment vertical="center"/>
    </xf>
    <xf numFmtId="0" fontId="4" fillId="0" borderId="0" xfId="5" applyFont="1" applyAlignment="1">
      <alignment vertical="center"/>
    </xf>
    <xf numFmtId="4" fontId="4" fillId="0" borderId="0" xfId="3" applyNumberFormat="1" applyFont="1" applyAlignment="1">
      <alignment vertical="center"/>
    </xf>
    <xf numFmtId="4" fontId="15" fillId="0" borderId="0" xfId="3" applyNumberFormat="1" applyFont="1" applyAlignment="1">
      <alignment vertical="center"/>
    </xf>
    <xf numFmtId="0" fontId="56" fillId="0" borderId="0" xfId="6" applyFont="1"/>
    <xf numFmtId="0" fontId="4" fillId="0" borderId="23" xfId="1" applyFont="1" applyBorder="1" applyAlignment="1">
      <alignment horizontal="justify" vertical="center" wrapText="1"/>
    </xf>
    <xf numFmtId="0" fontId="4" fillId="0" borderId="59" xfId="1" applyFont="1" applyBorder="1" applyAlignment="1">
      <alignment horizontal="justify" vertical="center" wrapText="1"/>
    </xf>
    <xf numFmtId="0" fontId="42" fillId="0" borderId="60" xfId="1" applyFont="1" applyBorder="1" applyAlignment="1">
      <alignment wrapText="1"/>
    </xf>
    <xf numFmtId="0" fontId="4" fillId="0" borderId="61" xfId="1" applyFont="1" applyBorder="1" applyAlignment="1">
      <alignment wrapText="1"/>
    </xf>
    <xf numFmtId="0" fontId="42" fillId="0" borderId="62" xfId="1" applyFont="1" applyBorder="1" applyAlignment="1">
      <alignment wrapText="1"/>
    </xf>
    <xf numFmtId="0" fontId="4" fillId="0" borderId="7" xfId="1" applyFont="1" applyBorder="1" applyAlignment="1">
      <alignment horizontal="left" vertical="center" wrapText="1"/>
    </xf>
    <xf numFmtId="4" fontId="0" fillId="0" borderId="0" xfId="0" applyNumberFormat="1"/>
    <xf numFmtId="0" fontId="4" fillId="0" borderId="23" xfId="1" applyFont="1" applyBorder="1" applyAlignment="1">
      <alignment horizontal="left" vertical="center" wrapText="1"/>
    </xf>
    <xf numFmtId="0" fontId="4" fillId="0" borderId="59" xfId="1" applyFont="1" applyBorder="1" applyAlignment="1">
      <alignment horizontal="left" vertical="center" wrapText="1"/>
    </xf>
    <xf numFmtId="4" fontId="36" fillId="0" borderId="33" xfId="12" applyNumberFormat="1" applyFont="1" applyFill="1" applyBorder="1"/>
    <xf numFmtId="4" fontId="36" fillId="6" borderId="33" xfId="12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3" fontId="23" fillId="0" borderId="4" xfId="17" applyNumberFormat="1" applyFont="1" applyBorder="1" applyAlignment="1">
      <alignment vertical="center" wrapText="1"/>
    </xf>
    <xf numFmtId="3" fontId="4" fillId="0" borderId="4" xfId="17" applyNumberFormat="1" applyFont="1" applyBorder="1" applyAlignment="1">
      <alignment vertical="center" wrapText="1"/>
    </xf>
    <xf numFmtId="3" fontId="4" fillId="0" borderId="6" xfId="17" applyNumberFormat="1" applyFont="1" applyBorder="1" applyAlignment="1">
      <alignment horizontal="right" vertical="center" wrapText="1"/>
    </xf>
    <xf numFmtId="3" fontId="4" fillId="0" borderId="4" xfId="17" applyNumberFormat="1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3" fillId="0" borderId="0" xfId="1" applyFont="1" applyFill="1"/>
    <xf numFmtId="0" fontId="36" fillId="0" borderId="0" xfId="1" applyFont="1"/>
    <xf numFmtId="0" fontId="3" fillId="0" borderId="0" xfId="1" applyFont="1" applyFill="1" applyAlignment="1">
      <alignment horizontal="left"/>
    </xf>
    <xf numFmtId="0" fontId="36" fillId="0" borderId="0" xfId="1" applyFont="1" applyFill="1" applyAlignment="1"/>
    <xf numFmtId="0" fontId="36" fillId="0" borderId="0" xfId="1" applyFont="1" applyFill="1"/>
    <xf numFmtId="0" fontId="4" fillId="0" borderId="4" xfId="14" applyFont="1" applyBorder="1" applyAlignment="1">
      <alignment horizontal="center" vertical="center"/>
    </xf>
    <xf numFmtId="0" fontId="4" fillId="0" borderId="6" xfId="15" applyFont="1" applyBorder="1" applyAlignment="1">
      <alignment horizontal="left" vertical="center" wrapText="1"/>
    </xf>
    <xf numFmtId="3" fontId="50" fillId="0" borderId="0" xfId="17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applyFont="1" applyFill="1" applyAlignment="1">
      <alignment horizontal="left" wrapText="1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5" xfId="1" applyBorder="1" applyAlignment="1">
      <alignment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2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5" fillId="3" borderId="8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3" borderId="8" xfId="1" applyFont="1" applyFill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2" borderId="13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24" xfId="3" applyFont="1" applyFill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 wrapText="1"/>
    </xf>
    <xf numFmtId="4" fontId="5" fillId="2" borderId="24" xfId="3" applyNumberFormat="1" applyFont="1" applyFill="1" applyBorder="1" applyAlignment="1">
      <alignment horizontal="center" vertical="center" wrapText="1"/>
    </xf>
    <xf numFmtId="4" fontId="5" fillId="2" borderId="19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/>
    </xf>
    <xf numFmtId="4" fontId="5" fillId="2" borderId="31" xfId="1" applyNumberFormat="1" applyFont="1" applyFill="1" applyBorder="1" applyAlignment="1">
      <alignment horizontal="center" vertical="center" wrapText="1"/>
    </xf>
    <xf numFmtId="0" fontId="16" fillId="0" borderId="25" xfId="1" applyFont="1" applyBorder="1" applyAlignment="1">
      <alignment vertical="center"/>
    </xf>
    <xf numFmtId="0" fontId="1" fillId="0" borderId="25" xfId="1" applyBorder="1" applyAlignment="1">
      <alignment vertical="center"/>
    </xf>
    <xf numFmtId="0" fontId="44" fillId="0" borderId="25" xfId="16" applyFont="1" applyBorder="1" applyAlignment="1">
      <alignment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34" xfId="3" applyFont="1" applyFill="1" applyBorder="1" applyAlignment="1">
      <alignment horizontal="left" vertical="center" wrapText="1"/>
    </xf>
    <xf numFmtId="0" fontId="4" fillId="0" borderId="16" xfId="3" applyFont="1" applyBorder="1" applyAlignment="1">
      <alignment vertical="center"/>
    </xf>
    <xf numFmtId="0" fontId="5" fillId="2" borderId="8" xfId="3" applyFont="1" applyFill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5" fillId="2" borderId="4" xfId="3" applyFont="1" applyFill="1" applyBorder="1" applyAlignment="1">
      <alignment vertical="center" wrapText="1"/>
    </xf>
    <xf numFmtId="0" fontId="4" fillId="0" borderId="6" xfId="3" applyFont="1" applyBorder="1" applyAlignment="1">
      <alignment vertical="center"/>
    </xf>
    <xf numFmtId="3" fontId="20" fillId="0" borderId="8" xfId="0" applyNumberFormat="1" applyFont="1" applyBorder="1" applyAlignment="1">
      <alignment horizontal="left" vertical="center" wrapText="1"/>
    </xf>
    <xf numFmtId="3" fontId="20" fillId="0" borderId="32" xfId="0" applyNumberFormat="1" applyFont="1" applyBorder="1" applyAlignment="1">
      <alignment horizontal="left" vertical="center" wrapText="1"/>
    </xf>
    <xf numFmtId="3" fontId="20" fillId="0" borderId="21" xfId="0" applyNumberFormat="1" applyFont="1" applyBorder="1" applyAlignment="1">
      <alignment horizontal="left" vertical="center" wrapText="1"/>
    </xf>
    <xf numFmtId="3" fontId="5" fillId="4" borderId="1" xfId="17" applyNumberFormat="1" applyFont="1" applyFill="1" applyBorder="1" applyAlignment="1">
      <alignment horizontal="center" vertical="center" wrapText="1"/>
    </xf>
    <xf numFmtId="3" fontId="54" fillId="4" borderId="2" xfId="7" applyNumberFormat="1" applyFont="1" applyFill="1" applyBorder="1" applyAlignment="1">
      <alignment horizontal="center" vertical="center" wrapText="1"/>
    </xf>
    <xf numFmtId="3" fontId="51" fillId="4" borderId="2" xfId="0" applyNumberFormat="1" applyFont="1" applyFill="1" applyBorder="1" applyAlignment="1">
      <alignment vertical="center"/>
    </xf>
    <xf numFmtId="3" fontId="51" fillId="4" borderId="3" xfId="0" applyNumberFormat="1" applyFont="1" applyFill="1" applyBorder="1" applyAlignment="1">
      <alignment vertical="center"/>
    </xf>
    <xf numFmtId="3" fontId="20" fillId="0" borderId="71" xfId="0" applyNumberFormat="1" applyFont="1" applyBorder="1" applyAlignment="1">
      <alignment horizontal="left" vertical="center" wrapText="1"/>
    </xf>
    <xf numFmtId="3" fontId="52" fillId="0" borderId="0" xfId="0" applyNumberFormat="1" applyFont="1" applyBorder="1" applyAlignment="1">
      <alignment horizontal="left" vertical="center" wrapText="1"/>
    </xf>
    <xf numFmtId="3" fontId="52" fillId="0" borderId="66" xfId="0" applyNumberFormat="1" applyFont="1" applyBorder="1" applyAlignment="1">
      <alignment horizontal="left" vertical="center" wrapText="1"/>
    </xf>
    <xf numFmtId="3" fontId="20" fillId="0" borderId="27" xfId="0" applyNumberFormat="1" applyFont="1" applyBorder="1" applyAlignment="1">
      <alignment horizontal="left" vertical="center" wrapText="1"/>
    </xf>
    <xf numFmtId="3" fontId="52" fillId="0" borderId="28" xfId="0" applyNumberFormat="1" applyFont="1" applyBorder="1" applyAlignment="1">
      <alignment horizontal="left" vertical="center" wrapText="1"/>
    </xf>
    <xf numFmtId="3" fontId="52" fillId="0" borderId="20" xfId="0" applyNumberFormat="1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3" fontId="49" fillId="0" borderId="0" xfId="0" applyNumberFormat="1" applyFont="1" applyAlignment="1">
      <alignment horizontal="center" vertical="center"/>
    </xf>
    <xf numFmtId="3" fontId="50" fillId="0" borderId="68" xfId="17" applyNumberFormat="1" applyFont="1" applyBorder="1" applyAlignment="1">
      <alignment horizontal="center" vertical="center" wrapText="1"/>
    </xf>
    <xf numFmtId="3" fontId="19" fillId="0" borderId="47" xfId="0" applyNumberFormat="1" applyFont="1" applyBorder="1" applyAlignment="1">
      <alignment horizontal="center" vertical="center" wrapText="1"/>
    </xf>
    <xf numFmtId="3" fontId="50" fillId="0" borderId="24" xfId="17" applyNumberFormat="1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3" fontId="20" fillId="0" borderId="31" xfId="0" applyNumberFormat="1" applyFont="1" applyFill="1" applyBorder="1" applyAlignment="1">
      <alignment horizontal="center" vertical="center" wrapText="1"/>
    </xf>
    <xf numFmtId="3" fontId="51" fillId="0" borderId="14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51" fillId="0" borderId="2" xfId="0" applyNumberFormat="1" applyFont="1" applyBorder="1" applyAlignment="1">
      <alignment horizontal="center" vertical="center" wrapText="1"/>
    </xf>
    <xf numFmtId="3" fontId="20" fillId="0" borderId="25" xfId="0" applyNumberFormat="1" applyFont="1" applyFill="1" applyBorder="1" applyAlignment="1">
      <alignment horizontal="center" vertical="center" wrapText="1"/>
    </xf>
    <xf numFmtId="3" fontId="51" fillId="0" borderId="26" xfId="0" applyNumberFormat="1" applyFont="1" applyFill="1" applyBorder="1" applyAlignment="1">
      <alignment horizontal="center" vertical="center" wrapText="1"/>
    </xf>
    <xf numFmtId="0" fontId="4" fillId="0" borderId="4" xfId="14" applyFont="1" applyBorder="1" applyAlignment="1">
      <alignment horizontal="center" vertical="center"/>
    </xf>
    <xf numFmtId="0" fontId="4" fillId="0" borderId="6" xfId="15" applyFont="1" applyBorder="1" applyAlignment="1">
      <alignment horizontal="left" vertical="center" wrapText="1"/>
    </xf>
    <xf numFmtId="0" fontId="2" fillId="0" borderId="0" xfId="14" applyFont="1" applyAlignment="1">
      <alignment horizontal="center" vertical="center"/>
    </xf>
    <xf numFmtId="0" fontId="4" fillId="0" borderId="51" xfId="14" applyFont="1" applyBorder="1" applyAlignment="1">
      <alignment horizontal="center" vertical="center" wrapText="1"/>
    </xf>
    <xf numFmtId="0" fontId="4" fillId="0" borderId="37" xfId="14" applyFont="1" applyBorder="1" applyAlignment="1">
      <alignment horizontal="center" vertical="center" wrapText="1"/>
    </xf>
    <xf numFmtId="0" fontId="4" fillId="0" borderId="57" xfId="14" applyFont="1" applyBorder="1" applyAlignment="1">
      <alignment horizontal="center" vertical="center" wrapText="1"/>
    </xf>
    <xf numFmtId="0" fontId="4" fillId="0" borderId="52" xfId="15" applyFont="1" applyBorder="1" applyAlignment="1">
      <alignment horizontal="left" vertical="center" wrapText="1"/>
    </xf>
    <xf numFmtId="0" fontId="4" fillId="0" borderId="55" xfId="15" applyFont="1" applyBorder="1" applyAlignment="1">
      <alignment horizontal="left" vertical="center" wrapText="1"/>
    </xf>
    <xf numFmtId="0" fontId="4" fillId="0" borderId="19" xfId="15" applyFont="1" applyBorder="1" applyAlignment="1">
      <alignment horizontal="left" vertical="center" wrapText="1"/>
    </xf>
    <xf numFmtId="0" fontId="4" fillId="0" borderId="29" xfId="14" applyFont="1" applyBorder="1" applyAlignment="1">
      <alignment horizontal="center" vertical="center"/>
    </xf>
    <xf numFmtId="0" fontId="4" fillId="0" borderId="37" xfId="14" applyFont="1" applyBorder="1" applyAlignment="1">
      <alignment horizontal="center" vertical="center"/>
    </xf>
    <xf numFmtId="0" fontId="4" fillId="0" borderId="57" xfId="14" applyFont="1" applyBorder="1" applyAlignment="1">
      <alignment horizontal="center" vertical="center"/>
    </xf>
    <xf numFmtId="0" fontId="4" fillId="0" borderId="22" xfId="15" applyFont="1" applyBorder="1" applyAlignment="1">
      <alignment horizontal="left" vertical="center" wrapText="1"/>
    </xf>
    <xf numFmtId="0" fontId="4" fillId="0" borderId="29" xfId="14" applyFont="1" applyBorder="1" applyAlignment="1">
      <alignment horizontal="center" vertical="center" wrapText="1"/>
    </xf>
    <xf numFmtId="0" fontId="4" fillId="0" borderId="58" xfId="14" applyFont="1" applyBorder="1" applyAlignment="1">
      <alignment horizontal="center" vertical="center" wrapText="1"/>
    </xf>
    <xf numFmtId="0" fontId="4" fillId="0" borderId="46" xfId="15" applyFont="1" applyBorder="1" applyAlignment="1">
      <alignment horizontal="left" vertical="center" wrapText="1"/>
    </xf>
    <xf numFmtId="0" fontId="4" fillId="0" borderId="22" xfId="15" applyFont="1" applyBorder="1" applyAlignment="1">
      <alignment vertical="center" wrapText="1"/>
    </xf>
    <xf numFmtId="0" fontId="4" fillId="0" borderId="19" xfId="15" applyFont="1" applyBorder="1" applyAlignment="1">
      <alignment vertical="center" wrapText="1"/>
    </xf>
    <xf numFmtId="0" fontId="5" fillId="0" borderId="34" xfId="14" applyFont="1" applyBorder="1" applyAlignment="1">
      <alignment horizontal="left"/>
    </xf>
    <xf numFmtId="0" fontId="5" fillId="0" borderId="16" xfId="14" applyFont="1" applyBorder="1" applyAlignment="1">
      <alignment horizontal="left"/>
    </xf>
    <xf numFmtId="0" fontId="4" fillId="0" borderId="55" xfId="15" applyFont="1" applyBorder="1" applyAlignment="1">
      <alignment vertical="center" wrapText="1"/>
    </xf>
    <xf numFmtId="0" fontId="4" fillId="0" borderId="46" xfId="15" applyFont="1" applyBorder="1" applyAlignment="1">
      <alignment vertical="center" wrapText="1"/>
    </xf>
    <xf numFmtId="0" fontId="30" fillId="0" borderId="28" xfId="9" applyFont="1" applyBorder="1" applyAlignment="1">
      <alignment horizontal="center"/>
    </xf>
  </cellXfs>
  <cellStyles count="18">
    <cellStyle name="Normální" xfId="0" builtinId="0"/>
    <cellStyle name="Normální 2" xfId="1" xr:uid="{00000000-0005-0000-0000-000001000000}"/>
    <cellStyle name="Normální 2 2" xfId="17" xr:uid="{BDA3D37D-CB00-4239-AFEC-DFC7951A1F86}"/>
    <cellStyle name="Normální 3" xfId="2" xr:uid="{00000000-0005-0000-0000-000002000000}"/>
    <cellStyle name="Normální 3 2" xfId="7" xr:uid="{00000000-0005-0000-0000-000003000000}"/>
    <cellStyle name="Normální 3 2 2" xfId="16" xr:uid="{00000000-0005-0000-0000-000004000000}"/>
    <cellStyle name="Normální 4" xfId="8" xr:uid="{00000000-0005-0000-0000-000005000000}"/>
    <cellStyle name="Normální 4 2" xfId="12" xr:uid="{00000000-0005-0000-0000-000006000000}"/>
    <cellStyle name="Normální 4 3" xfId="13" xr:uid="{00000000-0005-0000-0000-000007000000}"/>
    <cellStyle name="normální_10_BILANCEE" xfId="11" xr:uid="{00000000-0005-0000-0000-000008000000}"/>
    <cellStyle name="normální_Akce EU - tabulka" xfId="5" xr:uid="{00000000-0005-0000-0000-000009000000}"/>
    <cellStyle name="normální_Akce EU - tabulka(tom)-final" xfId="6" xr:uid="{00000000-0005-0000-0000-00000A000000}"/>
    <cellStyle name="normální_EU akce-upr 2" xfId="3" xr:uid="{00000000-0005-0000-0000-00000B000000}"/>
    <cellStyle name="normální_Metodika k RS od 1.5.2005" xfId="15" xr:uid="{00000000-0005-0000-0000-00000C000000}"/>
    <cellStyle name="normální_Rozborová tab. příjmů" xfId="14" xr:uid="{00000000-0005-0000-0000-00000D000000}"/>
    <cellStyle name="normální_Rozpočet 12-2005 - Grafy" xfId="9" xr:uid="{00000000-0005-0000-0000-00000E000000}"/>
    <cellStyle name="normální_Výroční zpráva 2002" xfId="10" xr:uid="{00000000-0005-0000-0000-00000F000000}"/>
    <cellStyle name="Procenta 2" xfId="4" xr:uid="{00000000-0005-0000-0000-000010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chartsheet" Target="chartsheets/sheet5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4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9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7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3.xml"/><Relationship Id="rId14" Type="http://schemas.openxmlformats.org/officeDocument/2006/relationships/chartsheet" Target="chartsheets/sheet6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16666666666666E-2"/>
          <c:y val="1.6835016835016835E-2"/>
          <c:w val="0.97916666666666663"/>
          <c:h val="0.9663299663299663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06128"/>
        <c:axId val="449009656"/>
      </c:barChart>
      <c:catAx>
        <c:axId val="449006128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49009656"/>
        <c:crosses val="autoZero"/>
        <c:auto val="1"/>
        <c:lblAlgn val="ctr"/>
        <c:lblOffset val="100"/>
        <c:tickMarkSkip val="1"/>
        <c:noMultiLvlLbl val="0"/>
      </c:catAx>
      <c:valAx>
        <c:axId val="44900965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49006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/>
              <a:t>Graf č. 1 - Rozpočet Moravskoslezského kraje v letech 2018 až 2021, 
návrh rozpočtu Moravskoslezského kraje na rok 2022</a:t>
            </a:r>
          </a:p>
        </c:rich>
      </c:tx>
      <c:layout>
        <c:manualLayout>
          <c:xMode val="edge"/>
          <c:yMode val="edge"/>
          <c:x val="0.24957556693041849"/>
          <c:y val="8.8183279883101984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28155339805825"/>
          <c:y val="9.3474587802076098E-2"/>
          <c:w val="0.86286407766990292"/>
          <c:h val="0.8183435611351568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'Zdrojová data I.s'!$A$9</c:f>
              <c:strCache>
                <c:ptCount val="1"/>
                <c:pt idx="0">
                  <c:v>Schválený rozpočet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188123634814585E-2"/>
                  <c:y val="-1.03808961289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9-45D2-8A5A-1F72D2BEC06E}"/>
                </c:ext>
              </c:extLst>
            </c:dLbl>
            <c:dLbl>
              <c:idx val="1"/>
              <c:layout>
                <c:manualLayout>
                  <c:x val="1.4597339478434378E-2"/>
                  <c:y val="-1.778613710660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9-45D2-8A5A-1F72D2BEC06E}"/>
                </c:ext>
              </c:extLst>
            </c:dLbl>
            <c:dLbl>
              <c:idx val="2"/>
              <c:layout>
                <c:manualLayout>
                  <c:x val="1.4597339478434378E-2"/>
                  <c:y val="-2.667920565991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9-45D2-8A5A-1F72D2BEC06E}"/>
                </c:ext>
              </c:extLst>
            </c:dLbl>
            <c:dLbl>
              <c:idx val="3"/>
              <c:layout>
                <c:manualLayout>
                  <c:x val="1.460043663353019E-2"/>
                  <c:y val="-6.6709844219381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9-45D2-8A5A-1F72D2BEC06E}"/>
                </c:ext>
              </c:extLst>
            </c:dLbl>
            <c:dLbl>
              <c:idx val="4"/>
              <c:layout>
                <c:manualLayout>
                  <c:x val="1.62227073705891E-2"/>
                  <c:y val="-3.5578583583670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A-462F-8689-4CBDEA923019}"/>
                </c:ext>
              </c:extLst>
            </c:dLbl>
            <c:dLbl>
              <c:idx val="5"/>
              <c:layout>
                <c:manualLayout>
                  <c:x val="1.6095927793840434E-2"/>
                  <c:y val="-3.7885572686114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9-45D2-8A5A-1F72D2BEC06E}"/>
                </c:ext>
              </c:extLst>
            </c:dLbl>
            <c:dLbl>
              <c:idx val="6"/>
              <c:layout>
                <c:manualLayout>
                  <c:x val="1.241153876459118E-2"/>
                  <c:y val="-1.998779091014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9-45D2-8A5A-1F72D2BEC06E}"/>
                </c:ext>
              </c:extLst>
            </c:dLbl>
            <c:dLbl>
              <c:idx val="7"/>
              <c:layout>
                <c:manualLayout>
                  <c:x val="1.4566491517525698E-2"/>
                  <c:y val="-7.0749663065894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I.s'!$S$8:$W$8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'Zdrojová data I.s'!$S$9:$W$9</c:f>
              <c:numCache>
                <c:formatCode>#,##0</c:formatCode>
                <c:ptCount val="5"/>
                <c:pt idx="0">
                  <c:v>9352498</c:v>
                </c:pt>
                <c:pt idx="1">
                  <c:v>10284570</c:v>
                </c:pt>
                <c:pt idx="2">
                  <c:v>10787896</c:v>
                </c:pt>
                <c:pt idx="3">
                  <c:v>9863084</c:v>
                </c:pt>
                <c:pt idx="4">
                  <c:v>11993157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89-45D2-8A5A-1F72D2BEC06E}"/>
            </c:ext>
          </c:extLst>
        </c:ser>
        <c:ser>
          <c:idx val="1"/>
          <c:order val="1"/>
          <c:tx>
            <c:strRef>
              <c:f>'Zdrojová data I.s'!$A$10</c:f>
              <c:strCache>
                <c:ptCount val="1"/>
                <c:pt idx="0">
                  <c:v>Úprava rozpočtu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971242886659628E-2"/>
                  <c:y val="-2.348522135943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89-45D2-8A5A-1F72D2BEC06E}"/>
                </c:ext>
              </c:extLst>
            </c:dLbl>
            <c:dLbl>
              <c:idx val="1"/>
              <c:layout>
                <c:manualLayout>
                  <c:x val="1.621926608714919E-2"/>
                  <c:y val="-2.22326713832607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89-45D2-8A5A-1F72D2BEC06E}"/>
                </c:ext>
              </c:extLst>
            </c:dLbl>
            <c:dLbl>
              <c:idx val="2"/>
              <c:layout>
                <c:manualLayout>
                  <c:x val="1.6216956833142455E-2"/>
                  <c:y val="-8.14581908774179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89-45D2-8A5A-1F72D2BEC06E}"/>
                </c:ext>
              </c:extLst>
            </c:dLbl>
            <c:dLbl>
              <c:idx val="3"/>
              <c:layout>
                <c:manualLayout>
                  <c:x val="1.2978165896471281E-2"/>
                  <c:y val="-8.8946458959175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9-45D2-8A5A-1F72D2BEC06E}"/>
                </c:ext>
              </c:extLst>
            </c:dLbl>
            <c:dLbl>
              <c:idx val="5"/>
              <c:layout>
                <c:manualLayout>
                  <c:x val="1.5417556920803264E-2"/>
                  <c:y val="-2.3997042200427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9-45D2-8A5A-1F72D2BEC06E}"/>
                </c:ext>
              </c:extLst>
            </c:dLbl>
            <c:dLbl>
              <c:idx val="6"/>
              <c:layout>
                <c:manualLayout>
                  <c:x val="1.5092280374925144E-2"/>
                  <c:y val="-4.908698806089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I.s'!$S$8:$W$8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'Zdrojová data I.s'!$S$10:$W$10</c:f>
              <c:numCache>
                <c:formatCode>#,##0</c:formatCode>
                <c:ptCount val="5"/>
                <c:pt idx="0">
                  <c:v>16794678</c:v>
                </c:pt>
                <c:pt idx="1">
                  <c:v>19321422</c:v>
                </c:pt>
                <c:pt idx="2">
                  <c:v>21851874</c:v>
                </c:pt>
                <c:pt idx="3">
                  <c:v>25003814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D89-45D2-8A5A-1F72D2BEC06E}"/>
            </c:ext>
          </c:extLst>
        </c:ser>
        <c:ser>
          <c:idx val="2"/>
          <c:order val="2"/>
          <c:tx>
            <c:strRef>
              <c:f>'Zdrojová data I.s'!$A$11</c:f>
              <c:strCache>
                <c:ptCount val="1"/>
                <c:pt idx="0">
                  <c:v>Očekávané účelové dotace a převody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8114576249230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D9-468F-B22A-244A55F59BC7}"/>
                </c:ext>
              </c:extLst>
            </c:dLbl>
            <c:dLbl>
              <c:idx val="1"/>
              <c:layout>
                <c:manualLayout>
                  <c:x val="1.6219266087149308E-2"/>
                  <c:y val="-2.0009404244934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45-4809-9B3C-7F1DB82D7CC1}"/>
                </c:ext>
              </c:extLst>
            </c:dLbl>
            <c:dLbl>
              <c:idx val="2"/>
              <c:layout>
                <c:manualLayout>
                  <c:x val="1.7841192695864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9-45D2-8A5A-1F72D2BEC06E}"/>
                </c:ext>
              </c:extLst>
            </c:dLbl>
            <c:dLbl>
              <c:idx val="3"/>
              <c:layout>
                <c:manualLayout>
                  <c:x val="1.7844978107648009E-2"/>
                  <c:y val="-4.44732294795879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9-45D2-8A5A-1F72D2BEC06E}"/>
                </c:ext>
              </c:extLst>
            </c:dLbl>
            <c:dLbl>
              <c:idx val="4"/>
              <c:layout>
                <c:manualLayout>
                  <c:x val="1.7844978107648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A-462F-8689-4CBDEA923019}"/>
                </c:ext>
              </c:extLst>
            </c:dLbl>
            <c:dLbl>
              <c:idx val="5"/>
              <c:layout>
                <c:manualLayout>
                  <c:x val="2.2733093153023451E-2"/>
                  <c:y val="-3.8598734757687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9-45D2-8A5A-1F72D2BEC06E}"/>
                </c:ext>
              </c:extLst>
            </c:dLbl>
            <c:dLbl>
              <c:idx val="6"/>
              <c:layout>
                <c:manualLayout>
                  <c:x val="1.6192234204475534E-2"/>
                  <c:y val="-3.3000549947297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89-45D2-8A5A-1F72D2BEC06E}"/>
                </c:ext>
              </c:extLst>
            </c:dLbl>
            <c:dLbl>
              <c:idx val="7"/>
              <c:layout>
                <c:manualLayout>
                  <c:x val="1.6182565570526341E-2"/>
                  <c:y val="-2.008977729481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89-45D2-8A5A-1F72D2BEC06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I.s'!$S$8:$W$8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strCache>
            </c:strRef>
          </c:cat>
          <c:val>
            <c:numRef>
              <c:f>'Zdrojová data I.s'!$S$11:$W$11</c:f>
              <c:numCache>
                <c:formatCode>#,##0</c:formatCode>
                <c:ptCount val="5"/>
                <c:pt idx="4">
                  <c:v>24124117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D89-45D2-8A5A-1F72D2BEC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449007696"/>
        <c:axId val="449008088"/>
        <c:axId val="0"/>
      </c:bar3DChart>
      <c:catAx>
        <c:axId val="44900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699029126213591"/>
              <c:y val="0.932982206552797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8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08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8.4951456310679609E-3"/>
              <c:y val="0.523810425985218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7696"/>
        <c:crosses val="autoZero"/>
        <c:crossBetween val="between"/>
        <c:minorUnit val="59343.89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515115429831692"/>
          <c:y val="0.96296462150818019"/>
          <c:w val="0.71604819279569354"/>
          <c:h val="2.998241495538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2 - Schválený rozpočet příjmů Moravskoslezského kraje v letech 2018 až 2021,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příjmů Moravskoslezského kraje na rok 2022</a:t>
            </a:r>
            <a:endParaRPr lang="cs-CZ" sz="16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přijaté dotace, daňové, nedaňové a kapitálové příjmy</a:t>
            </a:r>
          </a:p>
        </c:rich>
      </c:tx>
      <c:layout>
        <c:manualLayout>
          <c:xMode val="edge"/>
          <c:yMode val="edge"/>
          <c:x val="0.15659722222222222"/>
          <c:y val="0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0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2436126311786189E-2"/>
          <c:y val="8.1159130600326396E-2"/>
          <c:w val="0.89828570414572961"/>
          <c:h val="0.859950482387110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004794018272813E-2"/>
                  <c:y val="-6.7707917800470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C-47BD-9D51-7B7374AF2AA1}"/>
                </c:ext>
              </c:extLst>
            </c:dLbl>
            <c:dLbl>
              <c:idx val="1"/>
              <c:layout>
                <c:manualLayout>
                  <c:x val="1.254019334937493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C-47BD-9D51-7B7374AF2AA1}"/>
                </c:ext>
              </c:extLst>
            </c:dLbl>
            <c:dLbl>
              <c:idx val="2"/>
              <c:layout>
                <c:manualLayout>
                  <c:x val="1.2540193349374833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C-47BD-9D51-7B7374AF2AA1}"/>
                </c:ext>
              </c:extLst>
            </c:dLbl>
            <c:dLbl>
              <c:idx val="3"/>
              <c:layout>
                <c:manualLayout>
                  <c:x val="1.114683853277752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C-47BD-9D51-7B7374AF2AA1}"/>
                </c:ext>
              </c:extLst>
            </c:dLbl>
            <c:dLbl>
              <c:idx val="4"/>
              <c:layout>
                <c:manualLayout>
                  <c:x val="8.36012889958332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C-47BD-9D51-7B7374AF2AA1}"/>
                </c:ext>
              </c:extLst>
            </c:dLbl>
            <c:dLbl>
              <c:idx val="5"/>
              <c:layout>
                <c:manualLayout>
                  <c:x val="1.8356736657917719E-2"/>
                  <c:y val="-8.9481514019906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C-47BD-9D51-7B7374AF2AA1}"/>
                </c:ext>
              </c:extLst>
            </c:dLbl>
            <c:dLbl>
              <c:idx val="6"/>
              <c:layout>
                <c:manualLayout>
                  <c:x val="9.73782787945598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s'!$S$9:$W$9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'Zdrojová data II. a III. s'!$S$10:$W$10</c:f>
              <c:numCache>
                <c:formatCode>#,##0</c:formatCode>
                <c:ptCount val="5"/>
                <c:pt idx="0">
                  <c:v>6427050</c:v>
                </c:pt>
                <c:pt idx="1">
                  <c:v>7030550</c:v>
                </c:pt>
                <c:pt idx="2">
                  <c:v>7340300</c:v>
                </c:pt>
                <c:pt idx="3">
                  <c:v>6307200</c:v>
                </c:pt>
                <c:pt idx="4">
                  <c:v>7283700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FC-47BD-9D51-7B7374AF2AA1}"/>
            </c:ext>
          </c:extLst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630132976517447E-2"/>
                  <c:y val="-8.2368126281514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C-47BD-9D51-7B7374AF2AA1}"/>
                </c:ext>
              </c:extLst>
            </c:dLbl>
            <c:dLbl>
              <c:idx val="1"/>
              <c:layout>
                <c:manualLayout>
                  <c:x val="8.3601288995831975E-3"/>
                  <c:y val="-8.4967323541016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C-47BD-9D51-7B7374AF2AA1}"/>
                </c:ext>
              </c:extLst>
            </c:dLbl>
            <c:dLbl>
              <c:idx val="2"/>
              <c:layout>
                <c:manualLayout>
                  <c:x val="5.5734192663887891E-3"/>
                  <c:y val="-6.3725492655762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C-47BD-9D51-7B7374AF2AA1}"/>
                </c:ext>
              </c:extLst>
            </c:dLbl>
            <c:dLbl>
              <c:idx val="3"/>
              <c:layout>
                <c:manualLayout>
                  <c:x val="6.9667740829860185E-3"/>
                  <c:y val="-6.37254926557624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C-47BD-9D51-7B7374AF2AA1}"/>
                </c:ext>
              </c:extLst>
            </c:dLbl>
            <c:dLbl>
              <c:idx val="4"/>
              <c:layout>
                <c:manualLayout>
                  <c:x val="2.7867096331944076E-3"/>
                  <c:y val="-6.3725492655762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FC-47BD-9D51-7B7374AF2AA1}"/>
                </c:ext>
              </c:extLst>
            </c:dLbl>
            <c:dLbl>
              <c:idx val="5"/>
              <c:layout>
                <c:manualLayout>
                  <c:x val="5.1468527975607456E-2"/>
                  <c:y val="-7.01952790583945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FC-47BD-9D51-7B7374AF2AA1}"/>
                </c:ext>
              </c:extLst>
            </c:dLbl>
            <c:dLbl>
              <c:idx val="6"/>
              <c:layout>
                <c:manualLayout>
                  <c:x val="3.8942439031229618E-2"/>
                  <c:y val="-4.5137811898141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FC-47BD-9D51-7B7374AF2AA1}"/>
                </c:ext>
              </c:extLst>
            </c:dLbl>
            <c:dLbl>
              <c:idx val="7"/>
              <c:layout>
                <c:manualLayout>
                  <c:x val="2.0853410529078426E-2"/>
                  <c:y val="-4.4962619858468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s'!$S$9:$W$9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'Zdrojová data II. a III. s'!$S$11:$W$11</c:f>
              <c:numCache>
                <c:formatCode>#,##0</c:formatCode>
                <c:ptCount val="5"/>
                <c:pt idx="0">
                  <c:v>613120</c:v>
                </c:pt>
                <c:pt idx="1">
                  <c:v>563161</c:v>
                </c:pt>
                <c:pt idx="2">
                  <c:v>585252</c:v>
                </c:pt>
                <c:pt idx="3">
                  <c:v>581497</c:v>
                </c:pt>
                <c:pt idx="4">
                  <c:v>597999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9FC-47BD-9D51-7B7374AF2AA1}"/>
            </c:ext>
          </c:extLst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225435593435289E-2"/>
                  <c:y val="-4.52802240728818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FC-47BD-9D51-7B7374AF2AA1}"/>
                </c:ext>
              </c:extLst>
            </c:dLbl>
            <c:dLbl>
              <c:idx val="1"/>
              <c:layout>
                <c:manualLayout>
                  <c:x val="8.3601288995832218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FC-47BD-9D51-7B7374AF2AA1}"/>
                </c:ext>
              </c:extLst>
            </c:dLbl>
            <c:dLbl>
              <c:idx val="2"/>
              <c:layout>
                <c:manualLayout>
                  <c:x val="8.3601288995832218E-3"/>
                  <c:y val="-5.3104577213136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25342995682136E-2"/>
                      <c:h val="2.47574375260191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9FC-47BD-9D51-7B7374AF2AA1}"/>
                </c:ext>
              </c:extLst>
            </c:dLbl>
            <c:dLbl>
              <c:idx val="3"/>
              <c:layout>
                <c:manualLayout>
                  <c:x val="9.7534837161804E-3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FC-47BD-9D51-7B7374AF2AA1}"/>
                </c:ext>
              </c:extLst>
            </c:dLbl>
            <c:dLbl>
              <c:idx val="4"/>
              <c:layout>
                <c:manualLayout>
                  <c:x val="1.5326902982569241E-2"/>
                  <c:y val="-4.2483661770508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FC-47BD-9D51-7B7374AF2AA1}"/>
                </c:ext>
              </c:extLst>
            </c:dLbl>
            <c:dLbl>
              <c:idx val="5"/>
              <c:layout>
                <c:manualLayout>
                  <c:x val="2.1869365012564975E-2"/>
                  <c:y val="-2.03389615583615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FC-47BD-9D51-7B7374AF2AA1}"/>
                </c:ext>
              </c:extLst>
            </c:dLbl>
            <c:dLbl>
              <c:idx val="6"/>
              <c:layout>
                <c:manualLayout>
                  <c:x val="1.808453749041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FC-47BD-9D51-7B7374AF2AA1}"/>
                </c:ext>
              </c:extLst>
            </c:dLbl>
            <c:dLbl>
              <c:idx val="7"/>
              <c:layout>
                <c:manualLayout>
                  <c:x val="8.34670961096227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s'!$S$9:$W$9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'Zdrojová data II. a III. s'!$S$12:$W$12</c:f>
              <c:numCache>
                <c:formatCode>#,##0</c:formatCode>
                <c:ptCount val="5"/>
                <c:pt idx="0">
                  <c:v>66000</c:v>
                </c:pt>
                <c:pt idx="1">
                  <c:v>41450</c:v>
                </c:pt>
                <c:pt idx="2">
                  <c:v>36450</c:v>
                </c:pt>
                <c:pt idx="3">
                  <c:v>65658</c:v>
                </c:pt>
                <c:pt idx="4">
                  <c:v>74079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9FC-47BD-9D51-7B7374AF2AA1}"/>
            </c:ext>
          </c:extLst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38407699037595E-2"/>
                  <c:y val="-7.2317648392322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FC-47BD-9D51-7B7374AF2AA1}"/>
                </c:ext>
              </c:extLst>
            </c:dLbl>
            <c:dLbl>
              <c:idx val="1"/>
              <c:layout>
                <c:manualLayout>
                  <c:x val="2.5080386698749617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FC-47BD-9D51-7B7374AF2AA1}"/>
                </c:ext>
              </c:extLst>
            </c:dLbl>
            <c:dLbl>
              <c:idx val="2"/>
              <c:layout>
                <c:manualLayout>
                  <c:x val="1.811361261576365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FC-47BD-9D51-7B7374AF2AA1}"/>
                </c:ext>
              </c:extLst>
            </c:dLbl>
            <c:dLbl>
              <c:idx val="3"/>
              <c:layout>
                <c:manualLayout>
                  <c:x val="4.7374063764304926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FC-47BD-9D51-7B7374AF2AA1}"/>
                </c:ext>
              </c:extLst>
            </c:dLbl>
            <c:dLbl>
              <c:idx val="4"/>
              <c:layout>
                <c:manualLayout>
                  <c:x val="1.5326902982569241E-2"/>
                  <c:y val="-2.1241830885254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FC-47BD-9D51-7B7374AF2AA1}"/>
                </c:ext>
              </c:extLst>
            </c:dLbl>
            <c:dLbl>
              <c:idx val="5"/>
              <c:layout>
                <c:manualLayout>
                  <c:x val="3.5475706584020368E-3"/>
                  <c:y val="-8.2965296773181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FC-47BD-9D51-7B7374AF2A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s'!$S$9:$W$9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'Zdrojová data II. a III. s'!$S$13:$W$13</c:f>
              <c:numCache>
                <c:formatCode>#,##0</c:formatCode>
                <c:ptCount val="5"/>
                <c:pt idx="0">
                  <c:v>1130957</c:v>
                </c:pt>
                <c:pt idx="1">
                  <c:v>1809816</c:v>
                </c:pt>
                <c:pt idx="2">
                  <c:v>2233393</c:v>
                </c:pt>
                <c:pt idx="3">
                  <c:v>1615456</c:v>
                </c:pt>
                <c:pt idx="4">
                  <c:v>1342985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9FC-47BD-9D51-7B7374AF2A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shape val="box"/>
        <c:axId val="449009264"/>
        <c:axId val="449010048"/>
        <c:axId val="0"/>
      </c:bar3DChart>
      <c:catAx>
        <c:axId val="44900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6666666666666665"/>
              <c:y val="0.9006734006734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1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100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09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29166666666664"/>
          <c:y val="0.95117845117845112"/>
          <c:w val="0.5166666666666667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3 - Schválený rozpočet výdajů Moravskoslezského kraje v letech 2018 až 2021,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výdajů Moravskoslezského kraje na rok 2022</a:t>
            </a:r>
            <a:endParaRPr lang="cs-CZ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běžné a kapitálové výdaje</a:t>
            </a:r>
          </a:p>
        </c:rich>
      </c:tx>
      <c:layout>
        <c:manualLayout>
          <c:xMode val="edge"/>
          <c:yMode val="edge"/>
          <c:x val="0.16284722222222223"/>
          <c:y val="3.37119923357133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12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54166666666667"/>
          <c:y val="0.16835016835016836"/>
          <c:w val="0.87604166666666672"/>
          <c:h val="0.708754208754208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04989482913949E-2"/>
                  <c:y val="-8.32328527829056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0-4421-ADBC-F7020094C01E}"/>
                </c:ext>
              </c:extLst>
            </c:dLbl>
            <c:dLbl>
              <c:idx val="1"/>
              <c:layout>
                <c:manualLayout>
                  <c:x val="1.2540193349374833E-2"/>
                  <c:y val="-3.89429067511840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0-4421-ADBC-F7020094C01E}"/>
                </c:ext>
              </c:extLst>
            </c:dLbl>
            <c:dLbl>
              <c:idx val="2"/>
              <c:layout>
                <c:manualLayout>
                  <c:x val="1.9506967432360751E-2"/>
                  <c:y val="-4.24836617705082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0-4421-ADBC-F7020094C01E}"/>
                </c:ext>
              </c:extLst>
            </c:dLbl>
            <c:dLbl>
              <c:idx val="3"/>
              <c:layout>
                <c:manualLayout>
                  <c:x val="1.254019334937463E-2"/>
                  <c:y val="-2.12418308852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0-4421-ADBC-F7020094C01E}"/>
                </c:ext>
              </c:extLst>
            </c:dLbl>
            <c:dLbl>
              <c:idx val="4"/>
              <c:layout>
                <c:manualLayout>
                  <c:x val="2.6473741515346871E-2"/>
                  <c:y val="-2.12418308852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0-4421-ADBC-F7020094C01E}"/>
                </c:ext>
              </c:extLst>
            </c:dLbl>
            <c:dLbl>
              <c:idx val="5"/>
              <c:layout>
                <c:manualLayout>
                  <c:x val="6.3973695377522108E-2"/>
                  <c:y val="-1.3432831582541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0-4421-ADBC-F7020094C01E}"/>
                </c:ext>
              </c:extLst>
            </c:dLbl>
            <c:dLbl>
              <c:idx val="6"/>
              <c:layout>
                <c:manualLayout>
                  <c:x val="3.3694746589733808E-2"/>
                  <c:y val="-7.7791723845148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0-4421-ADBC-F7020094C01E}"/>
                </c:ext>
              </c:extLst>
            </c:dLbl>
            <c:dLbl>
              <c:idx val="7"/>
              <c:layout>
                <c:manualLayout>
                  <c:x val="3.3333333333333333E-2"/>
                  <c:y val="-2.248162436993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0-4421-ADBC-F7020094C0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s'!$S$2:$W$2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'Zdrojová data II. a III. s'!$S$3:$W$3</c:f>
              <c:numCache>
                <c:formatCode>#,##0</c:formatCode>
                <c:ptCount val="5"/>
                <c:pt idx="0">
                  <c:v>6456472</c:v>
                </c:pt>
                <c:pt idx="1">
                  <c:v>6996283</c:v>
                </c:pt>
                <c:pt idx="2">
                  <c:v>7490726</c:v>
                </c:pt>
                <c:pt idx="3">
                  <c:v>7002032</c:v>
                </c:pt>
                <c:pt idx="4">
                  <c:v>7846903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00-4421-ADBC-F7020094C01E}"/>
            </c:ext>
          </c:extLst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459391935569518E-2"/>
                  <c:y val="-1.0825639859977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00-4421-ADBC-F7020094C01E}"/>
                </c:ext>
              </c:extLst>
            </c:dLbl>
            <c:dLbl>
              <c:idx val="1"/>
              <c:layout>
                <c:manualLayout>
                  <c:x val="1.2540193349374782E-2"/>
                  <c:y val="-1.0620915442627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00-4421-ADBC-F7020094C01E}"/>
                </c:ext>
              </c:extLst>
            </c:dLbl>
            <c:dLbl>
              <c:idx val="2"/>
              <c:layout>
                <c:manualLayout>
                  <c:x val="1.2540193349374833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00-4421-ADBC-F7020094C01E}"/>
                </c:ext>
              </c:extLst>
            </c:dLbl>
            <c:dLbl>
              <c:idx val="3"/>
              <c:layout>
                <c:manualLayout>
                  <c:x val="2.7867096331944022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00-4421-ADBC-F7020094C01E}"/>
                </c:ext>
              </c:extLst>
            </c:dLbl>
            <c:dLbl>
              <c:idx val="4"/>
              <c:layout>
                <c:manualLayout>
                  <c:x val="2.229367706555526E-2"/>
                  <c:y val="-8.4967323541016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00-4421-ADBC-F7020094C01E}"/>
                </c:ext>
              </c:extLst>
            </c:dLbl>
            <c:dLbl>
              <c:idx val="5"/>
              <c:layout>
                <c:manualLayout>
                  <c:x val="8.3952563524265597E-2"/>
                  <c:y val="-1.513345510900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00-4421-ADBC-F7020094C01E}"/>
                </c:ext>
              </c:extLst>
            </c:dLbl>
            <c:dLbl>
              <c:idx val="6"/>
              <c:layout>
                <c:manualLayout>
                  <c:x val="2.1185804899387577E-2"/>
                  <c:y val="-1.2570237374089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00-4421-ADBC-F7020094C01E}"/>
                </c:ext>
              </c:extLst>
            </c:dLbl>
            <c:dLbl>
              <c:idx val="7"/>
              <c:layout>
                <c:manualLayout>
                  <c:x val="7.3611111111111169E-2"/>
                  <c:y val="-1.1240812184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00-4421-ADBC-F7020094C0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s'!$S$2:$W$2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'Zdrojová data II. a III. s'!$S$4:$W$4</c:f>
              <c:numCache>
                <c:formatCode>#,##0</c:formatCode>
                <c:ptCount val="5"/>
                <c:pt idx="0">
                  <c:v>2896026</c:v>
                </c:pt>
                <c:pt idx="1">
                  <c:v>3288287</c:v>
                </c:pt>
                <c:pt idx="2">
                  <c:v>3297170</c:v>
                </c:pt>
                <c:pt idx="3">
                  <c:v>2861052</c:v>
                </c:pt>
                <c:pt idx="4">
                  <c:v>4146254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900-4421-ADBC-F7020094C0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49011224"/>
        <c:axId val="503495384"/>
        <c:axId val="0"/>
      </c:bar3DChart>
      <c:catAx>
        <c:axId val="449011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0624999999999998"/>
              <c:y val="0.90404040404040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503495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5384"/>
        <c:scaling>
          <c:orientation val="minMax"/>
          <c:max val="90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49011224"/>
        <c:crosses val="autoZero"/>
        <c:crossBetween val="between"/>
        <c:minorUnit val="5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75000000000002"/>
          <c:y val="0.95117845117845112"/>
          <c:w val="0.2593750000000000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hfhfhgjgj</a:t>
            </a:r>
          </a:p>
        </c:rich>
      </c:tx>
      <c:layout>
        <c:manualLayout>
          <c:xMode val="edge"/>
          <c:yMode val="edge"/>
          <c:x val="0.45499410871158097"/>
          <c:y val="3.2500039672899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0662840690776E-2"/>
          <c:y val="0.15000018310569227"/>
          <c:w val="0.84833589916956009"/>
          <c:h val="0.667500814820330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s'!$B$10:$K$10</c:f>
              <c:numCache>
                <c:formatCode>#,##0</c:formatCode>
                <c:ptCount val="6"/>
                <c:pt idx="0">
                  <c:v>1245018</c:v>
                </c:pt>
                <c:pt idx="1">
                  <c:v>3847124</c:v>
                </c:pt>
                <c:pt idx="2">
                  <c:v>4045313</c:v>
                </c:pt>
                <c:pt idx="3">
                  <c:v>4328690</c:v>
                </c:pt>
                <c:pt idx="4">
                  <c:v>4532498</c:v>
                </c:pt>
                <c:pt idx="5">
                  <c:v>4121475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B-4925-BCC8-69706B3C93AE}"/>
            </c:ext>
          </c:extLst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s'!$B$11:$K$11</c:f>
              <c:numCache>
                <c:formatCode>#,##0</c:formatCode>
                <c:ptCount val="6"/>
                <c:pt idx="0">
                  <c:v>85840</c:v>
                </c:pt>
                <c:pt idx="1">
                  <c:v>131499</c:v>
                </c:pt>
                <c:pt idx="2">
                  <c:v>208296</c:v>
                </c:pt>
                <c:pt idx="3">
                  <c:v>97807</c:v>
                </c:pt>
                <c:pt idx="4">
                  <c:v>183697</c:v>
                </c:pt>
                <c:pt idx="5">
                  <c:v>169579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B-4925-BCC8-69706B3C93AE}"/>
            </c:ext>
          </c:extLst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s'!$B$12:$K$12</c:f>
              <c:numCache>
                <c:formatCode>#,##0</c:formatCode>
                <c:ptCount val="6"/>
                <c:pt idx="0">
                  <c:v>10300</c:v>
                </c:pt>
                <c:pt idx="1">
                  <c:v>40000</c:v>
                </c:pt>
                <c:pt idx="2">
                  <c:v>40000</c:v>
                </c:pt>
                <c:pt idx="3">
                  <c:v>40500</c:v>
                </c:pt>
                <c:pt idx="4">
                  <c:v>58500</c:v>
                </c:pt>
                <c:pt idx="5">
                  <c:v>45730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FB-4925-BCC8-69706B3C93AE}"/>
            </c:ext>
          </c:extLst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s'!$B$13:$K$13</c:f>
              <c:numCache>
                <c:formatCode>#,##0</c:formatCode>
                <c:ptCount val="6"/>
                <c:pt idx="0">
                  <c:v>2089000</c:v>
                </c:pt>
                <c:pt idx="1">
                  <c:v>680213</c:v>
                </c:pt>
                <c:pt idx="2">
                  <c:v>774335</c:v>
                </c:pt>
                <c:pt idx="3">
                  <c:v>1925572.7</c:v>
                </c:pt>
                <c:pt idx="4">
                  <c:v>2098388</c:v>
                </c:pt>
                <c:pt idx="5">
                  <c:v>1689276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FB-4925-BCC8-69706B3C93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03496168"/>
        <c:axId val="503494600"/>
      </c:barChart>
      <c:catAx>
        <c:axId val="503496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1.9728741841152562E-2"/>
              <c:y val="0.43000052490298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4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4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6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524059756991124"/>
          <c:y val="0.92250112610000745"/>
          <c:w val="0.53144298334604712"/>
          <c:h val="6.00000732422769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Schválený rozpočet Moravskoslezského kraje v letech 2001 až 2008,</a:t>
            </a:r>
          </a:p>
        </c:rich>
      </c:tx>
      <c:layout>
        <c:manualLayout>
          <c:xMode val="edge"/>
          <c:yMode val="edge"/>
          <c:x val="0.12890649586962866"/>
          <c:y val="2.75000335693769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968784272736116"/>
          <c:y val="0.1125001373292692"/>
          <c:w val="0.74609517306360829"/>
          <c:h val="0.7750009460460767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s'!$B$3:$K$3</c:f>
              <c:numCache>
                <c:formatCode>#,##0</c:formatCode>
                <c:ptCount val="6"/>
                <c:pt idx="0">
                  <c:v>2804755</c:v>
                </c:pt>
                <c:pt idx="1">
                  <c:v>3835304</c:v>
                </c:pt>
                <c:pt idx="2">
                  <c:v>3597607</c:v>
                </c:pt>
                <c:pt idx="3">
                  <c:v>4148674</c:v>
                </c:pt>
                <c:pt idx="4">
                  <c:v>4386633</c:v>
                </c:pt>
                <c:pt idx="5">
                  <c:v>4426857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B-40E8-9C80-396C87BAC7AC}"/>
            </c:ext>
          </c:extLst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s'!$B$4:$K$4</c:f>
              <c:numCache>
                <c:formatCode>#,##0</c:formatCode>
                <c:ptCount val="6"/>
                <c:pt idx="0">
                  <c:v>661403</c:v>
                </c:pt>
                <c:pt idx="1">
                  <c:v>1357532</c:v>
                </c:pt>
                <c:pt idx="2">
                  <c:v>1720337</c:v>
                </c:pt>
                <c:pt idx="3">
                  <c:v>3443896</c:v>
                </c:pt>
                <c:pt idx="4">
                  <c:v>3154116</c:v>
                </c:pt>
                <c:pt idx="5">
                  <c:v>3001307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B-40E8-9C80-396C87BAC7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3496952"/>
        <c:axId val="503497344"/>
        <c:axId val="0"/>
      </c:bar3DChart>
      <c:catAx>
        <c:axId val="503496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hhfg</a:t>
                </a:r>
              </a:p>
            </c:rich>
          </c:tx>
          <c:layout>
            <c:manualLayout>
              <c:xMode val="edge"/>
              <c:yMode val="edge"/>
              <c:x val="7.4218891561301348E-2"/>
              <c:y val="0.4950006042487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497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503496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859433859698981"/>
          <c:y val="0.9475011566176228"/>
          <c:w val="0.38281323015829116"/>
          <c:h val="3.50000427246615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4 - Struktura návrhu rozpočtu Moravskoslezského kraje na rok 2022
PŘÍJMY</a:t>
            </a:r>
          </a:p>
        </c:rich>
      </c:tx>
      <c:layout>
        <c:manualLayout>
          <c:xMode val="edge"/>
          <c:yMode val="edge"/>
          <c:x val="0.1468375302238423"/>
          <c:y val="2.0202055583967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58333333333334E-2"/>
          <c:y val="0.19360269360269361"/>
          <c:w val="0.86354166666666665"/>
          <c:h val="0.55387205387205385"/>
        </c:manualLayout>
      </c:layout>
      <c:pie3DChart>
        <c:varyColors val="1"/>
        <c:ser>
          <c:idx val="0"/>
          <c:order val="0"/>
          <c:explosion val="37"/>
          <c:dLbls>
            <c:dLbl>
              <c:idx val="0"/>
              <c:layout>
                <c:manualLayout>
                  <c:x val="-2.7289622073900028E-2"/>
                  <c:y val="1.14465034524665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1A-42EA-A743-A3FC159C72BB}"/>
                </c:ext>
              </c:extLst>
            </c:dLbl>
            <c:dLbl>
              <c:idx val="1"/>
              <c:layout>
                <c:manualLayout>
                  <c:x val="2.1971669476050316E-2"/>
                  <c:y val="-2.14156124780870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A-42EA-A743-A3FC159C72BB}"/>
                </c:ext>
              </c:extLst>
            </c:dLbl>
            <c:dLbl>
              <c:idx val="3"/>
              <c:layout>
                <c:manualLayout>
                  <c:x val="-1.8266333080700917E-2"/>
                  <c:y val="5.549001809569829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A-42EA-A743-A3FC159C72BB}"/>
                </c:ext>
              </c:extLst>
            </c:dLbl>
            <c:dLbl>
              <c:idx val="4"/>
              <c:layout>
                <c:manualLayout>
                  <c:x val="9.5997593774973411E-2"/>
                  <c:y val="0.12493759166811763"/>
                </c:manualLayout>
              </c:layout>
              <c:tx>
                <c:rich>
                  <a:bodyPr/>
                  <a:lstStyle/>
                  <a:p>
                    <a:fld id="{E4749906-AF06-41B7-B634-4F7DB1750463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</a:t>
                    </a:r>
                    <a:fld id="{34FB1B04-108D-45A5-B5A3-3408074F97AE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E1A-42EA-A743-A3FC159C72BB}"/>
                </c:ext>
              </c:extLst>
            </c:dLbl>
            <c:dLbl>
              <c:idx val="6"/>
              <c:layout>
                <c:manualLayout>
                  <c:x val="4.887493729903325E-3"/>
                  <c:y val="2.78841681289241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A-42EA-A743-A3FC159C72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IV.'!$AF$2:$AF$8</c:f>
              <c:numCache>
                <c:formatCode>#,##0</c:formatCode>
                <c:ptCount val="7"/>
                <c:pt idx="0">
                  <c:v>597999</c:v>
                </c:pt>
                <c:pt idx="1">
                  <c:v>7283700</c:v>
                </c:pt>
                <c:pt idx="2">
                  <c:v>74079</c:v>
                </c:pt>
                <c:pt idx="3">
                  <c:v>606358</c:v>
                </c:pt>
                <c:pt idx="4">
                  <c:v>331493</c:v>
                </c:pt>
                <c:pt idx="5">
                  <c:v>171417</c:v>
                </c:pt>
                <c:pt idx="6">
                  <c:v>233717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1A-42EA-A743-A3FC159C72BB}"/>
            </c:ext>
          </c:extLst>
        </c:ser>
        <c:ser>
          <c:idx val="1"/>
          <c:order val="1"/>
          <c:explosion val="37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IV.'!$AG$2:$AG$8</c:f>
              <c:numCache>
                <c:formatCode>#,##0.00</c:formatCode>
                <c:ptCount val="7"/>
                <c:pt idx="0">
                  <c:v>6.4309521599808486</c:v>
                </c:pt>
                <c:pt idx="1">
                  <c:v>78.329773540846233</c:v>
                </c:pt>
                <c:pt idx="2">
                  <c:v>0.79665435069159207</c:v>
                </c:pt>
                <c:pt idx="3">
                  <c:v>6.5208458372366298</c:v>
                </c:pt>
                <c:pt idx="4">
                  <c:v>3.5649150322467618</c:v>
                </c:pt>
                <c:pt idx="5">
                  <c:v>1.8434387455621786</c:v>
                </c:pt>
                <c:pt idx="6">
                  <c:v>2.5134203334357483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1A-42EA-A743-A3FC159C72BB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5 - Struktura návrhu rozpočtu Moravskoslezského kraje na rok 2022
VÝDAJE</a:t>
            </a:r>
          </a:p>
        </c:rich>
      </c:tx>
      <c:layout>
        <c:manualLayout>
          <c:xMode val="edge"/>
          <c:yMode val="edge"/>
          <c:x val="0.14409722222222221"/>
          <c:y val="2.0201971446104968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875"/>
          <c:y val="0.2356902356902357"/>
          <c:w val="0.65312499999999996"/>
          <c:h val="0.65824915824915819"/>
        </c:manualLayout>
      </c:layout>
      <c:pie3DChart>
        <c:varyColors val="1"/>
        <c:ser>
          <c:idx val="0"/>
          <c:order val="0"/>
          <c:explosion val="12"/>
          <c:dLbls>
            <c:dLbl>
              <c:idx val="1"/>
              <c:layout>
                <c:manualLayout>
                  <c:x val="-4.1494380720708941E-2"/>
                  <c:y val="-1.25815197074849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E-46CC-9512-E6B11C82D5D2}"/>
                </c:ext>
              </c:extLst>
            </c:dLbl>
            <c:dLbl>
              <c:idx val="2"/>
              <c:layout>
                <c:manualLayout>
                  <c:x val="-4.2750649171688963E-2"/>
                  <c:y val="-0.245277079612876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0-4929-BDBF-E914DE64D395}"/>
                </c:ext>
              </c:extLst>
            </c:dLbl>
            <c:dLbl>
              <c:idx val="3"/>
              <c:layout>
                <c:manualLayout>
                  <c:x val="2.0764717008539595E-2"/>
                  <c:y val="9.610339519723875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0-4929-BDBF-E914DE64D395}"/>
                </c:ext>
              </c:extLst>
            </c:dLbl>
            <c:dLbl>
              <c:idx val="5"/>
              <c:layout>
                <c:manualLayout>
                  <c:x val="2.9051447926051698E-2"/>
                  <c:y val="-0.111948630228062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0-4929-BDBF-E914DE64D395}"/>
                </c:ext>
              </c:extLst>
            </c:dLbl>
            <c:dLbl>
              <c:idx val="6"/>
              <c:layout>
                <c:manualLayout>
                  <c:x val="8.1490905013575879E-2"/>
                  <c:y val="-3.94930795954819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0-4929-BDBF-E914DE64D3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Příspěvek na provoz příspěvkovým organizacím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VI.'!$AF$3:$AF$9</c:f>
              <c:numCache>
                <c:formatCode>#,##0</c:formatCode>
                <c:ptCount val="7"/>
                <c:pt idx="0">
                  <c:v>696724</c:v>
                </c:pt>
                <c:pt idx="1">
                  <c:v>488995</c:v>
                </c:pt>
                <c:pt idx="2">
                  <c:v>3982397</c:v>
                </c:pt>
                <c:pt idx="3">
                  <c:v>2841721</c:v>
                </c:pt>
                <c:pt idx="4">
                  <c:v>179892</c:v>
                </c:pt>
                <c:pt idx="5">
                  <c:v>2293028</c:v>
                </c:pt>
                <c:pt idx="6">
                  <c:v>1510400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F0-4929-BDBF-E914DE64D395}"/>
            </c:ext>
          </c:extLst>
        </c:ser>
        <c:ser>
          <c:idx val="1"/>
          <c:order val="1"/>
          <c:explosion val="12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Příspěvek na provoz příspěvkovým organizacím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VI.'!$AG$3:$AG$9</c:f>
              <c:numCache>
                <c:formatCode>#,##0.00</c:formatCode>
                <c:ptCount val="7"/>
                <c:pt idx="0">
                  <c:v>5.8093461129542456</c:v>
                </c:pt>
                <c:pt idx="1">
                  <c:v>4.0772834041945751</c:v>
                </c:pt>
                <c:pt idx="2">
                  <c:v>33.205577147034766</c:v>
                </c:pt>
                <c:pt idx="3">
                  <c:v>23.694520133439429</c:v>
                </c:pt>
                <c:pt idx="4">
                  <c:v>1.499955349538074</c:v>
                </c:pt>
                <c:pt idx="5">
                  <c:v>19.11946954417423</c:v>
                </c:pt>
                <c:pt idx="6">
                  <c:v>12.593848308664683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4F0-4929-BDBF-E914DE64D39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6 - Struktura návrhu rozpočtu Moravskoslezského kraje na rok 2022
Objemy výdajů na akce spolufinancované z evropských finančních zdrojů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pro rok 2022 v členění dle odvětví</a:t>
            </a:r>
          </a:p>
        </c:rich>
      </c:tx>
      <c:layout>
        <c:manualLayout>
          <c:xMode val="edge"/>
          <c:yMode val="edge"/>
          <c:x val="0.11597222222222223"/>
          <c:y val="2.0201952254694497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94439119735413"/>
          <c:y val="0.28077148887442221"/>
          <c:w val="0.69791666666666663"/>
          <c:h val="0.53703703703703709"/>
        </c:manualLayout>
      </c:layout>
      <c:pie3DChart>
        <c:varyColors val="1"/>
        <c:ser>
          <c:idx val="0"/>
          <c:order val="0"/>
          <c:explosion val="23"/>
          <c:dLbls>
            <c:dLbl>
              <c:idx val="0"/>
              <c:layout>
                <c:manualLayout>
                  <c:x val="-7.3853290928536063E-3"/>
                  <c:y val="8.662100843835914E-2"/>
                </c:manualLayout>
              </c:layout>
              <c:tx>
                <c:rich>
                  <a:bodyPr/>
                  <a:lstStyle/>
                  <a:p>
                    <a:fld id="{7B99A279-6BB4-4E5C-991F-F01BC31AF0F4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589,9 mil. Kč </a:t>
                    </a:r>
                    <a:fld id="{959FFE3B-065B-46E1-83CE-903D2D189F1E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749789899647727E-2"/>
                      <c:h val="9.105319171889732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DED-4596-A388-CC11271D2A0C}"/>
                </c:ext>
              </c:extLst>
            </c:dLbl>
            <c:dLbl>
              <c:idx val="1"/>
              <c:layout>
                <c:manualLayout>
                  <c:x val="-6.7200515387683984E-2"/>
                  <c:y val="3.4687240801576376E-2"/>
                </c:manualLayout>
              </c:layout>
              <c:tx>
                <c:rich>
                  <a:bodyPr/>
                  <a:lstStyle/>
                  <a:p>
                    <a:fld id="{B7D06C67-C279-4129-8A1F-C01804C71FB4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4,4 mil. Kč </a:t>
                    </a:r>
                    <a:fld id="{53630470-BC49-4C48-B788-99F55EBEBA0B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605576579000163E-2"/>
                      <c:h val="8.255645936479566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DED-4596-A388-CC11271D2A0C}"/>
                </c:ext>
              </c:extLst>
            </c:dLbl>
            <c:dLbl>
              <c:idx val="2"/>
              <c:layout>
                <c:manualLayout>
                  <c:x val="-5.3644160438992346E-2"/>
                  <c:y val="-6.1148875295232177E-2"/>
                </c:manualLayout>
              </c:layout>
              <c:tx>
                <c:rich>
                  <a:bodyPr/>
                  <a:lstStyle/>
                  <a:p>
                    <a:fld id="{7C17DCC0-F335-4F72-BD7D-3697D1D8E2D8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1,7 mil. Kč </a:t>
                    </a:r>
                    <a:fld id="{EE0AB47D-10C8-4CBC-88BE-DFE02E9930DB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186498457654966E-2"/>
                      <c:h val="9.452614743938091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DED-4596-A388-CC11271D2A0C}"/>
                </c:ext>
              </c:extLst>
            </c:dLbl>
            <c:dLbl>
              <c:idx val="3"/>
              <c:layout>
                <c:manualLayout>
                  <c:x val="-1.4024500224472764E-2"/>
                  <c:y val="-5.1044286875776612E-2"/>
                </c:manualLayout>
              </c:layout>
              <c:tx>
                <c:rich>
                  <a:bodyPr/>
                  <a:lstStyle/>
                  <a:p>
                    <a:fld id="{6A79EEA6-7AF6-4F0A-8DC8-104C34557CA6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94,0 mil. Kč </a:t>
                    </a:r>
                    <a:fld id="{53DB44DA-B47C-4929-A3C9-1B5A6FF0482A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973207213145528E-2"/>
                      <c:h val="0.1165433887812022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DED-4596-A388-CC11271D2A0C}"/>
                </c:ext>
              </c:extLst>
            </c:dLbl>
            <c:dLbl>
              <c:idx val="4"/>
              <c:layout>
                <c:manualLayout>
                  <c:x val="8.3564864287240886E-2"/>
                  <c:y val="-7.6258340136573274E-2"/>
                </c:manualLayout>
              </c:layout>
              <c:tx>
                <c:rich>
                  <a:bodyPr/>
                  <a:lstStyle/>
                  <a:p>
                    <a:fld id="{48827101-707F-43FB-ACA3-D3EBA5D4BD0B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57,9 mil. Kč    </a:t>
                    </a:r>
                    <a:fld id="{3EAD5987-440D-4EBB-8680-CAE35717A6C4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19137673549474"/>
                      <c:h val="8.468064245332106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DED-4596-A388-CC11271D2A0C}"/>
                </c:ext>
              </c:extLst>
            </c:dLbl>
            <c:dLbl>
              <c:idx val="5"/>
              <c:layout>
                <c:manualLayout>
                  <c:x val="-8.1200275335688812E-2"/>
                  <c:y val="-5.9831212746302792E-2"/>
                </c:manualLayout>
              </c:layout>
              <c:tx>
                <c:rich>
                  <a:bodyPr/>
                  <a:lstStyle/>
                  <a:p>
                    <a:fld id="{B69ED551-BDB9-44F3-B86C-B5EB02C10D5C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182,8 mil. Kč </a:t>
                    </a:r>
                    <a:fld id="{02A072FE-B1B6-4212-934A-BF47F9FDE76E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593786822418122E-2"/>
                      <c:h val="7.830809318774482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DED-4596-A388-CC11271D2A0C}"/>
                </c:ext>
              </c:extLst>
            </c:dLbl>
            <c:dLbl>
              <c:idx val="6"/>
              <c:layout>
                <c:manualLayout>
                  <c:x val="-6.744791815236334E-2"/>
                  <c:y val="-0.1312392233250691"/>
                </c:manualLayout>
              </c:layout>
              <c:tx>
                <c:rich>
                  <a:bodyPr/>
                  <a:lstStyle/>
                  <a:p>
                    <a:fld id="{C6358F8F-BEC4-496D-B55D-C384DAFC87EF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295,0 mil. Kč </a:t>
                    </a:r>
                    <a:fld id="{CB22DC95-5F2D-4203-8813-4B6A80360912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367634144960679E-2"/>
                      <c:h val="9.105319171889732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DED-4596-A388-CC11271D2A0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0430EA0-74DC-4344-A78A-EAE3511E4834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    56 mil. Kč        </a:t>
                    </a:r>
                    <a:fld id="{26EC5A51-49F3-47C5-AFCC-45EF38A5F584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1340144022419"/>
                      <c:h val="9.9305559388563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DED-4596-A388-CC11271D2A0C}"/>
                </c:ext>
              </c:extLst>
            </c:dLbl>
            <c:dLbl>
              <c:idx val="8"/>
              <c:layout>
                <c:manualLayout>
                  <c:x val="-3.5744158990781039E-2"/>
                  <c:y val="4.0920798244588469E-2"/>
                </c:manualLayout>
              </c:layout>
              <c:tx>
                <c:rich>
                  <a:bodyPr/>
                  <a:lstStyle/>
                  <a:p>
                    <a:fld id="{5F5AF808-D5D7-40ED-B663-27E9149CA2FE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152,5 mil. Kč </a:t>
                    </a:r>
                    <a:fld id="{B5DC4DDE-F1C9-44B4-9BF6-81E39CD1DA3C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122189537507127E-2"/>
                      <c:h val="7.618391009921941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ADED-4596-A388-CC11271D2A0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A2F7202-D3B5-4EBC-A9A9-D86D99641266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76,0 mil. Kč   </a:t>
                    </a:r>
                    <a:fld id="{5872E24B-170A-48A0-90F0-CEA8154F7C73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45659513234237"/>
                      <c:h val="8.549836931314790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DED-4596-A388-CC11271D2A0C}"/>
                </c:ext>
              </c:extLst>
            </c:dLbl>
            <c:dLbl>
              <c:idx val="10"/>
              <c:layout>
                <c:manualLayout>
                  <c:x val="-4.7374063764304926E-2"/>
                  <c:y val="4.6022851861311246E-3"/>
                </c:manualLayout>
              </c:layout>
              <c:tx>
                <c:rich>
                  <a:bodyPr/>
                  <a:lstStyle/>
                  <a:p>
                    <a:fld id="{808950F6-DD6D-41F5-A510-5B502C305DC1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 0,3 mil. Kč 0,0%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444804936908462E-2"/>
                      <c:h val="8.65604608574106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522-4961-892B-656D70C6A05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VI.'!$A$20:$A$33</c:f>
              <c:strCache>
                <c:ptCount val="11"/>
                <c:pt idx="0">
                  <c:v>Doprava</c:v>
                </c:pt>
                <c:pt idx="1">
                  <c:v>Chytrý region</c:v>
                </c:pt>
                <c:pt idx="2">
                  <c:v>Krizové řízení</c:v>
                </c:pt>
                <c:pt idx="3">
                  <c:v>Kultura</c:v>
                </c:pt>
                <c:pt idx="4">
                  <c:v>Regionální rozvoj 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Územní plánování a stavební řád</c:v>
                </c:pt>
                <c:pt idx="8">
                  <c:v>Zdravotnictví</c:v>
                </c:pt>
                <c:pt idx="9">
                  <c:v>Životní prostředí</c:v>
                </c:pt>
                <c:pt idx="10">
                  <c:v>Krajský úřad</c:v>
                </c:pt>
              </c:strCache>
            </c:strRef>
          </c:cat>
          <c:val>
            <c:numRef>
              <c:f>'Zdrojová data V.a VI.'!$AF$20:$AF$33</c:f>
              <c:numCache>
                <c:formatCode>#,##0</c:formatCode>
                <c:ptCount val="11"/>
                <c:pt idx="0">
                  <c:v>589851</c:v>
                </c:pt>
                <c:pt idx="1">
                  <c:v>4407</c:v>
                </c:pt>
                <c:pt idx="2">
                  <c:v>1700</c:v>
                </c:pt>
                <c:pt idx="3">
                  <c:v>93952</c:v>
                </c:pt>
                <c:pt idx="4">
                  <c:v>57899</c:v>
                </c:pt>
                <c:pt idx="5">
                  <c:v>182774</c:v>
                </c:pt>
                <c:pt idx="6">
                  <c:v>294965</c:v>
                </c:pt>
                <c:pt idx="7">
                  <c:v>56000</c:v>
                </c:pt>
                <c:pt idx="8">
                  <c:v>152537</c:v>
                </c:pt>
                <c:pt idx="9">
                  <c:v>76027</c:v>
                </c:pt>
                <c:pt idx="10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ED-4596-A388-CC11271D2A0C}"/>
            </c:ext>
          </c:extLst>
        </c:ser>
        <c:ser>
          <c:idx val="1"/>
          <c:order val="1"/>
          <c:explosion val="23"/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VI.'!$A$20:$A$33</c:f>
              <c:strCache>
                <c:ptCount val="11"/>
                <c:pt idx="0">
                  <c:v>Doprava</c:v>
                </c:pt>
                <c:pt idx="1">
                  <c:v>Chytrý region</c:v>
                </c:pt>
                <c:pt idx="2">
                  <c:v>Krizové řízení</c:v>
                </c:pt>
                <c:pt idx="3">
                  <c:v>Kultura</c:v>
                </c:pt>
                <c:pt idx="4">
                  <c:v>Regionální rozvoj 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Územní plánování a stavební řád</c:v>
                </c:pt>
                <c:pt idx="8">
                  <c:v>Zdravotnictví</c:v>
                </c:pt>
                <c:pt idx="9">
                  <c:v>Životní prostředí</c:v>
                </c:pt>
                <c:pt idx="10">
                  <c:v>Krajský úřad</c:v>
                </c:pt>
              </c:strCache>
            </c:strRef>
          </c:cat>
          <c:val>
            <c:numRef>
              <c:f>'Zdrojová data V.a VI.'!$AG$20:$AG$33</c:f>
              <c:numCache>
                <c:formatCode>#,##0.00</c:formatCode>
                <c:ptCount val="11"/>
                <c:pt idx="0">
                  <c:v>39.052635063559322</c:v>
                </c:pt>
                <c:pt idx="1">
                  <c:v>0.2917770127118644</c:v>
                </c:pt>
                <c:pt idx="2">
                  <c:v>0.11255296610169492</c:v>
                </c:pt>
                <c:pt idx="3">
                  <c:v>6.2203389830508469</c:v>
                </c:pt>
                <c:pt idx="4">
                  <c:v>3.8333554025423733</c:v>
                </c:pt>
                <c:pt idx="5">
                  <c:v>12.10103283898305</c:v>
                </c:pt>
                <c:pt idx="6">
                  <c:v>19.528932733050848</c:v>
                </c:pt>
                <c:pt idx="7">
                  <c:v>3.7076271186440675</c:v>
                </c:pt>
                <c:pt idx="8">
                  <c:v>10.099112817796611</c:v>
                </c:pt>
                <c:pt idx="9">
                  <c:v>5.0335672669491522</c:v>
                </c:pt>
                <c:pt idx="10">
                  <c:v>1.9067796610169493E-2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ED-4596-A388-CC11271D2A0C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eparator>
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22" workbookViewId="0" zoomToFit="1"/>
  </sheetViews>
  <pageMargins left="0.78740157480314965" right="0.78740157480314965" top="0.98425196850393704" bottom="0.59055118110236227" header="0.51181102362204722" footer="0.31496062992125984"/>
  <pageSetup paperSize="9" firstPageNumber="17" orientation="landscape" useFirstPageNumber="1" r:id="rId1"/>
  <headerFooter alignWithMargins="0">
    <oddHeader>&amp;L&amp;"Tahoma,Kurzíva"&amp;9Návrh rozpočtu na rok 2022
Příloha č. 10&amp;R&amp;"Tahoma,Kurzíva"&amp;9Graf č. 1</oddHeader>
    <oddFooter>&amp;C&amp;"Tahoma,Obyčejné"&amp;P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18" orientation="landscape" useFirstPageNumber="1" r:id="rId1"/>
  <headerFooter alignWithMargins="0">
    <oddHeader>&amp;L&amp;"Tahoma,Kurzíva"&amp;9Návrh rozpočtu na rok 2022
Příloha č. 10&amp;R&amp;"Tahoma,Kurzíva"&amp;9Graf č. 2</oddHeader>
    <oddFooter>&amp;C&amp;"Tahoma,Obyčejné"&amp;P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19" orientation="landscape" useFirstPageNumber="1" r:id="rId1"/>
  <headerFooter alignWithMargins="0">
    <oddHeader>&amp;L&amp;"Tahoma,Kurzíva"&amp;9Návrh rozpočtu na rok 2022
Příloha č. 10&amp;R&amp;"Tahoma,Kurzíva"&amp;9Graf č. 3</oddHeader>
    <oddFooter>&amp;C&amp;"Tahoma,Obyčejné"&amp;P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0" orientation="landscape" useFirstPageNumber="1" r:id="rId1"/>
  <headerFooter alignWithMargins="0">
    <oddHeader>&amp;L&amp;"Tahoma,Kurzíva"&amp;9Návrh rozpočtu na rok 2022
Příloha č. 10&amp;R&amp;"Tahoma,Kurzíva"&amp;9Graf č. 4</oddHeader>
    <oddFooter>&amp;C&amp;"Tahoma,Obyčejné"&amp;P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1" orientation="landscape" useFirstPageNumber="1" r:id="rId1"/>
  <headerFooter alignWithMargins="0">
    <oddHeader>&amp;L&amp;"Tahoma,Kurzíva"&amp;9Návrh rozpočtu na rok 2022
Příloha č. 10&amp;R&amp;"Tahoma,Kurzíva"&amp;9Graf č. 5</oddHeader>
    <oddFooter>&amp;C&amp;"Tahoma,Obyčejné"&amp;P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2" orientation="landscape" useFirstPageNumber="1" r:id="rId1"/>
  <headerFooter alignWithMargins="0">
    <oddHeader>&amp;L&amp;"Tahoma,Kurzíva"&amp;9Návrh rozpočtu na rok 2022
Příloha č. 10&amp;R&amp;"Tahoma,Kurzíva"&amp;9Graf č. 6</oddHeader>
    <oddFooter>&amp;C&amp;"Tahoma,Obyčejné"&amp;P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6824" cy="598825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0.0105</cdr:x>
      <cdr:y>0.02075</cdr:y>
    </cdr:from>
    <cdr:to>
      <cdr:x>0.86825</cdr:x>
      <cdr:y>0.9745</cdr:y>
    </cdr:to>
    <cdr:graphicFrame macro="">
      <cdr:nvGraphicFramePr>
        <cdr:cNvPr id="11265" name="Chart 1">
          <a:extLst xmlns:a="http://schemas.openxmlformats.org/drawingml/2006/main">
            <a:ext uri="{FF2B5EF4-FFF2-40B4-BE49-F238E27FC236}">
              <a16:creationId xmlns:a16="http://schemas.microsoft.com/office/drawing/2014/main" id="{2374578E-B50D-4C3A-83B2-F2CB0760CB2B}"/>
            </a:ext>
          </a:extLst>
        </cdr:cNvPr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14</xdr:row>
      <xdr:rowOff>104775</xdr:rowOff>
    </xdr:from>
    <xdr:to>
      <xdr:col>14</xdr:col>
      <xdr:colOff>180975</xdr:colOff>
      <xdr:row>33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15</xdr:row>
      <xdr:rowOff>19050</xdr:rowOff>
    </xdr:from>
    <xdr:to>
      <xdr:col>5</xdr:col>
      <xdr:colOff>857250</xdr:colOff>
      <xdr:row>34</xdr:row>
      <xdr:rowOff>28575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14692" cy="5978769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.sharepoint.com/Users/stankova2598/AppData/Local/Microsoft/Windows/INetCache/Content.Outlook/P53HJRV8/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zoomScaleSheetLayoutView="100" workbookViewId="0">
      <selection activeCell="H5" sqref="H5"/>
    </sheetView>
  </sheetViews>
  <sheetFormatPr defaultRowHeight="15.75" x14ac:dyDescent="0.25"/>
  <cols>
    <col min="1" max="4" width="9.140625" style="40"/>
    <col min="5" max="5" width="38.5703125" style="40" customWidth="1"/>
    <col min="6" max="16384" width="9.140625" style="40"/>
  </cols>
  <sheetData>
    <row r="1" spans="1:10" s="33" customFormat="1" ht="15.75" customHeight="1" x14ac:dyDescent="0.2">
      <c r="A1" s="41" t="s">
        <v>151</v>
      </c>
      <c r="C1" s="32"/>
    </row>
    <row r="2" spans="1:10" s="34" customFormat="1" ht="18" customHeight="1" x14ac:dyDescent="0.25"/>
    <row r="3" spans="1:10" s="36" customFormat="1" ht="42" customHeight="1" x14ac:dyDescent="0.25">
      <c r="A3" s="348" t="s">
        <v>302</v>
      </c>
      <c r="B3" s="349"/>
      <c r="C3" s="349"/>
      <c r="D3" s="349"/>
      <c r="E3" s="349"/>
      <c r="F3" s="349"/>
      <c r="G3" s="35"/>
      <c r="H3" s="35"/>
      <c r="I3" s="35"/>
      <c r="J3" s="35"/>
    </row>
    <row r="4" spans="1:10" s="37" customFormat="1" ht="36" customHeight="1" x14ac:dyDescent="0.2"/>
    <row r="5" spans="1:10" s="37" customFormat="1" ht="15.75" customHeight="1" x14ac:dyDescent="0.2">
      <c r="A5" s="38" t="s">
        <v>31</v>
      </c>
      <c r="F5" s="39" t="s">
        <v>32</v>
      </c>
    </row>
    <row r="6" spans="1:10" s="37" customFormat="1" ht="15" x14ac:dyDescent="0.2"/>
    <row r="7" spans="1:10" s="37" customFormat="1" ht="15" x14ac:dyDescent="0.2">
      <c r="A7" s="350" t="s">
        <v>303</v>
      </c>
      <c r="B7" s="350"/>
      <c r="C7" s="350"/>
      <c r="D7" s="350"/>
      <c r="E7" s="350"/>
      <c r="F7" s="305">
        <v>2</v>
      </c>
    </row>
    <row r="8" spans="1:10" s="37" customFormat="1" ht="15" x14ac:dyDescent="0.2">
      <c r="A8" s="339"/>
      <c r="B8" s="339"/>
      <c r="C8" s="339"/>
      <c r="D8" s="339"/>
      <c r="E8" s="339"/>
      <c r="F8" s="305"/>
    </row>
    <row r="9" spans="1:10" s="37" customFormat="1" ht="48" customHeight="1" x14ac:dyDescent="0.2">
      <c r="A9" s="351" t="s">
        <v>304</v>
      </c>
      <c r="B9" s="351"/>
      <c r="C9" s="351"/>
      <c r="D9" s="351"/>
      <c r="E9" s="351"/>
      <c r="F9" s="305">
        <v>4</v>
      </c>
    </row>
    <row r="10" spans="1:10" s="37" customFormat="1" ht="15" x14ac:dyDescent="0.2">
      <c r="A10" s="339"/>
      <c r="B10" s="339"/>
      <c r="C10" s="339"/>
      <c r="D10" s="339"/>
      <c r="E10" s="339"/>
      <c r="F10" s="305"/>
    </row>
    <row r="11" spans="1:10" s="37" customFormat="1" ht="31.5" customHeight="1" x14ac:dyDescent="0.2">
      <c r="A11" s="351" t="s">
        <v>305</v>
      </c>
      <c r="B11" s="351"/>
      <c r="C11" s="351"/>
      <c r="D11" s="351"/>
      <c r="E11" s="351"/>
      <c r="F11" s="305">
        <v>8</v>
      </c>
    </row>
    <row r="12" spans="1:10" s="37" customFormat="1" ht="15" x14ac:dyDescent="0.2">
      <c r="A12" s="339"/>
      <c r="B12" s="339"/>
      <c r="C12" s="339"/>
      <c r="D12" s="339"/>
      <c r="E12" s="339"/>
      <c r="F12" s="305"/>
    </row>
    <row r="13" spans="1:10" s="37" customFormat="1" ht="15" x14ac:dyDescent="0.2">
      <c r="A13" s="351" t="s">
        <v>306</v>
      </c>
      <c r="B13" s="351"/>
      <c r="C13" s="351"/>
      <c r="D13" s="351"/>
      <c r="E13" s="351"/>
      <c r="F13" s="305">
        <v>13</v>
      </c>
    </row>
    <row r="14" spans="1:10" s="37" customFormat="1" ht="24" customHeight="1" x14ac:dyDescent="0.2">
      <c r="A14" s="340"/>
      <c r="B14" s="340"/>
      <c r="C14" s="340"/>
      <c r="D14" s="340"/>
      <c r="E14" s="340"/>
      <c r="F14" s="305"/>
    </row>
    <row r="15" spans="1:10" ht="31.5" customHeight="1" x14ac:dyDescent="0.25">
      <c r="A15" s="351" t="s">
        <v>307</v>
      </c>
      <c r="B15" s="351"/>
      <c r="C15" s="351"/>
      <c r="D15" s="351"/>
      <c r="E15" s="351"/>
      <c r="F15" s="305">
        <v>17</v>
      </c>
      <c r="G15" s="341"/>
    </row>
    <row r="16" spans="1:10" ht="15" customHeight="1" x14ac:dyDescent="0.25">
      <c r="A16" s="340"/>
      <c r="B16" s="340"/>
      <c r="C16" s="342"/>
      <c r="D16" s="340"/>
      <c r="E16" s="340"/>
      <c r="F16" s="343"/>
      <c r="G16" s="341"/>
    </row>
    <row r="17" spans="1:7" ht="46.5" customHeight="1" x14ac:dyDescent="0.25">
      <c r="A17" s="351" t="s">
        <v>308</v>
      </c>
      <c r="B17" s="351"/>
      <c r="C17" s="351"/>
      <c r="D17" s="351"/>
      <c r="E17" s="351"/>
      <c r="F17" s="305">
        <v>18</v>
      </c>
      <c r="G17" s="341"/>
    </row>
    <row r="18" spans="1:7" ht="15" customHeight="1" x14ac:dyDescent="0.25">
      <c r="A18" s="340"/>
      <c r="B18" s="340"/>
      <c r="C18" s="340"/>
      <c r="D18" s="340"/>
      <c r="E18" s="340"/>
      <c r="F18" s="343"/>
      <c r="G18" s="341"/>
    </row>
    <row r="19" spans="1:7" ht="46.5" customHeight="1" x14ac:dyDescent="0.25">
      <c r="A19" s="351" t="s">
        <v>309</v>
      </c>
      <c r="B19" s="351"/>
      <c r="C19" s="351"/>
      <c r="D19" s="351"/>
      <c r="E19" s="351"/>
      <c r="F19" s="305">
        <v>19</v>
      </c>
      <c r="G19" s="341"/>
    </row>
    <row r="20" spans="1:7" ht="15" customHeight="1" x14ac:dyDescent="0.25">
      <c r="A20" s="340"/>
      <c r="B20" s="340"/>
      <c r="C20" s="340"/>
      <c r="D20" s="340"/>
      <c r="E20" s="340"/>
      <c r="F20" s="343"/>
      <c r="G20" s="341"/>
    </row>
    <row r="21" spans="1:7" ht="31.5" customHeight="1" x14ac:dyDescent="0.25">
      <c r="A21" s="351" t="s">
        <v>310</v>
      </c>
      <c r="B21" s="351"/>
      <c r="C21" s="351"/>
      <c r="D21" s="351"/>
      <c r="E21" s="351"/>
      <c r="F21" s="305">
        <v>20</v>
      </c>
      <c r="G21" s="341"/>
    </row>
    <row r="22" spans="1:7" ht="15" customHeight="1" x14ac:dyDescent="0.25">
      <c r="A22" s="340"/>
      <c r="B22" s="340"/>
      <c r="C22" s="340"/>
      <c r="D22" s="340"/>
      <c r="E22" s="340"/>
      <c r="F22" s="343"/>
      <c r="G22" s="341"/>
    </row>
    <row r="23" spans="1:7" ht="31.5" customHeight="1" x14ac:dyDescent="0.25">
      <c r="A23" s="351" t="s">
        <v>311</v>
      </c>
      <c r="B23" s="351"/>
      <c r="C23" s="351"/>
      <c r="D23" s="351"/>
      <c r="E23" s="351"/>
      <c r="F23" s="305">
        <v>21</v>
      </c>
      <c r="G23" s="341"/>
    </row>
    <row r="24" spans="1:7" ht="15" customHeight="1" x14ac:dyDescent="0.25">
      <c r="A24" s="340"/>
      <c r="B24" s="340"/>
      <c r="C24" s="340"/>
      <c r="D24" s="340"/>
      <c r="E24" s="340"/>
      <c r="F24" s="343"/>
      <c r="G24" s="341"/>
    </row>
    <row r="25" spans="1:7" ht="46.5" customHeight="1" x14ac:dyDescent="0.25">
      <c r="A25" s="351" t="s">
        <v>312</v>
      </c>
      <c r="B25" s="351"/>
      <c r="C25" s="351"/>
      <c r="D25" s="351"/>
      <c r="E25" s="351"/>
      <c r="F25" s="305">
        <v>22</v>
      </c>
      <c r="G25" s="341"/>
    </row>
    <row r="26" spans="1:7" x14ac:dyDescent="0.25">
      <c r="A26" s="344"/>
      <c r="B26" s="344"/>
      <c r="C26" s="344"/>
      <c r="D26" s="344"/>
      <c r="E26" s="344"/>
      <c r="F26" s="341"/>
      <c r="G26" s="341"/>
    </row>
    <row r="27" spans="1:7" x14ac:dyDescent="0.25">
      <c r="A27" s="34"/>
      <c r="B27" s="34"/>
      <c r="C27" s="34"/>
      <c r="D27" s="34"/>
      <c r="E27" s="34"/>
    </row>
  </sheetData>
  <mergeCells count="11">
    <mergeCell ref="A25:E25"/>
    <mergeCell ref="A11:E11"/>
    <mergeCell ref="A13:E13"/>
    <mergeCell ref="A15:E15"/>
    <mergeCell ref="A17:E17"/>
    <mergeCell ref="A19:E19"/>
    <mergeCell ref="A3:F3"/>
    <mergeCell ref="A7:E7"/>
    <mergeCell ref="A9:E9"/>
    <mergeCell ref="A21:E21"/>
    <mergeCell ref="A23:E23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4"/>
  <sheetViews>
    <sheetView zoomScaleNormal="100" zoomScaleSheetLayoutView="100" workbookViewId="0">
      <pane ySplit="2" topLeftCell="A3" activePane="bottomLeft" state="frozen"/>
      <selection pane="bottomLeft" activeCell="I3" sqref="I3"/>
    </sheetView>
  </sheetViews>
  <sheetFormatPr defaultColWidth="9.140625" defaultRowHeight="10.5" x14ac:dyDescent="0.15"/>
  <cols>
    <col min="1" max="1" width="6.42578125" style="21" customWidth="1"/>
    <col min="2" max="2" width="55.7109375" style="10" customWidth="1"/>
    <col min="3" max="3" width="10.7109375" style="10" customWidth="1"/>
    <col min="4" max="5" width="10.7109375" style="28" customWidth="1"/>
    <col min="6" max="6" width="10.7109375" style="10" customWidth="1"/>
    <col min="7" max="7" width="8" style="10" customWidth="1"/>
    <col min="8" max="16384" width="9.140625" style="1"/>
  </cols>
  <sheetData>
    <row r="1" spans="1:8" ht="36" customHeight="1" thickBot="1" x14ac:dyDescent="0.25">
      <c r="A1" s="358" t="s">
        <v>313</v>
      </c>
      <c r="B1" s="359"/>
      <c r="C1" s="359"/>
      <c r="D1" s="359"/>
      <c r="E1" s="359"/>
      <c r="F1" s="359"/>
      <c r="G1" s="359"/>
    </row>
    <row r="2" spans="1:8" ht="36" customHeight="1" x14ac:dyDescent="0.15">
      <c r="A2" s="2" t="s">
        <v>0</v>
      </c>
      <c r="B2" s="3" t="s">
        <v>1</v>
      </c>
      <c r="C2" s="3" t="s">
        <v>314</v>
      </c>
      <c r="D2" s="3" t="s">
        <v>315</v>
      </c>
      <c r="E2" s="3" t="s">
        <v>316</v>
      </c>
      <c r="F2" s="3" t="s">
        <v>317</v>
      </c>
      <c r="G2" s="4" t="s">
        <v>318</v>
      </c>
      <c r="H2" s="5"/>
    </row>
    <row r="3" spans="1:8" s="10" customFormat="1" ht="15" customHeight="1" x14ac:dyDescent="0.25">
      <c r="A3" s="192">
        <v>157</v>
      </c>
      <c r="B3" s="168" t="s">
        <v>152</v>
      </c>
      <c r="C3" s="8">
        <v>4000</v>
      </c>
      <c r="D3" s="7">
        <v>7180.3</v>
      </c>
      <c r="E3" s="7">
        <v>6823.1000000000013</v>
      </c>
      <c r="F3" s="8">
        <v>4000</v>
      </c>
      <c r="G3" s="9">
        <f t="shared" ref="G3:G37" si="0">F3/C3*100</f>
        <v>100</v>
      </c>
    </row>
    <row r="4" spans="1:8" s="10" customFormat="1" ht="15.75" customHeight="1" x14ac:dyDescent="0.25">
      <c r="A4" s="360" t="s">
        <v>2</v>
      </c>
      <c r="B4" s="361"/>
      <c r="C4" s="12">
        <f>SUM(C3)</f>
        <v>4000</v>
      </c>
      <c r="D4" s="11">
        <f>SUM(D3)</f>
        <v>7180.3</v>
      </c>
      <c r="E4" s="11">
        <f>SUM(E3)</f>
        <v>6823.1000000000013</v>
      </c>
      <c r="F4" s="12">
        <f>SUM(F3)</f>
        <v>4000</v>
      </c>
      <c r="G4" s="13">
        <f t="shared" si="0"/>
        <v>100</v>
      </c>
    </row>
    <row r="5" spans="1:8" s="10" customFormat="1" ht="24" customHeight="1" x14ac:dyDescent="0.25">
      <c r="A5" s="193">
        <v>193</v>
      </c>
      <c r="B5" s="6" t="s">
        <v>3</v>
      </c>
      <c r="C5" s="8">
        <v>12000</v>
      </c>
      <c r="D5" s="7">
        <v>14395.599999999999</v>
      </c>
      <c r="E5" s="7">
        <v>2428</v>
      </c>
      <c r="F5" s="8">
        <v>12000</v>
      </c>
      <c r="G5" s="9">
        <f t="shared" si="0"/>
        <v>100</v>
      </c>
    </row>
    <row r="6" spans="1:8" s="10" customFormat="1" ht="13.5" customHeight="1" x14ac:dyDescent="0.25">
      <c r="A6" s="193">
        <f>A5+1</f>
        <v>194</v>
      </c>
      <c r="B6" s="6" t="s">
        <v>322</v>
      </c>
      <c r="C6" s="8">
        <v>0</v>
      </c>
      <c r="D6" s="7">
        <v>3802</v>
      </c>
      <c r="E6" s="7">
        <v>3801.8162000000002</v>
      </c>
      <c r="F6" s="8">
        <v>30000</v>
      </c>
      <c r="G6" s="195" t="s">
        <v>6</v>
      </c>
    </row>
    <row r="7" spans="1:8" s="10" customFormat="1" ht="13.5" customHeight="1" x14ac:dyDescent="0.25">
      <c r="A7" s="193">
        <f t="shared" ref="A7:A9" si="1">A6+1</f>
        <v>195</v>
      </c>
      <c r="B7" s="6" t="s">
        <v>153</v>
      </c>
      <c r="C7" s="8">
        <v>5000</v>
      </c>
      <c r="D7" s="7">
        <v>5000</v>
      </c>
      <c r="E7" s="7">
        <v>4603.3640599999999</v>
      </c>
      <c r="F7" s="8">
        <v>11000</v>
      </c>
      <c r="G7" s="9">
        <f t="shared" si="0"/>
        <v>220.00000000000003</v>
      </c>
    </row>
    <row r="8" spans="1:8" s="10" customFormat="1" ht="24" customHeight="1" x14ac:dyDescent="0.25">
      <c r="A8" s="193">
        <f t="shared" si="1"/>
        <v>196</v>
      </c>
      <c r="B8" s="6" t="s">
        <v>4</v>
      </c>
      <c r="C8" s="8">
        <v>1650</v>
      </c>
      <c r="D8" s="7">
        <v>877</v>
      </c>
      <c r="E8" s="7">
        <v>634</v>
      </c>
      <c r="F8" s="8">
        <v>1650</v>
      </c>
      <c r="G8" s="9">
        <f t="shared" si="0"/>
        <v>100</v>
      </c>
    </row>
    <row r="9" spans="1:8" s="10" customFormat="1" ht="13.5" customHeight="1" x14ac:dyDescent="0.25">
      <c r="A9" s="193">
        <f t="shared" si="1"/>
        <v>197</v>
      </c>
      <c r="B9" s="18" t="s">
        <v>250</v>
      </c>
      <c r="C9" s="8">
        <v>2500</v>
      </c>
      <c r="D9" s="7">
        <v>2500</v>
      </c>
      <c r="E9" s="7">
        <v>0</v>
      </c>
      <c r="F9" s="8">
        <v>7500</v>
      </c>
      <c r="G9" s="9">
        <f>F9/C9*100</f>
        <v>300</v>
      </c>
    </row>
    <row r="10" spans="1:8" s="10" customFormat="1" ht="15.75" customHeight="1" x14ac:dyDescent="0.25">
      <c r="A10" s="360" t="s">
        <v>5</v>
      </c>
      <c r="B10" s="361"/>
      <c r="C10" s="12">
        <f>SUM(C5:C9)</f>
        <v>21150</v>
      </c>
      <c r="D10" s="11">
        <f t="shared" ref="D10:E10" si="2">SUM(D5:D9)</f>
        <v>26574.6</v>
      </c>
      <c r="E10" s="11">
        <f t="shared" si="2"/>
        <v>11467.180260000001</v>
      </c>
      <c r="F10" s="12">
        <f>SUM(F5:F9)</f>
        <v>62150</v>
      </c>
      <c r="G10" s="13">
        <f t="shared" si="0"/>
        <v>293.8534278959811</v>
      </c>
    </row>
    <row r="11" spans="1:8" s="10" customFormat="1" ht="15" customHeight="1" x14ac:dyDescent="0.25">
      <c r="A11" s="193">
        <v>263</v>
      </c>
      <c r="B11" s="6" t="s">
        <v>323</v>
      </c>
      <c r="C11" s="8">
        <v>0</v>
      </c>
      <c r="D11" s="7">
        <v>0</v>
      </c>
      <c r="E11" s="7">
        <v>0</v>
      </c>
      <c r="F11" s="8">
        <v>20800</v>
      </c>
      <c r="G11" s="304" t="s">
        <v>6</v>
      </c>
      <c r="H11" s="194"/>
    </row>
    <row r="12" spans="1:8" s="10" customFormat="1" ht="15" customHeight="1" x14ac:dyDescent="0.25">
      <c r="A12" s="193">
        <f>A11+1</f>
        <v>264</v>
      </c>
      <c r="B12" s="6" t="s">
        <v>242</v>
      </c>
      <c r="C12" s="8">
        <v>16000</v>
      </c>
      <c r="D12" s="7">
        <v>17648.03</v>
      </c>
      <c r="E12" s="7">
        <v>17199.292409999998</v>
      </c>
      <c r="F12" s="8">
        <v>3990</v>
      </c>
      <c r="G12" s="9">
        <f t="shared" ref="G12:G27" si="3">F12/C12*100</f>
        <v>24.9375</v>
      </c>
      <c r="H12" s="194"/>
    </row>
    <row r="13" spans="1:8" s="10" customFormat="1" ht="15" customHeight="1" x14ac:dyDescent="0.25">
      <c r="A13" s="193">
        <f t="shared" ref="A13:A25" si="4">A12+1</f>
        <v>265</v>
      </c>
      <c r="B13" s="6" t="s">
        <v>324</v>
      </c>
      <c r="C13" s="8">
        <v>0</v>
      </c>
      <c r="D13" s="7">
        <v>0</v>
      </c>
      <c r="E13" s="7">
        <v>0</v>
      </c>
      <c r="F13" s="8">
        <v>16000</v>
      </c>
      <c r="G13" s="304" t="s">
        <v>6</v>
      </c>
    </row>
    <row r="14" spans="1:8" s="10" customFormat="1" ht="15" customHeight="1" x14ac:dyDescent="0.25">
      <c r="A14" s="193">
        <f t="shared" si="4"/>
        <v>266</v>
      </c>
      <c r="B14" s="6" t="s">
        <v>331</v>
      </c>
      <c r="C14" s="8">
        <v>0</v>
      </c>
      <c r="D14" s="7">
        <v>4306.24</v>
      </c>
      <c r="E14" s="7">
        <v>4306.2242499999993</v>
      </c>
      <c r="F14" s="8">
        <v>2218</v>
      </c>
      <c r="G14" s="304" t="s">
        <v>6</v>
      </c>
    </row>
    <row r="15" spans="1:8" s="10" customFormat="1" ht="15" customHeight="1" x14ac:dyDescent="0.25">
      <c r="A15" s="193">
        <f t="shared" si="4"/>
        <v>267</v>
      </c>
      <c r="B15" s="6" t="s">
        <v>248</v>
      </c>
      <c r="C15" s="8">
        <v>2869</v>
      </c>
      <c r="D15" s="7">
        <v>1847.84</v>
      </c>
      <c r="E15" s="7">
        <v>1485.50578</v>
      </c>
      <c r="F15" s="8">
        <v>318</v>
      </c>
      <c r="G15" s="9">
        <f t="shared" si="3"/>
        <v>11.084001394214011</v>
      </c>
    </row>
    <row r="16" spans="1:8" s="10" customFormat="1" ht="15" customHeight="1" x14ac:dyDescent="0.25">
      <c r="A16" s="193">
        <f>A15+2</f>
        <v>269</v>
      </c>
      <c r="B16" s="6" t="s">
        <v>325</v>
      </c>
      <c r="C16" s="8">
        <v>0</v>
      </c>
      <c r="D16" s="7">
        <v>398.40000000000003</v>
      </c>
      <c r="E16" s="7">
        <v>314.40199999999999</v>
      </c>
      <c r="F16" s="8">
        <v>96</v>
      </c>
      <c r="G16" s="304" t="s">
        <v>6</v>
      </c>
    </row>
    <row r="17" spans="1:8" s="10" customFormat="1" ht="15" customHeight="1" x14ac:dyDescent="0.25">
      <c r="A17" s="193">
        <f>A16+2</f>
        <v>271</v>
      </c>
      <c r="B17" s="6" t="s">
        <v>249</v>
      </c>
      <c r="C17" s="8">
        <v>99</v>
      </c>
      <c r="D17" s="7">
        <v>147.88</v>
      </c>
      <c r="E17" s="7">
        <v>48.875</v>
      </c>
      <c r="F17" s="8">
        <v>100</v>
      </c>
      <c r="G17" s="9">
        <f t="shared" si="3"/>
        <v>101.01010101010101</v>
      </c>
    </row>
    <row r="18" spans="1:8" s="10" customFormat="1" ht="15" customHeight="1" x14ac:dyDescent="0.25">
      <c r="A18" s="193">
        <f t="shared" si="4"/>
        <v>272</v>
      </c>
      <c r="B18" s="18" t="s">
        <v>326</v>
      </c>
      <c r="C18" s="8">
        <v>0</v>
      </c>
      <c r="D18" s="7">
        <v>0</v>
      </c>
      <c r="E18" s="7">
        <v>0</v>
      </c>
      <c r="F18" s="8">
        <v>4000</v>
      </c>
      <c r="G18" s="304" t="s">
        <v>6</v>
      </c>
    </row>
    <row r="19" spans="1:8" s="10" customFormat="1" ht="15" customHeight="1" x14ac:dyDescent="0.25">
      <c r="A19" s="193">
        <f t="shared" si="4"/>
        <v>273</v>
      </c>
      <c r="B19" s="18" t="s">
        <v>243</v>
      </c>
      <c r="C19" s="8">
        <v>4000</v>
      </c>
      <c r="D19" s="7">
        <v>4000</v>
      </c>
      <c r="E19" s="7">
        <v>0</v>
      </c>
      <c r="F19" s="8">
        <v>3915</v>
      </c>
      <c r="G19" s="9">
        <f t="shared" si="3"/>
        <v>97.875</v>
      </c>
    </row>
    <row r="20" spans="1:8" s="10" customFormat="1" ht="15" customHeight="1" x14ac:dyDescent="0.25">
      <c r="A20" s="193">
        <f t="shared" si="4"/>
        <v>274</v>
      </c>
      <c r="B20" s="18" t="s">
        <v>327</v>
      </c>
      <c r="C20" s="8">
        <v>0</v>
      </c>
      <c r="D20" s="7">
        <v>0</v>
      </c>
      <c r="E20" s="7">
        <v>0</v>
      </c>
      <c r="F20" s="8">
        <v>4995</v>
      </c>
      <c r="G20" s="304" t="s">
        <v>6</v>
      </c>
    </row>
    <row r="21" spans="1:8" s="10" customFormat="1" ht="15" customHeight="1" x14ac:dyDescent="0.25">
      <c r="A21" s="193">
        <f t="shared" si="4"/>
        <v>275</v>
      </c>
      <c r="B21" s="14" t="s">
        <v>328</v>
      </c>
      <c r="C21" s="8">
        <v>0</v>
      </c>
      <c r="D21" s="7">
        <v>0</v>
      </c>
      <c r="E21" s="7">
        <v>0</v>
      </c>
      <c r="F21" s="8">
        <v>8000</v>
      </c>
      <c r="G21" s="304" t="s">
        <v>6</v>
      </c>
    </row>
    <row r="22" spans="1:8" s="10" customFormat="1" ht="15" customHeight="1" x14ac:dyDescent="0.25">
      <c r="A22" s="193">
        <f t="shared" si="4"/>
        <v>276</v>
      </c>
      <c r="B22" s="14" t="s">
        <v>244</v>
      </c>
      <c r="C22" s="8">
        <v>8000</v>
      </c>
      <c r="D22" s="7">
        <v>8000</v>
      </c>
      <c r="E22" s="7">
        <v>6066.64</v>
      </c>
      <c r="F22" s="8">
        <v>2336</v>
      </c>
      <c r="G22" s="9">
        <f t="shared" si="3"/>
        <v>29.2</v>
      </c>
    </row>
    <row r="23" spans="1:8" s="10" customFormat="1" ht="15" customHeight="1" x14ac:dyDescent="0.25">
      <c r="A23" s="193">
        <f>A22+2</f>
        <v>278</v>
      </c>
      <c r="B23" s="15" t="s">
        <v>329</v>
      </c>
      <c r="C23" s="8">
        <v>0</v>
      </c>
      <c r="D23" s="7">
        <v>0</v>
      </c>
      <c r="E23" s="7">
        <v>0</v>
      </c>
      <c r="F23" s="8">
        <v>2500</v>
      </c>
      <c r="G23" s="304" t="s">
        <v>6</v>
      </c>
    </row>
    <row r="24" spans="1:8" s="10" customFormat="1" ht="15" customHeight="1" x14ac:dyDescent="0.25">
      <c r="A24" s="193">
        <f t="shared" si="4"/>
        <v>279</v>
      </c>
      <c r="B24" s="15" t="s">
        <v>245</v>
      </c>
      <c r="C24" s="8">
        <v>2500</v>
      </c>
      <c r="D24" s="7">
        <v>2500.0000000000005</v>
      </c>
      <c r="E24" s="7">
        <v>2015.2000000000003</v>
      </c>
      <c r="F24" s="8">
        <v>2434</v>
      </c>
      <c r="G24" s="9">
        <f t="shared" si="3"/>
        <v>97.36</v>
      </c>
    </row>
    <row r="25" spans="1:8" s="10" customFormat="1" ht="15" customHeight="1" x14ac:dyDescent="0.25">
      <c r="A25" s="193">
        <f t="shared" si="4"/>
        <v>280</v>
      </c>
      <c r="B25" s="15" t="s">
        <v>330</v>
      </c>
      <c r="C25" s="8">
        <v>0</v>
      </c>
      <c r="D25" s="7">
        <v>1986.2</v>
      </c>
      <c r="E25" s="7">
        <v>1986.2</v>
      </c>
      <c r="F25" s="8">
        <v>1200</v>
      </c>
      <c r="G25" s="304" t="s">
        <v>6</v>
      </c>
    </row>
    <row r="26" spans="1:8" s="10" customFormat="1" ht="15" customHeight="1" x14ac:dyDescent="0.25">
      <c r="A26" s="193">
        <f>A25+2</f>
        <v>282</v>
      </c>
      <c r="B26" s="15" t="s">
        <v>36</v>
      </c>
      <c r="C26" s="8">
        <v>700</v>
      </c>
      <c r="D26" s="7">
        <v>653.9</v>
      </c>
      <c r="E26" s="7">
        <v>653.9</v>
      </c>
      <c r="F26" s="8">
        <v>1000</v>
      </c>
      <c r="G26" s="9">
        <f t="shared" si="3"/>
        <v>142.85714285714286</v>
      </c>
    </row>
    <row r="27" spans="1:8" s="10" customFormat="1" ht="15" customHeight="1" x14ac:dyDescent="0.25">
      <c r="A27" s="356" t="s">
        <v>319</v>
      </c>
      <c r="B27" s="357"/>
      <c r="C27" s="8">
        <v>28255</v>
      </c>
      <c r="D27" s="7">
        <v>66399.009999999995</v>
      </c>
      <c r="E27" s="7">
        <v>37994.74</v>
      </c>
      <c r="F27" s="8">
        <v>0</v>
      </c>
      <c r="G27" s="9">
        <f t="shared" si="3"/>
        <v>0</v>
      </c>
    </row>
    <row r="28" spans="1:8" s="10" customFormat="1" ht="15.75" customHeight="1" x14ac:dyDescent="0.25">
      <c r="A28" s="360" t="s">
        <v>7</v>
      </c>
      <c r="B28" s="361"/>
      <c r="C28" s="12">
        <f>SUM(C11:C27)</f>
        <v>62423</v>
      </c>
      <c r="D28" s="11">
        <f>SUM(D11:D27)</f>
        <v>107887.5</v>
      </c>
      <c r="E28" s="11">
        <f>SUM(E11:E27)</f>
        <v>72070.979439999996</v>
      </c>
      <c r="F28" s="12">
        <f>SUM(F11:F27)</f>
        <v>73902</v>
      </c>
      <c r="G28" s="13">
        <f>F28/C28*100</f>
        <v>118.38905531614949</v>
      </c>
      <c r="H28" s="169"/>
    </row>
    <row r="29" spans="1:8" s="10" customFormat="1" ht="24" customHeight="1" x14ac:dyDescent="0.25">
      <c r="A29" s="193">
        <v>308</v>
      </c>
      <c r="B29" s="6" t="s">
        <v>332</v>
      </c>
      <c r="C29" s="8">
        <v>0</v>
      </c>
      <c r="D29" s="7">
        <v>0</v>
      </c>
      <c r="E29" s="7">
        <v>0</v>
      </c>
      <c r="F29" s="8">
        <v>1750</v>
      </c>
      <c r="G29" s="304" t="s">
        <v>6</v>
      </c>
      <c r="H29" s="197"/>
    </row>
    <row r="30" spans="1:8" s="10" customFormat="1" ht="24" customHeight="1" x14ac:dyDescent="0.25">
      <c r="A30" s="193">
        <f>A29+1</f>
        <v>309</v>
      </c>
      <c r="B30" s="6" t="s">
        <v>213</v>
      </c>
      <c r="C30" s="8">
        <v>2665</v>
      </c>
      <c r="D30" s="7">
        <v>1654.8700000000003</v>
      </c>
      <c r="E30" s="7">
        <v>322.82600000000002</v>
      </c>
      <c r="F30" s="8">
        <v>1283</v>
      </c>
      <c r="G30" s="9">
        <f t="shared" ref="G30" si="5">F30/C30*100</f>
        <v>48.142589118198877</v>
      </c>
      <c r="H30" s="197"/>
    </row>
    <row r="31" spans="1:8" s="10" customFormat="1" ht="15" customHeight="1" x14ac:dyDescent="0.25">
      <c r="A31" s="193">
        <f>A30+2</f>
        <v>311</v>
      </c>
      <c r="B31" s="6" t="s">
        <v>251</v>
      </c>
      <c r="C31" s="8">
        <v>1000</v>
      </c>
      <c r="D31" s="7">
        <v>1000</v>
      </c>
      <c r="E31" s="7">
        <v>500</v>
      </c>
      <c r="F31" s="8">
        <v>2000</v>
      </c>
      <c r="G31" s="9">
        <f t="shared" si="0"/>
        <v>200</v>
      </c>
      <c r="H31" s="169"/>
    </row>
    <row r="32" spans="1:8" s="10" customFormat="1" ht="15" customHeight="1" x14ac:dyDescent="0.25">
      <c r="A32" s="193">
        <f>A31+2</f>
        <v>313</v>
      </c>
      <c r="B32" s="14" t="s">
        <v>253</v>
      </c>
      <c r="C32" s="8">
        <v>4000</v>
      </c>
      <c r="D32" s="7">
        <v>4000</v>
      </c>
      <c r="E32" s="7">
        <v>2000</v>
      </c>
      <c r="F32" s="8">
        <v>5500</v>
      </c>
      <c r="G32" s="9">
        <f t="shared" si="0"/>
        <v>137.5</v>
      </c>
      <c r="H32" s="169"/>
    </row>
    <row r="33" spans="1:8" s="10" customFormat="1" ht="15" customHeight="1" x14ac:dyDescent="0.25">
      <c r="A33" s="193">
        <f t="shared" ref="A33:A35" si="6">A32+1</f>
        <v>314</v>
      </c>
      <c r="B33" s="14" t="s">
        <v>254</v>
      </c>
      <c r="C33" s="8">
        <v>2500</v>
      </c>
      <c r="D33" s="7">
        <v>2500</v>
      </c>
      <c r="E33" s="7">
        <v>1195.45</v>
      </c>
      <c r="F33" s="8">
        <v>3000</v>
      </c>
      <c r="G33" s="9">
        <f t="shared" si="0"/>
        <v>120</v>
      </c>
      <c r="H33" s="169"/>
    </row>
    <row r="34" spans="1:8" s="10" customFormat="1" ht="15" customHeight="1" x14ac:dyDescent="0.25">
      <c r="A34" s="193">
        <f t="shared" si="6"/>
        <v>315</v>
      </c>
      <c r="B34" s="14" t="s">
        <v>333</v>
      </c>
      <c r="C34" s="8">
        <v>0</v>
      </c>
      <c r="D34" s="7">
        <v>0</v>
      </c>
      <c r="E34" s="7">
        <v>0</v>
      </c>
      <c r="F34" s="8">
        <v>3576</v>
      </c>
      <c r="G34" s="304" t="s">
        <v>6</v>
      </c>
      <c r="H34" s="169"/>
    </row>
    <row r="35" spans="1:8" s="10" customFormat="1" ht="15" customHeight="1" x14ac:dyDescent="0.25">
      <c r="A35" s="193">
        <f t="shared" si="6"/>
        <v>316</v>
      </c>
      <c r="B35" s="14" t="s">
        <v>252</v>
      </c>
      <c r="C35" s="8">
        <v>4300</v>
      </c>
      <c r="D35" s="7">
        <v>4288.9599999999991</v>
      </c>
      <c r="E35" s="7">
        <v>3298.9599999999996</v>
      </c>
      <c r="F35" s="8">
        <v>1703</v>
      </c>
      <c r="G35" s="9">
        <f t="shared" si="0"/>
        <v>39.604651162790702</v>
      </c>
      <c r="H35" s="169"/>
    </row>
    <row r="36" spans="1:8" s="10" customFormat="1" ht="15" customHeight="1" x14ac:dyDescent="0.25">
      <c r="A36" s="193">
        <f>A35+2</f>
        <v>318</v>
      </c>
      <c r="B36" s="18" t="s">
        <v>334</v>
      </c>
      <c r="C36" s="8">
        <v>0</v>
      </c>
      <c r="D36" s="7">
        <v>0</v>
      </c>
      <c r="E36" s="7">
        <v>0</v>
      </c>
      <c r="F36" s="8">
        <v>15000</v>
      </c>
      <c r="G36" s="304" t="s">
        <v>6</v>
      </c>
      <c r="H36" s="169"/>
    </row>
    <row r="37" spans="1:8" s="10" customFormat="1" ht="15" customHeight="1" x14ac:dyDescent="0.25">
      <c r="A37" s="193">
        <f>A36+2</f>
        <v>320</v>
      </c>
      <c r="B37" s="18" t="s">
        <v>246</v>
      </c>
      <c r="C37" s="8">
        <v>10000</v>
      </c>
      <c r="D37" s="7">
        <v>13340.500000000002</v>
      </c>
      <c r="E37" s="7">
        <v>3948</v>
      </c>
      <c r="F37" s="8">
        <v>1421</v>
      </c>
      <c r="G37" s="9">
        <f t="shared" si="0"/>
        <v>14.21</v>
      </c>
      <c r="H37" s="169"/>
    </row>
    <row r="38" spans="1:8" s="10" customFormat="1" ht="15" customHeight="1" x14ac:dyDescent="0.25">
      <c r="A38" s="356" t="s">
        <v>320</v>
      </c>
      <c r="B38" s="357"/>
      <c r="C38" s="8">
        <v>1703</v>
      </c>
      <c r="D38" s="7">
        <v>11923.25</v>
      </c>
      <c r="E38" s="7">
        <v>7374.78</v>
      </c>
      <c r="F38" s="8">
        <v>0</v>
      </c>
      <c r="G38" s="304" t="s">
        <v>6</v>
      </c>
      <c r="H38" s="169"/>
    </row>
    <row r="39" spans="1:8" s="10" customFormat="1" ht="15.75" customHeight="1" x14ac:dyDescent="0.25">
      <c r="A39" s="360" t="s">
        <v>8</v>
      </c>
      <c r="B39" s="361"/>
      <c r="C39" s="12">
        <f>SUM(C29:C38)</f>
        <v>26168</v>
      </c>
      <c r="D39" s="11">
        <f>SUM(D29:D38)</f>
        <v>38707.58</v>
      </c>
      <c r="E39" s="11">
        <f>SUM(E29:E38)</f>
        <v>18640.016</v>
      </c>
      <c r="F39" s="12">
        <f>SUM(F29:F38)</f>
        <v>35233</v>
      </c>
      <c r="G39" s="13">
        <f t="shared" ref="G39:G61" si="7">F39/C39*100</f>
        <v>134.64154692754508</v>
      </c>
      <c r="H39" s="169"/>
    </row>
    <row r="40" spans="1:8" s="169" customFormat="1" ht="15" customHeight="1" x14ac:dyDescent="0.25">
      <c r="A40" s="193">
        <v>336</v>
      </c>
      <c r="B40" s="6" t="s">
        <v>37</v>
      </c>
      <c r="C40" s="8">
        <v>3000</v>
      </c>
      <c r="D40" s="7">
        <v>3004.85</v>
      </c>
      <c r="E40" s="7">
        <v>2993.0089999999996</v>
      </c>
      <c r="F40" s="8">
        <v>3000</v>
      </c>
      <c r="G40" s="16">
        <f t="shared" si="7"/>
        <v>100</v>
      </c>
    </row>
    <row r="41" spans="1:8" s="169" customFormat="1" ht="15" customHeight="1" x14ac:dyDescent="0.25">
      <c r="A41" s="193">
        <f t="shared" ref="A41:A49" si="8">A40+1</f>
        <v>337</v>
      </c>
      <c r="B41" s="6" t="s">
        <v>9</v>
      </c>
      <c r="C41" s="8">
        <v>700</v>
      </c>
      <c r="D41" s="7">
        <v>700</v>
      </c>
      <c r="E41" s="7">
        <v>700</v>
      </c>
      <c r="F41" s="8">
        <v>700</v>
      </c>
      <c r="G41" s="16">
        <f t="shared" si="7"/>
        <v>100</v>
      </c>
    </row>
    <row r="42" spans="1:8" s="169" customFormat="1" ht="24" customHeight="1" x14ac:dyDescent="0.25">
      <c r="A42" s="193">
        <f t="shared" si="8"/>
        <v>338</v>
      </c>
      <c r="B42" s="6" t="s">
        <v>10</v>
      </c>
      <c r="C42" s="8">
        <v>4000</v>
      </c>
      <c r="D42" s="7">
        <v>4000</v>
      </c>
      <c r="E42" s="7">
        <v>4000</v>
      </c>
      <c r="F42" s="8">
        <v>6000</v>
      </c>
      <c r="G42" s="16">
        <f t="shared" si="7"/>
        <v>150</v>
      </c>
    </row>
    <row r="43" spans="1:8" s="169" customFormat="1" ht="24" customHeight="1" x14ac:dyDescent="0.25">
      <c r="A43" s="193">
        <f t="shared" si="8"/>
        <v>339</v>
      </c>
      <c r="B43" s="6" t="s">
        <v>11</v>
      </c>
      <c r="C43" s="8">
        <v>40000</v>
      </c>
      <c r="D43" s="7">
        <v>40000.000000000007</v>
      </c>
      <c r="E43" s="7">
        <v>36805.715000000004</v>
      </c>
      <c r="F43" s="8">
        <v>40000</v>
      </c>
      <c r="G43" s="16">
        <f t="shared" si="7"/>
        <v>100</v>
      </c>
    </row>
    <row r="44" spans="1:8" s="169" customFormat="1" ht="24" customHeight="1" x14ac:dyDescent="0.25">
      <c r="A44" s="193">
        <f>A43+2</f>
        <v>341</v>
      </c>
      <c r="B44" s="6" t="s">
        <v>214</v>
      </c>
      <c r="C44" s="8">
        <v>4500</v>
      </c>
      <c r="D44" s="7">
        <v>4500</v>
      </c>
      <c r="E44" s="7">
        <v>4500</v>
      </c>
      <c r="F44" s="8">
        <v>5500</v>
      </c>
      <c r="G44" s="16">
        <f t="shared" si="7"/>
        <v>122.22222222222223</v>
      </c>
    </row>
    <row r="45" spans="1:8" s="169" customFormat="1" ht="24" customHeight="1" x14ac:dyDescent="0.25">
      <c r="A45" s="193">
        <f t="shared" si="8"/>
        <v>342</v>
      </c>
      <c r="B45" s="6" t="s">
        <v>12</v>
      </c>
      <c r="C45" s="8">
        <v>80000</v>
      </c>
      <c r="D45" s="7">
        <v>80000</v>
      </c>
      <c r="E45" s="7">
        <v>0</v>
      </c>
      <c r="F45" s="8">
        <v>80000</v>
      </c>
      <c r="G45" s="16">
        <f t="shared" si="7"/>
        <v>100</v>
      </c>
    </row>
    <row r="46" spans="1:8" s="169" customFormat="1" ht="24" customHeight="1" x14ac:dyDescent="0.25">
      <c r="A46" s="193">
        <f>A45+2</f>
        <v>344</v>
      </c>
      <c r="B46" s="6" t="s">
        <v>215</v>
      </c>
      <c r="C46" s="8">
        <v>500</v>
      </c>
      <c r="D46" s="7">
        <v>500</v>
      </c>
      <c r="E46" s="7">
        <v>500</v>
      </c>
      <c r="F46" s="8">
        <v>500</v>
      </c>
      <c r="G46" s="16">
        <f t="shared" si="7"/>
        <v>100</v>
      </c>
    </row>
    <row r="47" spans="1:8" s="169" customFormat="1" ht="15" customHeight="1" x14ac:dyDescent="0.25">
      <c r="A47" s="193">
        <f t="shared" si="8"/>
        <v>345</v>
      </c>
      <c r="B47" s="6" t="s">
        <v>216</v>
      </c>
      <c r="C47" s="8">
        <v>3000</v>
      </c>
      <c r="D47" s="7">
        <v>3000</v>
      </c>
      <c r="E47" s="7">
        <v>2850</v>
      </c>
      <c r="F47" s="8">
        <v>3000</v>
      </c>
      <c r="G47" s="16">
        <f t="shared" si="7"/>
        <v>100</v>
      </c>
    </row>
    <row r="48" spans="1:8" s="169" customFormat="1" ht="15" customHeight="1" x14ac:dyDescent="0.25">
      <c r="A48" s="193">
        <f t="shared" si="8"/>
        <v>346</v>
      </c>
      <c r="B48" s="6" t="s">
        <v>335</v>
      </c>
      <c r="C48" s="8">
        <v>0</v>
      </c>
      <c r="D48" s="7">
        <v>0</v>
      </c>
      <c r="E48" s="7">
        <v>0</v>
      </c>
      <c r="F48" s="8">
        <v>10000</v>
      </c>
      <c r="G48" s="304" t="s">
        <v>6</v>
      </c>
    </row>
    <row r="49" spans="1:7" s="169" customFormat="1" ht="24" customHeight="1" x14ac:dyDescent="0.25">
      <c r="A49" s="193">
        <f t="shared" si="8"/>
        <v>347</v>
      </c>
      <c r="B49" s="6" t="s">
        <v>13</v>
      </c>
      <c r="C49" s="8">
        <v>146539</v>
      </c>
      <c r="D49" s="7">
        <v>146139</v>
      </c>
      <c r="E49" s="7">
        <v>146139</v>
      </c>
      <c r="F49" s="8">
        <v>199861</v>
      </c>
      <c r="G49" s="16">
        <f t="shared" si="7"/>
        <v>136.38758282777962</v>
      </c>
    </row>
    <row r="50" spans="1:7" s="10" customFormat="1" ht="15.75" customHeight="1" x14ac:dyDescent="0.25">
      <c r="A50" s="360" t="s">
        <v>14</v>
      </c>
      <c r="B50" s="361"/>
      <c r="C50" s="12">
        <f>SUM(C40:C49)</f>
        <v>282239</v>
      </c>
      <c r="D50" s="11">
        <f>SUM(D40:D49)</f>
        <v>281843.84999999998</v>
      </c>
      <c r="E50" s="11">
        <f>SUM(E40:E49)</f>
        <v>198487.72399999999</v>
      </c>
      <c r="F50" s="12">
        <f>SUM(F40:F49)</f>
        <v>348561</v>
      </c>
      <c r="G50" s="13">
        <f t="shared" si="7"/>
        <v>123.49852430032702</v>
      </c>
    </row>
    <row r="51" spans="1:7" s="10" customFormat="1" ht="15" customHeight="1" x14ac:dyDescent="0.25">
      <c r="A51" s="193">
        <v>434</v>
      </c>
      <c r="B51" s="187" t="s">
        <v>15</v>
      </c>
      <c r="C51" s="8">
        <v>36000</v>
      </c>
      <c r="D51" s="7">
        <v>36000</v>
      </c>
      <c r="E51" s="7">
        <v>35132.5</v>
      </c>
      <c r="F51" s="8">
        <v>38000</v>
      </c>
      <c r="G51" s="9">
        <f t="shared" si="7"/>
        <v>105.55555555555556</v>
      </c>
    </row>
    <row r="52" spans="1:7" s="10" customFormat="1" ht="15" customHeight="1" x14ac:dyDescent="0.25">
      <c r="A52" s="289">
        <f>A51+1</f>
        <v>435</v>
      </c>
      <c r="B52" s="290" t="s">
        <v>336</v>
      </c>
      <c r="C52" s="8">
        <v>0</v>
      </c>
      <c r="D52" s="7">
        <v>1857</v>
      </c>
      <c r="E52" s="7">
        <v>1662</v>
      </c>
      <c r="F52" s="8">
        <v>7600</v>
      </c>
      <c r="G52" s="304" t="s">
        <v>6</v>
      </c>
    </row>
    <row r="53" spans="1:7" s="10" customFormat="1" ht="15" customHeight="1" x14ac:dyDescent="0.25">
      <c r="A53" s="289">
        <f t="shared" ref="A53:A54" si="9">A52+1</f>
        <v>436</v>
      </c>
      <c r="B53" s="290" t="s">
        <v>337</v>
      </c>
      <c r="C53" s="8">
        <v>0</v>
      </c>
      <c r="D53" s="7">
        <v>2000</v>
      </c>
      <c r="E53" s="7">
        <v>1940</v>
      </c>
      <c r="F53" s="8">
        <v>2000</v>
      </c>
      <c r="G53" s="304" t="s">
        <v>6</v>
      </c>
    </row>
    <row r="54" spans="1:7" s="10" customFormat="1" ht="15" customHeight="1" x14ac:dyDescent="0.25">
      <c r="A54" s="289">
        <f t="shared" si="9"/>
        <v>437</v>
      </c>
      <c r="B54" s="290" t="s">
        <v>338</v>
      </c>
      <c r="C54" s="8">
        <v>0</v>
      </c>
      <c r="D54" s="7">
        <v>1554.96</v>
      </c>
      <c r="E54" s="7">
        <v>1554.95</v>
      </c>
      <c r="F54" s="8">
        <v>2200</v>
      </c>
      <c r="G54" s="304" t="s">
        <v>6</v>
      </c>
    </row>
    <row r="55" spans="1:7" s="10" customFormat="1" ht="15.75" customHeight="1" x14ac:dyDescent="0.25">
      <c r="A55" s="362" t="s">
        <v>16</v>
      </c>
      <c r="B55" s="363"/>
      <c r="C55" s="12">
        <f>SUM(C51:C54)</f>
        <v>36000</v>
      </c>
      <c r="D55" s="11">
        <f>SUM(D51:D54)</f>
        <v>41411.96</v>
      </c>
      <c r="E55" s="11">
        <f>SUM(E51:E54)</f>
        <v>40289.449999999997</v>
      </c>
      <c r="F55" s="12">
        <f>SUM(F51:F54)</f>
        <v>49800</v>
      </c>
      <c r="G55" s="13">
        <f t="shared" si="7"/>
        <v>138.33333333333334</v>
      </c>
    </row>
    <row r="56" spans="1:7" s="10" customFormat="1" ht="15" customHeight="1" x14ac:dyDescent="0.25">
      <c r="A56" s="193">
        <v>637</v>
      </c>
      <c r="B56" s="6" t="s">
        <v>339</v>
      </c>
      <c r="C56" s="8">
        <v>1000</v>
      </c>
      <c r="D56" s="7">
        <v>1186</v>
      </c>
      <c r="E56" s="7">
        <v>1186</v>
      </c>
      <c r="F56" s="8">
        <v>1000</v>
      </c>
      <c r="G56" s="9">
        <f t="shared" si="7"/>
        <v>100</v>
      </c>
    </row>
    <row r="57" spans="1:7" s="10" customFormat="1" ht="23.25" customHeight="1" x14ac:dyDescent="0.25">
      <c r="A57" s="289">
        <f t="shared" ref="A57:A59" si="10">A56+1</f>
        <v>638</v>
      </c>
      <c r="B57" s="15" t="s">
        <v>17</v>
      </c>
      <c r="C57" s="8">
        <v>1000</v>
      </c>
      <c r="D57" s="7">
        <v>216.1</v>
      </c>
      <c r="E57" s="7">
        <v>216.1</v>
      </c>
      <c r="F57" s="8">
        <v>1000</v>
      </c>
      <c r="G57" s="9">
        <f t="shared" si="7"/>
        <v>100</v>
      </c>
    </row>
    <row r="58" spans="1:7" s="10" customFormat="1" ht="15" customHeight="1" x14ac:dyDescent="0.25">
      <c r="A58" s="289">
        <f t="shared" si="10"/>
        <v>639</v>
      </c>
      <c r="B58" s="15" t="s">
        <v>33</v>
      </c>
      <c r="C58" s="8">
        <v>3000</v>
      </c>
      <c r="D58" s="7">
        <v>3597.9</v>
      </c>
      <c r="E58" s="7">
        <v>3597.9</v>
      </c>
      <c r="F58" s="8">
        <v>3000</v>
      </c>
      <c r="G58" s="9">
        <f t="shared" si="7"/>
        <v>100</v>
      </c>
    </row>
    <row r="59" spans="1:7" s="10" customFormat="1" ht="23.25" customHeight="1" x14ac:dyDescent="0.25">
      <c r="A59" s="289">
        <f t="shared" si="10"/>
        <v>640</v>
      </c>
      <c r="B59" s="15" t="s">
        <v>340</v>
      </c>
      <c r="C59" s="8">
        <v>3000</v>
      </c>
      <c r="D59" s="7">
        <v>2932.5</v>
      </c>
      <c r="E59" s="7">
        <v>2228.8269999999998</v>
      </c>
      <c r="F59" s="8">
        <v>3000</v>
      </c>
      <c r="G59" s="9">
        <f t="shared" ref="G59" si="11">F59/C59*100</f>
        <v>100</v>
      </c>
    </row>
    <row r="60" spans="1:7" s="10" customFormat="1" ht="15.75" customHeight="1" x14ac:dyDescent="0.25">
      <c r="A60" s="360" t="s">
        <v>18</v>
      </c>
      <c r="B60" s="361"/>
      <c r="C60" s="12">
        <f>SUM(C56:C59)</f>
        <v>8000</v>
      </c>
      <c r="D60" s="11">
        <f>SUM(D56:D59)</f>
        <v>7932.5</v>
      </c>
      <c r="E60" s="11">
        <f>SUM(E56:E59)</f>
        <v>7228.8269999999993</v>
      </c>
      <c r="F60" s="12">
        <f>SUM(F56:F59)</f>
        <v>8000</v>
      </c>
      <c r="G60" s="13">
        <f t="shared" si="7"/>
        <v>100</v>
      </c>
    </row>
    <row r="61" spans="1:7" s="10" customFormat="1" ht="15" customHeight="1" x14ac:dyDescent="0.25">
      <c r="A61" s="193">
        <v>766</v>
      </c>
      <c r="B61" s="6" t="s">
        <v>19</v>
      </c>
      <c r="C61" s="8">
        <v>15000</v>
      </c>
      <c r="D61" s="7">
        <v>28056.639999999999</v>
      </c>
      <c r="E61" s="7">
        <v>3690.2649700000006</v>
      </c>
      <c r="F61" s="8">
        <v>15000</v>
      </c>
      <c r="G61" s="9">
        <f t="shared" si="7"/>
        <v>100</v>
      </c>
    </row>
    <row r="62" spans="1:7" s="10" customFormat="1" ht="15" customHeight="1" x14ac:dyDescent="0.25">
      <c r="A62" s="193">
        <f>A61+1</f>
        <v>767</v>
      </c>
      <c r="B62" s="6" t="s">
        <v>38</v>
      </c>
      <c r="C62" s="8">
        <v>2000</v>
      </c>
      <c r="D62" s="7">
        <v>3133.4500000000003</v>
      </c>
      <c r="E62" s="7">
        <v>1580.3029999999999</v>
      </c>
      <c r="F62" s="8">
        <v>2000</v>
      </c>
      <c r="G62" s="9">
        <f>F62/C62*100</f>
        <v>100</v>
      </c>
    </row>
    <row r="63" spans="1:7" s="10" customFormat="1" ht="15" customHeight="1" x14ac:dyDescent="0.25">
      <c r="A63" s="193">
        <f t="shared" ref="A63:A66" si="12">A62+1</f>
        <v>768</v>
      </c>
      <c r="B63" s="6" t="s">
        <v>39</v>
      </c>
      <c r="C63" s="8">
        <v>2000</v>
      </c>
      <c r="D63" s="7">
        <v>2000</v>
      </c>
      <c r="E63" s="7">
        <v>0</v>
      </c>
      <c r="F63" s="8">
        <v>3500</v>
      </c>
      <c r="G63" s="9">
        <f>F63/C63*100</f>
        <v>175</v>
      </c>
    </row>
    <row r="64" spans="1:7" s="10" customFormat="1" ht="15" customHeight="1" x14ac:dyDescent="0.25">
      <c r="A64" s="193">
        <f t="shared" si="12"/>
        <v>769</v>
      </c>
      <c r="B64" s="6" t="s">
        <v>341</v>
      </c>
      <c r="C64" s="8">
        <v>0</v>
      </c>
      <c r="D64" s="7">
        <v>1724.0999999999997</v>
      </c>
      <c r="E64" s="7">
        <v>1416.4284599999999</v>
      </c>
      <c r="F64" s="8">
        <v>3000</v>
      </c>
      <c r="G64" s="304" t="s">
        <v>6</v>
      </c>
    </row>
    <row r="65" spans="1:7" s="10" customFormat="1" ht="15" customHeight="1" x14ac:dyDescent="0.25">
      <c r="A65" s="193">
        <f t="shared" si="12"/>
        <v>770</v>
      </c>
      <c r="B65" s="6" t="s">
        <v>217</v>
      </c>
      <c r="C65" s="8">
        <v>2000</v>
      </c>
      <c r="D65" s="7">
        <v>3006.0599999999995</v>
      </c>
      <c r="E65" s="7">
        <v>926.55600000000004</v>
      </c>
      <c r="F65" s="8">
        <v>2000</v>
      </c>
      <c r="G65" s="9">
        <f t="shared" ref="G65" si="13">F65/C65*100</f>
        <v>100</v>
      </c>
    </row>
    <row r="66" spans="1:7" s="10" customFormat="1" ht="15" customHeight="1" x14ac:dyDescent="0.25">
      <c r="A66" s="193">
        <f t="shared" si="12"/>
        <v>771</v>
      </c>
      <c r="B66" s="6" t="s">
        <v>438</v>
      </c>
      <c r="C66" s="8">
        <v>181000</v>
      </c>
      <c r="D66" s="7">
        <v>388311.66000000003</v>
      </c>
      <c r="E66" s="7">
        <v>157367.481</v>
      </c>
      <c r="F66" s="8">
        <v>32749</v>
      </c>
      <c r="G66" s="9">
        <f>F66/C66*100</f>
        <v>18.093370165745856</v>
      </c>
    </row>
    <row r="67" spans="1:7" s="10" customFormat="1" ht="15" customHeight="1" x14ac:dyDescent="0.25">
      <c r="A67" s="356" t="s">
        <v>321</v>
      </c>
      <c r="B67" s="357"/>
      <c r="C67" s="8">
        <v>7849</v>
      </c>
      <c r="D67" s="7">
        <v>12189.8</v>
      </c>
      <c r="E67" s="7">
        <v>3410.08</v>
      </c>
      <c r="F67" s="8">
        <v>0</v>
      </c>
      <c r="G67" s="304" t="s">
        <v>6</v>
      </c>
    </row>
    <row r="68" spans="1:7" s="10" customFormat="1" ht="15.75" customHeight="1" x14ac:dyDescent="0.25">
      <c r="A68" s="360" t="s">
        <v>20</v>
      </c>
      <c r="B68" s="361"/>
      <c r="C68" s="12">
        <f>SUM(C61:C67)</f>
        <v>209849</v>
      </c>
      <c r="D68" s="11">
        <f>SUM(D61:D67)</f>
        <v>438421.71</v>
      </c>
      <c r="E68" s="11">
        <f>SUM(E61:E67)</f>
        <v>168391.11343</v>
      </c>
      <c r="F68" s="12">
        <f>SUM(F61:F67)</f>
        <v>58249</v>
      </c>
      <c r="G68" s="13">
        <f>F68/C68*100</f>
        <v>27.7575780680394</v>
      </c>
    </row>
    <row r="69" spans="1:7" s="10" customFormat="1" ht="16.5" customHeight="1" thickBot="1" x14ac:dyDescent="0.3">
      <c r="A69" s="352" t="s">
        <v>21</v>
      </c>
      <c r="B69" s="353"/>
      <c r="C69" s="19">
        <f>C68+C60+C55+C50+C39+C28+C10+C4</f>
        <v>649829</v>
      </c>
      <c r="D69" s="19">
        <f>D68+D60+D55+D50+D39+D28+D10+D4</f>
        <v>949960</v>
      </c>
      <c r="E69" s="19">
        <f>E68+E60+E55+E50+E39+E28+E10+E4</f>
        <v>523398.3901299999</v>
      </c>
      <c r="F69" s="19">
        <f>F68+F60+F55+F50+F39+F28+F10+F4</f>
        <v>639895</v>
      </c>
      <c r="G69" s="20">
        <f>F69/C69*100</f>
        <v>98.471290139405909</v>
      </c>
    </row>
    <row r="70" spans="1:7" ht="11.25" thickBot="1" x14ac:dyDescent="0.2">
      <c r="B70" s="22"/>
      <c r="C70" s="23"/>
      <c r="D70" s="24"/>
      <c r="E70" s="24"/>
      <c r="F70" s="23"/>
      <c r="G70" s="25"/>
    </row>
    <row r="71" spans="1:7" ht="36" customHeight="1" x14ac:dyDescent="0.15">
      <c r="A71" s="364" t="s">
        <v>22</v>
      </c>
      <c r="B71" s="365"/>
      <c r="C71" s="3" t="s">
        <v>314</v>
      </c>
      <c r="D71" s="3" t="s">
        <v>315</v>
      </c>
      <c r="E71" s="3" t="s">
        <v>316</v>
      </c>
      <c r="F71" s="3" t="s">
        <v>317</v>
      </c>
      <c r="G71" s="4" t="s">
        <v>318</v>
      </c>
    </row>
    <row r="72" spans="1:7" ht="15" customHeight="1" x14ac:dyDescent="0.15">
      <c r="A72" s="354" t="s">
        <v>23</v>
      </c>
      <c r="B72" s="366"/>
      <c r="C72" s="17">
        <f>C4</f>
        <v>4000</v>
      </c>
      <c r="D72" s="17">
        <f>D4</f>
        <v>7180.3</v>
      </c>
      <c r="E72" s="17">
        <f>E4</f>
        <v>6823.1000000000013</v>
      </c>
      <c r="F72" s="8">
        <f>F4</f>
        <v>4000</v>
      </c>
      <c r="G72" s="9">
        <f t="shared" ref="G72" si="14">F72/C72*100</f>
        <v>100</v>
      </c>
    </row>
    <row r="73" spans="1:7" ht="15" customHeight="1" x14ac:dyDescent="0.2">
      <c r="A73" s="354" t="s">
        <v>24</v>
      </c>
      <c r="B73" s="355"/>
      <c r="C73" s="17">
        <f>C10</f>
        <v>21150</v>
      </c>
      <c r="D73" s="17">
        <f>D10</f>
        <v>26574.6</v>
      </c>
      <c r="E73" s="17">
        <f>E10</f>
        <v>11467.180260000001</v>
      </c>
      <c r="F73" s="8">
        <f>F10</f>
        <v>62150</v>
      </c>
      <c r="G73" s="16">
        <f t="shared" ref="G73:G80" si="15">F73/C73*100</f>
        <v>293.8534278959811</v>
      </c>
    </row>
    <row r="74" spans="1:7" ht="15" customHeight="1" x14ac:dyDescent="0.2">
      <c r="A74" s="354" t="s">
        <v>25</v>
      </c>
      <c r="B74" s="355"/>
      <c r="C74" s="17">
        <f>C28</f>
        <v>62423</v>
      </c>
      <c r="D74" s="17">
        <f>D28</f>
        <v>107887.5</v>
      </c>
      <c r="E74" s="17">
        <f>E28</f>
        <v>72070.979439999996</v>
      </c>
      <c r="F74" s="8">
        <f>F28</f>
        <v>73902</v>
      </c>
      <c r="G74" s="16">
        <f t="shared" si="15"/>
        <v>118.38905531614949</v>
      </c>
    </row>
    <row r="75" spans="1:7" ht="15" customHeight="1" x14ac:dyDescent="0.2">
      <c r="A75" s="354" t="s">
        <v>26</v>
      </c>
      <c r="B75" s="355"/>
      <c r="C75" s="17">
        <f>C39</f>
        <v>26168</v>
      </c>
      <c r="D75" s="17">
        <f>D39</f>
        <v>38707.58</v>
      </c>
      <c r="E75" s="17">
        <f>E39</f>
        <v>18640.016</v>
      </c>
      <c r="F75" s="8">
        <f>F39</f>
        <v>35233</v>
      </c>
      <c r="G75" s="16">
        <f t="shared" si="15"/>
        <v>134.64154692754508</v>
      </c>
    </row>
    <row r="76" spans="1:7" ht="15" customHeight="1" x14ac:dyDescent="0.2">
      <c r="A76" s="354" t="s">
        <v>27</v>
      </c>
      <c r="B76" s="355"/>
      <c r="C76" s="17">
        <f>C50</f>
        <v>282239</v>
      </c>
      <c r="D76" s="17">
        <f>D50</f>
        <v>281843.84999999998</v>
      </c>
      <c r="E76" s="17">
        <f>E50</f>
        <v>198487.72399999999</v>
      </c>
      <c r="F76" s="8">
        <f>F50</f>
        <v>348561</v>
      </c>
      <c r="G76" s="16">
        <f t="shared" si="15"/>
        <v>123.49852430032702</v>
      </c>
    </row>
    <row r="77" spans="1:7" ht="15" customHeight="1" x14ac:dyDescent="0.2">
      <c r="A77" s="354" t="s">
        <v>28</v>
      </c>
      <c r="B77" s="355"/>
      <c r="C77" s="17">
        <f>C55</f>
        <v>36000</v>
      </c>
      <c r="D77" s="17">
        <f>D55</f>
        <v>41411.96</v>
      </c>
      <c r="E77" s="17">
        <f>E55</f>
        <v>40289.449999999997</v>
      </c>
      <c r="F77" s="8">
        <f>F55</f>
        <v>49800</v>
      </c>
      <c r="G77" s="16">
        <f t="shared" si="15"/>
        <v>138.33333333333334</v>
      </c>
    </row>
    <row r="78" spans="1:7" ht="15" customHeight="1" x14ac:dyDescent="0.2">
      <c r="A78" s="354" t="s">
        <v>29</v>
      </c>
      <c r="B78" s="355"/>
      <c r="C78" s="17">
        <f>C60</f>
        <v>8000</v>
      </c>
      <c r="D78" s="17">
        <f>D60</f>
        <v>7932.5</v>
      </c>
      <c r="E78" s="17">
        <f>E60</f>
        <v>7228.8269999999993</v>
      </c>
      <c r="F78" s="8">
        <f>F60</f>
        <v>8000</v>
      </c>
      <c r="G78" s="16">
        <f t="shared" si="15"/>
        <v>100</v>
      </c>
    </row>
    <row r="79" spans="1:7" ht="15" customHeight="1" x14ac:dyDescent="0.2">
      <c r="A79" s="354" t="s">
        <v>30</v>
      </c>
      <c r="B79" s="355"/>
      <c r="C79" s="17">
        <f>C68</f>
        <v>209849</v>
      </c>
      <c r="D79" s="17">
        <f>D68</f>
        <v>438421.71</v>
      </c>
      <c r="E79" s="17">
        <f>E68</f>
        <v>168391.11343</v>
      </c>
      <c r="F79" s="8">
        <f>F68</f>
        <v>58249</v>
      </c>
      <c r="G79" s="16">
        <f t="shared" si="15"/>
        <v>27.7575780680394</v>
      </c>
    </row>
    <row r="80" spans="1:7" s="10" customFormat="1" ht="16.5" customHeight="1" thickBot="1" x14ac:dyDescent="0.3">
      <c r="A80" s="352" t="s">
        <v>21</v>
      </c>
      <c r="B80" s="353"/>
      <c r="C80" s="19">
        <f>SUM(C72:C79)</f>
        <v>649829</v>
      </c>
      <c r="D80" s="19">
        <f>SUM(D72:D79)</f>
        <v>949960</v>
      </c>
      <c r="E80" s="19">
        <f>SUM(E72:E79)</f>
        <v>523398.39012999996</v>
      </c>
      <c r="F80" s="19">
        <f>SUM(F72:F79)</f>
        <v>639895</v>
      </c>
      <c r="G80" s="20">
        <f t="shared" si="15"/>
        <v>98.471290139405909</v>
      </c>
    </row>
    <row r="81" spans="1:7" ht="12.75" x14ac:dyDescent="0.2">
      <c r="A81" s="26"/>
      <c r="B81" s="27"/>
    </row>
    <row r="82" spans="1:7" s="31" customFormat="1" ht="12.75" x14ac:dyDescent="0.2">
      <c r="A82" s="26"/>
      <c r="B82" s="27"/>
      <c r="C82" s="29"/>
      <c r="D82" s="30"/>
      <c r="E82" s="30"/>
      <c r="F82" s="29"/>
      <c r="G82" s="29"/>
    </row>
    <row r="83" spans="1:7" s="31" customFormat="1" x14ac:dyDescent="0.15">
      <c r="A83" s="21"/>
      <c r="B83" s="29"/>
      <c r="C83" s="29"/>
      <c r="D83" s="30"/>
      <c r="E83" s="30"/>
      <c r="F83" s="29"/>
      <c r="G83" s="29"/>
    </row>
    <row r="84" spans="1:7" s="31" customFormat="1" x14ac:dyDescent="0.15">
      <c r="A84" s="21"/>
      <c r="B84" s="29"/>
      <c r="C84" s="29"/>
      <c r="D84" s="30"/>
      <c r="E84" s="30"/>
      <c r="F84" s="29"/>
      <c r="G84" s="29"/>
    </row>
    <row r="85" spans="1:7" s="31" customFormat="1" x14ac:dyDescent="0.15">
      <c r="A85" s="21"/>
      <c r="B85" s="29"/>
      <c r="C85" s="29"/>
      <c r="D85" s="30"/>
      <c r="E85" s="30"/>
      <c r="F85" s="29"/>
      <c r="G85" s="29"/>
    </row>
    <row r="86" spans="1:7" s="31" customFormat="1" x14ac:dyDescent="0.15">
      <c r="A86" s="21"/>
      <c r="B86" s="29"/>
      <c r="C86" s="29"/>
      <c r="D86" s="30"/>
      <c r="E86" s="30"/>
      <c r="F86" s="29"/>
      <c r="G86" s="29"/>
    </row>
    <row r="87" spans="1:7" s="31" customFormat="1" x14ac:dyDescent="0.15">
      <c r="A87" s="21"/>
      <c r="B87" s="29"/>
      <c r="C87" s="29"/>
      <c r="D87" s="30"/>
      <c r="E87" s="30"/>
      <c r="F87" s="29"/>
      <c r="G87" s="29"/>
    </row>
    <row r="88" spans="1:7" s="31" customFormat="1" x14ac:dyDescent="0.15">
      <c r="A88" s="21"/>
      <c r="B88" s="29"/>
      <c r="C88" s="29"/>
      <c r="D88" s="30"/>
      <c r="E88" s="30"/>
      <c r="F88" s="29"/>
      <c r="G88" s="29"/>
    </row>
    <row r="89" spans="1:7" s="31" customFormat="1" x14ac:dyDescent="0.15">
      <c r="A89" s="21"/>
      <c r="B89" s="29"/>
      <c r="C89" s="29"/>
      <c r="D89" s="30"/>
      <c r="E89" s="30"/>
      <c r="F89" s="29"/>
      <c r="G89" s="29"/>
    </row>
    <row r="90" spans="1:7" s="31" customFormat="1" x14ac:dyDescent="0.15">
      <c r="A90" s="21"/>
      <c r="B90" s="29"/>
      <c r="C90" s="29"/>
      <c r="D90" s="30"/>
      <c r="E90" s="30"/>
      <c r="F90" s="29"/>
      <c r="G90" s="29"/>
    </row>
    <row r="91" spans="1:7" s="31" customFormat="1" x14ac:dyDescent="0.15">
      <c r="A91" s="21"/>
      <c r="B91" s="29"/>
      <c r="C91" s="29"/>
      <c r="D91" s="30"/>
      <c r="E91" s="30"/>
      <c r="F91" s="29"/>
      <c r="G91" s="29"/>
    </row>
    <row r="92" spans="1:7" s="31" customFormat="1" x14ac:dyDescent="0.15">
      <c r="A92" s="21"/>
      <c r="B92" s="29"/>
      <c r="C92" s="29"/>
      <c r="D92" s="30"/>
      <c r="E92" s="30"/>
      <c r="F92" s="29"/>
      <c r="G92" s="29"/>
    </row>
    <row r="93" spans="1:7" s="31" customFormat="1" x14ac:dyDescent="0.15">
      <c r="A93" s="21"/>
      <c r="B93" s="29"/>
      <c r="C93" s="29"/>
      <c r="D93" s="30"/>
      <c r="E93" s="30"/>
      <c r="F93" s="29"/>
      <c r="G93" s="29"/>
    </row>
    <row r="94" spans="1:7" s="31" customFormat="1" x14ac:dyDescent="0.15">
      <c r="A94" s="21"/>
      <c r="B94" s="29"/>
      <c r="C94" s="29"/>
      <c r="D94" s="30"/>
      <c r="E94" s="30"/>
      <c r="F94" s="29"/>
      <c r="G94" s="29"/>
    </row>
  </sheetData>
  <mergeCells count="23">
    <mergeCell ref="A27:B27"/>
    <mergeCell ref="A1:G1"/>
    <mergeCell ref="A4:B4"/>
    <mergeCell ref="A10:B10"/>
    <mergeCell ref="A73:B73"/>
    <mergeCell ref="A28:B28"/>
    <mergeCell ref="A38:B38"/>
    <mergeCell ref="A39:B39"/>
    <mergeCell ref="A50:B50"/>
    <mergeCell ref="A55:B55"/>
    <mergeCell ref="A60:B60"/>
    <mergeCell ref="A68:B68"/>
    <mergeCell ref="A69:B69"/>
    <mergeCell ref="A71:B71"/>
    <mergeCell ref="A72:B72"/>
    <mergeCell ref="A67:B67"/>
    <mergeCell ref="A80:B80"/>
    <mergeCell ref="A74:B74"/>
    <mergeCell ref="A75:B75"/>
    <mergeCell ref="A76:B76"/>
    <mergeCell ref="A77:B77"/>
    <mergeCell ref="A78:B78"/>
    <mergeCell ref="A79:B79"/>
  </mergeCells>
  <phoneticPr fontId="46" type="noConversion"/>
  <printOptions horizontalCentered="1"/>
  <pageMargins left="0.31496062992125984" right="0.31496062992125984" top="0.98425196850393704" bottom="0.39370078740157483" header="0.51181102362204722" footer="0.11811023622047245"/>
  <pageSetup paperSize="9" scale="86" firstPageNumber="2" fitToHeight="0" orientation="portrait" useFirstPageNumber="1" r:id="rId1"/>
  <headerFooter>
    <oddHeader>&amp;L&amp;"Tahoma,Kurzíva"&amp;10Návrh rozpočtu na rok 2022
Příloha č. 10&amp;R&amp;"Tahoma,Kurzíva"&amp;10Přehled dotačních programů v návrhu rozpočtu kraje na rok 2022</oddHeader>
    <oddFooter>&amp;C&amp;"Tahoma,Obyčejné"&amp;10&amp;P</oddFooter>
  </headerFooter>
  <rowBreaks count="1" manualBreakCount="1">
    <brk id="50" max="6" man="1"/>
  </rowBreaks>
  <ignoredErrors>
    <ignoredError sqref="A23 A44:A4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BE7E-5529-4552-81A6-3FA5F9B48AC3}">
  <sheetPr>
    <pageSetUpPr fitToPage="1"/>
  </sheetPr>
  <dimension ref="A1:WVG115"/>
  <sheetViews>
    <sheetView zoomScaleNormal="100" zoomScaleSheetLayoutView="100" workbookViewId="0">
      <pane ySplit="4" topLeftCell="A5" activePane="bottomLeft" state="frozen"/>
      <selection pane="bottomLeft" activeCell="O5" sqref="O5"/>
    </sheetView>
  </sheetViews>
  <sheetFormatPr defaultRowHeight="12.75" x14ac:dyDescent="0.25"/>
  <cols>
    <col min="1" max="1" width="6.5703125" style="42" customWidth="1"/>
    <col min="2" max="2" width="44.7109375" style="42" customWidth="1"/>
    <col min="3" max="3" width="7.28515625" style="42" hidden="1" customWidth="1"/>
    <col min="4" max="4" width="8.7109375" style="42" hidden="1" customWidth="1"/>
    <col min="5" max="5" width="9.5703125" style="42" customWidth="1"/>
    <col min="6" max="6" width="9.28515625" style="42" customWidth="1"/>
    <col min="7" max="12" width="9.5703125" style="42" customWidth="1"/>
    <col min="13" max="13" width="39.5703125" style="42" customWidth="1"/>
    <col min="14" max="243" width="9.140625" style="42"/>
    <col min="244" max="244" width="5.5703125" style="42" customWidth="1"/>
    <col min="245" max="245" width="32" style="42" customWidth="1"/>
    <col min="246" max="247" width="9.85546875" style="42" customWidth="1"/>
    <col min="248" max="249" width="9.42578125" style="42" customWidth="1"/>
    <col min="250" max="250" width="11.140625" style="42" customWidth="1"/>
    <col min="251" max="253" width="8.5703125" style="42" customWidth="1"/>
    <col min="254" max="254" width="32.140625" style="42" customWidth="1"/>
    <col min="255" max="255" width="8" style="42" hidden="1" customWidth="1"/>
    <col min="256" max="499" width="9.140625" style="42"/>
    <col min="500" max="500" width="5.5703125" style="42" customWidth="1"/>
    <col min="501" max="501" width="32" style="42" customWidth="1"/>
    <col min="502" max="503" width="9.85546875" style="42" customWidth="1"/>
    <col min="504" max="505" width="9.42578125" style="42" customWidth="1"/>
    <col min="506" max="506" width="11.140625" style="42" customWidth="1"/>
    <col min="507" max="509" width="8.5703125" style="42" customWidth="1"/>
    <col min="510" max="510" width="32.140625" style="42" customWidth="1"/>
    <col min="511" max="511" width="8" style="42" hidden="1" customWidth="1"/>
    <col min="512" max="755" width="9.140625" style="42"/>
    <col min="756" max="756" width="5.5703125" style="42" customWidth="1"/>
    <col min="757" max="757" width="32" style="42" customWidth="1"/>
    <col min="758" max="759" width="9.85546875" style="42" customWidth="1"/>
    <col min="760" max="761" width="9.42578125" style="42" customWidth="1"/>
    <col min="762" max="762" width="11.140625" style="42" customWidth="1"/>
    <col min="763" max="765" width="8.5703125" style="42" customWidth="1"/>
    <col min="766" max="766" width="32.140625" style="42" customWidth="1"/>
    <col min="767" max="767" width="8" style="42" hidden="1" customWidth="1"/>
    <col min="768" max="1011" width="9.140625" style="42"/>
    <col min="1012" max="1012" width="5.5703125" style="42" customWidth="1"/>
    <col min="1013" max="1013" width="32" style="42" customWidth="1"/>
    <col min="1014" max="1015" width="9.85546875" style="42" customWidth="1"/>
    <col min="1016" max="1017" width="9.42578125" style="42" customWidth="1"/>
    <col min="1018" max="1018" width="11.140625" style="42" customWidth="1"/>
    <col min="1019" max="1021" width="8.5703125" style="42" customWidth="1"/>
    <col min="1022" max="1022" width="32.140625" style="42" customWidth="1"/>
    <col min="1023" max="1023" width="8" style="42" hidden="1" customWidth="1"/>
    <col min="1024" max="1267" width="9.140625" style="42"/>
    <col min="1268" max="1268" width="5.5703125" style="42" customWidth="1"/>
    <col min="1269" max="1269" width="32" style="42" customWidth="1"/>
    <col min="1270" max="1271" width="9.85546875" style="42" customWidth="1"/>
    <col min="1272" max="1273" width="9.42578125" style="42" customWidth="1"/>
    <col min="1274" max="1274" width="11.140625" style="42" customWidth="1"/>
    <col min="1275" max="1277" width="8.5703125" style="42" customWidth="1"/>
    <col min="1278" max="1278" width="32.140625" style="42" customWidth="1"/>
    <col min="1279" max="1279" width="8" style="42" hidden="1" customWidth="1"/>
    <col min="1280" max="1523" width="9.140625" style="42"/>
    <col min="1524" max="1524" width="5.5703125" style="42" customWidth="1"/>
    <col min="1525" max="1525" width="32" style="42" customWidth="1"/>
    <col min="1526" max="1527" width="9.85546875" style="42" customWidth="1"/>
    <col min="1528" max="1529" width="9.42578125" style="42" customWidth="1"/>
    <col min="1530" max="1530" width="11.140625" style="42" customWidth="1"/>
    <col min="1531" max="1533" width="8.5703125" style="42" customWidth="1"/>
    <col min="1534" max="1534" width="32.140625" style="42" customWidth="1"/>
    <col min="1535" max="1535" width="8" style="42" hidden="1" customWidth="1"/>
    <col min="1536" max="1779" width="9.140625" style="42"/>
    <col min="1780" max="1780" width="5.5703125" style="42" customWidth="1"/>
    <col min="1781" max="1781" width="32" style="42" customWidth="1"/>
    <col min="1782" max="1783" width="9.85546875" style="42" customWidth="1"/>
    <col min="1784" max="1785" width="9.42578125" style="42" customWidth="1"/>
    <col min="1786" max="1786" width="11.140625" style="42" customWidth="1"/>
    <col min="1787" max="1789" width="8.5703125" style="42" customWidth="1"/>
    <col min="1790" max="1790" width="32.140625" style="42" customWidth="1"/>
    <col min="1791" max="1791" width="8" style="42" hidden="1" customWidth="1"/>
    <col min="1792" max="2035" width="9.140625" style="42"/>
    <col min="2036" max="2036" width="5.5703125" style="42" customWidth="1"/>
    <col min="2037" max="2037" width="32" style="42" customWidth="1"/>
    <col min="2038" max="2039" width="9.85546875" style="42" customWidth="1"/>
    <col min="2040" max="2041" width="9.42578125" style="42" customWidth="1"/>
    <col min="2042" max="2042" width="11.140625" style="42" customWidth="1"/>
    <col min="2043" max="2045" width="8.5703125" style="42" customWidth="1"/>
    <col min="2046" max="2046" width="32.140625" style="42" customWidth="1"/>
    <col min="2047" max="2047" width="8" style="42" hidden="1" customWidth="1"/>
    <col min="2048" max="2291" width="9.140625" style="42"/>
    <col min="2292" max="2292" width="5.5703125" style="42" customWidth="1"/>
    <col min="2293" max="2293" width="32" style="42" customWidth="1"/>
    <col min="2294" max="2295" width="9.85546875" style="42" customWidth="1"/>
    <col min="2296" max="2297" width="9.42578125" style="42" customWidth="1"/>
    <col min="2298" max="2298" width="11.140625" style="42" customWidth="1"/>
    <col min="2299" max="2301" width="8.5703125" style="42" customWidth="1"/>
    <col min="2302" max="2302" width="32.140625" style="42" customWidth="1"/>
    <col min="2303" max="2303" width="8" style="42" hidden="1" customWidth="1"/>
    <col min="2304" max="2547" width="9.140625" style="42"/>
    <col min="2548" max="2548" width="5.5703125" style="42" customWidth="1"/>
    <col min="2549" max="2549" width="32" style="42" customWidth="1"/>
    <col min="2550" max="2551" width="9.85546875" style="42" customWidth="1"/>
    <col min="2552" max="2553" width="9.42578125" style="42" customWidth="1"/>
    <col min="2554" max="2554" width="11.140625" style="42" customWidth="1"/>
    <col min="2555" max="2557" width="8.5703125" style="42" customWidth="1"/>
    <col min="2558" max="2558" width="32.140625" style="42" customWidth="1"/>
    <col min="2559" max="2559" width="8" style="42" hidden="1" customWidth="1"/>
    <col min="2560" max="2803" width="9.140625" style="42"/>
    <col min="2804" max="2804" width="5.5703125" style="42" customWidth="1"/>
    <col min="2805" max="2805" width="32" style="42" customWidth="1"/>
    <col min="2806" max="2807" width="9.85546875" style="42" customWidth="1"/>
    <col min="2808" max="2809" width="9.42578125" style="42" customWidth="1"/>
    <col min="2810" max="2810" width="11.140625" style="42" customWidth="1"/>
    <col min="2811" max="2813" width="8.5703125" style="42" customWidth="1"/>
    <col min="2814" max="2814" width="32.140625" style="42" customWidth="1"/>
    <col min="2815" max="2815" width="8" style="42" hidden="1" customWidth="1"/>
    <col min="2816" max="3059" width="9.140625" style="42"/>
    <col min="3060" max="3060" width="5.5703125" style="42" customWidth="1"/>
    <col min="3061" max="3061" width="32" style="42" customWidth="1"/>
    <col min="3062" max="3063" width="9.85546875" style="42" customWidth="1"/>
    <col min="3064" max="3065" width="9.42578125" style="42" customWidth="1"/>
    <col min="3066" max="3066" width="11.140625" style="42" customWidth="1"/>
    <col min="3067" max="3069" width="8.5703125" style="42" customWidth="1"/>
    <col min="3070" max="3070" width="32.140625" style="42" customWidth="1"/>
    <col min="3071" max="3071" width="8" style="42" hidden="1" customWidth="1"/>
    <col min="3072" max="3315" width="9.140625" style="42"/>
    <col min="3316" max="3316" width="5.5703125" style="42" customWidth="1"/>
    <col min="3317" max="3317" width="32" style="42" customWidth="1"/>
    <col min="3318" max="3319" width="9.85546875" style="42" customWidth="1"/>
    <col min="3320" max="3321" width="9.42578125" style="42" customWidth="1"/>
    <col min="3322" max="3322" width="11.140625" style="42" customWidth="1"/>
    <col min="3323" max="3325" width="8.5703125" style="42" customWidth="1"/>
    <col min="3326" max="3326" width="32.140625" style="42" customWidth="1"/>
    <col min="3327" max="3327" width="8" style="42" hidden="1" customWidth="1"/>
    <col min="3328" max="3571" width="9.140625" style="42"/>
    <col min="3572" max="3572" width="5.5703125" style="42" customWidth="1"/>
    <col min="3573" max="3573" width="32" style="42" customWidth="1"/>
    <col min="3574" max="3575" width="9.85546875" style="42" customWidth="1"/>
    <col min="3576" max="3577" width="9.42578125" style="42" customWidth="1"/>
    <col min="3578" max="3578" width="11.140625" style="42" customWidth="1"/>
    <col min="3579" max="3581" width="8.5703125" style="42" customWidth="1"/>
    <col min="3582" max="3582" width="32.140625" style="42" customWidth="1"/>
    <col min="3583" max="3583" width="8" style="42" hidden="1" customWidth="1"/>
    <col min="3584" max="3827" width="9.140625" style="42"/>
    <col min="3828" max="3828" width="5.5703125" style="42" customWidth="1"/>
    <col min="3829" max="3829" width="32" style="42" customWidth="1"/>
    <col min="3830" max="3831" width="9.85546875" style="42" customWidth="1"/>
    <col min="3832" max="3833" width="9.42578125" style="42" customWidth="1"/>
    <col min="3834" max="3834" width="11.140625" style="42" customWidth="1"/>
    <col min="3835" max="3837" width="8.5703125" style="42" customWidth="1"/>
    <col min="3838" max="3838" width="32.140625" style="42" customWidth="1"/>
    <col min="3839" max="3839" width="8" style="42" hidden="1" customWidth="1"/>
    <col min="3840" max="4083" width="9.140625" style="42"/>
    <col min="4084" max="4084" width="5.5703125" style="42" customWidth="1"/>
    <col min="4085" max="4085" width="32" style="42" customWidth="1"/>
    <col min="4086" max="4087" width="9.85546875" style="42" customWidth="1"/>
    <col min="4088" max="4089" width="9.42578125" style="42" customWidth="1"/>
    <col min="4090" max="4090" width="11.140625" style="42" customWidth="1"/>
    <col min="4091" max="4093" width="8.5703125" style="42" customWidth="1"/>
    <col min="4094" max="4094" width="32.140625" style="42" customWidth="1"/>
    <col min="4095" max="4095" width="8" style="42" hidden="1" customWidth="1"/>
    <col min="4096" max="4339" width="9.140625" style="42"/>
    <col min="4340" max="4340" width="5.5703125" style="42" customWidth="1"/>
    <col min="4341" max="4341" width="32" style="42" customWidth="1"/>
    <col min="4342" max="4343" width="9.85546875" style="42" customWidth="1"/>
    <col min="4344" max="4345" width="9.42578125" style="42" customWidth="1"/>
    <col min="4346" max="4346" width="11.140625" style="42" customWidth="1"/>
    <col min="4347" max="4349" width="8.5703125" style="42" customWidth="1"/>
    <col min="4350" max="4350" width="32.140625" style="42" customWidth="1"/>
    <col min="4351" max="4351" width="8" style="42" hidden="1" customWidth="1"/>
    <col min="4352" max="4595" width="9.140625" style="42"/>
    <col min="4596" max="4596" width="5.5703125" style="42" customWidth="1"/>
    <col min="4597" max="4597" width="32" style="42" customWidth="1"/>
    <col min="4598" max="4599" width="9.85546875" style="42" customWidth="1"/>
    <col min="4600" max="4601" width="9.42578125" style="42" customWidth="1"/>
    <col min="4602" max="4602" width="11.140625" style="42" customWidth="1"/>
    <col min="4603" max="4605" width="8.5703125" style="42" customWidth="1"/>
    <col min="4606" max="4606" width="32.140625" style="42" customWidth="1"/>
    <col min="4607" max="4607" width="8" style="42" hidden="1" customWidth="1"/>
    <col min="4608" max="4851" width="9.140625" style="42"/>
    <col min="4852" max="4852" width="5.5703125" style="42" customWidth="1"/>
    <col min="4853" max="4853" width="32" style="42" customWidth="1"/>
    <col min="4854" max="4855" width="9.85546875" style="42" customWidth="1"/>
    <col min="4856" max="4857" width="9.42578125" style="42" customWidth="1"/>
    <col min="4858" max="4858" width="11.140625" style="42" customWidth="1"/>
    <col min="4859" max="4861" width="8.5703125" style="42" customWidth="1"/>
    <col min="4862" max="4862" width="32.140625" style="42" customWidth="1"/>
    <col min="4863" max="4863" width="8" style="42" hidden="1" customWidth="1"/>
    <col min="4864" max="5107" width="9.140625" style="42"/>
    <col min="5108" max="5108" width="5.5703125" style="42" customWidth="1"/>
    <col min="5109" max="5109" width="32" style="42" customWidth="1"/>
    <col min="5110" max="5111" width="9.85546875" style="42" customWidth="1"/>
    <col min="5112" max="5113" width="9.42578125" style="42" customWidth="1"/>
    <col min="5114" max="5114" width="11.140625" style="42" customWidth="1"/>
    <col min="5115" max="5117" width="8.5703125" style="42" customWidth="1"/>
    <col min="5118" max="5118" width="32.140625" style="42" customWidth="1"/>
    <col min="5119" max="5119" width="8" style="42" hidden="1" customWidth="1"/>
    <col min="5120" max="5363" width="9.140625" style="42"/>
    <col min="5364" max="5364" width="5.5703125" style="42" customWidth="1"/>
    <col min="5365" max="5365" width="32" style="42" customWidth="1"/>
    <col min="5366" max="5367" width="9.85546875" style="42" customWidth="1"/>
    <col min="5368" max="5369" width="9.42578125" style="42" customWidth="1"/>
    <col min="5370" max="5370" width="11.140625" style="42" customWidth="1"/>
    <col min="5371" max="5373" width="8.5703125" style="42" customWidth="1"/>
    <col min="5374" max="5374" width="32.140625" style="42" customWidth="1"/>
    <col min="5375" max="5375" width="8" style="42" hidden="1" customWidth="1"/>
    <col min="5376" max="5619" width="9.140625" style="42"/>
    <col min="5620" max="5620" width="5.5703125" style="42" customWidth="1"/>
    <col min="5621" max="5621" width="32" style="42" customWidth="1"/>
    <col min="5622" max="5623" width="9.85546875" style="42" customWidth="1"/>
    <col min="5624" max="5625" width="9.42578125" style="42" customWidth="1"/>
    <col min="5626" max="5626" width="11.140625" style="42" customWidth="1"/>
    <col min="5627" max="5629" width="8.5703125" style="42" customWidth="1"/>
    <col min="5630" max="5630" width="32.140625" style="42" customWidth="1"/>
    <col min="5631" max="5631" width="8" style="42" hidden="1" customWidth="1"/>
    <col min="5632" max="5875" width="9.140625" style="42"/>
    <col min="5876" max="5876" width="5.5703125" style="42" customWidth="1"/>
    <col min="5877" max="5877" width="32" style="42" customWidth="1"/>
    <col min="5878" max="5879" width="9.85546875" style="42" customWidth="1"/>
    <col min="5880" max="5881" width="9.42578125" style="42" customWidth="1"/>
    <col min="5882" max="5882" width="11.140625" style="42" customWidth="1"/>
    <col min="5883" max="5885" width="8.5703125" style="42" customWidth="1"/>
    <col min="5886" max="5886" width="32.140625" style="42" customWidth="1"/>
    <col min="5887" max="5887" width="8" style="42" hidden="1" customWidth="1"/>
    <col min="5888" max="6131" width="9.140625" style="42"/>
    <col min="6132" max="6132" width="5.5703125" style="42" customWidth="1"/>
    <col min="6133" max="6133" width="32" style="42" customWidth="1"/>
    <col min="6134" max="6135" width="9.85546875" style="42" customWidth="1"/>
    <col min="6136" max="6137" width="9.42578125" style="42" customWidth="1"/>
    <col min="6138" max="6138" width="11.140625" style="42" customWidth="1"/>
    <col min="6139" max="6141" width="8.5703125" style="42" customWidth="1"/>
    <col min="6142" max="6142" width="32.140625" style="42" customWidth="1"/>
    <col min="6143" max="6143" width="8" style="42" hidden="1" customWidth="1"/>
    <col min="6144" max="6387" width="9.140625" style="42"/>
    <col min="6388" max="6388" width="5.5703125" style="42" customWidth="1"/>
    <col min="6389" max="6389" width="32" style="42" customWidth="1"/>
    <col min="6390" max="6391" width="9.85546875" style="42" customWidth="1"/>
    <col min="6392" max="6393" width="9.42578125" style="42" customWidth="1"/>
    <col min="6394" max="6394" width="11.140625" style="42" customWidth="1"/>
    <col min="6395" max="6397" width="8.5703125" style="42" customWidth="1"/>
    <col min="6398" max="6398" width="32.140625" style="42" customWidth="1"/>
    <col min="6399" max="6399" width="8" style="42" hidden="1" customWidth="1"/>
    <col min="6400" max="6643" width="9.140625" style="42"/>
    <col min="6644" max="6644" width="5.5703125" style="42" customWidth="1"/>
    <col min="6645" max="6645" width="32" style="42" customWidth="1"/>
    <col min="6646" max="6647" width="9.85546875" style="42" customWidth="1"/>
    <col min="6648" max="6649" width="9.42578125" style="42" customWidth="1"/>
    <col min="6650" max="6650" width="11.140625" style="42" customWidth="1"/>
    <col min="6651" max="6653" width="8.5703125" style="42" customWidth="1"/>
    <col min="6654" max="6654" width="32.140625" style="42" customWidth="1"/>
    <col min="6655" max="6655" width="8" style="42" hidden="1" customWidth="1"/>
    <col min="6656" max="6899" width="9.140625" style="42"/>
    <col min="6900" max="6900" width="5.5703125" style="42" customWidth="1"/>
    <col min="6901" max="6901" width="32" style="42" customWidth="1"/>
    <col min="6902" max="6903" width="9.85546875" style="42" customWidth="1"/>
    <col min="6904" max="6905" width="9.42578125" style="42" customWidth="1"/>
    <col min="6906" max="6906" width="11.140625" style="42" customWidth="1"/>
    <col min="6907" max="6909" width="8.5703125" style="42" customWidth="1"/>
    <col min="6910" max="6910" width="32.140625" style="42" customWidth="1"/>
    <col min="6911" max="6911" width="8" style="42" hidden="1" customWidth="1"/>
    <col min="6912" max="7155" width="9.140625" style="42"/>
    <col min="7156" max="7156" width="5.5703125" style="42" customWidth="1"/>
    <col min="7157" max="7157" width="32" style="42" customWidth="1"/>
    <col min="7158" max="7159" width="9.85546875" style="42" customWidth="1"/>
    <col min="7160" max="7161" width="9.42578125" style="42" customWidth="1"/>
    <col min="7162" max="7162" width="11.140625" style="42" customWidth="1"/>
    <col min="7163" max="7165" width="8.5703125" style="42" customWidth="1"/>
    <col min="7166" max="7166" width="32.140625" style="42" customWidth="1"/>
    <col min="7167" max="7167" width="8" style="42" hidden="1" customWidth="1"/>
    <col min="7168" max="7411" width="9.140625" style="42"/>
    <col min="7412" max="7412" width="5.5703125" style="42" customWidth="1"/>
    <col min="7413" max="7413" width="32" style="42" customWidth="1"/>
    <col min="7414" max="7415" width="9.85546875" style="42" customWidth="1"/>
    <col min="7416" max="7417" width="9.42578125" style="42" customWidth="1"/>
    <col min="7418" max="7418" width="11.140625" style="42" customWidth="1"/>
    <col min="7419" max="7421" width="8.5703125" style="42" customWidth="1"/>
    <col min="7422" max="7422" width="32.140625" style="42" customWidth="1"/>
    <col min="7423" max="7423" width="8" style="42" hidden="1" customWidth="1"/>
    <col min="7424" max="7667" width="9.140625" style="42"/>
    <col min="7668" max="7668" width="5.5703125" style="42" customWidth="1"/>
    <col min="7669" max="7669" width="32" style="42" customWidth="1"/>
    <col min="7670" max="7671" width="9.85546875" style="42" customWidth="1"/>
    <col min="7672" max="7673" width="9.42578125" style="42" customWidth="1"/>
    <col min="7674" max="7674" width="11.140625" style="42" customWidth="1"/>
    <col min="7675" max="7677" width="8.5703125" style="42" customWidth="1"/>
    <col min="7678" max="7678" width="32.140625" style="42" customWidth="1"/>
    <col min="7679" max="7679" width="8" style="42" hidden="1" customWidth="1"/>
    <col min="7680" max="7923" width="9.140625" style="42"/>
    <col min="7924" max="7924" width="5.5703125" style="42" customWidth="1"/>
    <col min="7925" max="7925" width="32" style="42" customWidth="1"/>
    <col min="7926" max="7927" width="9.85546875" style="42" customWidth="1"/>
    <col min="7928" max="7929" width="9.42578125" style="42" customWidth="1"/>
    <col min="7930" max="7930" width="11.140625" style="42" customWidth="1"/>
    <col min="7931" max="7933" width="8.5703125" style="42" customWidth="1"/>
    <col min="7934" max="7934" width="32.140625" style="42" customWidth="1"/>
    <col min="7935" max="7935" width="8" style="42" hidden="1" customWidth="1"/>
    <col min="7936" max="8179" width="9.140625" style="42"/>
    <col min="8180" max="8180" width="5.5703125" style="42" customWidth="1"/>
    <col min="8181" max="8181" width="32" style="42" customWidth="1"/>
    <col min="8182" max="8183" width="9.85546875" style="42" customWidth="1"/>
    <col min="8184" max="8185" width="9.42578125" style="42" customWidth="1"/>
    <col min="8186" max="8186" width="11.140625" style="42" customWidth="1"/>
    <col min="8187" max="8189" width="8.5703125" style="42" customWidth="1"/>
    <col min="8190" max="8190" width="32.140625" style="42" customWidth="1"/>
    <col min="8191" max="8191" width="8" style="42" hidden="1" customWidth="1"/>
    <col min="8192" max="8435" width="9.140625" style="42"/>
    <col min="8436" max="8436" width="5.5703125" style="42" customWidth="1"/>
    <col min="8437" max="8437" width="32" style="42" customWidth="1"/>
    <col min="8438" max="8439" width="9.85546875" style="42" customWidth="1"/>
    <col min="8440" max="8441" width="9.42578125" style="42" customWidth="1"/>
    <col min="8442" max="8442" width="11.140625" style="42" customWidth="1"/>
    <col min="8443" max="8445" width="8.5703125" style="42" customWidth="1"/>
    <col min="8446" max="8446" width="32.140625" style="42" customWidth="1"/>
    <col min="8447" max="8447" width="8" style="42" hidden="1" customWidth="1"/>
    <col min="8448" max="8691" width="9.140625" style="42"/>
    <col min="8692" max="8692" width="5.5703125" style="42" customWidth="1"/>
    <col min="8693" max="8693" width="32" style="42" customWidth="1"/>
    <col min="8694" max="8695" width="9.85546875" style="42" customWidth="1"/>
    <col min="8696" max="8697" width="9.42578125" style="42" customWidth="1"/>
    <col min="8698" max="8698" width="11.140625" style="42" customWidth="1"/>
    <col min="8699" max="8701" width="8.5703125" style="42" customWidth="1"/>
    <col min="8702" max="8702" width="32.140625" style="42" customWidth="1"/>
    <col min="8703" max="8703" width="8" style="42" hidden="1" customWidth="1"/>
    <col min="8704" max="8947" width="9.140625" style="42"/>
    <col min="8948" max="8948" width="5.5703125" style="42" customWidth="1"/>
    <col min="8949" max="8949" width="32" style="42" customWidth="1"/>
    <col min="8950" max="8951" width="9.85546875" style="42" customWidth="1"/>
    <col min="8952" max="8953" width="9.42578125" style="42" customWidth="1"/>
    <col min="8954" max="8954" width="11.140625" style="42" customWidth="1"/>
    <col min="8955" max="8957" width="8.5703125" style="42" customWidth="1"/>
    <col min="8958" max="8958" width="32.140625" style="42" customWidth="1"/>
    <col min="8959" max="8959" width="8" style="42" hidden="1" customWidth="1"/>
    <col min="8960" max="9203" width="9.140625" style="42"/>
    <col min="9204" max="9204" width="5.5703125" style="42" customWidth="1"/>
    <col min="9205" max="9205" width="32" style="42" customWidth="1"/>
    <col min="9206" max="9207" width="9.85546875" style="42" customWidth="1"/>
    <col min="9208" max="9209" width="9.42578125" style="42" customWidth="1"/>
    <col min="9210" max="9210" width="11.140625" style="42" customWidth="1"/>
    <col min="9211" max="9213" width="8.5703125" style="42" customWidth="1"/>
    <col min="9214" max="9214" width="32.140625" style="42" customWidth="1"/>
    <col min="9215" max="9215" width="8" style="42" hidden="1" customWidth="1"/>
    <col min="9216" max="9459" width="9.140625" style="42"/>
    <col min="9460" max="9460" width="5.5703125" style="42" customWidth="1"/>
    <col min="9461" max="9461" width="32" style="42" customWidth="1"/>
    <col min="9462" max="9463" width="9.85546875" style="42" customWidth="1"/>
    <col min="9464" max="9465" width="9.42578125" style="42" customWidth="1"/>
    <col min="9466" max="9466" width="11.140625" style="42" customWidth="1"/>
    <col min="9467" max="9469" width="8.5703125" style="42" customWidth="1"/>
    <col min="9470" max="9470" width="32.140625" style="42" customWidth="1"/>
    <col min="9471" max="9471" width="8" style="42" hidden="1" customWidth="1"/>
    <col min="9472" max="9715" width="9.140625" style="42"/>
    <col min="9716" max="9716" width="5.5703125" style="42" customWidth="1"/>
    <col min="9717" max="9717" width="32" style="42" customWidth="1"/>
    <col min="9718" max="9719" width="9.85546875" style="42" customWidth="1"/>
    <col min="9720" max="9721" width="9.42578125" style="42" customWidth="1"/>
    <col min="9722" max="9722" width="11.140625" style="42" customWidth="1"/>
    <col min="9723" max="9725" width="8.5703125" style="42" customWidth="1"/>
    <col min="9726" max="9726" width="32.140625" style="42" customWidth="1"/>
    <col min="9727" max="9727" width="8" style="42" hidden="1" customWidth="1"/>
    <col min="9728" max="9971" width="9.140625" style="42"/>
    <col min="9972" max="9972" width="5.5703125" style="42" customWidth="1"/>
    <col min="9973" max="9973" width="32" style="42" customWidth="1"/>
    <col min="9974" max="9975" width="9.85546875" style="42" customWidth="1"/>
    <col min="9976" max="9977" width="9.42578125" style="42" customWidth="1"/>
    <col min="9978" max="9978" width="11.140625" style="42" customWidth="1"/>
    <col min="9979" max="9981" width="8.5703125" style="42" customWidth="1"/>
    <col min="9982" max="9982" width="32.140625" style="42" customWidth="1"/>
    <col min="9983" max="9983" width="8" style="42" hidden="1" customWidth="1"/>
    <col min="9984" max="10227" width="9.140625" style="42"/>
    <col min="10228" max="10228" width="5.5703125" style="42" customWidth="1"/>
    <col min="10229" max="10229" width="32" style="42" customWidth="1"/>
    <col min="10230" max="10231" width="9.85546875" style="42" customWidth="1"/>
    <col min="10232" max="10233" width="9.42578125" style="42" customWidth="1"/>
    <col min="10234" max="10234" width="11.140625" style="42" customWidth="1"/>
    <col min="10235" max="10237" width="8.5703125" style="42" customWidth="1"/>
    <col min="10238" max="10238" width="32.140625" style="42" customWidth="1"/>
    <col min="10239" max="10239" width="8" style="42" hidden="1" customWidth="1"/>
    <col min="10240" max="10483" width="9.140625" style="42"/>
    <col min="10484" max="10484" width="5.5703125" style="42" customWidth="1"/>
    <col min="10485" max="10485" width="32" style="42" customWidth="1"/>
    <col min="10486" max="10487" width="9.85546875" style="42" customWidth="1"/>
    <col min="10488" max="10489" width="9.42578125" style="42" customWidth="1"/>
    <col min="10490" max="10490" width="11.140625" style="42" customWidth="1"/>
    <col min="10491" max="10493" width="8.5703125" style="42" customWidth="1"/>
    <col min="10494" max="10494" width="32.140625" style="42" customWidth="1"/>
    <col min="10495" max="10495" width="8" style="42" hidden="1" customWidth="1"/>
    <col min="10496" max="10739" width="9.140625" style="42"/>
    <col min="10740" max="10740" width="5.5703125" style="42" customWidth="1"/>
    <col min="10741" max="10741" width="32" style="42" customWidth="1"/>
    <col min="10742" max="10743" width="9.85546875" style="42" customWidth="1"/>
    <col min="10744" max="10745" width="9.42578125" style="42" customWidth="1"/>
    <col min="10746" max="10746" width="11.140625" style="42" customWidth="1"/>
    <col min="10747" max="10749" width="8.5703125" style="42" customWidth="1"/>
    <col min="10750" max="10750" width="32.140625" style="42" customWidth="1"/>
    <col min="10751" max="10751" width="8" style="42" hidden="1" customWidth="1"/>
    <col min="10752" max="10995" width="9.140625" style="42"/>
    <col min="10996" max="10996" width="5.5703125" style="42" customWidth="1"/>
    <col min="10997" max="10997" width="32" style="42" customWidth="1"/>
    <col min="10998" max="10999" width="9.85546875" style="42" customWidth="1"/>
    <col min="11000" max="11001" width="9.42578125" style="42" customWidth="1"/>
    <col min="11002" max="11002" width="11.140625" style="42" customWidth="1"/>
    <col min="11003" max="11005" width="8.5703125" style="42" customWidth="1"/>
    <col min="11006" max="11006" width="32.140625" style="42" customWidth="1"/>
    <col min="11007" max="11007" width="8" style="42" hidden="1" customWidth="1"/>
    <col min="11008" max="11251" width="9.140625" style="42"/>
    <col min="11252" max="11252" width="5.5703125" style="42" customWidth="1"/>
    <col min="11253" max="11253" width="32" style="42" customWidth="1"/>
    <col min="11254" max="11255" width="9.85546875" style="42" customWidth="1"/>
    <col min="11256" max="11257" width="9.42578125" style="42" customWidth="1"/>
    <col min="11258" max="11258" width="11.140625" style="42" customWidth="1"/>
    <col min="11259" max="11261" width="8.5703125" style="42" customWidth="1"/>
    <col min="11262" max="11262" width="32.140625" style="42" customWidth="1"/>
    <col min="11263" max="11263" width="8" style="42" hidden="1" customWidth="1"/>
    <col min="11264" max="11507" width="9.140625" style="42"/>
    <col min="11508" max="11508" width="5.5703125" style="42" customWidth="1"/>
    <col min="11509" max="11509" width="32" style="42" customWidth="1"/>
    <col min="11510" max="11511" width="9.85546875" style="42" customWidth="1"/>
    <col min="11512" max="11513" width="9.42578125" style="42" customWidth="1"/>
    <col min="11514" max="11514" width="11.140625" style="42" customWidth="1"/>
    <col min="11515" max="11517" width="8.5703125" style="42" customWidth="1"/>
    <col min="11518" max="11518" width="32.140625" style="42" customWidth="1"/>
    <col min="11519" max="11519" width="8" style="42" hidden="1" customWidth="1"/>
    <col min="11520" max="11763" width="9.140625" style="42"/>
    <col min="11764" max="11764" width="5.5703125" style="42" customWidth="1"/>
    <col min="11765" max="11765" width="32" style="42" customWidth="1"/>
    <col min="11766" max="11767" width="9.85546875" style="42" customWidth="1"/>
    <col min="11768" max="11769" width="9.42578125" style="42" customWidth="1"/>
    <col min="11770" max="11770" width="11.140625" style="42" customWidth="1"/>
    <col min="11771" max="11773" width="8.5703125" style="42" customWidth="1"/>
    <col min="11774" max="11774" width="32.140625" style="42" customWidth="1"/>
    <col min="11775" max="11775" width="8" style="42" hidden="1" customWidth="1"/>
    <col min="11776" max="12019" width="9.140625" style="42"/>
    <col min="12020" max="12020" width="5.5703125" style="42" customWidth="1"/>
    <col min="12021" max="12021" width="32" style="42" customWidth="1"/>
    <col min="12022" max="12023" width="9.85546875" style="42" customWidth="1"/>
    <col min="12024" max="12025" width="9.42578125" style="42" customWidth="1"/>
    <col min="12026" max="12026" width="11.140625" style="42" customWidth="1"/>
    <col min="12027" max="12029" width="8.5703125" style="42" customWidth="1"/>
    <col min="12030" max="12030" width="32.140625" style="42" customWidth="1"/>
    <col min="12031" max="12031" width="8" style="42" hidden="1" customWidth="1"/>
    <col min="12032" max="12275" width="9.140625" style="42"/>
    <col min="12276" max="12276" width="5.5703125" style="42" customWidth="1"/>
    <col min="12277" max="12277" width="32" style="42" customWidth="1"/>
    <col min="12278" max="12279" width="9.85546875" style="42" customWidth="1"/>
    <col min="12280" max="12281" width="9.42578125" style="42" customWidth="1"/>
    <col min="12282" max="12282" width="11.140625" style="42" customWidth="1"/>
    <col min="12283" max="12285" width="8.5703125" style="42" customWidth="1"/>
    <col min="12286" max="12286" width="32.140625" style="42" customWidth="1"/>
    <col min="12287" max="12287" width="8" style="42" hidden="1" customWidth="1"/>
    <col min="12288" max="12531" width="9.140625" style="42"/>
    <col min="12532" max="12532" width="5.5703125" style="42" customWidth="1"/>
    <col min="12533" max="12533" width="32" style="42" customWidth="1"/>
    <col min="12534" max="12535" width="9.85546875" style="42" customWidth="1"/>
    <col min="12536" max="12537" width="9.42578125" style="42" customWidth="1"/>
    <col min="12538" max="12538" width="11.140625" style="42" customWidth="1"/>
    <col min="12539" max="12541" width="8.5703125" style="42" customWidth="1"/>
    <col min="12542" max="12542" width="32.140625" style="42" customWidth="1"/>
    <col min="12543" max="12543" width="8" style="42" hidden="1" customWidth="1"/>
    <col min="12544" max="12787" width="9.140625" style="42"/>
    <col min="12788" max="12788" width="5.5703125" style="42" customWidth="1"/>
    <col min="12789" max="12789" width="32" style="42" customWidth="1"/>
    <col min="12790" max="12791" width="9.85546875" style="42" customWidth="1"/>
    <col min="12792" max="12793" width="9.42578125" style="42" customWidth="1"/>
    <col min="12794" max="12794" width="11.140625" style="42" customWidth="1"/>
    <col min="12795" max="12797" width="8.5703125" style="42" customWidth="1"/>
    <col min="12798" max="12798" width="32.140625" style="42" customWidth="1"/>
    <col min="12799" max="12799" width="8" style="42" hidden="1" customWidth="1"/>
    <col min="12800" max="13043" width="9.140625" style="42"/>
    <col min="13044" max="13044" width="5.5703125" style="42" customWidth="1"/>
    <col min="13045" max="13045" width="32" style="42" customWidth="1"/>
    <col min="13046" max="13047" width="9.85546875" style="42" customWidth="1"/>
    <col min="13048" max="13049" width="9.42578125" style="42" customWidth="1"/>
    <col min="13050" max="13050" width="11.140625" style="42" customWidth="1"/>
    <col min="13051" max="13053" width="8.5703125" style="42" customWidth="1"/>
    <col min="13054" max="13054" width="32.140625" style="42" customWidth="1"/>
    <col min="13055" max="13055" width="8" style="42" hidden="1" customWidth="1"/>
    <col min="13056" max="13299" width="9.140625" style="42"/>
    <col min="13300" max="13300" width="5.5703125" style="42" customWidth="1"/>
    <col min="13301" max="13301" width="32" style="42" customWidth="1"/>
    <col min="13302" max="13303" width="9.85546875" style="42" customWidth="1"/>
    <col min="13304" max="13305" width="9.42578125" style="42" customWidth="1"/>
    <col min="13306" max="13306" width="11.140625" style="42" customWidth="1"/>
    <col min="13307" max="13309" width="8.5703125" style="42" customWidth="1"/>
    <col min="13310" max="13310" width="32.140625" style="42" customWidth="1"/>
    <col min="13311" max="13311" width="8" style="42" hidden="1" customWidth="1"/>
    <col min="13312" max="13555" width="9.140625" style="42"/>
    <col min="13556" max="13556" width="5.5703125" style="42" customWidth="1"/>
    <col min="13557" max="13557" width="32" style="42" customWidth="1"/>
    <col min="13558" max="13559" width="9.85546875" style="42" customWidth="1"/>
    <col min="13560" max="13561" width="9.42578125" style="42" customWidth="1"/>
    <col min="13562" max="13562" width="11.140625" style="42" customWidth="1"/>
    <col min="13563" max="13565" width="8.5703125" style="42" customWidth="1"/>
    <col min="13566" max="13566" width="32.140625" style="42" customWidth="1"/>
    <col min="13567" max="13567" width="8" style="42" hidden="1" customWidth="1"/>
    <col min="13568" max="13811" width="9.140625" style="42"/>
    <col min="13812" max="13812" width="5.5703125" style="42" customWidth="1"/>
    <col min="13813" max="13813" width="32" style="42" customWidth="1"/>
    <col min="13814" max="13815" width="9.85546875" style="42" customWidth="1"/>
    <col min="13816" max="13817" width="9.42578125" style="42" customWidth="1"/>
    <col min="13818" max="13818" width="11.140625" style="42" customWidth="1"/>
    <col min="13819" max="13821" width="8.5703125" style="42" customWidth="1"/>
    <col min="13822" max="13822" width="32.140625" style="42" customWidth="1"/>
    <col min="13823" max="13823" width="8" style="42" hidden="1" customWidth="1"/>
    <col min="13824" max="14067" width="9.140625" style="42"/>
    <col min="14068" max="14068" width="5.5703125" style="42" customWidth="1"/>
    <col min="14069" max="14069" width="32" style="42" customWidth="1"/>
    <col min="14070" max="14071" width="9.85546875" style="42" customWidth="1"/>
    <col min="14072" max="14073" width="9.42578125" style="42" customWidth="1"/>
    <col min="14074" max="14074" width="11.140625" style="42" customWidth="1"/>
    <col min="14075" max="14077" width="8.5703125" style="42" customWidth="1"/>
    <col min="14078" max="14078" width="32.140625" style="42" customWidth="1"/>
    <col min="14079" max="14079" width="8" style="42" hidden="1" customWidth="1"/>
    <col min="14080" max="14323" width="9.140625" style="42"/>
    <col min="14324" max="14324" width="5.5703125" style="42" customWidth="1"/>
    <col min="14325" max="14325" width="32" style="42" customWidth="1"/>
    <col min="14326" max="14327" width="9.85546875" style="42" customWidth="1"/>
    <col min="14328" max="14329" width="9.42578125" style="42" customWidth="1"/>
    <col min="14330" max="14330" width="11.140625" style="42" customWidth="1"/>
    <col min="14331" max="14333" width="8.5703125" style="42" customWidth="1"/>
    <col min="14334" max="14334" width="32.140625" style="42" customWidth="1"/>
    <col min="14335" max="14335" width="8" style="42" hidden="1" customWidth="1"/>
    <col min="14336" max="14579" width="9.140625" style="42"/>
    <col min="14580" max="14580" width="5.5703125" style="42" customWidth="1"/>
    <col min="14581" max="14581" width="32" style="42" customWidth="1"/>
    <col min="14582" max="14583" width="9.85546875" style="42" customWidth="1"/>
    <col min="14584" max="14585" width="9.42578125" style="42" customWidth="1"/>
    <col min="14586" max="14586" width="11.140625" style="42" customWidth="1"/>
    <col min="14587" max="14589" width="8.5703125" style="42" customWidth="1"/>
    <col min="14590" max="14590" width="32.140625" style="42" customWidth="1"/>
    <col min="14591" max="14591" width="8" style="42" hidden="1" customWidth="1"/>
    <col min="14592" max="14835" width="9.140625" style="42"/>
    <col min="14836" max="14836" width="5.5703125" style="42" customWidth="1"/>
    <col min="14837" max="14837" width="32" style="42" customWidth="1"/>
    <col min="14838" max="14839" width="9.85546875" style="42" customWidth="1"/>
    <col min="14840" max="14841" width="9.42578125" style="42" customWidth="1"/>
    <col min="14842" max="14842" width="11.140625" style="42" customWidth="1"/>
    <col min="14843" max="14845" width="8.5703125" style="42" customWidth="1"/>
    <col min="14846" max="14846" width="32.140625" style="42" customWidth="1"/>
    <col min="14847" max="14847" width="8" style="42" hidden="1" customWidth="1"/>
    <col min="14848" max="15091" width="9.140625" style="42"/>
    <col min="15092" max="15092" width="5.5703125" style="42" customWidth="1"/>
    <col min="15093" max="15093" width="32" style="42" customWidth="1"/>
    <col min="15094" max="15095" width="9.85546875" style="42" customWidth="1"/>
    <col min="15096" max="15097" width="9.42578125" style="42" customWidth="1"/>
    <col min="15098" max="15098" width="11.140625" style="42" customWidth="1"/>
    <col min="15099" max="15101" width="8.5703125" style="42" customWidth="1"/>
    <col min="15102" max="15102" width="32.140625" style="42" customWidth="1"/>
    <col min="15103" max="15103" width="8" style="42" hidden="1" customWidth="1"/>
    <col min="15104" max="15347" width="9.140625" style="42"/>
    <col min="15348" max="15348" width="5.5703125" style="42" customWidth="1"/>
    <col min="15349" max="15349" width="32" style="42" customWidth="1"/>
    <col min="15350" max="15351" width="9.85546875" style="42" customWidth="1"/>
    <col min="15352" max="15353" width="9.42578125" style="42" customWidth="1"/>
    <col min="15354" max="15354" width="11.140625" style="42" customWidth="1"/>
    <col min="15355" max="15357" width="8.5703125" style="42" customWidth="1"/>
    <col min="15358" max="15358" width="32.140625" style="42" customWidth="1"/>
    <col min="15359" max="15359" width="8" style="42" hidden="1" customWidth="1"/>
    <col min="15360" max="15603" width="9.140625" style="42"/>
    <col min="15604" max="15604" width="5.5703125" style="42" customWidth="1"/>
    <col min="15605" max="15605" width="32" style="42" customWidth="1"/>
    <col min="15606" max="15607" width="9.85546875" style="42" customWidth="1"/>
    <col min="15608" max="15609" width="9.42578125" style="42" customWidth="1"/>
    <col min="15610" max="15610" width="11.140625" style="42" customWidth="1"/>
    <col min="15611" max="15613" width="8.5703125" style="42" customWidth="1"/>
    <col min="15614" max="15614" width="32.140625" style="42" customWidth="1"/>
    <col min="15615" max="15615" width="8" style="42" hidden="1" customWidth="1"/>
    <col min="15616" max="15859" width="9.140625" style="42"/>
    <col min="15860" max="15860" width="5.5703125" style="42" customWidth="1"/>
    <col min="15861" max="15861" width="32" style="42" customWidth="1"/>
    <col min="15862" max="15863" width="9.85546875" style="42" customWidth="1"/>
    <col min="15864" max="15865" width="9.42578125" style="42" customWidth="1"/>
    <col min="15866" max="15866" width="11.140625" style="42" customWidth="1"/>
    <col min="15867" max="15869" width="8.5703125" style="42" customWidth="1"/>
    <col min="15870" max="15870" width="32.140625" style="42" customWidth="1"/>
    <col min="15871" max="15871" width="8" style="42" hidden="1" customWidth="1"/>
    <col min="15872" max="16115" width="9.140625" style="42"/>
    <col min="16116" max="16116" width="5.5703125" style="42" customWidth="1"/>
    <col min="16117" max="16117" width="32" style="42" customWidth="1"/>
    <col min="16118" max="16119" width="9.85546875" style="42" customWidth="1"/>
    <col min="16120" max="16121" width="9.42578125" style="42" customWidth="1"/>
    <col min="16122" max="16122" width="11.140625" style="42" customWidth="1"/>
    <col min="16123" max="16125" width="8.5703125" style="42" customWidth="1"/>
    <col min="16126" max="16126" width="32.140625" style="42" customWidth="1"/>
    <col min="16127" max="16127" width="8" style="42" hidden="1" customWidth="1"/>
    <col min="16128" max="16384" width="9.140625" style="42"/>
  </cols>
  <sheetData>
    <row r="1" spans="1:13" ht="40.5" customHeight="1" x14ac:dyDescent="0.25">
      <c r="A1" s="367" t="s">
        <v>342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</row>
    <row r="2" spans="1:13" ht="13.5" thickBot="1" x14ac:dyDescent="0.3">
      <c r="B2" s="189"/>
      <c r="C2" s="189"/>
      <c r="D2" s="189"/>
      <c r="E2" s="43"/>
      <c r="F2" s="43"/>
      <c r="G2" s="190"/>
      <c r="H2" s="190"/>
      <c r="I2" s="190"/>
      <c r="J2" s="190"/>
      <c r="K2" s="190"/>
      <c r="L2" s="190"/>
      <c r="M2" s="43" t="s">
        <v>34</v>
      </c>
    </row>
    <row r="3" spans="1:13" ht="24" customHeight="1" x14ac:dyDescent="0.25">
      <c r="A3" s="368" t="s">
        <v>0</v>
      </c>
      <c r="B3" s="370" t="s">
        <v>40</v>
      </c>
      <c r="C3" s="372" t="s">
        <v>343</v>
      </c>
      <c r="D3" s="306"/>
      <c r="E3" s="374" t="s">
        <v>53</v>
      </c>
      <c r="F3" s="376" t="s">
        <v>344</v>
      </c>
      <c r="G3" s="376" t="s">
        <v>345</v>
      </c>
      <c r="H3" s="374" t="s">
        <v>346</v>
      </c>
      <c r="I3" s="379" t="s">
        <v>150</v>
      </c>
      <c r="J3" s="380"/>
      <c r="K3" s="381"/>
      <c r="L3" s="382"/>
      <c r="M3" s="383" t="s">
        <v>41</v>
      </c>
    </row>
    <row r="4" spans="1:13" ht="24" customHeight="1" x14ac:dyDescent="0.25">
      <c r="A4" s="369"/>
      <c r="B4" s="371"/>
      <c r="C4" s="373"/>
      <c r="D4" s="307"/>
      <c r="E4" s="375"/>
      <c r="F4" s="377"/>
      <c r="G4" s="377"/>
      <c r="H4" s="378"/>
      <c r="I4" s="44" t="s">
        <v>218</v>
      </c>
      <c r="J4" s="45" t="s">
        <v>265</v>
      </c>
      <c r="K4" s="45" t="s">
        <v>347</v>
      </c>
      <c r="L4" s="191" t="s">
        <v>348</v>
      </c>
      <c r="M4" s="384"/>
    </row>
    <row r="5" spans="1:13" s="46" customFormat="1" ht="18" customHeight="1" x14ac:dyDescent="0.25">
      <c r="A5" s="206" t="s">
        <v>71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4"/>
    </row>
    <row r="6" spans="1:13" s="46" customFormat="1" ht="24" customHeight="1" x14ac:dyDescent="0.25">
      <c r="A6" s="203">
        <v>21</v>
      </c>
      <c r="B6" s="202" t="s">
        <v>221</v>
      </c>
      <c r="C6" s="201">
        <v>3458</v>
      </c>
      <c r="D6" s="308">
        <f>F6+H6+G6+I6+J6+K6+L6</f>
        <v>3645.45</v>
      </c>
      <c r="E6" s="200">
        <f>SUM(F6:L6)</f>
        <v>3645.45</v>
      </c>
      <c r="F6" s="200">
        <v>0</v>
      </c>
      <c r="G6" s="200">
        <v>3046.45</v>
      </c>
      <c r="H6" s="47">
        <v>288</v>
      </c>
      <c r="I6" s="200">
        <v>311</v>
      </c>
      <c r="J6" s="200">
        <v>0</v>
      </c>
      <c r="K6" s="200">
        <v>0</v>
      </c>
      <c r="L6" s="199">
        <v>0</v>
      </c>
      <c r="M6" s="198" t="s">
        <v>55</v>
      </c>
    </row>
    <row r="7" spans="1:13" s="46" customFormat="1" ht="26.25" customHeight="1" x14ac:dyDescent="0.25">
      <c r="A7" s="387" t="s">
        <v>72</v>
      </c>
      <c r="B7" s="388"/>
      <c r="C7" s="291">
        <f>COUNT(C6)</f>
        <v>1</v>
      </c>
      <c r="D7" s="291"/>
      <c r="E7" s="48">
        <f>SUM(E6)</f>
        <v>3645.45</v>
      </c>
      <c r="F7" s="48">
        <f t="shared" ref="F7:L7" si="0">SUM(F6)</f>
        <v>0</v>
      </c>
      <c r="G7" s="48">
        <f t="shared" si="0"/>
        <v>3046.45</v>
      </c>
      <c r="H7" s="48">
        <f t="shared" si="0"/>
        <v>288</v>
      </c>
      <c r="I7" s="48">
        <f t="shared" si="0"/>
        <v>311</v>
      </c>
      <c r="J7" s="48">
        <f t="shared" si="0"/>
        <v>0</v>
      </c>
      <c r="K7" s="48">
        <f t="shared" si="0"/>
        <v>0</v>
      </c>
      <c r="L7" s="48">
        <f t="shared" si="0"/>
        <v>0</v>
      </c>
      <c r="M7" s="49"/>
    </row>
    <row r="8" spans="1:13" s="46" customFormat="1" ht="18" customHeight="1" x14ac:dyDescent="0.25">
      <c r="A8" s="206" t="s">
        <v>264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4"/>
    </row>
    <row r="9" spans="1:13" s="46" customFormat="1" ht="15" customHeight="1" x14ac:dyDescent="0.25">
      <c r="A9" s="203">
        <v>111</v>
      </c>
      <c r="B9" s="202" t="s">
        <v>349</v>
      </c>
      <c r="C9" s="201">
        <v>3453</v>
      </c>
      <c r="D9" s="308">
        <f>F9+G9+H9+I9+J9+K9+L9</f>
        <v>15701</v>
      </c>
      <c r="E9" s="200">
        <f>SUM(F9:L9)</f>
        <v>15701</v>
      </c>
      <c r="F9" s="200">
        <v>0</v>
      </c>
      <c r="G9" s="200">
        <v>58</v>
      </c>
      <c r="H9" s="47">
        <v>15643</v>
      </c>
      <c r="I9" s="200">
        <v>0</v>
      </c>
      <c r="J9" s="200">
        <v>0</v>
      </c>
      <c r="K9" s="200">
        <v>0</v>
      </c>
      <c r="L9" s="199">
        <v>0</v>
      </c>
      <c r="M9" s="198"/>
    </row>
    <row r="10" spans="1:13" s="46" customFormat="1" ht="15" customHeight="1" x14ac:dyDescent="0.25">
      <c r="A10" s="203">
        <f>A9+2</f>
        <v>113</v>
      </c>
      <c r="B10" s="202" t="s">
        <v>260</v>
      </c>
      <c r="C10" s="201">
        <v>3392</v>
      </c>
      <c r="D10" s="308">
        <f t="shared" ref="D10:D18" si="1">F10+G10+H10+I10+J10+K10+L10</f>
        <v>87135.44</v>
      </c>
      <c r="E10" s="200">
        <f>SUM(F10:L10)</f>
        <v>87135.44</v>
      </c>
      <c r="F10" s="200">
        <v>151.82</v>
      </c>
      <c r="G10" s="200">
        <v>75944.62</v>
      </c>
      <c r="H10" s="47">
        <v>11039</v>
      </c>
      <c r="I10" s="200">
        <v>0</v>
      </c>
      <c r="J10" s="200">
        <v>0</v>
      </c>
      <c r="K10" s="200">
        <v>0</v>
      </c>
      <c r="L10" s="199">
        <v>0</v>
      </c>
      <c r="M10" s="198"/>
    </row>
    <row r="11" spans="1:13" s="46" customFormat="1" ht="15" customHeight="1" x14ac:dyDescent="0.25">
      <c r="A11" s="203">
        <f t="shared" ref="A11:A19" si="2">A10+2</f>
        <v>115</v>
      </c>
      <c r="B11" s="202" t="s">
        <v>263</v>
      </c>
      <c r="C11" s="201">
        <v>3484</v>
      </c>
      <c r="D11" s="308">
        <f t="shared" si="1"/>
        <v>166000.59</v>
      </c>
      <c r="E11" s="200">
        <f t="shared" ref="E11:E18" si="3">SUM(F11:L11)</f>
        <v>166000.59</v>
      </c>
      <c r="F11" s="200">
        <v>46.59</v>
      </c>
      <c r="G11" s="200">
        <v>291</v>
      </c>
      <c r="H11" s="47">
        <v>135263</v>
      </c>
      <c r="I11" s="200">
        <v>30400</v>
      </c>
      <c r="J11" s="200">
        <v>0</v>
      </c>
      <c r="K11" s="200">
        <v>0</v>
      </c>
      <c r="L11" s="199">
        <v>0</v>
      </c>
      <c r="M11" s="198"/>
    </row>
    <row r="12" spans="1:13" s="46" customFormat="1" ht="24" customHeight="1" x14ac:dyDescent="0.25">
      <c r="A12" s="203">
        <f t="shared" si="2"/>
        <v>117</v>
      </c>
      <c r="B12" s="202" t="s">
        <v>394</v>
      </c>
      <c r="C12" s="201">
        <v>3481</v>
      </c>
      <c r="D12" s="308">
        <f t="shared" si="1"/>
        <v>130129.1</v>
      </c>
      <c r="E12" s="200">
        <f t="shared" si="3"/>
        <v>130129.1</v>
      </c>
      <c r="F12" s="200">
        <v>0</v>
      </c>
      <c r="G12" s="200">
        <v>129.1</v>
      </c>
      <c r="H12" s="47">
        <v>130000</v>
      </c>
      <c r="I12" s="200">
        <v>0</v>
      </c>
      <c r="J12" s="200">
        <v>0</v>
      </c>
      <c r="K12" s="200">
        <v>0</v>
      </c>
      <c r="L12" s="199">
        <v>0</v>
      </c>
      <c r="M12" s="198"/>
    </row>
    <row r="13" spans="1:13" s="46" customFormat="1" ht="24" customHeight="1" x14ac:dyDescent="0.25">
      <c r="A13" s="203">
        <f t="shared" si="2"/>
        <v>119</v>
      </c>
      <c r="B13" s="202" t="s">
        <v>225</v>
      </c>
      <c r="C13" s="201">
        <v>3405</v>
      </c>
      <c r="D13" s="308">
        <f t="shared" si="1"/>
        <v>71601.08</v>
      </c>
      <c r="E13" s="200">
        <f t="shared" si="3"/>
        <v>71601.08</v>
      </c>
      <c r="F13" s="200">
        <v>465.72</v>
      </c>
      <c r="G13" s="200">
        <v>62200.36</v>
      </c>
      <c r="H13" s="47">
        <v>8935</v>
      </c>
      <c r="I13" s="200">
        <v>0</v>
      </c>
      <c r="J13" s="200">
        <v>0</v>
      </c>
      <c r="K13" s="200">
        <v>0</v>
      </c>
      <c r="L13" s="199">
        <v>0</v>
      </c>
      <c r="M13" s="198"/>
    </row>
    <row r="14" spans="1:13" s="46" customFormat="1" ht="24" customHeight="1" x14ac:dyDescent="0.25">
      <c r="A14" s="203">
        <f t="shared" si="2"/>
        <v>121</v>
      </c>
      <c r="B14" s="202" t="s">
        <v>262</v>
      </c>
      <c r="C14" s="201">
        <v>3409</v>
      </c>
      <c r="D14" s="308">
        <f t="shared" si="1"/>
        <v>82000.429999999993</v>
      </c>
      <c r="E14" s="200">
        <f t="shared" si="3"/>
        <v>82000.429999999993</v>
      </c>
      <c r="F14" s="200">
        <v>123.43</v>
      </c>
      <c r="G14" s="200">
        <v>50077</v>
      </c>
      <c r="H14" s="47">
        <v>31800</v>
      </c>
      <c r="I14" s="200">
        <v>0</v>
      </c>
      <c r="J14" s="200">
        <v>0</v>
      </c>
      <c r="K14" s="200">
        <v>0</v>
      </c>
      <c r="L14" s="199">
        <v>0</v>
      </c>
      <c r="M14" s="198"/>
    </row>
    <row r="15" spans="1:13" s="46" customFormat="1" ht="15" customHeight="1" x14ac:dyDescent="0.25">
      <c r="A15" s="203">
        <f t="shared" si="2"/>
        <v>123</v>
      </c>
      <c r="B15" s="202" t="s">
        <v>226</v>
      </c>
      <c r="C15" s="201">
        <v>3429</v>
      </c>
      <c r="D15" s="308">
        <f t="shared" si="1"/>
        <v>71566.559999999998</v>
      </c>
      <c r="E15" s="200">
        <f t="shared" si="3"/>
        <v>71566.559999999998</v>
      </c>
      <c r="F15" s="200">
        <v>66.56</v>
      </c>
      <c r="G15" s="200">
        <v>31000</v>
      </c>
      <c r="H15" s="47">
        <v>40500</v>
      </c>
      <c r="I15" s="200">
        <v>0</v>
      </c>
      <c r="J15" s="200">
        <v>0</v>
      </c>
      <c r="K15" s="200">
        <v>0</v>
      </c>
      <c r="L15" s="199">
        <v>0</v>
      </c>
      <c r="M15" s="198"/>
    </row>
    <row r="16" spans="1:13" s="46" customFormat="1" ht="15" customHeight="1" x14ac:dyDescent="0.25">
      <c r="A16" s="203">
        <f t="shared" si="2"/>
        <v>125</v>
      </c>
      <c r="B16" s="202" t="s">
        <v>350</v>
      </c>
      <c r="C16" s="201">
        <v>3456</v>
      </c>
      <c r="D16" s="308">
        <f t="shared" si="1"/>
        <v>40000.1</v>
      </c>
      <c r="E16" s="200">
        <f t="shared" si="3"/>
        <v>40000.1</v>
      </c>
      <c r="F16" s="200">
        <v>66.55</v>
      </c>
      <c r="G16" s="200">
        <v>62.55</v>
      </c>
      <c r="H16" s="47">
        <v>39871</v>
      </c>
      <c r="I16" s="200">
        <v>0</v>
      </c>
      <c r="J16" s="200">
        <v>0</v>
      </c>
      <c r="K16" s="200">
        <v>0</v>
      </c>
      <c r="L16" s="199">
        <v>0</v>
      </c>
      <c r="M16" s="198"/>
    </row>
    <row r="17" spans="1:13" s="46" customFormat="1" ht="24" customHeight="1" x14ac:dyDescent="0.25">
      <c r="A17" s="203">
        <f t="shared" si="2"/>
        <v>127</v>
      </c>
      <c r="B17" s="202" t="s">
        <v>261</v>
      </c>
      <c r="C17" s="201">
        <v>3482</v>
      </c>
      <c r="D17" s="308">
        <f t="shared" si="1"/>
        <v>89066.55</v>
      </c>
      <c r="E17" s="200">
        <f t="shared" si="3"/>
        <v>89066.55</v>
      </c>
      <c r="F17" s="200">
        <v>66.55</v>
      </c>
      <c r="G17" s="200">
        <v>31000</v>
      </c>
      <c r="H17" s="47">
        <v>58000</v>
      </c>
      <c r="I17" s="200">
        <v>0</v>
      </c>
      <c r="J17" s="200">
        <v>0</v>
      </c>
      <c r="K17" s="200">
        <v>0</v>
      </c>
      <c r="L17" s="199">
        <v>0</v>
      </c>
      <c r="M17" s="198"/>
    </row>
    <row r="18" spans="1:13" s="46" customFormat="1" ht="24" customHeight="1" x14ac:dyDescent="0.25">
      <c r="A18" s="203">
        <f t="shared" si="2"/>
        <v>129</v>
      </c>
      <c r="B18" s="202" t="s">
        <v>154</v>
      </c>
      <c r="C18" s="201">
        <v>3424</v>
      </c>
      <c r="D18" s="308">
        <f t="shared" si="1"/>
        <v>69000</v>
      </c>
      <c r="E18" s="200">
        <f t="shared" si="3"/>
        <v>69000</v>
      </c>
      <c r="F18" s="200">
        <v>0</v>
      </c>
      <c r="G18" s="200">
        <v>200</v>
      </c>
      <c r="H18" s="47">
        <v>68800</v>
      </c>
      <c r="I18" s="200">
        <v>0</v>
      </c>
      <c r="J18" s="200">
        <v>0</v>
      </c>
      <c r="K18" s="200">
        <v>0</v>
      </c>
      <c r="L18" s="199">
        <v>0</v>
      </c>
      <c r="M18" s="198"/>
    </row>
    <row r="19" spans="1:13" s="46" customFormat="1" ht="24" customHeight="1" x14ac:dyDescent="0.25">
      <c r="A19" s="203">
        <f t="shared" si="2"/>
        <v>131</v>
      </c>
      <c r="B19" s="202" t="s">
        <v>351</v>
      </c>
      <c r="C19" s="201">
        <v>3999</v>
      </c>
      <c r="D19" s="308">
        <f>F19+G19+H19+I19+J19+K19+L19</f>
        <v>270807</v>
      </c>
      <c r="E19" s="200">
        <v>50000</v>
      </c>
      <c r="F19" s="200">
        <v>191807</v>
      </c>
      <c r="G19" s="200">
        <v>29000</v>
      </c>
      <c r="H19" s="47">
        <v>50000</v>
      </c>
      <c r="I19" s="200">
        <v>0</v>
      </c>
      <c r="J19" s="200">
        <v>0</v>
      </c>
      <c r="K19" s="200">
        <v>0</v>
      </c>
      <c r="L19" s="199">
        <v>0</v>
      </c>
      <c r="M19" s="209" t="s">
        <v>352</v>
      </c>
    </row>
    <row r="20" spans="1:13" s="46" customFormat="1" ht="15.75" customHeight="1" x14ac:dyDescent="0.25">
      <c r="A20" s="389" t="s">
        <v>259</v>
      </c>
      <c r="B20" s="390"/>
      <c r="C20" s="291">
        <f>COUNT(C9:C19)</f>
        <v>11</v>
      </c>
      <c r="D20" s="291"/>
      <c r="E20" s="48">
        <f t="shared" ref="E20:L20" si="4">SUM(E9:E19)</f>
        <v>872200.85</v>
      </c>
      <c r="F20" s="48">
        <f t="shared" si="4"/>
        <v>192794.22</v>
      </c>
      <c r="G20" s="48">
        <f t="shared" si="4"/>
        <v>279962.63</v>
      </c>
      <c r="H20" s="48">
        <f t="shared" si="4"/>
        <v>589851</v>
      </c>
      <c r="I20" s="48">
        <f t="shared" si="4"/>
        <v>30400</v>
      </c>
      <c r="J20" s="48">
        <f t="shared" si="4"/>
        <v>0</v>
      </c>
      <c r="K20" s="48">
        <f t="shared" si="4"/>
        <v>0</v>
      </c>
      <c r="L20" s="48">
        <f t="shared" si="4"/>
        <v>0</v>
      </c>
      <c r="M20" s="49"/>
    </row>
    <row r="21" spans="1:13" s="46" customFormat="1" ht="18" customHeight="1" x14ac:dyDescent="0.25">
      <c r="A21" s="206" t="s">
        <v>353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4"/>
    </row>
    <row r="22" spans="1:13" s="46" customFormat="1" ht="34.5" customHeight="1" x14ac:dyDescent="0.25">
      <c r="A22" s="203">
        <v>151</v>
      </c>
      <c r="B22" s="202" t="s">
        <v>436</v>
      </c>
      <c r="C22" s="201">
        <v>3262</v>
      </c>
      <c r="D22" s="308">
        <f>F22+G22+H22+I22+J22+K22+L22</f>
        <v>4048.85</v>
      </c>
      <c r="E22" s="200">
        <f>SUM(F22:L22)</f>
        <v>4048.85</v>
      </c>
      <c r="F22" s="200">
        <v>2406.7399999999998</v>
      </c>
      <c r="G22" s="200">
        <v>567.11</v>
      </c>
      <c r="H22" s="47">
        <v>1000</v>
      </c>
      <c r="I22" s="200">
        <v>75</v>
      </c>
      <c r="J22" s="200">
        <v>0</v>
      </c>
      <c r="K22" s="200">
        <v>0</v>
      </c>
      <c r="L22" s="199">
        <v>0</v>
      </c>
      <c r="M22" s="198"/>
    </row>
    <row r="23" spans="1:13" s="46" customFormat="1" ht="24" customHeight="1" x14ac:dyDescent="0.25">
      <c r="A23" s="203">
        <v>153</v>
      </c>
      <c r="B23" s="202" t="s">
        <v>354</v>
      </c>
      <c r="C23" s="208">
        <v>7043</v>
      </c>
      <c r="D23" s="308">
        <f>F23+G23+H23+I23+J23+K23+L23</f>
        <v>30000</v>
      </c>
      <c r="E23" s="200">
        <f>SUM(F23:L23)</f>
        <v>30000</v>
      </c>
      <c r="F23" s="200">
        <v>0</v>
      </c>
      <c r="G23" s="200">
        <v>0</v>
      </c>
      <c r="H23" s="47">
        <v>3407</v>
      </c>
      <c r="I23" s="200">
        <v>3859</v>
      </c>
      <c r="J23" s="200">
        <v>3807</v>
      </c>
      <c r="K23" s="200">
        <v>3162</v>
      </c>
      <c r="L23" s="199">
        <v>15765</v>
      </c>
      <c r="M23" s="198"/>
    </row>
    <row r="24" spans="1:13" s="46" customFormat="1" ht="15.75" customHeight="1" x14ac:dyDescent="0.25">
      <c r="A24" s="389" t="s">
        <v>355</v>
      </c>
      <c r="B24" s="390"/>
      <c r="C24" s="291">
        <f>COUNT(C22:C23)</f>
        <v>2</v>
      </c>
      <c r="D24" s="291"/>
      <c r="E24" s="48">
        <f>SUM(E22:E23)</f>
        <v>34048.85</v>
      </c>
      <c r="F24" s="48">
        <f t="shared" ref="F24:L24" si="5">SUM(F22:F23)</f>
        <v>2406.7399999999998</v>
      </c>
      <c r="G24" s="48">
        <f t="shared" si="5"/>
        <v>567.11</v>
      </c>
      <c r="H24" s="48">
        <f t="shared" si="5"/>
        <v>4407</v>
      </c>
      <c r="I24" s="48">
        <f t="shared" si="5"/>
        <v>3934</v>
      </c>
      <c r="J24" s="48">
        <f t="shared" si="5"/>
        <v>3807</v>
      </c>
      <c r="K24" s="48">
        <f t="shared" si="5"/>
        <v>3162</v>
      </c>
      <c r="L24" s="48">
        <f t="shared" si="5"/>
        <v>15765</v>
      </c>
      <c r="M24" s="49"/>
    </row>
    <row r="25" spans="1:13" s="46" customFormat="1" ht="18" customHeight="1" x14ac:dyDescent="0.25">
      <c r="A25" s="206" t="s">
        <v>43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4"/>
    </row>
    <row r="26" spans="1:13" s="46" customFormat="1" ht="15" customHeight="1" x14ac:dyDescent="0.25">
      <c r="A26" s="203">
        <v>184</v>
      </c>
      <c r="B26" s="202" t="s">
        <v>356</v>
      </c>
      <c r="C26" s="201">
        <v>3399</v>
      </c>
      <c r="D26" s="308">
        <f>F26+G26+H26+I26+J26+K26+L26</f>
        <v>199996.56</v>
      </c>
      <c r="E26" s="200">
        <f>SUM(F26:L26)</f>
        <v>199996.56</v>
      </c>
      <c r="F26" s="200">
        <v>66.56</v>
      </c>
      <c r="G26" s="200">
        <v>0</v>
      </c>
      <c r="H26" s="47">
        <v>1300</v>
      </c>
      <c r="I26" s="200">
        <v>70000</v>
      </c>
      <c r="J26" s="200">
        <v>128630</v>
      </c>
      <c r="K26" s="200">
        <v>0</v>
      </c>
      <c r="L26" s="199">
        <v>0</v>
      </c>
      <c r="M26" s="198"/>
    </row>
    <row r="27" spans="1:13" s="46" customFormat="1" ht="15" customHeight="1" x14ac:dyDescent="0.25">
      <c r="A27" s="203">
        <v>186</v>
      </c>
      <c r="B27" s="202" t="s">
        <v>219</v>
      </c>
      <c r="C27" s="207">
        <v>3208</v>
      </c>
      <c r="D27" s="308">
        <f t="shared" ref="D27:D28" si="6">F27+G27+H27+I27+J27+K27+L27</f>
        <v>95000</v>
      </c>
      <c r="E27" s="200">
        <f t="shared" ref="E27:E28" si="7">SUM(F27:L27)</f>
        <v>95000</v>
      </c>
      <c r="F27" s="200">
        <v>131.88999999999999</v>
      </c>
      <c r="G27" s="200">
        <v>268.11</v>
      </c>
      <c r="H27" s="47">
        <v>200</v>
      </c>
      <c r="I27" s="200">
        <v>94400</v>
      </c>
      <c r="J27" s="200">
        <v>0</v>
      </c>
      <c r="K27" s="200">
        <v>0</v>
      </c>
      <c r="L27" s="199">
        <v>0</v>
      </c>
      <c r="M27" s="198"/>
    </row>
    <row r="28" spans="1:13" s="46" customFormat="1" ht="15" customHeight="1" x14ac:dyDescent="0.25">
      <c r="A28" s="203">
        <v>188</v>
      </c>
      <c r="B28" s="202" t="s">
        <v>220</v>
      </c>
      <c r="C28" s="207">
        <v>3207</v>
      </c>
      <c r="D28" s="308">
        <f t="shared" si="6"/>
        <v>100000</v>
      </c>
      <c r="E28" s="200">
        <f t="shared" si="7"/>
        <v>100000</v>
      </c>
      <c r="F28" s="200">
        <v>131.88999999999999</v>
      </c>
      <c r="G28" s="200">
        <v>268.11</v>
      </c>
      <c r="H28" s="47">
        <v>200</v>
      </c>
      <c r="I28" s="200">
        <v>99400</v>
      </c>
      <c r="J28" s="200">
        <v>0</v>
      </c>
      <c r="K28" s="200">
        <v>0</v>
      </c>
      <c r="L28" s="199">
        <v>0</v>
      </c>
      <c r="M28" s="198"/>
    </row>
    <row r="29" spans="1:13" s="46" customFormat="1" ht="15.75" customHeight="1" x14ac:dyDescent="0.25">
      <c r="A29" s="389" t="s">
        <v>44</v>
      </c>
      <c r="B29" s="390"/>
      <c r="C29" s="291">
        <f>COUNT(C26:C28)</f>
        <v>3</v>
      </c>
      <c r="D29" s="291"/>
      <c r="E29" s="48">
        <f>SUM(E26:E28)</f>
        <v>394996.56</v>
      </c>
      <c r="F29" s="48">
        <f t="shared" ref="F29:L29" si="8">SUM(F26:F28)</f>
        <v>330.34</v>
      </c>
      <c r="G29" s="48">
        <f t="shared" si="8"/>
        <v>536.22</v>
      </c>
      <c r="H29" s="48">
        <f t="shared" si="8"/>
        <v>1700</v>
      </c>
      <c r="I29" s="48">
        <f t="shared" si="8"/>
        <v>263800</v>
      </c>
      <c r="J29" s="48">
        <f t="shared" si="8"/>
        <v>128630</v>
      </c>
      <c r="K29" s="48">
        <f t="shared" si="8"/>
        <v>0</v>
      </c>
      <c r="L29" s="48">
        <f t="shared" si="8"/>
        <v>0</v>
      </c>
      <c r="M29" s="49"/>
    </row>
    <row r="30" spans="1:13" s="46" customFormat="1" ht="18" customHeight="1" x14ac:dyDescent="0.25">
      <c r="A30" s="206" t="s">
        <v>45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4"/>
    </row>
    <row r="31" spans="1:13" s="46" customFormat="1" ht="15" customHeight="1" x14ac:dyDescent="0.25">
      <c r="A31" s="203">
        <v>239</v>
      </c>
      <c r="B31" s="202" t="s">
        <v>357</v>
      </c>
      <c r="C31" s="201">
        <v>3505</v>
      </c>
      <c r="D31" s="308">
        <f>F31+G31+H31+I31+J31+K31+L31</f>
        <v>1999999.76</v>
      </c>
      <c r="E31" s="200">
        <f>SUM(F31:L31)</f>
        <v>1999999.76</v>
      </c>
      <c r="F31" s="200">
        <v>13385.44</v>
      </c>
      <c r="G31" s="200">
        <v>37644.32</v>
      </c>
      <c r="H31" s="47">
        <v>53174</v>
      </c>
      <c r="I31" s="200">
        <v>352000</v>
      </c>
      <c r="J31" s="200">
        <v>506000</v>
      </c>
      <c r="K31" s="200">
        <v>568000</v>
      </c>
      <c r="L31" s="199">
        <v>469796</v>
      </c>
      <c r="M31" s="198"/>
    </row>
    <row r="32" spans="1:13" s="46" customFormat="1" ht="15" customHeight="1" x14ac:dyDescent="0.25">
      <c r="A32" s="203">
        <f>A31+2</f>
        <v>241</v>
      </c>
      <c r="B32" s="202" t="s">
        <v>358</v>
      </c>
      <c r="C32" s="201">
        <v>3513</v>
      </c>
      <c r="D32" s="308">
        <f t="shared" ref="D32:D35" si="9">F32+G32+H32+I32+J32+K32+L32</f>
        <v>77000</v>
      </c>
      <c r="E32" s="200">
        <f t="shared" ref="E32:E35" si="10">SUM(F32:L32)</f>
        <v>77000</v>
      </c>
      <c r="F32" s="200">
        <v>0</v>
      </c>
      <c r="G32" s="200">
        <v>0</v>
      </c>
      <c r="H32" s="47">
        <v>5000</v>
      </c>
      <c r="I32" s="200">
        <v>500</v>
      </c>
      <c r="J32" s="200">
        <v>23000</v>
      </c>
      <c r="K32" s="200">
        <v>48500</v>
      </c>
      <c r="L32" s="199">
        <v>0</v>
      </c>
      <c r="M32" s="198"/>
    </row>
    <row r="33" spans="1:13" s="46" customFormat="1" ht="24" customHeight="1" x14ac:dyDescent="0.25">
      <c r="A33" s="203">
        <f t="shared" ref="A33:A35" si="11">A32+2</f>
        <v>243</v>
      </c>
      <c r="B33" s="202" t="s">
        <v>56</v>
      </c>
      <c r="C33" s="201">
        <v>3234</v>
      </c>
      <c r="D33" s="308">
        <f t="shared" si="9"/>
        <v>55695.89</v>
      </c>
      <c r="E33" s="200">
        <f t="shared" si="10"/>
        <v>55695.89</v>
      </c>
      <c r="F33" s="200">
        <v>10815.3</v>
      </c>
      <c r="G33" s="200">
        <v>28480.59</v>
      </c>
      <c r="H33" s="47">
        <v>16400</v>
      </c>
      <c r="I33" s="200">
        <v>0</v>
      </c>
      <c r="J33" s="200">
        <v>0</v>
      </c>
      <c r="K33" s="200">
        <v>0</v>
      </c>
      <c r="L33" s="199">
        <v>0</v>
      </c>
      <c r="M33" s="198"/>
    </row>
    <row r="34" spans="1:13" s="46" customFormat="1" ht="15" customHeight="1" x14ac:dyDescent="0.25">
      <c r="A34" s="203">
        <f t="shared" si="11"/>
        <v>245</v>
      </c>
      <c r="B34" s="202" t="s">
        <v>437</v>
      </c>
      <c r="C34" s="201">
        <v>3236</v>
      </c>
      <c r="D34" s="308">
        <f t="shared" si="9"/>
        <v>19349.29</v>
      </c>
      <c r="E34" s="200">
        <f t="shared" si="10"/>
        <v>19349.29</v>
      </c>
      <c r="F34" s="200">
        <v>324.28999999999996</v>
      </c>
      <c r="G34" s="200">
        <v>647</v>
      </c>
      <c r="H34" s="47">
        <v>18378</v>
      </c>
      <c r="I34" s="200">
        <v>0</v>
      </c>
      <c r="J34" s="200">
        <v>0</v>
      </c>
      <c r="K34" s="200">
        <v>0</v>
      </c>
      <c r="L34" s="199">
        <v>0</v>
      </c>
      <c r="M34" s="198"/>
    </row>
    <row r="35" spans="1:13" s="46" customFormat="1" ht="15" customHeight="1" x14ac:dyDescent="0.25">
      <c r="A35" s="203">
        <f t="shared" si="11"/>
        <v>247</v>
      </c>
      <c r="B35" s="202" t="s">
        <v>360</v>
      </c>
      <c r="C35" s="201">
        <v>3514</v>
      </c>
      <c r="D35" s="308">
        <f t="shared" si="9"/>
        <v>140000</v>
      </c>
      <c r="E35" s="200">
        <f t="shared" si="10"/>
        <v>140000</v>
      </c>
      <c r="F35" s="200">
        <v>0</v>
      </c>
      <c r="G35" s="200">
        <v>0</v>
      </c>
      <c r="H35" s="47">
        <v>1000</v>
      </c>
      <c r="I35" s="200">
        <v>500</v>
      </c>
      <c r="J35" s="200">
        <v>32000</v>
      </c>
      <c r="K35" s="200">
        <v>84000</v>
      </c>
      <c r="L35" s="199">
        <v>22500</v>
      </c>
      <c r="M35" s="198"/>
    </row>
    <row r="36" spans="1:13" s="46" customFormat="1" ht="15.75" customHeight="1" x14ac:dyDescent="0.25">
      <c r="A36" s="389" t="s">
        <v>46</v>
      </c>
      <c r="B36" s="390"/>
      <c r="C36" s="291">
        <f>COUNT(C31:C35)</f>
        <v>5</v>
      </c>
      <c r="D36" s="291"/>
      <c r="E36" s="48">
        <f>SUM(E31:E35)</f>
        <v>2292044.94</v>
      </c>
      <c r="F36" s="48">
        <f t="shared" ref="F36:L36" si="12">SUM(F31:F35)</f>
        <v>24525.03</v>
      </c>
      <c r="G36" s="48">
        <f t="shared" si="12"/>
        <v>66771.91</v>
      </c>
      <c r="H36" s="48">
        <f t="shared" si="12"/>
        <v>93952</v>
      </c>
      <c r="I36" s="48">
        <f t="shared" si="12"/>
        <v>353000</v>
      </c>
      <c r="J36" s="48">
        <f t="shared" si="12"/>
        <v>561000</v>
      </c>
      <c r="K36" s="48">
        <f t="shared" si="12"/>
        <v>700500</v>
      </c>
      <c r="L36" s="48">
        <f t="shared" si="12"/>
        <v>492296</v>
      </c>
      <c r="M36" s="49"/>
    </row>
    <row r="37" spans="1:13" s="46" customFormat="1" ht="18" customHeight="1" x14ac:dyDescent="0.25">
      <c r="A37" s="206" t="s">
        <v>57</v>
      </c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4"/>
    </row>
    <row r="38" spans="1:13" s="46" customFormat="1" ht="15" customHeight="1" x14ac:dyDescent="0.25">
      <c r="A38" s="203">
        <v>302</v>
      </c>
      <c r="B38" s="202" t="s">
        <v>58</v>
      </c>
      <c r="C38" s="201">
        <v>3280</v>
      </c>
      <c r="D38" s="308">
        <f>F38+G38+H38+I38+J38+K38+L38</f>
        <v>3937.8500000000004</v>
      </c>
      <c r="E38" s="200">
        <f>SUM(F38:L38)</f>
        <v>3937.8500000000004</v>
      </c>
      <c r="F38" s="200">
        <v>2207.8200000000002</v>
      </c>
      <c r="G38" s="200">
        <v>1000.03</v>
      </c>
      <c r="H38" s="47">
        <v>730</v>
      </c>
      <c r="I38" s="200">
        <v>0</v>
      </c>
      <c r="J38" s="200">
        <v>0</v>
      </c>
      <c r="K38" s="200">
        <v>0</v>
      </c>
      <c r="L38" s="199">
        <v>0</v>
      </c>
      <c r="M38" s="198"/>
    </row>
    <row r="39" spans="1:13" s="46" customFormat="1" ht="15" customHeight="1" x14ac:dyDescent="0.25">
      <c r="A39" s="203">
        <v>304</v>
      </c>
      <c r="B39" s="202" t="s">
        <v>59</v>
      </c>
      <c r="C39" s="201">
        <v>3998</v>
      </c>
      <c r="D39" s="308">
        <f t="shared" ref="D39:D41" si="13">F39+G39+H39+I39+J39+K39+L39</f>
        <v>225195.15</v>
      </c>
      <c r="E39" s="200">
        <v>50000</v>
      </c>
      <c r="F39" s="200">
        <v>1446.1</v>
      </c>
      <c r="G39" s="200">
        <v>23749.05</v>
      </c>
      <c r="H39" s="47">
        <v>50000</v>
      </c>
      <c r="I39" s="200">
        <v>30000</v>
      </c>
      <c r="J39" s="200">
        <v>30000</v>
      </c>
      <c r="K39" s="200">
        <v>30000</v>
      </c>
      <c r="L39" s="199">
        <v>60000</v>
      </c>
      <c r="M39" s="209" t="s">
        <v>352</v>
      </c>
    </row>
    <row r="40" spans="1:13" s="46" customFormat="1" ht="24" customHeight="1" x14ac:dyDescent="0.25">
      <c r="A40" s="203">
        <v>305</v>
      </c>
      <c r="B40" s="202" t="s">
        <v>361</v>
      </c>
      <c r="C40" s="208">
        <v>3503</v>
      </c>
      <c r="D40" s="308">
        <f t="shared" si="13"/>
        <v>13400</v>
      </c>
      <c r="E40" s="200">
        <f t="shared" ref="E40:E41" si="14">SUM(F40:L40)</f>
        <v>13400</v>
      </c>
      <c r="F40" s="200">
        <v>0</v>
      </c>
      <c r="G40" s="200">
        <v>0</v>
      </c>
      <c r="H40" s="47">
        <v>6500</v>
      </c>
      <c r="I40" s="200">
        <v>6900</v>
      </c>
      <c r="J40" s="200">
        <v>0</v>
      </c>
      <c r="K40" s="200">
        <v>0</v>
      </c>
      <c r="L40" s="199">
        <v>0</v>
      </c>
      <c r="M40" s="209"/>
    </row>
    <row r="41" spans="1:13" s="46" customFormat="1" ht="15" customHeight="1" x14ac:dyDescent="0.25">
      <c r="A41" s="203">
        <v>306</v>
      </c>
      <c r="B41" s="202" t="s">
        <v>362</v>
      </c>
      <c r="C41" s="208">
        <v>3489</v>
      </c>
      <c r="D41" s="308">
        <f t="shared" si="13"/>
        <v>1440</v>
      </c>
      <c r="E41" s="200">
        <f t="shared" si="14"/>
        <v>1440</v>
      </c>
      <c r="F41" s="200">
        <v>0</v>
      </c>
      <c r="G41" s="200">
        <v>291</v>
      </c>
      <c r="H41" s="47">
        <v>669</v>
      </c>
      <c r="I41" s="200">
        <v>480</v>
      </c>
      <c r="J41" s="200">
        <v>0</v>
      </c>
      <c r="K41" s="200">
        <v>0</v>
      </c>
      <c r="L41" s="199">
        <v>0</v>
      </c>
      <c r="M41" s="209"/>
    </row>
    <row r="42" spans="1:13" s="46" customFormat="1" ht="15.75" customHeight="1" x14ac:dyDescent="0.25">
      <c r="A42" s="389" t="s">
        <v>60</v>
      </c>
      <c r="B42" s="390"/>
      <c r="C42" s="291">
        <f>COUNT(C38:C41)</f>
        <v>4</v>
      </c>
      <c r="D42" s="291"/>
      <c r="E42" s="48">
        <f>SUM(E38:E41)</f>
        <v>68777.850000000006</v>
      </c>
      <c r="F42" s="48">
        <f t="shared" ref="F42:L42" si="15">SUM(F38:F41)</f>
        <v>3653.92</v>
      </c>
      <c r="G42" s="48">
        <f t="shared" si="15"/>
        <v>25040.079999999998</v>
      </c>
      <c r="H42" s="48">
        <f t="shared" si="15"/>
        <v>57899</v>
      </c>
      <c r="I42" s="48">
        <f t="shared" si="15"/>
        <v>37380</v>
      </c>
      <c r="J42" s="48">
        <f t="shared" si="15"/>
        <v>30000</v>
      </c>
      <c r="K42" s="48">
        <f t="shared" si="15"/>
        <v>30000</v>
      </c>
      <c r="L42" s="48">
        <f t="shared" si="15"/>
        <v>60000</v>
      </c>
      <c r="M42" s="49"/>
    </row>
    <row r="43" spans="1:13" s="46" customFormat="1" ht="18" customHeight="1" x14ac:dyDescent="0.25">
      <c r="A43" s="206" t="s">
        <v>47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4"/>
    </row>
    <row r="44" spans="1:13" s="46" customFormat="1" ht="15" customHeight="1" x14ac:dyDescent="0.25">
      <c r="A44" s="203">
        <v>398</v>
      </c>
      <c r="B44" s="202" t="s">
        <v>61</v>
      </c>
      <c r="C44" s="201">
        <v>3372</v>
      </c>
      <c r="D44" s="308">
        <f>F44+G44+H44+I44+J44+K44+L44</f>
        <v>38999.279999999999</v>
      </c>
      <c r="E44" s="200">
        <f>SUM(F44:L44)</f>
        <v>38999.279999999999</v>
      </c>
      <c r="F44" s="200">
        <v>1244.2800000000002</v>
      </c>
      <c r="G44" s="200">
        <v>12200</v>
      </c>
      <c r="H44" s="47">
        <v>24595</v>
      </c>
      <c r="I44" s="200">
        <v>960</v>
      </c>
      <c r="J44" s="200">
        <v>0</v>
      </c>
      <c r="K44" s="200">
        <v>0</v>
      </c>
      <c r="L44" s="199">
        <v>0</v>
      </c>
      <c r="M44" s="198"/>
    </row>
    <row r="45" spans="1:13" s="46" customFormat="1" ht="15" customHeight="1" x14ac:dyDescent="0.25">
      <c r="A45" s="203">
        <f>A44+2</f>
        <v>400</v>
      </c>
      <c r="B45" s="202" t="s">
        <v>363</v>
      </c>
      <c r="C45" s="201">
        <v>3512</v>
      </c>
      <c r="D45" s="308">
        <f t="shared" ref="D45:D64" si="16">F45+G45+H45+I45+J45+K45+L45</f>
        <v>19000</v>
      </c>
      <c r="E45" s="200">
        <f t="shared" ref="E45:E63" si="17">SUM(F45:L45)</f>
        <v>19000</v>
      </c>
      <c r="F45" s="200">
        <v>0</v>
      </c>
      <c r="G45" s="200">
        <v>0</v>
      </c>
      <c r="H45" s="47">
        <v>9500</v>
      </c>
      <c r="I45" s="200">
        <v>9500</v>
      </c>
      <c r="J45" s="200">
        <v>0</v>
      </c>
      <c r="K45" s="200">
        <v>0</v>
      </c>
      <c r="L45" s="199">
        <v>0</v>
      </c>
      <c r="M45" s="198"/>
    </row>
    <row r="46" spans="1:13" s="46" customFormat="1" ht="24" customHeight="1" x14ac:dyDescent="0.25">
      <c r="A46" s="203">
        <f>A45+2</f>
        <v>402</v>
      </c>
      <c r="B46" s="202" t="s">
        <v>227</v>
      </c>
      <c r="C46" s="201">
        <v>3459</v>
      </c>
      <c r="D46" s="308">
        <f t="shared" si="16"/>
        <v>20205.740000000002</v>
      </c>
      <c r="E46" s="200">
        <v>28403</v>
      </c>
      <c r="F46" s="200">
        <v>6508.8</v>
      </c>
      <c r="G46" s="200">
        <v>13427.94</v>
      </c>
      <c r="H46" s="47">
        <v>269</v>
      </c>
      <c r="I46" s="200">
        <v>0</v>
      </c>
      <c r="J46" s="200">
        <v>0</v>
      </c>
      <c r="K46" s="200">
        <v>0</v>
      </c>
      <c r="L46" s="199">
        <v>0</v>
      </c>
      <c r="M46" s="198" t="s">
        <v>55</v>
      </c>
    </row>
    <row r="47" spans="1:13" s="46" customFormat="1" ht="24" customHeight="1" x14ac:dyDescent="0.25">
      <c r="A47" s="203">
        <f t="shared" ref="A47:A61" si="18">A46+1</f>
        <v>403</v>
      </c>
      <c r="B47" s="202" t="s">
        <v>156</v>
      </c>
      <c r="C47" s="201">
        <v>3417</v>
      </c>
      <c r="D47" s="308">
        <f t="shared" si="16"/>
        <v>3268.87</v>
      </c>
      <c r="E47" s="200">
        <v>6941</v>
      </c>
      <c r="F47" s="200">
        <v>70.87</v>
      </c>
      <c r="G47" s="200">
        <v>3056</v>
      </c>
      <c r="H47" s="47">
        <v>142</v>
      </c>
      <c r="I47" s="200">
        <v>0</v>
      </c>
      <c r="J47" s="200">
        <v>0</v>
      </c>
      <c r="K47" s="200">
        <v>0</v>
      </c>
      <c r="L47" s="199">
        <v>0</v>
      </c>
      <c r="M47" s="198" t="s">
        <v>55</v>
      </c>
    </row>
    <row r="48" spans="1:13" s="46" customFormat="1" ht="24" customHeight="1" x14ac:dyDescent="0.25">
      <c r="A48" s="203">
        <f t="shared" si="18"/>
        <v>404</v>
      </c>
      <c r="B48" s="202" t="s">
        <v>157</v>
      </c>
      <c r="C48" s="201">
        <v>3337</v>
      </c>
      <c r="D48" s="308">
        <f t="shared" si="16"/>
        <v>12231.4</v>
      </c>
      <c r="E48" s="200">
        <v>22004</v>
      </c>
      <c r="F48" s="200">
        <v>2369</v>
      </c>
      <c r="G48" s="200">
        <v>9191.4</v>
      </c>
      <c r="H48" s="47">
        <v>671</v>
      </c>
      <c r="I48" s="200">
        <v>0</v>
      </c>
      <c r="J48" s="200">
        <v>0</v>
      </c>
      <c r="K48" s="200">
        <v>0</v>
      </c>
      <c r="L48" s="199">
        <v>0</v>
      </c>
      <c r="M48" s="198" t="s">
        <v>55</v>
      </c>
    </row>
    <row r="49" spans="1:13" s="46" customFormat="1" ht="24" customHeight="1" x14ac:dyDescent="0.25">
      <c r="A49" s="203">
        <f>A48+2</f>
        <v>406</v>
      </c>
      <c r="B49" s="202" t="s">
        <v>158</v>
      </c>
      <c r="C49" s="201">
        <v>3420</v>
      </c>
      <c r="D49" s="308">
        <f t="shared" si="16"/>
        <v>13105.14</v>
      </c>
      <c r="E49" s="200">
        <v>23768</v>
      </c>
      <c r="F49" s="200">
        <v>951.14</v>
      </c>
      <c r="G49" s="200">
        <v>11809</v>
      </c>
      <c r="H49" s="47">
        <v>345</v>
      </c>
      <c r="I49" s="200">
        <v>0</v>
      </c>
      <c r="J49" s="200">
        <v>0</v>
      </c>
      <c r="K49" s="200">
        <v>0</v>
      </c>
      <c r="L49" s="199">
        <v>0</v>
      </c>
      <c r="M49" s="198" t="s">
        <v>55</v>
      </c>
    </row>
    <row r="50" spans="1:13" s="46" customFormat="1" ht="24" customHeight="1" x14ac:dyDescent="0.25">
      <c r="A50" s="203">
        <f t="shared" si="18"/>
        <v>407</v>
      </c>
      <c r="B50" s="202" t="s">
        <v>159</v>
      </c>
      <c r="C50" s="201">
        <v>3419</v>
      </c>
      <c r="D50" s="308">
        <f t="shared" si="16"/>
        <v>8938.4</v>
      </c>
      <c r="E50" s="200">
        <v>14581</v>
      </c>
      <c r="F50" s="200">
        <v>2177.6999999999998</v>
      </c>
      <c r="G50" s="200">
        <v>6515.7</v>
      </c>
      <c r="H50" s="47">
        <v>245</v>
      </c>
      <c r="I50" s="200">
        <v>0</v>
      </c>
      <c r="J50" s="200">
        <v>0</v>
      </c>
      <c r="K50" s="200">
        <v>0</v>
      </c>
      <c r="L50" s="199">
        <v>0</v>
      </c>
      <c r="M50" s="198" t="s">
        <v>55</v>
      </c>
    </row>
    <row r="51" spans="1:13" s="46" customFormat="1" ht="24" customHeight="1" x14ac:dyDescent="0.25">
      <c r="A51" s="203">
        <f t="shared" si="18"/>
        <v>408</v>
      </c>
      <c r="B51" s="202" t="s">
        <v>364</v>
      </c>
      <c r="C51" s="201">
        <v>3506</v>
      </c>
      <c r="D51" s="308">
        <f t="shared" si="16"/>
        <v>1600</v>
      </c>
      <c r="E51" s="200">
        <v>14200</v>
      </c>
      <c r="F51" s="200">
        <v>0</v>
      </c>
      <c r="G51" s="200">
        <v>0</v>
      </c>
      <c r="H51" s="47">
        <v>200</v>
      </c>
      <c r="I51" s="200">
        <v>600</v>
      </c>
      <c r="J51" s="200">
        <v>600</v>
      </c>
      <c r="K51" s="200">
        <v>200</v>
      </c>
      <c r="L51" s="199">
        <v>0</v>
      </c>
      <c r="M51" s="198" t="s">
        <v>55</v>
      </c>
    </row>
    <row r="52" spans="1:13" s="46" customFormat="1" ht="24" customHeight="1" x14ac:dyDescent="0.25">
      <c r="A52" s="203">
        <f t="shared" si="18"/>
        <v>409</v>
      </c>
      <c r="B52" s="202" t="s">
        <v>365</v>
      </c>
      <c r="C52" s="201">
        <v>3510</v>
      </c>
      <c r="D52" s="308">
        <f t="shared" si="16"/>
        <v>2500</v>
      </c>
      <c r="E52" s="200">
        <v>23200</v>
      </c>
      <c r="F52" s="200">
        <v>0</v>
      </c>
      <c r="G52" s="200">
        <v>0</v>
      </c>
      <c r="H52" s="47">
        <v>300</v>
      </c>
      <c r="I52" s="200">
        <v>700</v>
      </c>
      <c r="J52" s="200">
        <v>800</v>
      </c>
      <c r="K52" s="200">
        <v>700</v>
      </c>
      <c r="L52" s="199">
        <v>0</v>
      </c>
      <c r="M52" s="198" t="s">
        <v>55</v>
      </c>
    </row>
    <row r="53" spans="1:13" s="46" customFormat="1" ht="24" customHeight="1" x14ac:dyDescent="0.25">
      <c r="A53" s="203">
        <f t="shared" si="18"/>
        <v>410</v>
      </c>
      <c r="B53" s="202" t="s">
        <v>366</v>
      </c>
      <c r="C53" s="201">
        <v>3511</v>
      </c>
      <c r="D53" s="308">
        <f t="shared" si="16"/>
        <v>2200</v>
      </c>
      <c r="E53" s="200">
        <v>20200</v>
      </c>
      <c r="F53" s="200">
        <v>0</v>
      </c>
      <c r="G53" s="200">
        <v>0</v>
      </c>
      <c r="H53" s="47">
        <v>200</v>
      </c>
      <c r="I53" s="200">
        <v>700</v>
      </c>
      <c r="J53" s="200">
        <v>700</v>
      </c>
      <c r="K53" s="200">
        <v>600</v>
      </c>
      <c r="L53" s="199">
        <v>0</v>
      </c>
      <c r="M53" s="198" t="s">
        <v>55</v>
      </c>
    </row>
    <row r="54" spans="1:13" s="46" customFormat="1" ht="24" customHeight="1" x14ac:dyDescent="0.25">
      <c r="A54" s="203">
        <f t="shared" si="18"/>
        <v>411</v>
      </c>
      <c r="B54" s="202" t="s">
        <v>367</v>
      </c>
      <c r="C54" s="201">
        <v>3508</v>
      </c>
      <c r="D54" s="308">
        <f t="shared" si="16"/>
        <v>1900</v>
      </c>
      <c r="E54" s="200">
        <v>17200</v>
      </c>
      <c r="F54" s="200">
        <v>0</v>
      </c>
      <c r="G54" s="200">
        <v>0</v>
      </c>
      <c r="H54" s="47">
        <v>200</v>
      </c>
      <c r="I54" s="200">
        <v>600</v>
      </c>
      <c r="J54" s="200">
        <v>600</v>
      </c>
      <c r="K54" s="200">
        <v>500</v>
      </c>
      <c r="L54" s="199">
        <v>0</v>
      </c>
      <c r="M54" s="198" t="s">
        <v>55</v>
      </c>
    </row>
    <row r="55" spans="1:13" s="46" customFormat="1" ht="24" customHeight="1" x14ac:dyDescent="0.25">
      <c r="A55" s="203">
        <f t="shared" si="18"/>
        <v>412</v>
      </c>
      <c r="B55" s="202" t="s">
        <v>228</v>
      </c>
      <c r="C55" s="201">
        <v>3461</v>
      </c>
      <c r="D55" s="309">
        <f t="shared" si="16"/>
        <v>630231.41</v>
      </c>
      <c r="E55" s="200">
        <v>499038</v>
      </c>
      <c r="F55" s="200">
        <v>217914.25999999998</v>
      </c>
      <c r="G55" s="200">
        <v>412270.15</v>
      </c>
      <c r="H55" s="47">
        <v>47</v>
      </c>
      <c r="I55" s="200">
        <v>0</v>
      </c>
      <c r="J55" s="200">
        <v>0</v>
      </c>
      <c r="K55" s="200">
        <v>0</v>
      </c>
      <c r="L55" s="199">
        <v>0</v>
      </c>
      <c r="M55" s="198" t="s">
        <v>55</v>
      </c>
    </row>
    <row r="56" spans="1:13" s="46" customFormat="1" ht="24" customHeight="1" x14ac:dyDescent="0.25">
      <c r="A56" s="203">
        <f>A55+2</f>
        <v>414</v>
      </c>
      <c r="B56" s="202" t="s">
        <v>229</v>
      </c>
      <c r="C56" s="201">
        <v>3460</v>
      </c>
      <c r="D56" s="308">
        <f t="shared" si="16"/>
        <v>5760.12</v>
      </c>
      <c r="E56" s="200">
        <v>12286</v>
      </c>
      <c r="F56" s="200">
        <v>189.12</v>
      </c>
      <c r="G56" s="200">
        <v>5361</v>
      </c>
      <c r="H56" s="47">
        <v>210</v>
      </c>
      <c r="I56" s="200">
        <v>0</v>
      </c>
      <c r="J56" s="200">
        <v>0</v>
      </c>
      <c r="K56" s="200">
        <v>0</v>
      </c>
      <c r="L56" s="199">
        <v>0</v>
      </c>
      <c r="M56" s="198" t="s">
        <v>55</v>
      </c>
    </row>
    <row r="57" spans="1:13" s="46" customFormat="1" ht="24" customHeight="1" x14ac:dyDescent="0.25">
      <c r="A57" s="203">
        <f>A56+2</f>
        <v>416</v>
      </c>
      <c r="B57" s="202" t="s">
        <v>160</v>
      </c>
      <c r="C57" s="201">
        <v>3421</v>
      </c>
      <c r="D57" s="308">
        <f t="shared" si="16"/>
        <v>13158.229999999998</v>
      </c>
      <c r="E57" s="200">
        <v>16681</v>
      </c>
      <c r="F57" s="200">
        <v>4139.7299999999996</v>
      </c>
      <c r="G57" s="200">
        <v>8833.4999999999982</v>
      </c>
      <c r="H57" s="47">
        <v>185</v>
      </c>
      <c r="I57" s="200">
        <v>0</v>
      </c>
      <c r="J57" s="200">
        <v>0</v>
      </c>
      <c r="K57" s="200">
        <v>0</v>
      </c>
      <c r="L57" s="199">
        <v>0</v>
      </c>
      <c r="M57" s="198" t="s">
        <v>55</v>
      </c>
    </row>
    <row r="58" spans="1:13" s="46" customFormat="1" ht="24" customHeight="1" x14ac:dyDescent="0.25">
      <c r="A58" s="203">
        <f t="shared" si="18"/>
        <v>417</v>
      </c>
      <c r="B58" s="202" t="s">
        <v>230</v>
      </c>
      <c r="C58" s="201">
        <v>3463</v>
      </c>
      <c r="D58" s="308">
        <f t="shared" si="16"/>
        <v>15177.439999999999</v>
      </c>
      <c r="E58" s="200">
        <v>32257</v>
      </c>
      <c r="F58" s="200">
        <v>826.89</v>
      </c>
      <c r="G58" s="200">
        <v>14050.55</v>
      </c>
      <c r="H58" s="47">
        <v>300</v>
      </c>
      <c r="I58" s="200">
        <v>0</v>
      </c>
      <c r="J58" s="200">
        <v>0</v>
      </c>
      <c r="K58" s="200">
        <v>0</v>
      </c>
      <c r="L58" s="199">
        <v>0</v>
      </c>
      <c r="M58" s="198" t="s">
        <v>55</v>
      </c>
    </row>
    <row r="59" spans="1:13" s="46" customFormat="1" ht="24" customHeight="1" x14ac:dyDescent="0.25">
      <c r="A59" s="203">
        <f t="shared" si="18"/>
        <v>418</v>
      </c>
      <c r="B59" s="202" t="s">
        <v>368</v>
      </c>
      <c r="C59" s="201">
        <v>3507</v>
      </c>
      <c r="D59" s="308">
        <f t="shared" si="16"/>
        <v>2700</v>
      </c>
      <c r="E59" s="200">
        <v>25200</v>
      </c>
      <c r="F59" s="200">
        <v>0</v>
      </c>
      <c r="G59" s="200">
        <v>0</v>
      </c>
      <c r="H59" s="47">
        <v>300</v>
      </c>
      <c r="I59" s="200">
        <v>700</v>
      </c>
      <c r="J59" s="200">
        <v>800</v>
      </c>
      <c r="K59" s="200">
        <v>700</v>
      </c>
      <c r="L59" s="199">
        <v>200</v>
      </c>
      <c r="M59" s="198" t="s">
        <v>55</v>
      </c>
    </row>
    <row r="60" spans="1:13" s="46" customFormat="1" ht="24" customHeight="1" x14ac:dyDescent="0.25">
      <c r="A60" s="203">
        <f t="shared" si="18"/>
        <v>419</v>
      </c>
      <c r="B60" s="202" t="s">
        <v>369</v>
      </c>
      <c r="C60" s="201">
        <v>3509</v>
      </c>
      <c r="D60" s="308">
        <f t="shared" si="16"/>
        <v>1700</v>
      </c>
      <c r="E60" s="200">
        <v>15200</v>
      </c>
      <c r="F60" s="200">
        <v>0</v>
      </c>
      <c r="G60" s="200">
        <v>0</v>
      </c>
      <c r="H60" s="47">
        <v>200</v>
      </c>
      <c r="I60" s="200">
        <v>400</v>
      </c>
      <c r="J60" s="200">
        <v>400</v>
      </c>
      <c r="K60" s="200">
        <v>400</v>
      </c>
      <c r="L60" s="199">
        <v>300</v>
      </c>
      <c r="M60" s="198" t="s">
        <v>55</v>
      </c>
    </row>
    <row r="61" spans="1:13" s="46" customFormat="1" ht="15" customHeight="1" x14ac:dyDescent="0.25">
      <c r="A61" s="203">
        <f t="shared" si="18"/>
        <v>420</v>
      </c>
      <c r="B61" s="202" t="s">
        <v>155</v>
      </c>
      <c r="C61" s="201">
        <v>3402</v>
      </c>
      <c r="D61" s="308">
        <f t="shared" si="16"/>
        <v>210000</v>
      </c>
      <c r="E61" s="200">
        <f t="shared" si="17"/>
        <v>210000</v>
      </c>
      <c r="F61" s="200">
        <v>3407.97</v>
      </c>
      <c r="G61" s="200">
        <v>40850.03</v>
      </c>
      <c r="H61" s="47">
        <v>88000</v>
      </c>
      <c r="I61" s="200">
        <v>77742</v>
      </c>
      <c r="J61" s="200">
        <v>0</v>
      </c>
      <c r="K61" s="200">
        <v>0</v>
      </c>
      <c r="L61" s="199">
        <v>0</v>
      </c>
      <c r="M61" s="198"/>
    </row>
    <row r="62" spans="1:13" s="46" customFormat="1" ht="24" customHeight="1" x14ac:dyDescent="0.25">
      <c r="A62" s="203">
        <f>A61+2</f>
        <v>422</v>
      </c>
      <c r="B62" s="202" t="s">
        <v>65</v>
      </c>
      <c r="C62" s="201">
        <v>3371</v>
      </c>
      <c r="D62" s="308">
        <f t="shared" si="16"/>
        <v>50000.17</v>
      </c>
      <c r="E62" s="200">
        <f t="shared" si="17"/>
        <v>50000.17</v>
      </c>
      <c r="F62" s="200">
        <v>1322.17</v>
      </c>
      <c r="G62" s="200">
        <v>15500</v>
      </c>
      <c r="H62" s="47">
        <v>33178</v>
      </c>
      <c r="I62" s="200">
        <v>0</v>
      </c>
      <c r="J62" s="200">
        <v>0</v>
      </c>
      <c r="K62" s="200">
        <v>0</v>
      </c>
      <c r="L62" s="199">
        <v>0</v>
      </c>
      <c r="M62" s="198"/>
    </row>
    <row r="63" spans="1:13" s="46" customFormat="1" ht="24" customHeight="1" x14ac:dyDescent="0.25">
      <c r="A63" s="203">
        <f>A62+2</f>
        <v>424</v>
      </c>
      <c r="B63" s="202" t="s">
        <v>211</v>
      </c>
      <c r="C63" s="201">
        <v>3425</v>
      </c>
      <c r="D63" s="308">
        <f t="shared" si="16"/>
        <v>55000</v>
      </c>
      <c r="E63" s="200">
        <f t="shared" si="17"/>
        <v>55000</v>
      </c>
      <c r="F63" s="200">
        <v>480</v>
      </c>
      <c r="G63" s="200">
        <v>10500</v>
      </c>
      <c r="H63" s="47">
        <v>23500</v>
      </c>
      <c r="I63" s="200">
        <v>20520</v>
      </c>
      <c r="J63" s="200">
        <v>0</v>
      </c>
      <c r="K63" s="200">
        <v>0</v>
      </c>
      <c r="L63" s="199">
        <v>0</v>
      </c>
      <c r="M63" s="198"/>
    </row>
    <row r="64" spans="1:13" s="46" customFormat="1" ht="24" customHeight="1" x14ac:dyDescent="0.25">
      <c r="A64" s="203">
        <f>A63+2</f>
        <v>426</v>
      </c>
      <c r="B64" s="202" t="s">
        <v>231</v>
      </c>
      <c r="C64" s="201">
        <v>3471</v>
      </c>
      <c r="D64" s="308">
        <f t="shared" si="16"/>
        <v>5690.49</v>
      </c>
      <c r="E64" s="200">
        <v>12271</v>
      </c>
      <c r="F64" s="200">
        <v>83.49</v>
      </c>
      <c r="G64" s="200">
        <v>5420</v>
      </c>
      <c r="H64" s="47">
        <v>187</v>
      </c>
      <c r="I64" s="200">
        <v>0</v>
      </c>
      <c r="J64" s="200">
        <v>0</v>
      </c>
      <c r="K64" s="200">
        <v>0</v>
      </c>
      <c r="L64" s="199">
        <v>0</v>
      </c>
      <c r="M64" s="198" t="s">
        <v>55</v>
      </c>
    </row>
    <row r="65" spans="1:13" s="46" customFormat="1" ht="15.75" customHeight="1" x14ac:dyDescent="0.25">
      <c r="A65" s="389" t="s">
        <v>48</v>
      </c>
      <c r="B65" s="390"/>
      <c r="C65" s="291">
        <f>COUNT(C44:C64)</f>
        <v>21</v>
      </c>
      <c r="D65" s="291"/>
      <c r="E65" s="48">
        <f>SUM(E44:E64)</f>
        <v>1156429.45</v>
      </c>
      <c r="F65" s="48">
        <f t="shared" ref="F65:L65" si="19">SUM(F44:F64)</f>
        <v>241685.42</v>
      </c>
      <c r="G65" s="48">
        <f t="shared" si="19"/>
        <v>568985.27</v>
      </c>
      <c r="H65" s="48">
        <f t="shared" si="19"/>
        <v>182774</v>
      </c>
      <c r="I65" s="48">
        <f t="shared" si="19"/>
        <v>112422</v>
      </c>
      <c r="J65" s="48">
        <f t="shared" si="19"/>
        <v>3900</v>
      </c>
      <c r="K65" s="48">
        <f t="shared" si="19"/>
        <v>3100</v>
      </c>
      <c r="L65" s="48">
        <f t="shared" si="19"/>
        <v>500</v>
      </c>
      <c r="M65" s="49"/>
    </row>
    <row r="66" spans="1:13" s="46" customFormat="1" ht="18" customHeight="1" x14ac:dyDescent="0.25">
      <c r="A66" s="206" t="s">
        <v>49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4"/>
    </row>
    <row r="67" spans="1:13" s="46" customFormat="1" ht="15" customHeight="1" x14ac:dyDescent="0.25">
      <c r="A67" s="203">
        <v>592</v>
      </c>
      <c r="B67" s="202" t="s">
        <v>370</v>
      </c>
      <c r="C67" s="201">
        <v>3446</v>
      </c>
      <c r="D67" s="308">
        <f>F67+G67+H67+I67+J67+K67+L67</f>
        <v>7767.53</v>
      </c>
      <c r="E67" s="200">
        <f>SUM(F67:L67)</f>
        <v>7767.53</v>
      </c>
      <c r="F67" s="200">
        <v>354.53</v>
      </c>
      <c r="G67" s="200">
        <v>113</v>
      </c>
      <c r="H67" s="47">
        <v>7300</v>
      </c>
      <c r="I67" s="200">
        <v>0</v>
      </c>
      <c r="J67" s="200">
        <v>0</v>
      </c>
      <c r="K67" s="200">
        <v>0</v>
      </c>
      <c r="L67" s="199">
        <v>0</v>
      </c>
      <c r="M67" s="198"/>
    </row>
    <row r="68" spans="1:13" s="46" customFormat="1" ht="15" customHeight="1" x14ac:dyDescent="0.25">
      <c r="A68" s="203">
        <f t="shared" ref="A68:A83" si="20">A67+2</f>
        <v>594</v>
      </c>
      <c r="B68" s="202" t="s">
        <v>371</v>
      </c>
      <c r="C68" s="201">
        <v>3442</v>
      </c>
      <c r="D68" s="308">
        <f t="shared" ref="D68:D83" si="21">F68+G68+H68+I68+J68+K68+L68</f>
        <v>12239.99</v>
      </c>
      <c r="E68" s="200">
        <f t="shared" ref="E68:E83" si="22">SUM(F68:L68)</f>
        <v>12239.99</v>
      </c>
      <c r="F68" s="200">
        <v>525.02</v>
      </c>
      <c r="G68" s="200">
        <v>14.97</v>
      </c>
      <c r="H68" s="47">
        <v>11700</v>
      </c>
      <c r="I68" s="200">
        <v>0</v>
      </c>
      <c r="J68" s="200">
        <v>0</v>
      </c>
      <c r="K68" s="200">
        <v>0</v>
      </c>
      <c r="L68" s="199">
        <v>0</v>
      </c>
      <c r="M68" s="198"/>
    </row>
    <row r="69" spans="1:13" s="46" customFormat="1" ht="15" customHeight="1" x14ac:dyDescent="0.25">
      <c r="A69" s="203">
        <f t="shared" si="20"/>
        <v>596</v>
      </c>
      <c r="B69" s="202" t="s">
        <v>372</v>
      </c>
      <c r="C69" s="201">
        <v>3443</v>
      </c>
      <c r="D69" s="308">
        <f t="shared" si="21"/>
        <v>16288.369999999999</v>
      </c>
      <c r="E69" s="200">
        <f t="shared" si="22"/>
        <v>16288.369999999999</v>
      </c>
      <c r="F69" s="200">
        <v>359.37</v>
      </c>
      <c r="G69" s="200">
        <v>829</v>
      </c>
      <c r="H69" s="47">
        <v>15100</v>
      </c>
      <c r="I69" s="200">
        <v>0</v>
      </c>
      <c r="J69" s="200">
        <v>0</v>
      </c>
      <c r="K69" s="200">
        <v>0</v>
      </c>
      <c r="L69" s="199">
        <v>0</v>
      </c>
      <c r="M69" s="198"/>
    </row>
    <row r="70" spans="1:13" s="46" customFormat="1" ht="15" customHeight="1" x14ac:dyDescent="0.25">
      <c r="A70" s="203">
        <f t="shared" si="20"/>
        <v>598</v>
      </c>
      <c r="B70" s="202" t="s">
        <v>373</v>
      </c>
      <c r="C70" s="201">
        <v>3445</v>
      </c>
      <c r="D70" s="308">
        <f t="shared" si="21"/>
        <v>45263.85</v>
      </c>
      <c r="E70" s="200">
        <f t="shared" si="22"/>
        <v>45263.85</v>
      </c>
      <c r="F70" s="200">
        <v>1505.85</v>
      </c>
      <c r="G70" s="200">
        <v>458</v>
      </c>
      <c r="H70" s="47">
        <v>43300</v>
      </c>
      <c r="I70" s="200">
        <v>0</v>
      </c>
      <c r="J70" s="200">
        <v>0</v>
      </c>
      <c r="K70" s="200">
        <v>0</v>
      </c>
      <c r="L70" s="199">
        <v>0</v>
      </c>
      <c r="M70" s="198"/>
    </row>
    <row r="71" spans="1:13" s="46" customFormat="1" ht="15" customHeight="1" x14ac:dyDescent="0.25">
      <c r="A71" s="203">
        <f t="shared" si="20"/>
        <v>600</v>
      </c>
      <c r="B71" s="202" t="s">
        <v>374</v>
      </c>
      <c r="C71" s="201">
        <v>3444</v>
      </c>
      <c r="D71" s="308">
        <f t="shared" si="21"/>
        <v>31000</v>
      </c>
      <c r="E71" s="200">
        <f t="shared" si="22"/>
        <v>31000</v>
      </c>
      <c r="F71" s="200">
        <v>516.33000000000004</v>
      </c>
      <c r="G71" s="200">
        <v>153.66999999999999</v>
      </c>
      <c r="H71" s="47">
        <v>30330</v>
      </c>
      <c r="I71" s="200">
        <v>0</v>
      </c>
      <c r="J71" s="200">
        <v>0</v>
      </c>
      <c r="K71" s="200">
        <v>0</v>
      </c>
      <c r="L71" s="199">
        <v>0</v>
      </c>
      <c r="M71" s="198"/>
    </row>
    <row r="72" spans="1:13" s="46" customFormat="1" ht="15" customHeight="1" x14ac:dyDescent="0.25">
      <c r="A72" s="203">
        <f t="shared" si="20"/>
        <v>602</v>
      </c>
      <c r="B72" s="202" t="s">
        <v>375</v>
      </c>
      <c r="C72" s="201">
        <v>3450</v>
      </c>
      <c r="D72" s="308">
        <f t="shared" si="21"/>
        <v>17876</v>
      </c>
      <c r="E72" s="200">
        <f t="shared" si="22"/>
        <v>17876</v>
      </c>
      <c r="F72" s="200">
        <v>553.97</v>
      </c>
      <c r="G72" s="200">
        <v>72.03</v>
      </c>
      <c r="H72" s="47">
        <v>17250</v>
      </c>
      <c r="I72" s="200">
        <v>0</v>
      </c>
      <c r="J72" s="200">
        <v>0</v>
      </c>
      <c r="K72" s="200">
        <v>0</v>
      </c>
      <c r="L72" s="199">
        <v>0</v>
      </c>
      <c r="M72" s="198"/>
    </row>
    <row r="73" spans="1:13" s="46" customFormat="1" ht="15" customHeight="1" x14ac:dyDescent="0.25">
      <c r="A73" s="203">
        <f t="shared" si="20"/>
        <v>604</v>
      </c>
      <c r="B73" s="202" t="s">
        <v>376</v>
      </c>
      <c r="C73" s="201">
        <v>3448</v>
      </c>
      <c r="D73" s="308">
        <f t="shared" si="21"/>
        <v>30655.61</v>
      </c>
      <c r="E73" s="200">
        <f t="shared" si="22"/>
        <v>30655.61</v>
      </c>
      <c r="F73" s="200">
        <v>474</v>
      </c>
      <c r="G73" s="200">
        <v>381.61</v>
      </c>
      <c r="H73" s="47">
        <v>29800</v>
      </c>
      <c r="I73" s="200">
        <v>0</v>
      </c>
      <c r="J73" s="200">
        <v>0</v>
      </c>
      <c r="K73" s="200">
        <v>0</v>
      </c>
      <c r="L73" s="199">
        <v>0</v>
      </c>
      <c r="M73" s="198"/>
    </row>
    <row r="74" spans="1:13" s="46" customFormat="1" ht="24" customHeight="1" x14ac:dyDescent="0.25">
      <c r="A74" s="203">
        <f t="shared" si="20"/>
        <v>606</v>
      </c>
      <c r="B74" s="202" t="s">
        <v>377</v>
      </c>
      <c r="C74" s="201">
        <v>3440</v>
      </c>
      <c r="D74" s="308">
        <f t="shared" si="21"/>
        <v>14737.39</v>
      </c>
      <c r="E74" s="200">
        <f t="shared" si="22"/>
        <v>14737.39</v>
      </c>
      <c r="F74" s="200">
        <v>419.39</v>
      </c>
      <c r="G74" s="200">
        <v>218</v>
      </c>
      <c r="H74" s="47">
        <v>14100</v>
      </c>
      <c r="I74" s="200">
        <v>0</v>
      </c>
      <c r="J74" s="200">
        <v>0</v>
      </c>
      <c r="K74" s="200">
        <v>0</v>
      </c>
      <c r="L74" s="199">
        <v>0</v>
      </c>
      <c r="M74" s="198"/>
    </row>
    <row r="75" spans="1:13" s="46" customFormat="1" ht="15" customHeight="1" x14ac:dyDescent="0.25">
      <c r="A75" s="203">
        <f t="shared" si="20"/>
        <v>608</v>
      </c>
      <c r="B75" s="202" t="s">
        <v>378</v>
      </c>
      <c r="C75" s="201">
        <v>3449</v>
      </c>
      <c r="D75" s="308">
        <f t="shared" si="21"/>
        <v>63062.26</v>
      </c>
      <c r="E75" s="200">
        <f t="shared" si="22"/>
        <v>63062.26</v>
      </c>
      <c r="F75" s="200">
        <v>718.26</v>
      </c>
      <c r="G75" s="200">
        <v>274</v>
      </c>
      <c r="H75" s="47">
        <v>62070</v>
      </c>
      <c r="I75" s="200">
        <v>0</v>
      </c>
      <c r="J75" s="200">
        <v>0</v>
      </c>
      <c r="K75" s="200">
        <v>0</v>
      </c>
      <c r="L75" s="199">
        <v>0</v>
      </c>
      <c r="M75" s="198"/>
    </row>
    <row r="76" spans="1:13" s="46" customFormat="1" ht="15" customHeight="1" x14ac:dyDescent="0.25">
      <c r="A76" s="203">
        <f t="shared" si="20"/>
        <v>610</v>
      </c>
      <c r="B76" s="202" t="s">
        <v>379</v>
      </c>
      <c r="C76" s="201">
        <v>3473</v>
      </c>
      <c r="D76" s="308">
        <f>F76+G76+H76+I76+J76+K76+L76</f>
        <v>6545</v>
      </c>
      <c r="E76" s="200">
        <f t="shared" si="22"/>
        <v>6545</v>
      </c>
      <c r="F76" s="200">
        <v>0</v>
      </c>
      <c r="G76" s="200">
        <v>0</v>
      </c>
      <c r="H76" s="47">
        <v>6545</v>
      </c>
      <c r="I76" s="200">
        <v>0</v>
      </c>
      <c r="J76" s="200">
        <v>0</v>
      </c>
      <c r="K76" s="200">
        <v>0</v>
      </c>
      <c r="L76" s="199">
        <v>0</v>
      </c>
      <c r="M76" s="198"/>
    </row>
    <row r="77" spans="1:13" s="46" customFormat="1" ht="24" customHeight="1" x14ac:dyDescent="0.25">
      <c r="A77" s="203">
        <f t="shared" si="20"/>
        <v>612</v>
      </c>
      <c r="B77" s="202" t="s">
        <v>380</v>
      </c>
      <c r="C77" s="201">
        <v>3495</v>
      </c>
      <c r="D77" s="308">
        <f t="shared" si="21"/>
        <v>900</v>
      </c>
      <c r="E77" s="200">
        <v>12300</v>
      </c>
      <c r="F77" s="200">
        <v>0</v>
      </c>
      <c r="G77" s="200">
        <v>100</v>
      </c>
      <c r="H77" s="47">
        <v>400</v>
      </c>
      <c r="I77" s="200">
        <v>310</v>
      </c>
      <c r="J77" s="200">
        <v>90</v>
      </c>
      <c r="K77" s="200">
        <v>0</v>
      </c>
      <c r="L77" s="199">
        <v>0</v>
      </c>
      <c r="M77" s="198" t="s">
        <v>55</v>
      </c>
    </row>
    <row r="78" spans="1:13" s="46" customFormat="1" ht="15" customHeight="1" x14ac:dyDescent="0.25">
      <c r="A78" s="203">
        <f>A77+1</f>
        <v>613</v>
      </c>
      <c r="B78" s="202" t="s">
        <v>258</v>
      </c>
      <c r="C78" s="201">
        <v>3486</v>
      </c>
      <c r="D78" s="308">
        <f t="shared" si="21"/>
        <v>20320</v>
      </c>
      <c r="E78" s="200">
        <f t="shared" si="22"/>
        <v>20320</v>
      </c>
      <c r="F78" s="200">
        <v>0</v>
      </c>
      <c r="G78" s="200">
        <v>200</v>
      </c>
      <c r="H78" s="47">
        <v>1000</v>
      </c>
      <c r="I78" s="200">
        <v>19120</v>
      </c>
      <c r="J78" s="200">
        <v>0</v>
      </c>
      <c r="K78" s="200">
        <v>0</v>
      </c>
      <c r="L78" s="199">
        <v>0</v>
      </c>
      <c r="M78" s="198"/>
    </row>
    <row r="79" spans="1:13" s="46" customFormat="1" ht="24" customHeight="1" x14ac:dyDescent="0.25">
      <c r="A79" s="203">
        <f t="shared" si="20"/>
        <v>615</v>
      </c>
      <c r="B79" s="202" t="s">
        <v>257</v>
      </c>
      <c r="C79" s="201">
        <v>3464</v>
      </c>
      <c r="D79" s="308">
        <f t="shared" si="21"/>
        <v>228107.76</v>
      </c>
      <c r="E79" s="200">
        <v>454086</v>
      </c>
      <c r="F79" s="200">
        <v>0</v>
      </c>
      <c r="G79" s="200">
        <v>180152.76</v>
      </c>
      <c r="H79" s="47">
        <v>41500</v>
      </c>
      <c r="I79" s="200">
        <v>6455</v>
      </c>
      <c r="J79" s="200">
        <v>0</v>
      </c>
      <c r="K79" s="200">
        <v>0</v>
      </c>
      <c r="L79" s="199">
        <v>0</v>
      </c>
      <c r="M79" s="198" t="s">
        <v>55</v>
      </c>
    </row>
    <row r="80" spans="1:13" s="46" customFormat="1" ht="15" customHeight="1" x14ac:dyDescent="0.25">
      <c r="A80" s="203">
        <f t="shared" si="20"/>
        <v>617</v>
      </c>
      <c r="B80" s="202" t="s">
        <v>165</v>
      </c>
      <c r="C80" s="201">
        <v>3285</v>
      </c>
      <c r="D80" s="308">
        <f t="shared" si="21"/>
        <v>34000</v>
      </c>
      <c r="E80" s="200">
        <f t="shared" si="22"/>
        <v>34000</v>
      </c>
      <c r="F80" s="200">
        <v>3282.41</v>
      </c>
      <c r="G80" s="200">
        <v>22717.59</v>
      </c>
      <c r="H80" s="47">
        <v>8000</v>
      </c>
      <c r="I80" s="200">
        <v>0</v>
      </c>
      <c r="J80" s="200">
        <v>0</v>
      </c>
      <c r="K80" s="200">
        <v>0</v>
      </c>
      <c r="L80" s="199">
        <v>0</v>
      </c>
      <c r="M80" s="198"/>
    </row>
    <row r="81" spans="1:13" s="46" customFormat="1" ht="24" customHeight="1" x14ac:dyDescent="0.25">
      <c r="A81" s="203">
        <f t="shared" si="20"/>
        <v>619</v>
      </c>
      <c r="B81" s="202" t="s">
        <v>381</v>
      </c>
      <c r="C81" s="201">
        <v>3474</v>
      </c>
      <c r="D81" s="308">
        <f t="shared" si="21"/>
        <v>4197.3500000000004</v>
      </c>
      <c r="E81" s="200">
        <v>11435</v>
      </c>
      <c r="F81" s="200">
        <v>812.87</v>
      </c>
      <c r="G81" s="200">
        <v>1018.48</v>
      </c>
      <c r="H81" s="47">
        <v>70</v>
      </c>
      <c r="I81" s="200">
        <v>2296</v>
      </c>
      <c r="J81" s="200">
        <v>0</v>
      </c>
      <c r="K81" s="200">
        <v>0</v>
      </c>
      <c r="L81" s="199">
        <v>0</v>
      </c>
      <c r="M81" s="198" t="s">
        <v>55</v>
      </c>
    </row>
    <row r="82" spans="1:13" s="46" customFormat="1" ht="24" customHeight="1" x14ac:dyDescent="0.25">
      <c r="A82" s="203">
        <f t="shared" si="20"/>
        <v>621</v>
      </c>
      <c r="B82" s="202" t="s">
        <v>382</v>
      </c>
      <c r="C82" s="201">
        <v>3502</v>
      </c>
      <c r="D82" s="308">
        <f t="shared" si="21"/>
        <v>1220000</v>
      </c>
      <c r="E82" s="200">
        <f t="shared" si="22"/>
        <v>1220000</v>
      </c>
      <c r="F82" s="200">
        <v>0</v>
      </c>
      <c r="G82" s="200">
        <v>1204</v>
      </c>
      <c r="H82" s="47">
        <v>3500</v>
      </c>
      <c r="I82" s="200">
        <v>154300</v>
      </c>
      <c r="J82" s="200">
        <v>174800</v>
      </c>
      <c r="K82" s="200">
        <v>401700</v>
      </c>
      <c r="L82" s="199">
        <v>484496</v>
      </c>
      <c r="M82" s="198"/>
    </row>
    <row r="83" spans="1:13" s="46" customFormat="1" ht="15" customHeight="1" x14ac:dyDescent="0.25">
      <c r="A83" s="203">
        <f t="shared" si="20"/>
        <v>623</v>
      </c>
      <c r="B83" s="202" t="s">
        <v>234</v>
      </c>
      <c r="C83" s="201">
        <v>3465</v>
      </c>
      <c r="D83" s="308">
        <f t="shared" si="21"/>
        <v>21000</v>
      </c>
      <c r="E83" s="200">
        <f t="shared" si="22"/>
        <v>21000</v>
      </c>
      <c r="F83" s="200">
        <v>0</v>
      </c>
      <c r="G83" s="200">
        <v>300</v>
      </c>
      <c r="H83" s="47">
        <v>3000</v>
      </c>
      <c r="I83" s="200">
        <v>17700</v>
      </c>
      <c r="J83" s="200">
        <v>0</v>
      </c>
      <c r="K83" s="200">
        <v>0</v>
      </c>
      <c r="L83" s="199">
        <v>0</v>
      </c>
      <c r="M83" s="198"/>
    </row>
    <row r="84" spans="1:13" s="46" customFormat="1" ht="15.75" customHeight="1" x14ac:dyDescent="0.25">
      <c r="A84" s="389" t="s">
        <v>50</v>
      </c>
      <c r="B84" s="390"/>
      <c r="C84" s="291">
        <f>COUNT(C67:C83)</f>
        <v>17</v>
      </c>
      <c r="D84" s="291"/>
      <c r="E84" s="48">
        <f>SUM(E67:E83)</f>
        <v>2018577</v>
      </c>
      <c r="F84" s="48">
        <f t="shared" ref="F84:L84" si="23">SUM(F67:F83)</f>
        <v>9522.0000000000018</v>
      </c>
      <c r="G84" s="48">
        <f t="shared" si="23"/>
        <v>208207.11000000002</v>
      </c>
      <c r="H84" s="48">
        <f t="shared" si="23"/>
        <v>294965</v>
      </c>
      <c r="I84" s="48">
        <f t="shared" si="23"/>
        <v>200181</v>
      </c>
      <c r="J84" s="48">
        <f t="shared" si="23"/>
        <v>174890</v>
      </c>
      <c r="K84" s="48">
        <f t="shared" si="23"/>
        <v>401700</v>
      </c>
      <c r="L84" s="48">
        <f t="shared" si="23"/>
        <v>484496</v>
      </c>
      <c r="M84" s="49"/>
    </row>
    <row r="85" spans="1:13" s="46" customFormat="1" ht="18" customHeight="1" x14ac:dyDescent="0.25">
      <c r="A85" s="206" t="s">
        <v>235</v>
      </c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4"/>
    </row>
    <row r="86" spans="1:13" s="46" customFormat="1" ht="15" customHeight="1" x14ac:dyDescent="0.25">
      <c r="A86" s="203">
        <v>630</v>
      </c>
      <c r="B86" s="202" t="s">
        <v>236</v>
      </c>
      <c r="C86" s="201">
        <v>3468</v>
      </c>
      <c r="D86" s="308">
        <f>F86+G86+H86+I86+J86+K86+L86</f>
        <v>236095</v>
      </c>
      <c r="E86" s="200">
        <v>236095</v>
      </c>
      <c r="F86" s="200">
        <v>0</v>
      </c>
      <c r="G86" s="200">
        <v>1200</v>
      </c>
      <c r="H86" s="47">
        <v>56000</v>
      </c>
      <c r="I86" s="200">
        <v>178895</v>
      </c>
      <c r="J86" s="200">
        <v>0</v>
      </c>
      <c r="K86" s="200">
        <v>0</v>
      </c>
      <c r="L86" s="199">
        <v>0</v>
      </c>
      <c r="M86" s="198"/>
    </row>
    <row r="87" spans="1:13" s="46" customFormat="1" ht="15.75" customHeight="1" x14ac:dyDescent="0.25">
      <c r="A87" s="387" t="s">
        <v>237</v>
      </c>
      <c r="B87" s="388" t="s">
        <v>383</v>
      </c>
      <c r="C87" s="291">
        <f>COUNT(C86)</f>
        <v>1</v>
      </c>
      <c r="D87" s="291"/>
      <c r="E87" s="48">
        <f>SUM(E86)</f>
        <v>236095</v>
      </c>
      <c r="F87" s="48">
        <f t="shared" ref="F87:L87" si="24">SUM(F86)</f>
        <v>0</v>
      </c>
      <c r="G87" s="48">
        <f t="shared" si="24"/>
        <v>1200</v>
      </c>
      <c r="H87" s="48">
        <f t="shared" si="24"/>
        <v>56000</v>
      </c>
      <c r="I87" s="48">
        <f t="shared" si="24"/>
        <v>178895</v>
      </c>
      <c r="J87" s="48">
        <f t="shared" si="24"/>
        <v>0</v>
      </c>
      <c r="K87" s="48">
        <f t="shared" si="24"/>
        <v>0</v>
      </c>
      <c r="L87" s="48">
        <f t="shared" si="24"/>
        <v>0</v>
      </c>
      <c r="M87" s="49"/>
    </row>
    <row r="88" spans="1:13" s="46" customFormat="1" ht="18" customHeight="1" x14ac:dyDescent="0.25">
      <c r="A88" s="206" t="s">
        <v>51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4"/>
    </row>
    <row r="89" spans="1:13" s="46" customFormat="1" ht="15" customHeight="1" x14ac:dyDescent="0.25">
      <c r="A89" s="203">
        <v>746</v>
      </c>
      <c r="B89" s="202" t="s">
        <v>384</v>
      </c>
      <c r="C89" s="201">
        <v>3497</v>
      </c>
      <c r="D89" s="308">
        <f>F89+G89+H89+I89+J89+K89+L89</f>
        <v>49563</v>
      </c>
      <c r="E89" s="200">
        <v>49563</v>
      </c>
      <c r="F89" s="200">
        <v>0</v>
      </c>
      <c r="G89" s="200">
        <v>200</v>
      </c>
      <c r="H89" s="47">
        <v>39563</v>
      </c>
      <c r="I89" s="200">
        <v>9800</v>
      </c>
      <c r="J89" s="200">
        <v>0</v>
      </c>
      <c r="K89" s="200">
        <v>0</v>
      </c>
      <c r="L89" s="199">
        <v>0</v>
      </c>
      <c r="M89" s="198"/>
    </row>
    <row r="90" spans="1:13" s="46" customFormat="1" ht="15" customHeight="1" x14ac:dyDescent="0.25">
      <c r="A90" s="203">
        <f t="shared" ref="A90:A97" si="25">A89+2</f>
        <v>748</v>
      </c>
      <c r="B90" s="202" t="s">
        <v>385</v>
      </c>
      <c r="C90" s="201">
        <v>3292</v>
      </c>
      <c r="D90" s="308">
        <f t="shared" ref="D90:D97" si="26">F90+G90+H90+I90+J90+K90+L90</f>
        <v>139999.6</v>
      </c>
      <c r="E90" s="200">
        <v>139999.6</v>
      </c>
      <c r="F90" s="200">
        <v>864.5</v>
      </c>
      <c r="G90" s="200">
        <v>1735.1</v>
      </c>
      <c r="H90" s="47">
        <v>200</v>
      </c>
      <c r="I90" s="200">
        <v>42000</v>
      </c>
      <c r="J90" s="200">
        <v>95200</v>
      </c>
      <c r="K90" s="200">
        <v>0</v>
      </c>
      <c r="L90" s="199">
        <v>0</v>
      </c>
      <c r="M90" s="198"/>
    </row>
    <row r="91" spans="1:13" s="46" customFormat="1" ht="15" customHeight="1" x14ac:dyDescent="0.25">
      <c r="A91" s="203">
        <f t="shared" si="25"/>
        <v>750</v>
      </c>
      <c r="B91" s="202" t="s">
        <v>386</v>
      </c>
      <c r="C91" s="201">
        <v>3498</v>
      </c>
      <c r="D91" s="308">
        <f t="shared" si="26"/>
        <v>19587</v>
      </c>
      <c r="E91" s="200">
        <v>19587</v>
      </c>
      <c r="F91" s="200">
        <v>0</v>
      </c>
      <c r="G91" s="200">
        <v>250</v>
      </c>
      <c r="H91" s="47">
        <v>19337</v>
      </c>
      <c r="I91" s="200">
        <v>0</v>
      </c>
      <c r="J91" s="200">
        <v>0</v>
      </c>
      <c r="K91" s="200">
        <v>0</v>
      </c>
      <c r="L91" s="199">
        <v>0</v>
      </c>
      <c r="M91" s="198"/>
    </row>
    <row r="92" spans="1:13" s="46" customFormat="1" ht="15" customHeight="1" x14ac:dyDescent="0.25">
      <c r="A92" s="203">
        <f t="shared" si="25"/>
        <v>752</v>
      </c>
      <c r="B92" s="202" t="s">
        <v>387</v>
      </c>
      <c r="C92" s="201">
        <v>3501</v>
      </c>
      <c r="D92" s="308">
        <f t="shared" si="26"/>
        <v>25851</v>
      </c>
      <c r="E92" s="200">
        <v>25851</v>
      </c>
      <c r="F92" s="200">
        <v>0</v>
      </c>
      <c r="G92" s="200">
        <v>250</v>
      </c>
      <c r="H92" s="47">
        <v>25601</v>
      </c>
      <c r="I92" s="200">
        <v>0</v>
      </c>
      <c r="J92" s="200">
        <v>0</v>
      </c>
      <c r="K92" s="200">
        <v>0</v>
      </c>
      <c r="L92" s="199">
        <v>0</v>
      </c>
      <c r="M92" s="198"/>
    </row>
    <row r="93" spans="1:13" s="46" customFormat="1" ht="35.25" customHeight="1" x14ac:dyDescent="0.25">
      <c r="A93" s="203">
        <f t="shared" si="25"/>
        <v>754</v>
      </c>
      <c r="B93" s="202" t="s">
        <v>388</v>
      </c>
      <c r="C93" s="201">
        <v>7039</v>
      </c>
      <c r="D93" s="308">
        <f t="shared" si="26"/>
        <v>2046</v>
      </c>
      <c r="E93" s="200">
        <v>4230</v>
      </c>
      <c r="F93" s="200">
        <v>0</v>
      </c>
      <c r="G93" s="200">
        <v>0</v>
      </c>
      <c r="H93" s="47">
        <v>2046</v>
      </c>
      <c r="I93" s="200">
        <v>0</v>
      </c>
      <c r="J93" s="200">
        <v>0</v>
      </c>
      <c r="K93" s="200">
        <v>0</v>
      </c>
      <c r="L93" s="199">
        <v>0</v>
      </c>
      <c r="M93" s="198" t="s">
        <v>256</v>
      </c>
    </row>
    <row r="94" spans="1:13" s="46" customFormat="1" ht="35.25" customHeight="1" x14ac:dyDescent="0.25">
      <c r="A94" s="203">
        <f t="shared" si="25"/>
        <v>756</v>
      </c>
      <c r="B94" s="202" t="s">
        <v>435</v>
      </c>
      <c r="C94" s="201">
        <v>7040</v>
      </c>
      <c r="D94" s="308">
        <f>F94+G94+H94+I94+J94+K94+L94</f>
        <v>1571</v>
      </c>
      <c r="E94" s="200">
        <v>3479</v>
      </c>
      <c r="F94" s="200">
        <v>0</v>
      </c>
      <c r="G94" s="200">
        <v>0</v>
      </c>
      <c r="H94" s="47">
        <v>1571</v>
      </c>
      <c r="I94" s="200">
        <v>0</v>
      </c>
      <c r="J94" s="200">
        <v>0</v>
      </c>
      <c r="K94" s="200">
        <v>0</v>
      </c>
      <c r="L94" s="199">
        <v>0</v>
      </c>
      <c r="M94" s="198" t="s">
        <v>256</v>
      </c>
    </row>
    <row r="95" spans="1:13" s="46" customFormat="1" ht="35.25" customHeight="1" x14ac:dyDescent="0.25">
      <c r="A95" s="203">
        <f t="shared" si="25"/>
        <v>758</v>
      </c>
      <c r="B95" s="202" t="s">
        <v>389</v>
      </c>
      <c r="C95" s="201">
        <v>7044</v>
      </c>
      <c r="D95" s="308">
        <f t="shared" si="26"/>
        <v>12000</v>
      </c>
      <c r="E95" s="200">
        <v>39903</v>
      </c>
      <c r="F95" s="200">
        <v>0</v>
      </c>
      <c r="G95" s="200">
        <v>0</v>
      </c>
      <c r="H95" s="47">
        <v>12000</v>
      </c>
      <c r="I95" s="200">
        <v>0</v>
      </c>
      <c r="J95" s="200">
        <v>0</v>
      </c>
      <c r="K95" s="200">
        <v>0</v>
      </c>
      <c r="L95" s="199">
        <v>0</v>
      </c>
      <c r="M95" s="198" t="s">
        <v>256</v>
      </c>
    </row>
    <row r="96" spans="1:13" s="46" customFormat="1" ht="35.25" customHeight="1" x14ac:dyDescent="0.25">
      <c r="A96" s="203">
        <f t="shared" si="25"/>
        <v>760</v>
      </c>
      <c r="B96" s="202" t="s">
        <v>390</v>
      </c>
      <c r="C96" s="201">
        <v>7045</v>
      </c>
      <c r="D96" s="308">
        <f t="shared" si="26"/>
        <v>12000</v>
      </c>
      <c r="E96" s="200">
        <v>42000</v>
      </c>
      <c r="F96" s="200">
        <v>0</v>
      </c>
      <c r="G96" s="200">
        <v>0</v>
      </c>
      <c r="H96" s="47">
        <v>12000</v>
      </c>
      <c r="I96" s="200">
        <v>0</v>
      </c>
      <c r="J96" s="200">
        <v>0</v>
      </c>
      <c r="K96" s="200">
        <v>0</v>
      </c>
      <c r="L96" s="199">
        <v>0</v>
      </c>
      <c r="M96" s="198" t="s">
        <v>256</v>
      </c>
    </row>
    <row r="97" spans="1:13" s="46" customFormat="1" ht="35.25" customHeight="1" x14ac:dyDescent="0.25">
      <c r="A97" s="203">
        <f t="shared" si="25"/>
        <v>762</v>
      </c>
      <c r="B97" s="202" t="s">
        <v>413</v>
      </c>
      <c r="C97" s="201">
        <v>7042</v>
      </c>
      <c r="D97" s="308">
        <f t="shared" si="26"/>
        <v>40219</v>
      </c>
      <c r="E97" s="200">
        <v>87577</v>
      </c>
      <c r="F97" s="200">
        <v>0</v>
      </c>
      <c r="G97" s="200">
        <v>0</v>
      </c>
      <c r="H97" s="47">
        <v>40219</v>
      </c>
      <c r="I97" s="200">
        <v>0</v>
      </c>
      <c r="J97" s="200">
        <v>0</v>
      </c>
      <c r="K97" s="200">
        <v>0</v>
      </c>
      <c r="L97" s="199">
        <v>0</v>
      </c>
      <c r="M97" s="198" t="s">
        <v>256</v>
      </c>
    </row>
    <row r="98" spans="1:13" s="46" customFormat="1" ht="15.75" customHeight="1" x14ac:dyDescent="0.25">
      <c r="A98" s="387" t="s">
        <v>52</v>
      </c>
      <c r="B98" s="388"/>
      <c r="C98" s="291">
        <f>COUNT(C89:C97)</f>
        <v>9</v>
      </c>
      <c r="D98" s="291"/>
      <c r="E98" s="48">
        <f>SUM(E89:E97)</f>
        <v>412189.6</v>
      </c>
      <c r="F98" s="48">
        <f t="shared" ref="F98:L98" si="27">SUM(F89:F97)</f>
        <v>864.5</v>
      </c>
      <c r="G98" s="48">
        <f t="shared" si="27"/>
        <v>2435.1</v>
      </c>
      <c r="H98" s="48">
        <f t="shared" si="27"/>
        <v>152537</v>
      </c>
      <c r="I98" s="48">
        <f t="shared" si="27"/>
        <v>51800</v>
      </c>
      <c r="J98" s="48">
        <f t="shared" si="27"/>
        <v>95200</v>
      </c>
      <c r="K98" s="48">
        <f t="shared" si="27"/>
        <v>0</v>
      </c>
      <c r="L98" s="48">
        <f t="shared" si="27"/>
        <v>0</v>
      </c>
      <c r="M98" s="49"/>
    </row>
    <row r="99" spans="1:13" s="46" customFormat="1" ht="18" customHeight="1" x14ac:dyDescent="0.25">
      <c r="A99" s="206" t="s">
        <v>66</v>
      </c>
      <c r="B99" s="20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4"/>
    </row>
    <row r="100" spans="1:13" s="46" customFormat="1" ht="15" customHeight="1" x14ac:dyDescent="0.25">
      <c r="A100" s="203">
        <v>798</v>
      </c>
      <c r="B100" s="202" t="s">
        <v>67</v>
      </c>
      <c r="C100" s="201">
        <v>3294</v>
      </c>
      <c r="D100" s="308">
        <f>F100+G100+H100+I100+J100+K100+L100</f>
        <v>1300.8</v>
      </c>
      <c r="E100" s="200">
        <f>SUM(F100:L100)</f>
        <v>1300.8</v>
      </c>
      <c r="F100" s="200">
        <v>116.8</v>
      </c>
      <c r="G100" s="200">
        <v>1000</v>
      </c>
      <c r="H100" s="47">
        <v>136</v>
      </c>
      <c r="I100" s="200">
        <v>24</v>
      </c>
      <c r="J100" s="200">
        <v>24</v>
      </c>
      <c r="K100" s="200">
        <v>0</v>
      </c>
      <c r="L100" s="199">
        <v>0</v>
      </c>
      <c r="M100" s="198"/>
    </row>
    <row r="101" spans="1:13" s="46" customFormat="1" ht="15" customHeight="1" x14ac:dyDescent="0.25">
      <c r="A101" s="203">
        <f>A100+1</f>
        <v>799</v>
      </c>
      <c r="B101" s="202" t="s">
        <v>68</v>
      </c>
      <c r="C101" s="201">
        <v>3377</v>
      </c>
      <c r="D101" s="308">
        <f t="shared" ref="D101:D107" si="28">F101+G101+H101+I101+J101+K101+L101</f>
        <v>8738.8499999999985</v>
      </c>
      <c r="E101" s="200">
        <f t="shared" ref="E101:E104" si="29">SUM(F101:L101)</f>
        <v>8738.8499999999985</v>
      </c>
      <c r="F101" s="200">
        <v>362.16</v>
      </c>
      <c r="G101" s="200">
        <v>5967.69</v>
      </c>
      <c r="H101" s="47">
        <v>2100</v>
      </c>
      <c r="I101" s="200">
        <v>309</v>
      </c>
      <c r="J101" s="200">
        <v>0</v>
      </c>
      <c r="K101" s="200">
        <v>0</v>
      </c>
      <c r="L101" s="199">
        <v>0</v>
      </c>
      <c r="M101" s="198"/>
    </row>
    <row r="102" spans="1:13" s="46" customFormat="1" ht="24" customHeight="1" x14ac:dyDescent="0.25">
      <c r="A102" s="203">
        <f t="shared" ref="A102:A106" si="30">A101+1</f>
        <v>800</v>
      </c>
      <c r="B102" s="202" t="s">
        <v>255</v>
      </c>
      <c r="C102" s="201">
        <v>3452</v>
      </c>
      <c r="D102" s="308">
        <f t="shared" si="28"/>
        <v>175624</v>
      </c>
      <c r="E102" s="200">
        <v>437325</v>
      </c>
      <c r="F102" s="200">
        <v>1024.77</v>
      </c>
      <c r="G102" s="200">
        <v>900.23</v>
      </c>
      <c r="H102" s="47">
        <v>24000</v>
      </c>
      <c r="I102" s="200">
        <v>28000</v>
      </c>
      <c r="J102" s="200">
        <v>22229</v>
      </c>
      <c r="K102" s="200">
        <v>18000</v>
      </c>
      <c r="L102" s="199">
        <v>81470</v>
      </c>
      <c r="M102" s="198" t="s">
        <v>55</v>
      </c>
    </row>
    <row r="103" spans="1:13" s="46" customFormat="1" ht="24" customHeight="1" x14ac:dyDescent="0.25">
      <c r="A103" s="203">
        <f t="shared" si="30"/>
        <v>801</v>
      </c>
      <c r="B103" s="202" t="s">
        <v>391</v>
      </c>
      <c r="C103" s="201">
        <v>3487</v>
      </c>
      <c r="D103" s="308">
        <f t="shared" si="28"/>
        <v>9196</v>
      </c>
      <c r="E103" s="200">
        <v>18000</v>
      </c>
      <c r="F103" s="200">
        <v>0</v>
      </c>
      <c r="G103" s="200">
        <v>3936</v>
      </c>
      <c r="H103" s="47">
        <v>2550</v>
      </c>
      <c r="I103" s="200">
        <v>2300</v>
      </c>
      <c r="J103" s="200">
        <v>410</v>
      </c>
      <c r="K103" s="200">
        <v>0</v>
      </c>
      <c r="L103" s="199">
        <v>0</v>
      </c>
      <c r="M103" s="198" t="s">
        <v>55</v>
      </c>
    </row>
    <row r="104" spans="1:13" s="46" customFormat="1" ht="15" customHeight="1" x14ac:dyDescent="0.25">
      <c r="A104" s="203">
        <f t="shared" si="30"/>
        <v>802</v>
      </c>
      <c r="B104" s="202" t="s">
        <v>69</v>
      </c>
      <c r="C104" s="201">
        <v>3334</v>
      </c>
      <c r="D104" s="308">
        <f t="shared" si="28"/>
        <v>40710.89</v>
      </c>
      <c r="E104" s="200">
        <f t="shared" si="29"/>
        <v>40710.89</v>
      </c>
      <c r="F104" s="200">
        <v>1280.8900000000001</v>
      </c>
      <c r="G104" s="200">
        <v>12000</v>
      </c>
      <c r="H104" s="47">
        <v>25160</v>
      </c>
      <c r="I104" s="200">
        <v>2270</v>
      </c>
      <c r="J104" s="200">
        <v>0</v>
      </c>
      <c r="K104" s="200">
        <v>0</v>
      </c>
      <c r="L104" s="199">
        <v>0</v>
      </c>
      <c r="M104" s="198"/>
    </row>
    <row r="105" spans="1:13" s="46" customFormat="1" ht="24" customHeight="1" x14ac:dyDescent="0.25">
      <c r="A105" s="203">
        <f t="shared" si="30"/>
        <v>803</v>
      </c>
      <c r="B105" s="202" t="s">
        <v>392</v>
      </c>
      <c r="C105" s="201">
        <v>3499</v>
      </c>
      <c r="D105" s="308">
        <f t="shared" si="28"/>
        <v>11166</v>
      </c>
      <c r="E105" s="200">
        <v>12300</v>
      </c>
      <c r="F105" s="200">
        <v>0</v>
      </c>
      <c r="G105" s="200">
        <v>900</v>
      </c>
      <c r="H105" s="47">
        <v>1800</v>
      </c>
      <c r="I105" s="200">
        <v>2000</v>
      </c>
      <c r="J105" s="200">
        <v>1800</v>
      </c>
      <c r="K105" s="200">
        <v>1800</v>
      </c>
      <c r="L105" s="199">
        <v>2866</v>
      </c>
      <c r="M105" s="198" t="s">
        <v>55</v>
      </c>
    </row>
    <row r="106" spans="1:13" s="46" customFormat="1" ht="24" customHeight="1" x14ac:dyDescent="0.25">
      <c r="A106" s="203">
        <f t="shared" si="30"/>
        <v>804</v>
      </c>
      <c r="B106" s="202" t="s">
        <v>164</v>
      </c>
      <c r="C106" s="201">
        <v>3427</v>
      </c>
      <c r="D106" s="308">
        <f t="shared" si="28"/>
        <v>752635</v>
      </c>
      <c r="E106" s="200">
        <f>SUM(F106:L106)</f>
        <v>752635</v>
      </c>
      <c r="F106" s="200">
        <v>350364</v>
      </c>
      <c r="G106" s="200">
        <v>384865</v>
      </c>
      <c r="H106" s="47">
        <v>15581</v>
      </c>
      <c r="I106" s="200">
        <v>1825</v>
      </c>
      <c r="J106" s="200">
        <v>0</v>
      </c>
      <c r="K106" s="200">
        <v>0</v>
      </c>
      <c r="L106" s="199">
        <v>0</v>
      </c>
      <c r="M106" s="198"/>
    </row>
    <row r="107" spans="1:13" s="46" customFormat="1" ht="24" customHeight="1" x14ac:dyDescent="0.25">
      <c r="A107" s="203">
        <f>A106+2</f>
        <v>806</v>
      </c>
      <c r="B107" s="202" t="s">
        <v>393</v>
      </c>
      <c r="C107" s="201">
        <v>3504</v>
      </c>
      <c r="D107" s="308">
        <f t="shared" si="28"/>
        <v>1000750</v>
      </c>
      <c r="E107" s="200">
        <f>SUM(F107:L107)</f>
        <v>1000750</v>
      </c>
      <c r="F107" s="200">
        <v>0</v>
      </c>
      <c r="G107" s="200">
        <v>0</v>
      </c>
      <c r="H107" s="47">
        <v>4700</v>
      </c>
      <c r="I107" s="200">
        <v>550000</v>
      </c>
      <c r="J107" s="200">
        <v>243000</v>
      </c>
      <c r="K107" s="200">
        <v>197500</v>
      </c>
      <c r="L107" s="199">
        <v>5550</v>
      </c>
      <c r="M107" s="198"/>
    </row>
    <row r="108" spans="1:13" s="46" customFormat="1" ht="15.75" customHeight="1" thickBot="1" x14ac:dyDescent="0.3">
      <c r="A108" s="389" t="s">
        <v>70</v>
      </c>
      <c r="B108" s="390"/>
      <c r="C108" s="291">
        <f>COUNT(C100:C107)</f>
        <v>8</v>
      </c>
      <c r="D108" s="291"/>
      <c r="E108" s="48">
        <f>SUM(E100:E107)</f>
        <v>2271760.54</v>
      </c>
      <c r="F108" s="48">
        <f t="shared" ref="F108:L108" si="31">SUM(F100:F107)</f>
        <v>353148.62</v>
      </c>
      <c r="G108" s="48">
        <f t="shared" si="31"/>
        <v>409568.92</v>
      </c>
      <c r="H108" s="48">
        <f t="shared" si="31"/>
        <v>76027</v>
      </c>
      <c r="I108" s="48">
        <f t="shared" si="31"/>
        <v>586728</v>
      </c>
      <c r="J108" s="48">
        <f t="shared" si="31"/>
        <v>267463</v>
      </c>
      <c r="K108" s="48">
        <f t="shared" si="31"/>
        <v>217300</v>
      </c>
      <c r="L108" s="48">
        <f t="shared" si="31"/>
        <v>89886</v>
      </c>
      <c r="M108" s="49"/>
    </row>
    <row r="109" spans="1:13" s="46" customFormat="1" ht="9" customHeight="1" thickBot="1" x14ac:dyDescent="0.3">
      <c r="A109" s="310"/>
      <c r="B109" s="311"/>
      <c r="C109" s="311"/>
      <c r="D109" s="311"/>
      <c r="E109" s="312"/>
      <c r="F109" s="312"/>
      <c r="G109" s="312"/>
      <c r="H109" s="312"/>
      <c r="I109" s="311"/>
      <c r="J109" s="311"/>
      <c r="K109" s="311"/>
      <c r="L109" s="311"/>
      <c r="M109" s="313"/>
    </row>
    <row r="110" spans="1:13" s="46" customFormat="1" ht="18" customHeight="1" thickBot="1" x14ac:dyDescent="0.3">
      <c r="A110" s="385" t="s">
        <v>35</v>
      </c>
      <c r="B110" s="386"/>
      <c r="C110" s="314">
        <f>C108+C98+C87+C84+C65+C42+C36+C29+C24+C20+C7</f>
        <v>82</v>
      </c>
      <c r="D110" s="314"/>
      <c r="E110" s="50">
        <f t="shared" ref="E110:L110" si="32">E108+E98+E87+E84+E65+E42+E36+E29+E24+E20+E7</f>
        <v>9760766.0899999999</v>
      </c>
      <c r="F110" s="50">
        <f t="shared" si="32"/>
        <v>828930.79</v>
      </c>
      <c r="G110" s="50">
        <f t="shared" si="32"/>
        <v>1566320.8</v>
      </c>
      <c r="H110" s="50">
        <f t="shared" si="32"/>
        <v>1510400</v>
      </c>
      <c r="I110" s="50">
        <f t="shared" si="32"/>
        <v>1818851</v>
      </c>
      <c r="J110" s="50">
        <f t="shared" si="32"/>
        <v>1264890</v>
      </c>
      <c r="K110" s="50">
        <f t="shared" si="32"/>
        <v>1355762</v>
      </c>
      <c r="L110" s="50">
        <f t="shared" si="32"/>
        <v>1142943</v>
      </c>
      <c r="M110" s="51"/>
    </row>
    <row r="111" spans="1:13" x14ac:dyDescent="0.25">
      <c r="G111" s="315"/>
    </row>
    <row r="112" spans="1:13" x14ac:dyDescent="0.25">
      <c r="A112" s="316"/>
      <c r="G112" s="317"/>
      <c r="H112" s="43"/>
    </row>
    <row r="113" spans="1:7" x14ac:dyDescent="0.25">
      <c r="A113" s="316"/>
      <c r="G113" s="318"/>
    </row>
    <row r="115" spans="1:7" ht="14.25" x14ac:dyDescent="0.2">
      <c r="B115" s="319"/>
      <c r="C115" s="319"/>
      <c r="D115" s="319"/>
    </row>
  </sheetData>
  <mergeCells count="22">
    <mergeCell ref="A110:B110"/>
    <mergeCell ref="A7:B7"/>
    <mergeCell ref="A20:B20"/>
    <mergeCell ref="A24:B24"/>
    <mergeCell ref="A29:B29"/>
    <mergeCell ref="A36:B36"/>
    <mergeCell ref="A42:B42"/>
    <mergeCell ref="A65:B65"/>
    <mergeCell ref="A84:B84"/>
    <mergeCell ref="A87:B87"/>
    <mergeCell ref="A98:B98"/>
    <mergeCell ref="A108:B108"/>
    <mergeCell ref="A1:M1"/>
    <mergeCell ref="A3:A4"/>
    <mergeCell ref="B3:B4"/>
    <mergeCell ref="C3:C4"/>
    <mergeCell ref="E3:E4"/>
    <mergeCell ref="F3:F4"/>
    <mergeCell ref="G3:G4"/>
    <mergeCell ref="H3:H4"/>
    <mergeCell ref="I3:L3"/>
    <mergeCell ref="M3:M4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83" firstPageNumber="4" fitToHeight="0" orientation="landscape" useFirstPageNumber="1" r:id="rId1"/>
  <headerFooter>
    <oddHeader>&amp;L&amp;"Tahoma,Kurzíva"&amp;10Návrh rozpočtu na rok 2022
Příloha č. 10&amp;R&amp;"Tahoma,Kurzíva"&amp;10Přehled akcí spolufinancovaných z evropských finančních zdrojů v návrhu rozpočtu kraje na rok 2022
včetně závazků kraje vyvolaných pro rok 2023 a další léta</oddHeader>
    <oddFooter>&amp;C&amp;"Tahoma,Obyčejné"&amp;10&amp;P</oddFooter>
  </headerFooter>
  <rowBreaks count="3" manualBreakCount="3">
    <brk id="29" max="12" man="1"/>
    <brk id="56" max="12" man="1"/>
    <brk id="84" max="12" man="1"/>
  </rowBreaks>
  <ignoredErrors>
    <ignoredError sqref="A49 A7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7996-D3C2-4A13-8E65-7915608CAED3}">
  <sheetPr>
    <pageSetUpPr fitToPage="1"/>
  </sheetPr>
  <dimension ref="A1:I113"/>
  <sheetViews>
    <sheetView zoomScaleNormal="100" zoomScaleSheetLayoutView="100" workbookViewId="0">
      <pane ySplit="4" topLeftCell="A5" activePane="bottomLeft" state="frozen"/>
      <selection pane="bottomLeft" activeCell="K5" sqref="K5"/>
    </sheetView>
  </sheetViews>
  <sheetFormatPr defaultColWidth="9.140625" defaultRowHeight="12.75" x14ac:dyDescent="0.2"/>
  <cols>
    <col min="1" max="1" width="50.7109375" style="52" customWidth="1"/>
    <col min="2" max="9" width="12.7109375" style="210" customWidth="1"/>
    <col min="10" max="16384" width="9.140625" style="52"/>
  </cols>
  <sheetData>
    <row r="1" spans="1:9" s="212" customFormat="1" ht="23.25" customHeight="1" x14ac:dyDescent="0.25">
      <c r="A1" s="404" t="s">
        <v>414</v>
      </c>
      <c r="B1" s="405"/>
      <c r="C1" s="405"/>
      <c r="D1" s="405"/>
      <c r="E1" s="405"/>
      <c r="F1" s="405"/>
      <c r="G1" s="405"/>
      <c r="H1" s="405"/>
      <c r="I1" s="405"/>
    </row>
    <row r="2" spans="1:9" ht="13.5" thickBot="1" x14ac:dyDescent="0.25">
      <c r="A2" s="211"/>
      <c r="B2" s="211"/>
      <c r="C2" s="211"/>
      <c r="D2" s="211"/>
      <c r="E2" s="211"/>
      <c r="F2" s="211"/>
      <c r="G2" s="211"/>
      <c r="H2" s="211"/>
      <c r="I2" s="266" t="s">
        <v>34</v>
      </c>
    </row>
    <row r="3" spans="1:9" ht="29.25" customHeight="1" x14ac:dyDescent="0.2">
      <c r="A3" s="406" t="s">
        <v>40</v>
      </c>
      <c r="B3" s="408" t="s">
        <v>73</v>
      </c>
      <c r="C3" s="408" t="s">
        <v>415</v>
      </c>
      <c r="D3" s="410" t="s">
        <v>74</v>
      </c>
      <c r="E3" s="411"/>
      <c r="F3" s="412" t="s">
        <v>75</v>
      </c>
      <c r="G3" s="413"/>
      <c r="H3" s="414" t="s">
        <v>416</v>
      </c>
      <c r="I3" s="415"/>
    </row>
    <row r="4" spans="1:9" ht="60" customHeight="1" thickBot="1" x14ac:dyDescent="0.25">
      <c r="A4" s="407"/>
      <c r="B4" s="409"/>
      <c r="C4" s="409"/>
      <c r="D4" s="269" t="s">
        <v>76</v>
      </c>
      <c r="E4" s="270" t="s">
        <v>283</v>
      </c>
      <c r="F4" s="269" t="s">
        <v>76</v>
      </c>
      <c r="G4" s="270" t="s">
        <v>282</v>
      </c>
      <c r="H4" s="264" t="s">
        <v>76</v>
      </c>
      <c r="I4" s="267" t="s">
        <v>281</v>
      </c>
    </row>
    <row r="5" spans="1:9" s="276" customFormat="1" ht="21" customHeight="1" x14ac:dyDescent="0.25">
      <c r="A5" s="394" t="s">
        <v>77</v>
      </c>
      <c r="B5" s="395"/>
      <c r="C5" s="395"/>
      <c r="D5" s="395"/>
      <c r="E5" s="395"/>
      <c r="F5" s="395"/>
      <c r="G5" s="395"/>
      <c r="H5" s="396"/>
      <c r="I5" s="397"/>
    </row>
    <row r="6" spans="1:9" ht="18" customHeight="1" x14ac:dyDescent="0.2">
      <c r="A6" s="398" t="s">
        <v>264</v>
      </c>
      <c r="B6" s="399"/>
      <c r="C6" s="399"/>
      <c r="D6" s="399"/>
      <c r="E6" s="399"/>
      <c r="F6" s="399"/>
      <c r="G6" s="399"/>
      <c r="H6" s="399"/>
      <c r="I6" s="400"/>
    </row>
    <row r="7" spans="1:9" s="275" customFormat="1" ht="15" customHeight="1" x14ac:dyDescent="0.25">
      <c r="A7" s="331" t="s">
        <v>349</v>
      </c>
      <c r="B7" s="170">
        <v>12347</v>
      </c>
      <c r="C7" s="170">
        <v>15643</v>
      </c>
      <c r="D7" s="170">
        <v>13800</v>
      </c>
      <c r="E7" s="53">
        <v>0</v>
      </c>
      <c r="F7" s="170">
        <v>1843</v>
      </c>
      <c r="G7" s="53">
        <v>1666</v>
      </c>
      <c r="H7" s="170">
        <v>1866</v>
      </c>
      <c r="I7" s="280">
        <v>1666</v>
      </c>
    </row>
    <row r="8" spans="1:9" s="275" customFormat="1" ht="15" customHeight="1" x14ac:dyDescent="0.25">
      <c r="A8" s="331" t="s">
        <v>260</v>
      </c>
      <c r="B8" s="170">
        <v>87135.44</v>
      </c>
      <c r="C8" s="170">
        <v>11039</v>
      </c>
      <c r="D8" s="170">
        <v>1104</v>
      </c>
      <c r="E8" s="53">
        <v>0</v>
      </c>
      <c r="F8" s="170">
        <v>9935</v>
      </c>
      <c r="G8" s="53">
        <v>9800</v>
      </c>
      <c r="H8" s="170">
        <v>55053</v>
      </c>
      <c r="I8" s="280">
        <v>53390</v>
      </c>
    </row>
    <row r="9" spans="1:9" s="275" customFormat="1" ht="15" customHeight="1" x14ac:dyDescent="0.25">
      <c r="A9" s="331" t="s">
        <v>263</v>
      </c>
      <c r="B9" s="170">
        <v>89066.55</v>
      </c>
      <c r="C9" s="170">
        <v>135263</v>
      </c>
      <c r="D9" s="170">
        <v>32750</v>
      </c>
      <c r="E9" s="53">
        <v>0</v>
      </c>
      <c r="F9" s="170">
        <v>102513</v>
      </c>
      <c r="G9" s="53">
        <v>102513</v>
      </c>
      <c r="H9" s="170">
        <v>0</v>
      </c>
      <c r="I9" s="280">
        <v>0</v>
      </c>
    </row>
    <row r="10" spans="1:9" s="275" customFormat="1" ht="15" customHeight="1" x14ac:dyDescent="0.25">
      <c r="A10" s="331" t="s">
        <v>394</v>
      </c>
      <c r="B10" s="170">
        <v>40000.1</v>
      </c>
      <c r="C10" s="170">
        <v>130000</v>
      </c>
      <c r="D10" s="170">
        <v>20023</v>
      </c>
      <c r="E10" s="53">
        <v>0</v>
      </c>
      <c r="F10" s="170">
        <v>109977</v>
      </c>
      <c r="G10" s="53">
        <v>109777</v>
      </c>
      <c r="H10" s="170">
        <v>0</v>
      </c>
      <c r="I10" s="280">
        <v>0</v>
      </c>
    </row>
    <row r="11" spans="1:9" s="275" customFormat="1" ht="15" customHeight="1" x14ac:dyDescent="0.25">
      <c r="A11" s="331" t="s">
        <v>225</v>
      </c>
      <c r="B11" s="170">
        <v>69000</v>
      </c>
      <c r="C11" s="170">
        <v>8935</v>
      </c>
      <c r="D11" s="170">
        <v>2464</v>
      </c>
      <c r="E11" s="53">
        <v>0</v>
      </c>
      <c r="F11" s="170">
        <v>6471</v>
      </c>
      <c r="G11" s="53">
        <v>5071</v>
      </c>
      <c r="H11" s="170">
        <v>52082</v>
      </c>
      <c r="I11" s="280">
        <v>43022</v>
      </c>
    </row>
    <row r="12" spans="1:9" s="275" customFormat="1" ht="24" customHeight="1" x14ac:dyDescent="0.25">
      <c r="A12" s="331" t="s">
        <v>262</v>
      </c>
      <c r="B12" s="170">
        <v>71601.08</v>
      </c>
      <c r="C12" s="170">
        <v>31800</v>
      </c>
      <c r="D12" s="170">
        <v>3180</v>
      </c>
      <c r="E12" s="53">
        <v>0</v>
      </c>
      <c r="F12" s="170">
        <v>28620</v>
      </c>
      <c r="G12" s="53">
        <v>28620</v>
      </c>
      <c r="H12" s="170">
        <v>73351</v>
      </c>
      <c r="I12" s="280">
        <v>73040</v>
      </c>
    </row>
    <row r="13" spans="1:9" s="275" customFormat="1" ht="15" customHeight="1" x14ac:dyDescent="0.25">
      <c r="A13" s="331" t="s">
        <v>226</v>
      </c>
      <c r="B13" s="170">
        <v>82000.429999999993</v>
      </c>
      <c r="C13" s="170">
        <v>40500</v>
      </c>
      <c r="D13" s="170">
        <v>9180</v>
      </c>
      <c r="E13" s="53">
        <v>0</v>
      </c>
      <c r="F13" s="170">
        <v>31320</v>
      </c>
      <c r="G13" s="53">
        <v>31320</v>
      </c>
      <c r="H13" s="170">
        <v>0</v>
      </c>
      <c r="I13" s="280">
        <v>0</v>
      </c>
    </row>
    <row r="14" spans="1:9" s="275" customFormat="1" ht="15" customHeight="1" x14ac:dyDescent="0.25">
      <c r="A14" s="331" t="s">
        <v>350</v>
      </c>
      <c r="B14" s="170">
        <v>71566.559999999998</v>
      </c>
      <c r="C14" s="170">
        <v>39871</v>
      </c>
      <c r="D14" s="170">
        <v>5487</v>
      </c>
      <c r="E14" s="53">
        <v>0</v>
      </c>
      <c r="F14" s="170">
        <v>34384</v>
      </c>
      <c r="G14" s="53">
        <v>34384</v>
      </c>
      <c r="H14" s="170">
        <v>0</v>
      </c>
      <c r="I14" s="280">
        <v>0</v>
      </c>
    </row>
    <row r="15" spans="1:9" s="275" customFormat="1" ht="24" customHeight="1" x14ac:dyDescent="0.25">
      <c r="A15" s="331" t="s">
        <v>261</v>
      </c>
      <c r="B15" s="170">
        <v>130129.1</v>
      </c>
      <c r="C15" s="170">
        <v>58000</v>
      </c>
      <c r="D15" s="170">
        <v>5980</v>
      </c>
      <c r="E15" s="53">
        <v>0</v>
      </c>
      <c r="F15" s="170">
        <v>52020</v>
      </c>
      <c r="G15" s="53">
        <v>52020</v>
      </c>
      <c r="H15" s="170">
        <v>0</v>
      </c>
      <c r="I15" s="280">
        <v>0</v>
      </c>
    </row>
    <row r="16" spans="1:9" s="275" customFormat="1" ht="24" customHeight="1" x14ac:dyDescent="0.25">
      <c r="A16" s="331" t="s">
        <v>154</v>
      </c>
      <c r="B16" s="170">
        <v>87135.44</v>
      </c>
      <c r="C16" s="170">
        <v>68800</v>
      </c>
      <c r="D16" s="170">
        <v>6880</v>
      </c>
      <c r="E16" s="53">
        <v>0</v>
      </c>
      <c r="F16" s="170">
        <v>61920</v>
      </c>
      <c r="G16" s="53">
        <v>61600</v>
      </c>
      <c r="H16" s="170">
        <v>0</v>
      </c>
      <c r="I16" s="280">
        <v>0</v>
      </c>
    </row>
    <row r="17" spans="1:9" s="275" customFormat="1" ht="15" customHeight="1" x14ac:dyDescent="0.25">
      <c r="A17" s="331" t="s">
        <v>223</v>
      </c>
      <c r="B17" s="170">
        <v>15328</v>
      </c>
      <c r="C17" s="170">
        <v>0</v>
      </c>
      <c r="D17" s="170">
        <v>0</v>
      </c>
      <c r="E17" s="53">
        <v>0</v>
      </c>
      <c r="F17" s="170">
        <v>0</v>
      </c>
      <c r="G17" s="53">
        <v>0</v>
      </c>
      <c r="H17" s="170">
        <v>3473</v>
      </c>
      <c r="I17" s="280">
        <v>3273</v>
      </c>
    </row>
    <row r="18" spans="1:9" s="276" customFormat="1" ht="15" customHeight="1" x14ac:dyDescent="0.25">
      <c r="A18" s="282" t="s">
        <v>259</v>
      </c>
      <c r="B18" s="272" t="s">
        <v>6</v>
      </c>
      <c r="C18" s="272">
        <f>SUM(C7:C17)</f>
        <v>539851</v>
      </c>
      <c r="D18" s="272">
        <f t="shared" ref="D18:I18" si="0">SUM(D7:D17)</f>
        <v>100848</v>
      </c>
      <c r="E18" s="272">
        <f t="shared" si="0"/>
        <v>0</v>
      </c>
      <c r="F18" s="272">
        <f t="shared" si="0"/>
        <v>439003</v>
      </c>
      <c r="G18" s="272">
        <f t="shared" si="0"/>
        <v>436771</v>
      </c>
      <c r="H18" s="272">
        <f t="shared" si="0"/>
        <v>185825</v>
      </c>
      <c r="I18" s="283">
        <f t="shared" si="0"/>
        <v>174391</v>
      </c>
    </row>
    <row r="19" spans="1:9" s="274" customFormat="1" ht="18" customHeight="1" x14ac:dyDescent="0.25">
      <c r="A19" s="398" t="s">
        <v>45</v>
      </c>
      <c r="B19" s="399"/>
      <c r="C19" s="399"/>
      <c r="D19" s="399"/>
      <c r="E19" s="399"/>
      <c r="F19" s="399"/>
      <c r="G19" s="399"/>
      <c r="H19" s="399"/>
      <c r="I19" s="400"/>
    </row>
    <row r="20" spans="1:9" s="275" customFormat="1" ht="15" customHeight="1" x14ac:dyDescent="0.25">
      <c r="A20" s="331" t="s">
        <v>357</v>
      </c>
      <c r="B20" s="170">
        <v>1999999.76</v>
      </c>
      <c r="C20" s="170">
        <v>53174</v>
      </c>
      <c r="D20" s="170">
        <v>22574</v>
      </c>
      <c r="E20" s="53">
        <v>0</v>
      </c>
      <c r="F20" s="170">
        <v>30600</v>
      </c>
      <c r="G20" s="53">
        <v>30000</v>
      </c>
      <c r="H20" s="170">
        <v>0</v>
      </c>
      <c r="I20" s="284">
        <v>0</v>
      </c>
    </row>
    <row r="21" spans="1:9" s="275" customFormat="1" ht="15" customHeight="1" x14ac:dyDescent="0.25">
      <c r="A21" s="331" t="s">
        <v>56</v>
      </c>
      <c r="B21" s="170">
        <v>55695.89</v>
      </c>
      <c r="C21" s="170">
        <v>16400</v>
      </c>
      <c r="D21" s="170">
        <v>6131</v>
      </c>
      <c r="E21" s="53">
        <v>0</v>
      </c>
      <c r="F21" s="170">
        <v>10269</v>
      </c>
      <c r="G21" s="53">
        <v>10269</v>
      </c>
      <c r="H21" s="170">
        <v>41839</v>
      </c>
      <c r="I21" s="280">
        <v>37011</v>
      </c>
    </row>
    <row r="22" spans="1:9" s="275" customFormat="1" ht="15" customHeight="1" x14ac:dyDescent="0.25">
      <c r="A22" s="331" t="s">
        <v>359</v>
      </c>
      <c r="B22" s="170">
        <v>19194.29</v>
      </c>
      <c r="C22" s="170">
        <v>18378</v>
      </c>
      <c r="D22" s="170">
        <v>1838</v>
      </c>
      <c r="E22" s="53">
        <v>0</v>
      </c>
      <c r="F22" s="170">
        <v>16540</v>
      </c>
      <c r="G22" s="53">
        <v>16540</v>
      </c>
      <c r="H22" s="170">
        <v>0</v>
      </c>
      <c r="I22" s="280">
        <v>0</v>
      </c>
    </row>
    <row r="23" spans="1:9" s="276" customFormat="1" ht="15" customHeight="1" x14ac:dyDescent="0.25">
      <c r="A23" s="282" t="s">
        <v>46</v>
      </c>
      <c r="B23" s="272" t="s">
        <v>6</v>
      </c>
      <c r="C23" s="272">
        <f>SUM(C20:C22)</f>
        <v>87952</v>
      </c>
      <c r="D23" s="272">
        <f t="shared" ref="D23:I23" si="1">SUM(D20:D22)</f>
        <v>30543</v>
      </c>
      <c r="E23" s="272">
        <f t="shared" si="1"/>
        <v>0</v>
      </c>
      <c r="F23" s="272">
        <f t="shared" si="1"/>
        <v>57409</v>
      </c>
      <c r="G23" s="272">
        <f t="shared" si="1"/>
        <v>56809</v>
      </c>
      <c r="H23" s="272">
        <f t="shared" si="1"/>
        <v>41839</v>
      </c>
      <c r="I23" s="283">
        <f t="shared" si="1"/>
        <v>37011</v>
      </c>
    </row>
    <row r="24" spans="1:9" s="274" customFormat="1" ht="18" customHeight="1" x14ac:dyDescent="0.25">
      <c r="A24" s="398" t="s">
        <v>47</v>
      </c>
      <c r="B24" s="399"/>
      <c r="C24" s="399"/>
      <c r="D24" s="399"/>
      <c r="E24" s="399"/>
      <c r="F24" s="399"/>
      <c r="G24" s="399"/>
      <c r="H24" s="399"/>
      <c r="I24" s="400"/>
    </row>
    <row r="25" spans="1:9" s="275" customFormat="1" ht="15" customHeight="1" x14ac:dyDescent="0.25">
      <c r="A25" s="331" t="s">
        <v>61</v>
      </c>
      <c r="B25" s="170">
        <v>38999.279999999999</v>
      </c>
      <c r="C25" s="170">
        <v>24595</v>
      </c>
      <c r="D25" s="170">
        <v>11312</v>
      </c>
      <c r="E25" s="53">
        <v>0</v>
      </c>
      <c r="F25" s="170">
        <v>13283</v>
      </c>
      <c r="G25" s="53">
        <v>13283</v>
      </c>
      <c r="H25" s="170">
        <v>0</v>
      </c>
      <c r="I25" s="280">
        <v>0</v>
      </c>
    </row>
    <row r="26" spans="1:9" s="275" customFormat="1" ht="15" customHeight="1" x14ac:dyDescent="0.25">
      <c r="A26" s="331" t="s">
        <v>363</v>
      </c>
      <c r="B26" s="170">
        <v>19000</v>
      </c>
      <c r="C26" s="170">
        <v>9500</v>
      </c>
      <c r="D26" s="170">
        <v>1425</v>
      </c>
      <c r="E26" s="53">
        <v>0</v>
      </c>
      <c r="F26" s="170">
        <v>8075</v>
      </c>
      <c r="G26" s="53">
        <v>7900</v>
      </c>
      <c r="H26" s="170">
        <v>0</v>
      </c>
      <c r="I26" s="280">
        <v>0</v>
      </c>
    </row>
    <row r="27" spans="1:9" s="275" customFormat="1" ht="15" customHeight="1" x14ac:dyDescent="0.25">
      <c r="A27" s="331" t="s">
        <v>155</v>
      </c>
      <c r="B27" s="170">
        <v>210000</v>
      </c>
      <c r="C27" s="170">
        <v>88000</v>
      </c>
      <c r="D27" s="170">
        <v>68375</v>
      </c>
      <c r="E27" s="53">
        <v>68375</v>
      </c>
      <c r="F27" s="170">
        <v>19625</v>
      </c>
      <c r="G27" s="53">
        <v>19625</v>
      </c>
      <c r="H27" s="170">
        <v>0</v>
      </c>
      <c r="I27" s="280">
        <v>0</v>
      </c>
    </row>
    <row r="28" spans="1:9" s="275" customFormat="1" ht="24" customHeight="1" x14ac:dyDescent="0.25">
      <c r="A28" s="331" t="s">
        <v>65</v>
      </c>
      <c r="B28" s="170">
        <v>50000.17</v>
      </c>
      <c r="C28" s="170">
        <v>33178</v>
      </c>
      <c r="D28" s="170">
        <v>14520</v>
      </c>
      <c r="E28" s="53">
        <v>0</v>
      </c>
      <c r="F28" s="170">
        <v>18658</v>
      </c>
      <c r="G28" s="53">
        <v>18658</v>
      </c>
      <c r="H28" s="170">
        <v>0</v>
      </c>
      <c r="I28" s="280">
        <v>0</v>
      </c>
    </row>
    <row r="29" spans="1:9" s="275" customFormat="1" ht="24" customHeight="1" x14ac:dyDescent="0.25">
      <c r="A29" s="331" t="s">
        <v>211</v>
      </c>
      <c r="B29" s="170">
        <v>55000</v>
      </c>
      <c r="C29" s="170">
        <v>23500</v>
      </c>
      <c r="D29" s="170">
        <v>22984</v>
      </c>
      <c r="E29" s="53">
        <v>22984</v>
      </c>
      <c r="F29" s="170">
        <v>516</v>
      </c>
      <c r="G29" s="53">
        <v>516</v>
      </c>
      <c r="H29" s="170">
        <v>0</v>
      </c>
      <c r="I29" s="280">
        <v>0</v>
      </c>
    </row>
    <row r="30" spans="1:9" s="275" customFormat="1" ht="24" customHeight="1" x14ac:dyDescent="0.25">
      <c r="A30" s="331" t="s">
        <v>62</v>
      </c>
      <c r="B30" s="170">
        <v>57999.509999999995</v>
      </c>
      <c r="C30" s="170">
        <v>0</v>
      </c>
      <c r="D30" s="170">
        <v>0</v>
      </c>
      <c r="E30" s="53">
        <v>0</v>
      </c>
      <c r="F30" s="170">
        <v>0</v>
      </c>
      <c r="G30" s="53">
        <v>0</v>
      </c>
      <c r="H30" s="170">
        <v>28654</v>
      </c>
      <c r="I30" s="280">
        <v>24554</v>
      </c>
    </row>
    <row r="31" spans="1:9" s="275" customFormat="1" ht="15" customHeight="1" x14ac:dyDescent="0.25">
      <c r="A31" s="331" t="s">
        <v>63</v>
      </c>
      <c r="B31" s="170">
        <v>27470.35</v>
      </c>
      <c r="C31" s="170">
        <v>0</v>
      </c>
      <c r="D31" s="170">
        <v>0</v>
      </c>
      <c r="E31" s="53">
        <v>0</v>
      </c>
      <c r="F31" s="170">
        <v>0</v>
      </c>
      <c r="G31" s="53">
        <v>0</v>
      </c>
      <c r="H31" s="170">
        <v>14967</v>
      </c>
      <c r="I31" s="280">
        <v>12906</v>
      </c>
    </row>
    <row r="32" spans="1:9" s="275" customFormat="1" ht="24" customHeight="1" x14ac:dyDescent="0.25">
      <c r="A32" s="331" t="s">
        <v>64</v>
      </c>
      <c r="B32" s="170">
        <v>44409.11</v>
      </c>
      <c r="C32" s="170">
        <v>0</v>
      </c>
      <c r="D32" s="170">
        <v>0</v>
      </c>
      <c r="E32" s="53">
        <v>0</v>
      </c>
      <c r="F32" s="170">
        <v>0</v>
      </c>
      <c r="G32" s="53">
        <v>0</v>
      </c>
      <c r="H32" s="170">
        <v>24838</v>
      </c>
      <c r="I32" s="280">
        <v>20977</v>
      </c>
    </row>
    <row r="33" spans="1:9" s="276" customFormat="1" ht="15" customHeight="1" x14ac:dyDescent="0.25">
      <c r="A33" s="282" t="s">
        <v>48</v>
      </c>
      <c r="B33" s="272" t="s">
        <v>6</v>
      </c>
      <c r="C33" s="272">
        <f>SUM(C25:C32)</f>
        <v>178773</v>
      </c>
      <c r="D33" s="272">
        <f t="shared" ref="D33:I33" si="2">SUM(D25:D32)</f>
        <v>118616</v>
      </c>
      <c r="E33" s="272">
        <f t="shared" si="2"/>
        <v>91359</v>
      </c>
      <c r="F33" s="272">
        <f t="shared" si="2"/>
        <v>60157</v>
      </c>
      <c r="G33" s="272">
        <f t="shared" si="2"/>
        <v>59982</v>
      </c>
      <c r="H33" s="272">
        <f t="shared" si="2"/>
        <v>68459</v>
      </c>
      <c r="I33" s="283">
        <f t="shared" si="2"/>
        <v>58437</v>
      </c>
    </row>
    <row r="34" spans="1:9" s="274" customFormat="1" ht="18" customHeight="1" x14ac:dyDescent="0.25">
      <c r="A34" s="398" t="s">
        <v>49</v>
      </c>
      <c r="B34" s="399"/>
      <c r="C34" s="399"/>
      <c r="D34" s="399"/>
      <c r="E34" s="399"/>
      <c r="F34" s="399"/>
      <c r="G34" s="399"/>
      <c r="H34" s="399"/>
      <c r="I34" s="400"/>
    </row>
    <row r="35" spans="1:9" s="275" customFormat="1" ht="15" customHeight="1" x14ac:dyDescent="0.25">
      <c r="A35" s="331" t="s">
        <v>370</v>
      </c>
      <c r="B35" s="170">
        <v>7710</v>
      </c>
      <c r="C35" s="170">
        <v>7300</v>
      </c>
      <c r="D35" s="170">
        <v>5539</v>
      </c>
      <c r="E35" s="53">
        <v>0</v>
      </c>
      <c r="F35" s="170">
        <v>1761</v>
      </c>
      <c r="G35" s="53">
        <v>1561</v>
      </c>
      <c r="H35" s="170">
        <v>0</v>
      </c>
      <c r="I35" s="280">
        <v>0</v>
      </c>
    </row>
    <row r="36" spans="1:9" s="275" customFormat="1" ht="15" customHeight="1" x14ac:dyDescent="0.25">
      <c r="A36" s="331" t="s">
        <v>371</v>
      </c>
      <c r="B36" s="170">
        <v>12239.99</v>
      </c>
      <c r="C36" s="170">
        <v>11700</v>
      </c>
      <c r="D36" s="170">
        <v>7304</v>
      </c>
      <c r="E36" s="53">
        <v>0</v>
      </c>
      <c r="F36" s="170">
        <v>4396</v>
      </c>
      <c r="G36" s="53">
        <v>4096</v>
      </c>
      <c r="H36" s="170">
        <v>0</v>
      </c>
      <c r="I36" s="280">
        <v>0</v>
      </c>
    </row>
    <row r="37" spans="1:9" s="275" customFormat="1" ht="15" customHeight="1" x14ac:dyDescent="0.25">
      <c r="A37" s="331" t="s">
        <v>372</v>
      </c>
      <c r="B37" s="170">
        <v>16230</v>
      </c>
      <c r="C37" s="170">
        <v>15100</v>
      </c>
      <c r="D37" s="170">
        <v>10981</v>
      </c>
      <c r="E37" s="53">
        <v>0</v>
      </c>
      <c r="F37" s="170">
        <v>4119</v>
      </c>
      <c r="G37" s="53">
        <v>3819</v>
      </c>
      <c r="H37" s="170">
        <v>0</v>
      </c>
      <c r="I37" s="280">
        <v>0</v>
      </c>
    </row>
    <row r="38" spans="1:9" s="275" customFormat="1" ht="15" customHeight="1" x14ac:dyDescent="0.25">
      <c r="A38" s="331" t="s">
        <v>373</v>
      </c>
      <c r="B38" s="170">
        <v>45243</v>
      </c>
      <c r="C38" s="170">
        <v>43300</v>
      </c>
      <c r="D38" s="170">
        <v>30730</v>
      </c>
      <c r="E38" s="53">
        <v>26810</v>
      </c>
      <c r="F38" s="170">
        <v>12570</v>
      </c>
      <c r="G38" s="53">
        <v>12270</v>
      </c>
      <c r="H38" s="170">
        <v>0</v>
      </c>
      <c r="I38" s="280">
        <v>0</v>
      </c>
    </row>
    <row r="39" spans="1:9" s="275" customFormat="1" ht="15" customHeight="1" x14ac:dyDescent="0.25">
      <c r="A39" s="331" t="s">
        <v>374</v>
      </c>
      <c r="B39" s="170">
        <v>31000</v>
      </c>
      <c r="C39" s="170">
        <v>30330</v>
      </c>
      <c r="D39" s="170">
        <v>22766</v>
      </c>
      <c r="E39" s="53">
        <v>0</v>
      </c>
      <c r="F39" s="170">
        <v>7564</v>
      </c>
      <c r="G39" s="53">
        <v>7264</v>
      </c>
      <c r="H39" s="170">
        <v>0</v>
      </c>
      <c r="I39" s="280">
        <v>0</v>
      </c>
    </row>
    <row r="40" spans="1:9" s="275" customFormat="1" ht="15" customHeight="1" x14ac:dyDescent="0.25">
      <c r="A40" s="331" t="s">
        <v>375</v>
      </c>
      <c r="B40" s="170">
        <v>17876</v>
      </c>
      <c r="C40" s="170">
        <v>17250</v>
      </c>
      <c r="D40" s="170">
        <v>13694</v>
      </c>
      <c r="E40" s="53">
        <v>10963</v>
      </c>
      <c r="F40" s="170">
        <v>3556</v>
      </c>
      <c r="G40" s="53">
        <v>3356</v>
      </c>
      <c r="H40" s="170">
        <v>0</v>
      </c>
      <c r="I40" s="280">
        <v>0</v>
      </c>
    </row>
    <row r="41" spans="1:9" s="275" customFormat="1" ht="15" customHeight="1" x14ac:dyDescent="0.25">
      <c r="A41" s="331" t="s">
        <v>376</v>
      </c>
      <c r="B41" s="170">
        <v>30655.45</v>
      </c>
      <c r="C41" s="170">
        <v>29800</v>
      </c>
      <c r="D41" s="170">
        <v>21817</v>
      </c>
      <c r="E41" s="53">
        <v>21262</v>
      </c>
      <c r="F41" s="170">
        <v>7983</v>
      </c>
      <c r="G41" s="53">
        <v>7683</v>
      </c>
      <c r="H41" s="170">
        <v>0</v>
      </c>
      <c r="I41" s="280">
        <v>0</v>
      </c>
    </row>
    <row r="42" spans="1:9" s="275" customFormat="1" ht="24" customHeight="1" x14ac:dyDescent="0.25">
      <c r="A42" s="331" t="s">
        <v>377</v>
      </c>
      <c r="B42" s="170">
        <v>14680</v>
      </c>
      <c r="C42" s="170">
        <v>14100</v>
      </c>
      <c r="D42" s="170">
        <v>10327</v>
      </c>
      <c r="E42" s="53">
        <v>0</v>
      </c>
      <c r="F42" s="170">
        <v>3773</v>
      </c>
      <c r="G42" s="53">
        <v>3473</v>
      </c>
      <c r="H42" s="170">
        <v>0</v>
      </c>
      <c r="I42" s="280">
        <v>0</v>
      </c>
    </row>
    <row r="43" spans="1:9" s="275" customFormat="1" ht="15" customHeight="1" x14ac:dyDescent="0.25">
      <c r="A43" s="331" t="s">
        <v>378</v>
      </c>
      <c r="B43" s="170">
        <v>63000</v>
      </c>
      <c r="C43" s="170">
        <v>62070</v>
      </c>
      <c r="D43" s="170">
        <v>50842</v>
      </c>
      <c r="E43" s="53">
        <v>50842</v>
      </c>
      <c r="F43" s="170">
        <v>11228</v>
      </c>
      <c r="G43" s="53">
        <v>10928</v>
      </c>
      <c r="H43" s="170">
        <v>0</v>
      </c>
      <c r="I43" s="280">
        <v>0</v>
      </c>
    </row>
    <row r="44" spans="1:9" s="275" customFormat="1" ht="15" customHeight="1" x14ac:dyDescent="0.25">
      <c r="A44" s="331" t="s">
        <v>165</v>
      </c>
      <c r="B44" s="170">
        <v>34000</v>
      </c>
      <c r="C44" s="170">
        <v>8000</v>
      </c>
      <c r="D44" s="170">
        <v>800</v>
      </c>
      <c r="E44" s="53">
        <v>0</v>
      </c>
      <c r="F44" s="170">
        <v>7200</v>
      </c>
      <c r="G44" s="53">
        <v>7000</v>
      </c>
      <c r="H44" s="170">
        <v>0</v>
      </c>
      <c r="I44" s="280">
        <v>0</v>
      </c>
    </row>
    <row r="45" spans="1:9" s="275" customFormat="1" ht="15" customHeight="1" x14ac:dyDescent="0.25">
      <c r="A45" s="331" t="s">
        <v>234</v>
      </c>
      <c r="B45" s="170">
        <v>21000</v>
      </c>
      <c r="C45" s="170">
        <v>3000</v>
      </c>
      <c r="D45" s="170">
        <v>300</v>
      </c>
      <c r="E45" s="53">
        <v>0</v>
      </c>
      <c r="F45" s="170">
        <v>2700</v>
      </c>
      <c r="G45" s="53">
        <v>2500</v>
      </c>
      <c r="H45" s="170">
        <v>0</v>
      </c>
      <c r="I45" s="280">
        <v>0</v>
      </c>
    </row>
    <row r="46" spans="1:9" s="275" customFormat="1" ht="15" customHeight="1" x14ac:dyDescent="0.25">
      <c r="A46" s="331" t="s">
        <v>232</v>
      </c>
      <c r="B46" s="170">
        <v>45994.19</v>
      </c>
      <c r="C46" s="170">
        <v>0</v>
      </c>
      <c r="D46" s="170">
        <v>0</v>
      </c>
      <c r="E46" s="53">
        <v>0</v>
      </c>
      <c r="F46" s="170">
        <v>0</v>
      </c>
      <c r="G46" s="53">
        <v>0</v>
      </c>
      <c r="H46" s="170">
        <v>13384</v>
      </c>
      <c r="I46" s="280">
        <v>11142</v>
      </c>
    </row>
    <row r="47" spans="1:9" s="275" customFormat="1" ht="15" customHeight="1" x14ac:dyDescent="0.25">
      <c r="A47" s="331" t="s">
        <v>161</v>
      </c>
      <c r="B47" s="170">
        <v>8000</v>
      </c>
      <c r="C47" s="170">
        <v>0</v>
      </c>
      <c r="D47" s="170">
        <v>0</v>
      </c>
      <c r="E47" s="53">
        <v>0</v>
      </c>
      <c r="F47" s="170">
        <v>0</v>
      </c>
      <c r="G47" s="53">
        <v>0</v>
      </c>
      <c r="H47" s="170">
        <v>7200</v>
      </c>
      <c r="I47" s="280">
        <v>6668</v>
      </c>
    </row>
    <row r="48" spans="1:9" s="275" customFormat="1" ht="15" customHeight="1" x14ac:dyDescent="0.25">
      <c r="A48" s="331" t="s">
        <v>162</v>
      </c>
      <c r="B48" s="170">
        <v>9998.32</v>
      </c>
      <c r="C48" s="170">
        <v>0</v>
      </c>
      <c r="D48" s="170">
        <v>0</v>
      </c>
      <c r="E48" s="53">
        <v>0</v>
      </c>
      <c r="F48" s="170">
        <v>0</v>
      </c>
      <c r="G48" s="53">
        <v>0</v>
      </c>
      <c r="H48" s="170">
        <v>8935</v>
      </c>
      <c r="I48" s="280">
        <v>7609</v>
      </c>
    </row>
    <row r="49" spans="1:9" s="276" customFormat="1" ht="15" customHeight="1" x14ac:dyDescent="0.25">
      <c r="A49" s="282" t="s">
        <v>50</v>
      </c>
      <c r="B49" s="272" t="s">
        <v>6</v>
      </c>
      <c r="C49" s="272">
        <f>SUM(C35:C48)</f>
        <v>241950</v>
      </c>
      <c r="D49" s="272">
        <f t="shared" ref="D49:I49" si="3">SUM(D35:D48)</f>
        <v>175100</v>
      </c>
      <c r="E49" s="272">
        <f t="shared" si="3"/>
        <v>109877</v>
      </c>
      <c r="F49" s="272">
        <f t="shared" si="3"/>
        <v>66850</v>
      </c>
      <c r="G49" s="272">
        <f t="shared" si="3"/>
        <v>63950</v>
      </c>
      <c r="H49" s="272">
        <f t="shared" si="3"/>
        <v>29519</v>
      </c>
      <c r="I49" s="283">
        <f t="shared" si="3"/>
        <v>25419</v>
      </c>
    </row>
    <row r="50" spans="1:9" s="274" customFormat="1" ht="18" customHeight="1" x14ac:dyDescent="0.25">
      <c r="A50" s="398" t="s">
        <v>431</v>
      </c>
      <c r="B50" s="399"/>
      <c r="C50" s="399"/>
      <c r="D50" s="399"/>
      <c r="E50" s="399"/>
      <c r="F50" s="399"/>
      <c r="G50" s="399"/>
      <c r="H50" s="399"/>
      <c r="I50" s="400"/>
    </row>
    <row r="51" spans="1:9" s="275" customFormat="1" ht="15" customHeight="1" x14ac:dyDescent="0.25">
      <c r="A51" s="332" t="s">
        <v>236</v>
      </c>
      <c r="B51" s="170">
        <v>236095</v>
      </c>
      <c r="C51" s="170">
        <v>56000</v>
      </c>
      <c r="D51" s="170">
        <v>8443</v>
      </c>
      <c r="E51" s="53">
        <v>8443</v>
      </c>
      <c r="F51" s="170">
        <v>47557</v>
      </c>
      <c r="G51" s="53">
        <v>47100</v>
      </c>
      <c r="H51" s="170">
        <v>0</v>
      </c>
      <c r="I51" s="280">
        <v>0</v>
      </c>
    </row>
    <row r="52" spans="1:9" s="276" customFormat="1" ht="15" customHeight="1" x14ac:dyDescent="0.25">
      <c r="A52" s="282" t="s">
        <v>432</v>
      </c>
      <c r="B52" s="272" t="s">
        <v>6</v>
      </c>
      <c r="C52" s="272">
        <f t="shared" ref="C52:I52" si="4">SUM(C51:C51)</f>
        <v>56000</v>
      </c>
      <c r="D52" s="272">
        <f t="shared" si="4"/>
        <v>8443</v>
      </c>
      <c r="E52" s="272">
        <f t="shared" si="4"/>
        <v>8443</v>
      </c>
      <c r="F52" s="272">
        <f t="shared" si="4"/>
        <v>47557</v>
      </c>
      <c r="G52" s="272">
        <f t="shared" si="4"/>
        <v>47100</v>
      </c>
      <c r="H52" s="272">
        <f t="shared" si="4"/>
        <v>0</v>
      </c>
      <c r="I52" s="283">
        <f t="shared" si="4"/>
        <v>0</v>
      </c>
    </row>
    <row r="53" spans="1:9" s="274" customFormat="1" ht="18" customHeight="1" x14ac:dyDescent="0.25">
      <c r="A53" s="401" t="s">
        <v>51</v>
      </c>
      <c r="B53" s="402"/>
      <c r="C53" s="402"/>
      <c r="D53" s="399"/>
      <c r="E53" s="399"/>
      <c r="F53" s="399"/>
      <c r="G53" s="399"/>
      <c r="H53" s="402"/>
      <c r="I53" s="403"/>
    </row>
    <row r="54" spans="1:9" s="275" customFormat="1" ht="15" customHeight="1" x14ac:dyDescent="0.25">
      <c r="A54" s="331" t="s">
        <v>384</v>
      </c>
      <c r="B54" s="170">
        <v>49563</v>
      </c>
      <c r="C54" s="170">
        <v>39563</v>
      </c>
      <c r="D54" s="170">
        <v>3957</v>
      </c>
      <c r="E54" s="53">
        <v>0</v>
      </c>
      <c r="F54" s="170">
        <v>35606</v>
      </c>
      <c r="G54" s="53">
        <v>35606</v>
      </c>
      <c r="H54" s="170">
        <v>0</v>
      </c>
      <c r="I54" s="280">
        <v>0</v>
      </c>
    </row>
    <row r="55" spans="1:9" s="275" customFormat="1" ht="15" customHeight="1" x14ac:dyDescent="0.25">
      <c r="A55" s="331" t="s">
        <v>386</v>
      </c>
      <c r="B55" s="170">
        <v>19587</v>
      </c>
      <c r="C55" s="170">
        <v>19337</v>
      </c>
      <c r="D55" s="170">
        <v>1934</v>
      </c>
      <c r="E55" s="53">
        <v>0</v>
      </c>
      <c r="F55" s="170">
        <v>17403</v>
      </c>
      <c r="G55" s="53">
        <v>17403</v>
      </c>
      <c r="H55" s="170">
        <v>17628</v>
      </c>
      <c r="I55" s="280">
        <v>17403</v>
      </c>
    </row>
    <row r="56" spans="1:9" s="275" customFormat="1" ht="15" customHeight="1" x14ac:dyDescent="0.25">
      <c r="A56" s="331" t="s">
        <v>387</v>
      </c>
      <c r="B56" s="170">
        <v>25851</v>
      </c>
      <c r="C56" s="170">
        <v>25601</v>
      </c>
      <c r="D56" s="170">
        <v>2560</v>
      </c>
      <c r="E56" s="53">
        <v>0</v>
      </c>
      <c r="F56" s="170">
        <v>23041</v>
      </c>
      <c r="G56" s="53">
        <v>23000</v>
      </c>
      <c r="H56" s="170">
        <v>0</v>
      </c>
      <c r="I56" s="280">
        <v>0</v>
      </c>
    </row>
    <row r="57" spans="1:9" s="274" customFormat="1" ht="24" customHeight="1" x14ac:dyDescent="0.25">
      <c r="A57" s="334" t="s">
        <v>413</v>
      </c>
      <c r="B57" s="268">
        <v>87577</v>
      </c>
      <c r="C57" s="268">
        <v>40219</v>
      </c>
      <c r="D57" s="268">
        <v>40219</v>
      </c>
      <c r="E57" s="271">
        <v>40219</v>
      </c>
      <c r="F57" s="268">
        <v>0</v>
      </c>
      <c r="G57" s="271">
        <v>0</v>
      </c>
      <c r="H57" s="268">
        <v>0</v>
      </c>
      <c r="I57" s="281">
        <v>0</v>
      </c>
    </row>
    <row r="58" spans="1:9" s="276" customFormat="1" ht="15" customHeight="1" x14ac:dyDescent="0.25">
      <c r="A58" s="282" t="s">
        <v>52</v>
      </c>
      <c r="B58" s="272" t="s">
        <v>6</v>
      </c>
      <c r="C58" s="272">
        <f>SUM(C54:C57)</f>
        <v>124720</v>
      </c>
      <c r="D58" s="272">
        <f t="shared" ref="D58:H58" si="5">SUM(D54:D57)</f>
        <v>48670</v>
      </c>
      <c r="E58" s="272">
        <f t="shared" si="5"/>
        <v>40219</v>
      </c>
      <c r="F58" s="272">
        <f t="shared" si="5"/>
        <v>76050</v>
      </c>
      <c r="G58" s="272">
        <f t="shared" si="5"/>
        <v>76009</v>
      </c>
      <c r="H58" s="272">
        <f t="shared" si="5"/>
        <v>17628</v>
      </c>
      <c r="I58" s="283">
        <f>SUM(I54:I57)</f>
        <v>17403</v>
      </c>
    </row>
    <row r="59" spans="1:9" s="274" customFormat="1" ht="18" customHeight="1" x14ac:dyDescent="0.25">
      <c r="A59" s="398" t="s">
        <v>66</v>
      </c>
      <c r="B59" s="399"/>
      <c r="C59" s="399"/>
      <c r="D59" s="399"/>
      <c r="E59" s="399"/>
      <c r="F59" s="399"/>
      <c r="G59" s="399"/>
      <c r="H59" s="399"/>
      <c r="I59" s="400"/>
    </row>
    <row r="60" spans="1:9" s="275" customFormat="1" ht="15" customHeight="1" x14ac:dyDescent="0.25">
      <c r="A60" s="332" t="s">
        <v>69</v>
      </c>
      <c r="B60" s="170">
        <v>40710.89</v>
      </c>
      <c r="C60" s="170">
        <v>25160</v>
      </c>
      <c r="D60" s="170">
        <v>0</v>
      </c>
      <c r="E60" s="53">
        <v>0</v>
      </c>
      <c r="F60" s="170">
        <v>25160</v>
      </c>
      <c r="G60" s="53">
        <v>25000</v>
      </c>
      <c r="H60" s="170">
        <v>25100</v>
      </c>
      <c r="I60" s="280">
        <v>24500</v>
      </c>
    </row>
    <row r="61" spans="1:9" s="276" customFormat="1" ht="15" customHeight="1" thickBot="1" x14ac:dyDescent="0.3">
      <c r="A61" s="282" t="s">
        <v>70</v>
      </c>
      <c r="B61" s="272" t="s">
        <v>6</v>
      </c>
      <c r="C61" s="272">
        <f t="shared" ref="C61:I61" si="6">SUM(C60:C60)</f>
        <v>25160</v>
      </c>
      <c r="D61" s="272">
        <f t="shared" si="6"/>
        <v>0</v>
      </c>
      <c r="E61" s="272">
        <f t="shared" si="6"/>
        <v>0</v>
      </c>
      <c r="F61" s="272">
        <f t="shared" si="6"/>
        <v>25160</v>
      </c>
      <c r="G61" s="272">
        <f t="shared" si="6"/>
        <v>25000</v>
      </c>
      <c r="H61" s="272">
        <f t="shared" si="6"/>
        <v>25100</v>
      </c>
      <c r="I61" s="283">
        <f t="shared" si="6"/>
        <v>24500</v>
      </c>
    </row>
    <row r="62" spans="1:9" s="276" customFormat="1" ht="25.5" customHeight="1" thickBot="1" x14ac:dyDescent="0.3">
      <c r="A62" s="277" t="s">
        <v>296</v>
      </c>
      <c r="B62" s="278" t="s">
        <v>6</v>
      </c>
      <c r="C62" s="278">
        <f t="shared" ref="C62:I62" si="7">C61+C58+C49+C33+C23+C18+C52</f>
        <v>1254406</v>
      </c>
      <c r="D62" s="278">
        <f t="shared" si="7"/>
        <v>482220</v>
      </c>
      <c r="E62" s="278">
        <f t="shared" si="7"/>
        <v>249898</v>
      </c>
      <c r="F62" s="278">
        <f t="shared" si="7"/>
        <v>772186</v>
      </c>
      <c r="G62" s="278">
        <f t="shared" si="7"/>
        <v>765621</v>
      </c>
      <c r="H62" s="278">
        <f t="shared" si="7"/>
        <v>368370</v>
      </c>
      <c r="I62" s="279">
        <f t="shared" si="7"/>
        <v>337161</v>
      </c>
    </row>
    <row r="63" spans="1:9" s="276" customFormat="1" ht="24" customHeight="1" thickBot="1" x14ac:dyDescent="0.3">
      <c r="A63" s="286"/>
      <c r="B63" s="347"/>
      <c r="C63" s="347"/>
      <c r="D63" s="347"/>
      <c r="E63" s="347"/>
      <c r="F63" s="347"/>
      <c r="G63" s="347"/>
      <c r="H63" s="347"/>
      <c r="I63" s="265"/>
    </row>
    <row r="64" spans="1:9" s="276" customFormat="1" ht="21" customHeight="1" x14ac:dyDescent="0.25">
      <c r="A64" s="394" t="s">
        <v>294</v>
      </c>
      <c r="B64" s="395"/>
      <c r="C64" s="395"/>
      <c r="D64" s="395"/>
      <c r="E64" s="395"/>
      <c r="F64" s="395"/>
      <c r="G64" s="395"/>
      <c r="H64" s="396"/>
      <c r="I64" s="397"/>
    </row>
    <row r="65" spans="1:9" ht="18" customHeight="1" x14ac:dyDescent="0.2">
      <c r="A65" s="398" t="s">
        <v>264</v>
      </c>
      <c r="B65" s="399"/>
      <c r="C65" s="399"/>
      <c r="D65" s="399"/>
      <c r="E65" s="399"/>
      <c r="F65" s="399"/>
      <c r="G65" s="399"/>
      <c r="H65" s="399"/>
      <c r="I65" s="400"/>
    </row>
    <row r="66" spans="1:9" s="274" customFormat="1" ht="24" customHeight="1" x14ac:dyDescent="0.25">
      <c r="A66" s="333" t="s">
        <v>418</v>
      </c>
      <c r="B66" s="268">
        <v>92000</v>
      </c>
      <c r="C66" s="268">
        <v>40000</v>
      </c>
      <c r="D66" s="268">
        <v>40000</v>
      </c>
      <c r="E66" s="271">
        <v>40000</v>
      </c>
      <c r="F66" s="268">
        <v>0</v>
      </c>
      <c r="G66" s="271">
        <v>0</v>
      </c>
      <c r="H66" s="268">
        <v>0</v>
      </c>
      <c r="I66" s="281">
        <v>0</v>
      </c>
    </row>
    <row r="67" spans="1:9" s="274" customFormat="1" ht="24" customHeight="1" x14ac:dyDescent="0.25">
      <c r="A67" s="333" t="s">
        <v>419</v>
      </c>
      <c r="B67" s="268">
        <v>41000</v>
      </c>
      <c r="C67" s="268">
        <v>41000</v>
      </c>
      <c r="D67" s="268">
        <v>41000</v>
      </c>
      <c r="E67" s="271">
        <v>41000</v>
      </c>
      <c r="F67" s="268">
        <v>0</v>
      </c>
      <c r="G67" s="271">
        <v>0</v>
      </c>
      <c r="H67" s="268">
        <v>0</v>
      </c>
      <c r="I67" s="281">
        <v>0</v>
      </c>
    </row>
    <row r="68" spans="1:9" s="274" customFormat="1" ht="24" customHeight="1" x14ac:dyDescent="0.25">
      <c r="A68" s="333" t="s">
        <v>420</v>
      </c>
      <c r="B68" s="268">
        <v>60000</v>
      </c>
      <c r="C68" s="268">
        <v>60000</v>
      </c>
      <c r="D68" s="268">
        <v>60000</v>
      </c>
      <c r="E68" s="271">
        <v>60000</v>
      </c>
      <c r="F68" s="268">
        <v>0</v>
      </c>
      <c r="G68" s="271">
        <v>0</v>
      </c>
      <c r="H68" s="268">
        <v>0</v>
      </c>
      <c r="I68" s="281">
        <v>0</v>
      </c>
    </row>
    <row r="69" spans="1:9" s="274" customFormat="1" ht="15" customHeight="1" x14ac:dyDescent="0.25">
      <c r="A69" s="333" t="s">
        <v>433</v>
      </c>
      <c r="B69" s="268">
        <v>90300</v>
      </c>
      <c r="C69" s="268">
        <v>300</v>
      </c>
      <c r="D69" s="268">
        <v>300</v>
      </c>
      <c r="E69" s="271">
        <v>300</v>
      </c>
      <c r="F69" s="268">
        <v>0</v>
      </c>
      <c r="G69" s="271">
        <v>0</v>
      </c>
      <c r="H69" s="268">
        <v>0</v>
      </c>
      <c r="I69" s="281">
        <v>0</v>
      </c>
    </row>
    <row r="70" spans="1:9" s="274" customFormat="1" ht="15" customHeight="1" x14ac:dyDescent="0.25">
      <c r="A70" s="333" t="s">
        <v>280</v>
      </c>
      <c r="B70" s="268">
        <v>410409</v>
      </c>
      <c r="C70" s="268">
        <v>100000</v>
      </c>
      <c r="D70" s="268">
        <v>100000</v>
      </c>
      <c r="E70" s="271">
        <v>30000</v>
      </c>
      <c r="F70" s="268">
        <v>0</v>
      </c>
      <c r="G70" s="271">
        <v>0</v>
      </c>
      <c r="H70" s="268">
        <v>0</v>
      </c>
      <c r="I70" s="281">
        <v>0</v>
      </c>
    </row>
    <row r="71" spans="1:9" s="274" customFormat="1" ht="24" customHeight="1" x14ac:dyDescent="0.25">
      <c r="A71" s="333" t="s">
        <v>417</v>
      </c>
      <c r="B71" s="268">
        <v>2918489.76</v>
      </c>
      <c r="C71" s="268">
        <v>13000</v>
      </c>
      <c r="D71" s="268">
        <v>13000</v>
      </c>
      <c r="E71" s="271">
        <v>13000</v>
      </c>
      <c r="F71" s="268">
        <v>0</v>
      </c>
      <c r="G71" s="271">
        <v>0</v>
      </c>
      <c r="H71" s="268">
        <v>0</v>
      </c>
      <c r="I71" s="281">
        <v>0</v>
      </c>
    </row>
    <row r="72" spans="1:9" s="276" customFormat="1" ht="15" customHeight="1" x14ac:dyDescent="0.25">
      <c r="A72" s="282" t="s">
        <v>259</v>
      </c>
      <c r="B72" s="272" t="s">
        <v>6</v>
      </c>
      <c r="C72" s="272">
        <f>SUM(C66:C71)</f>
        <v>254300</v>
      </c>
      <c r="D72" s="272">
        <f t="shared" ref="D72:I72" si="8">SUM(D66:D71)</f>
        <v>254300</v>
      </c>
      <c r="E72" s="272">
        <f t="shared" si="8"/>
        <v>184300</v>
      </c>
      <c r="F72" s="272">
        <f t="shared" si="8"/>
        <v>0</v>
      </c>
      <c r="G72" s="272">
        <f t="shared" si="8"/>
        <v>0</v>
      </c>
      <c r="H72" s="272">
        <f t="shared" si="8"/>
        <v>0</v>
      </c>
      <c r="I72" s="283">
        <f t="shared" si="8"/>
        <v>0</v>
      </c>
    </row>
    <row r="73" spans="1:9" s="274" customFormat="1" ht="18" customHeight="1" x14ac:dyDescent="0.25">
      <c r="A73" s="391" t="s">
        <v>45</v>
      </c>
      <c r="B73" s="392"/>
      <c r="C73" s="392"/>
      <c r="D73" s="392"/>
      <c r="E73" s="392"/>
      <c r="F73" s="392"/>
      <c r="G73" s="392"/>
      <c r="H73" s="392"/>
      <c r="I73" s="393"/>
    </row>
    <row r="74" spans="1:9" s="274" customFormat="1" ht="24" customHeight="1" x14ac:dyDescent="0.25">
      <c r="A74" s="334" t="s">
        <v>278</v>
      </c>
      <c r="B74" s="268">
        <v>147269.31</v>
      </c>
      <c r="C74" s="268">
        <v>50000</v>
      </c>
      <c r="D74" s="268">
        <v>20000</v>
      </c>
      <c r="E74" s="271">
        <v>20000</v>
      </c>
      <c r="F74" s="268">
        <v>0</v>
      </c>
      <c r="G74" s="271">
        <v>0</v>
      </c>
      <c r="H74" s="268">
        <v>0</v>
      </c>
      <c r="I74" s="281">
        <v>0</v>
      </c>
    </row>
    <row r="75" spans="1:9" s="274" customFormat="1" ht="24" customHeight="1" x14ac:dyDescent="0.25">
      <c r="A75" s="334" t="s">
        <v>279</v>
      </c>
      <c r="B75" s="268">
        <v>52560.17</v>
      </c>
      <c r="C75" s="268">
        <v>40400</v>
      </c>
      <c r="D75" s="268">
        <v>40400</v>
      </c>
      <c r="E75" s="271">
        <v>40400</v>
      </c>
      <c r="F75" s="268">
        <v>0</v>
      </c>
      <c r="G75" s="271">
        <v>0</v>
      </c>
      <c r="H75" s="268">
        <v>0</v>
      </c>
      <c r="I75" s="281">
        <v>0</v>
      </c>
    </row>
    <row r="76" spans="1:9" s="276" customFormat="1" ht="15" customHeight="1" x14ac:dyDescent="0.25">
      <c r="A76" s="282" t="s">
        <v>46</v>
      </c>
      <c r="B76" s="272" t="s">
        <v>6</v>
      </c>
      <c r="C76" s="272">
        <f>SUM(C74:C75)</f>
        <v>90400</v>
      </c>
      <c r="D76" s="272">
        <f t="shared" ref="D76:I76" si="9">SUM(D74:D75)</f>
        <v>60400</v>
      </c>
      <c r="E76" s="272">
        <f t="shared" si="9"/>
        <v>60400</v>
      </c>
      <c r="F76" s="272">
        <f t="shared" si="9"/>
        <v>0</v>
      </c>
      <c r="G76" s="272">
        <f t="shared" si="9"/>
        <v>0</v>
      </c>
      <c r="H76" s="272">
        <f t="shared" si="9"/>
        <v>0</v>
      </c>
      <c r="I76" s="283">
        <f t="shared" si="9"/>
        <v>0</v>
      </c>
    </row>
    <row r="77" spans="1:9" s="274" customFormat="1" ht="18" customHeight="1" x14ac:dyDescent="0.25">
      <c r="A77" s="391" t="s">
        <v>47</v>
      </c>
      <c r="B77" s="392"/>
      <c r="C77" s="392"/>
      <c r="D77" s="392"/>
      <c r="E77" s="392"/>
      <c r="F77" s="392"/>
      <c r="G77" s="392"/>
      <c r="H77" s="392"/>
      <c r="I77" s="393"/>
    </row>
    <row r="78" spans="1:9" s="274" customFormat="1" ht="24" customHeight="1" x14ac:dyDescent="0.25">
      <c r="A78" s="335" t="s">
        <v>421</v>
      </c>
      <c r="B78" s="268">
        <v>13500</v>
      </c>
      <c r="C78" s="268">
        <v>2850</v>
      </c>
      <c r="D78" s="268">
        <v>2850</v>
      </c>
      <c r="E78" s="271">
        <v>2850</v>
      </c>
      <c r="F78" s="268">
        <v>0</v>
      </c>
      <c r="G78" s="271">
        <v>0</v>
      </c>
      <c r="H78" s="268">
        <v>0</v>
      </c>
      <c r="I78" s="281">
        <v>0</v>
      </c>
    </row>
    <row r="79" spans="1:9" s="274" customFormat="1" ht="24" customHeight="1" x14ac:dyDescent="0.25">
      <c r="A79" s="333" t="s">
        <v>277</v>
      </c>
      <c r="B79" s="268">
        <v>210980.83</v>
      </c>
      <c r="C79" s="268">
        <v>135525</v>
      </c>
      <c r="D79" s="268">
        <v>97731</v>
      </c>
      <c r="E79" s="271">
        <v>97731</v>
      </c>
      <c r="F79" s="268">
        <v>37794</v>
      </c>
      <c r="G79" s="271">
        <v>37794</v>
      </c>
      <c r="H79" s="268">
        <v>37794</v>
      </c>
      <c r="I79" s="281">
        <v>37794</v>
      </c>
    </row>
    <row r="80" spans="1:9" s="274" customFormat="1" ht="15" customHeight="1" x14ac:dyDescent="0.25">
      <c r="A80" s="335" t="s">
        <v>276</v>
      </c>
      <c r="B80" s="268">
        <v>366739.41</v>
      </c>
      <c r="C80" s="268">
        <v>230000</v>
      </c>
      <c r="D80" s="268">
        <v>165000</v>
      </c>
      <c r="E80" s="271">
        <v>165000</v>
      </c>
      <c r="F80" s="268">
        <v>65000</v>
      </c>
      <c r="G80" s="271">
        <v>65000</v>
      </c>
      <c r="H80" s="268">
        <v>65000</v>
      </c>
      <c r="I80" s="281">
        <v>65000</v>
      </c>
    </row>
    <row r="81" spans="1:9" s="276" customFormat="1" ht="15" customHeight="1" x14ac:dyDescent="0.25">
      <c r="A81" s="282" t="s">
        <v>48</v>
      </c>
      <c r="B81" s="272" t="s">
        <v>6</v>
      </c>
      <c r="C81" s="272">
        <f>SUM(C78:C80)</f>
        <v>368375</v>
      </c>
      <c r="D81" s="272">
        <f t="shared" ref="D81:I81" si="10">SUM(D78:D80)</f>
        <v>265581</v>
      </c>
      <c r="E81" s="272">
        <f t="shared" si="10"/>
        <v>265581</v>
      </c>
      <c r="F81" s="272">
        <f t="shared" si="10"/>
        <v>102794</v>
      </c>
      <c r="G81" s="272">
        <f t="shared" si="10"/>
        <v>102794</v>
      </c>
      <c r="H81" s="272">
        <f t="shared" si="10"/>
        <v>102794</v>
      </c>
      <c r="I81" s="283">
        <f t="shared" si="10"/>
        <v>102794</v>
      </c>
    </row>
    <row r="82" spans="1:9" s="274" customFormat="1" ht="18" customHeight="1" x14ac:dyDescent="0.25">
      <c r="A82" s="391" t="s">
        <v>49</v>
      </c>
      <c r="B82" s="392"/>
      <c r="C82" s="392"/>
      <c r="D82" s="392"/>
      <c r="E82" s="392"/>
      <c r="F82" s="392"/>
      <c r="G82" s="392"/>
      <c r="H82" s="392"/>
      <c r="I82" s="393"/>
    </row>
    <row r="83" spans="1:9" s="274" customFormat="1" ht="24" customHeight="1" x14ac:dyDescent="0.25">
      <c r="A83" s="334" t="s">
        <v>429</v>
      </c>
      <c r="B83" s="268">
        <v>28900.01</v>
      </c>
      <c r="C83" s="268">
        <v>15000</v>
      </c>
      <c r="D83" s="268">
        <v>15000</v>
      </c>
      <c r="E83" s="271">
        <v>15000</v>
      </c>
      <c r="F83" s="268">
        <v>0</v>
      </c>
      <c r="G83" s="271">
        <v>0</v>
      </c>
      <c r="H83" s="268">
        <v>0</v>
      </c>
      <c r="I83" s="281">
        <v>0</v>
      </c>
    </row>
    <row r="84" spans="1:9" s="274" customFormat="1" ht="24" customHeight="1" x14ac:dyDescent="0.25">
      <c r="A84" s="334" t="s">
        <v>269</v>
      </c>
      <c r="B84" s="268">
        <v>297174.65046999994</v>
      </c>
      <c r="C84" s="268">
        <v>500</v>
      </c>
      <c r="D84" s="268">
        <v>500</v>
      </c>
      <c r="E84" s="271">
        <v>500</v>
      </c>
      <c r="F84" s="268">
        <v>0</v>
      </c>
      <c r="G84" s="271">
        <v>0</v>
      </c>
      <c r="H84" s="268">
        <v>0</v>
      </c>
      <c r="I84" s="281">
        <v>0</v>
      </c>
    </row>
    <row r="85" spans="1:9" s="274" customFormat="1" ht="24" customHeight="1" x14ac:dyDescent="0.25">
      <c r="A85" s="334" t="s">
        <v>275</v>
      </c>
      <c r="B85" s="268">
        <v>31053.17</v>
      </c>
      <c r="C85" s="268">
        <v>500</v>
      </c>
      <c r="D85" s="268">
        <v>500</v>
      </c>
      <c r="E85" s="271">
        <v>500</v>
      </c>
      <c r="F85" s="268">
        <v>0</v>
      </c>
      <c r="G85" s="271">
        <v>0</v>
      </c>
      <c r="H85" s="268">
        <v>0</v>
      </c>
      <c r="I85" s="281">
        <v>0</v>
      </c>
    </row>
    <row r="86" spans="1:9" s="274" customFormat="1" ht="24" customHeight="1" x14ac:dyDescent="0.25">
      <c r="A86" s="334" t="s">
        <v>268</v>
      </c>
      <c r="B86" s="268">
        <v>76861.25</v>
      </c>
      <c r="C86" s="268">
        <v>10000</v>
      </c>
      <c r="D86" s="268">
        <v>10000</v>
      </c>
      <c r="E86" s="271">
        <v>10000</v>
      </c>
      <c r="F86" s="268">
        <v>0</v>
      </c>
      <c r="G86" s="271">
        <v>0</v>
      </c>
      <c r="H86" s="268">
        <v>0</v>
      </c>
      <c r="I86" s="281">
        <v>0</v>
      </c>
    </row>
    <row r="87" spans="1:9" s="274" customFormat="1" ht="34.5" customHeight="1" x14ac:dyDescent="0.25">
      <c r="A87" s="334" t="s">
        <v>274</v>
      </c>
      <c r="B87" s="268">
        <v>76219.993950000004</v>
      </c>
      <c r="C87" s="268">
        <v>15000</v>
      </c>
      <c r="D87" s="268">
        <v>15000</v>
      </c>
      <c r="E87" s="271">
        <v>15000</v>
      </c>
      <c r="F87" s="268">
        <v>0</v>
      </c>
      <c r="G87" s="271">
        <v>0</v>
      </c>
      <c r="H87" s="268">
        <v>0</v>
      </c>
      <c r="I87" s="281">
        <v>0</v>
      </c>
    </row>
    <row r="88" spans="1:9" s="274" customFormat="1" ht="34.5" customHeight="1" x14ac:dyDescent="0.25">
      <c r="A88" s="334" t="s">
        <v>425</v>
      </c>
      <c r="B88" s="268">
        <v>12100</v>
      </c>
      <c r="C88" s="268">
        <v>11420</v>
      </c>
      <c r="D88" s="268">
        <v>11420</v>
      </c>
      <c r="E88" s="271">
        <v>11420</v>
      </c>
      <c r="F88" s="268">
        <v>0</v>
      </c>
      <c r="G88" s="271">
        <v>0</v>
      </c>
      <c r="H88" s="268">
        <v>0</v>
      </c>
      <c r="I88" s="281">
        <v>0</v>
      </c>
    </row>
    <row r="89" spans="1:9" s="274" customFormat="1" ht="24" customHeight="1" x14ac:dyDescent="0.25">
      <c r="A89" s="334" t="s">
        <v>272</v>
      </c>
      <c r="B89" s="268">
        <v>180323.372</v>
      </c>
      <c r="C89" s="268">
        <v>113428</v>
      </c>
      <c r="D89" s="268">
        <v>113428</v>
      </c>
      <c r="E89" s="271">
        <v>113428</v>
      </c>
      <c r="F89" s="268">
        <v>0</v>
      </c>
      <c r="G89" s="271">
        <v>0</v>
      </c>
      <c r="H89" s="268">
        <v>0</v>
      </c>
      <c r="I89" s="281">
        <v>0</v>
      </c>
    </row>
    <row r="90" spans="1:9" s="274" customFormat="1" ht="34.5" customHeight="1" x14ac:dyDescent="0.25">
      <c r="A90" s="334" t="s">
        <v>270</v>
      </c>
      <c r="B90" s="268">
        <v>39388.06</v>
      </c>
      <c r="C90" s="268">
        <v>15000</v>
      </c>
      <c r="D90" s="268">
        <v>15000</v>
      </c>
      <c r="E90" s="271">
        <v>15000</v>
      </c>
      <c r="F90" s="268">
        <v>0</v>
      </c>
      <c r="G90" s="271">
        <v>0</v>
      </c>
      <c r="H90" s="268">
        <v>0</v>
      </c>
      <c r="I90" s="281">
        <v>0</v>
      </c>
    </row>
    <row r="91" spans="1:9" s="274" customFormat="1" ht="24" customHeight="1" x14ac:dyDescent="0.25">
      <c r="A91" s="334" t="s">
        <v>424</v>
      </c>
      <c r="B91" s="268">
        <v>19150</v>
      </c>
      <c r="C91" s="268">
        <v>14000</v>
      </c>
      <c r="D91" s="268">
        <v>14000</v>
      </c>
      <c r="E91" s="271">
        <v>14000</v>
      </c>
      <c r="F91" s="268">
        <v>0</v>
      </c>
      <c r="G91" s="271">
        <v>0</v>
      </c>
      <c r="H91" s="268">
        <v>0</v>
      </c>
      <c r="I91" s="281">
        <v>0</v>
      </c>
    </row>
    <row r="92" spans="1:9" s="274" customFormat="1" ht="24" customHeight="1" x14ac:dyDescent="0.25">
      <c r="A92" s="334" t="s">
        <v>422</v>
      </c>
      <c r="B92" s="268">
        <v>57448.27</v>
      </c>
      <c r="C92" s="268">
        <v>2090</v>
      </c>
      <c r="D92" s="268">
        <v>2090</v>
      </c>
      <c r="E92" s="271">
        <v>2090</v>
      </c>
      <c r="F92" s="268">
        <v>0</v>
      </c>
      <c r="G92" s="271">
        <v>0</v>
      </c>
      <c r="H92" s="268">
        <v>0</v>
      </c>
      <c r="I92" s="281">
        <v>0</v>
      </c>
    </row>
    <row r="93" spans="1:9" s="274" customFormat="1" ht="24" customHeight="1" x14ac:dyDescent="0.25">
      <c r="A93" s="334" t="s">
        <v>271</v>
      </c>
      <c r="B93" s="268">
        <v>25771.98</v>
      </c>
      <c r="C93" s="268">
        <v>25000</v>
      </c>
      <c r="D93" s="268">
        <v>25000</v>
      </c>
      <c r="E93" s="271">
        <v>25000</v>
      </c>
      <c r="F93" s="268">
        <v>0</v>
      </c>
      <c r="G93" s="271">
        <v>0</v>
      </c>
      <c r="H93" s="268">
        <v>0</v>
      </c>
      <c r="I93" s="281">
        <v>0</v>
      </c>
    </row>
    <row r="94" spans="1:9" s="274" customFormat="1" ht="34.5" customHeight="1" x14ac:dyDescent="0.25">
      <c r="A94" s="334" t="s">
        <v>273</v>
      </c>
      <c r="B94" s="268">
        <v>9533</v>
      </c>
      <c r="C94" s="268">
        <v>9100</v>
      </c>
      <c r="D94" s="268">
        <v>9100</v>
      </c>
      <c r="E94" s="271">
        <v>9100</v>
      </c>
      <c r="F94" s="268">
        <v>0</v>
      </c>
      <c r="G94" s="271">
        <v>0</v>
      </c>
      <c r="H94" s="268">
        <v>0</v>
      </c>
      <c r="I94" s="281">
        <v>0</v>
      </c>
    </row>
    <row r="95" spans="1:9" s="274" customFormat="1" ht="24" customHeight="1" x14ac:dyDescent="0.25">
      <c r="A95" s="334" t="s">
        <v>423</v>
      </c>
      <c r="B95" s="268">
        <v>282499.14500000002</v>
      </c>
      <c r="C95" s="268">
        <v>11036.31</v>
      </c>
      <c r="D95" s="268">
        <v>11036.31</v>
      </c>
      <c r="E95" s="271">
        <v>11036.31</v>
      </c>
      <c r="F95" s="268">
        <v>0</v>
      </c>
      <c r="G95" s="271">
        <v>0</v>
      </c>
      <c r="H95" s="268">
        <v>0</v>
      </c>
      <c r="I95" s="281">
        <v>0</v>
      </c>
    </row>
    <row r="96" spans="1:9" s="274" customFormat="1" ht="15" customHeight="1" x14ac:dyDescent="0.25">
      <c r="A96" s="334" t="s">
        <v>426</v>
      </c>
      <c r="B96" s="268">
        <v>73339.33</v>
      </c>
      <c r="C96" s="268">
        <v>40000</v>
      </c>
      <c r="D96" s="268">
        <v>40000</v>
      </c>
      <c r="E96" s="271">
        <v>40000</v>
      </c>
      <c r="F96" s="268">
        <v>0</v>
      </c>
      <c r="G96" s="271">
        <v>0</v>
      </c>
      <c r="H96" s="268">
        <v>0</v>
      </c>
      <c r="I96" s="281">
        <v>0</v>
      </c>
    </row>
    <row r="97" spans="1:9" s="274" customFormat="1" ht="24" customHeight="1" x14ac:dyDescent="0.25">
      <c r="A97" s="334" t="s">
        <v>427</v>
      </c>
      <c r="B97" s="268">
        <v>21500.05</v>
      </c>
      <c r="C97" s="268">
        <v>7372.9500000000007</v>
      </c>
      <c r="D97" s="268">
        <v>7372.9500000000007</v>
      </c>
      <c r="E97" s="271">
        <v>7372.9500000000007</v>
      </c>
      <c r="F97" s="268">
        <v>0</v>
      </c>
      <c r="G97" s="271">
        <v>0</v>
      </c>
      <c r="H97" s="268">
        <v>0</v>
      </c>
      <c r="I97" s="281">
        <v>0</v>
      </c>
    </row>
    <row r="98" spans="1:9" s="274" customFormat="1" ht="24" customHeight="1" x14ac:dyDescent="0.25">
      <c r="A98" s="334" t="s">
        <v>428</v>
      </c>
      <c r="B98" s="268">
        <v>25240</v>
      </c>
      <c r="C98" s="268">
        <v>2000</v>
      </c>
      <c r="D98" s="268">
        <v>2000</v>
      </c>
      <c r="E98" s="271">
        <v>2000</v>
      </c>
      <c r="F98" s="268">
        <v>0</v>
      </c>
      <c r="G98" s="271">
        <v>0</v>
      </c>
      <c r="H98" s="268">
        <v>0</v>
      </c>
      <c r="I98" s="281">
        <v>0</v>
      </c>
    </row>
    <row r="99" spans="1:9" s="276" customFormat="1" ht="15" customHeight="1" x14ac:dyDescent="0.25">
      <c r="A99" s="282" t="s">
        <v>50</v>
      </c>
      <c r="B99" s="272" t="s">
        <v>6</v>
      </c>
      <c r="C99" s="272">
        <f>SUM(C83:C98)</f>
        <v>291447.26</v>
      </c>
      <c r="D99" s="272">
        <f t="shared" ref="D99:I99" si="11">SUM(D83:D98)</f>
        <v>291447.26</v>
      </c>
      <c r="E99" s="272">
        <f t="shared" si="11"/>
        <v>291447.26</v>
      </c>
      <c r="F99" s="272">
        <f t="shared" si="11"/>
        <v>0</v>
      </c>
      <c r="G99" s="272">
        <f t="shared" si="11"/>
        <v>0</v>
      </c>
      <c r="H99" s="272">
        <f t="shared" si="11"/>
        <v>0</v>
      </c>
      <c r="I99" s="283">
        <f t="shared" si="11"/>
        <v>0</v>
      </c>
    </row>
    <row r="100" spans="1:9" s="274" customFormat="1" ht="18" customHeight="1" x14ac:dyDescent="0.25">
      <c r="A100" s="391" t="s">
        <v>51</v>
      </c>
      <c r="B100" s="392"/>
      <c r="C100" s="392"/>
      <c r="D100" s="392"/>
      <c r="E100" s="392"/>
      <c r="F100" s="392"/>
      <c r="G100" s="392"/>
      <c r="H100" s="392"/>
      <c r="I100" s="393"/>
    </row>
    <row r="101" spans="1:9" s="274" customFormat="1" ht="15" customHeight="1" x14ac:dyDescent="0.25">
      <c r="A101" s="334" t="s">
        <v>434</v>
      </c>
      <c r="B101" s="268">
        <v>25151.233</v>
      </c>
      <c r="C101" s="268">
        <v>22900</v>
      </c>
      <c r="D101" s="268">
        <v>22900</v>
      </c>
      <c r="E101" s="271">
        <v>22900</v>
      </c>
      <c r="F101" s="268">
        <v>0</v>
      </c>
      <c r="G101" s="271">
        <v>0</v>
      </c>
      <c r="H101" s="268">
        <v>0</v>
      </c>
      <c r="I101" s="281">
        <v>0</v>
      </c>
    </row>
    <row r="102" spans="1:9" s="274" customFormat="1" ht="24" customHeight="1" x14ac:dyDescent="0.25">
      <c r="A102" s="334" t="s">
        <v>266</v>
      </c>
      <c r="B102" s="268">
        <v>188400.11</v>
      </c>
      <c r="C102" s="268">
        <v>134182</v>
      </c>
      <c r="D102" s="268">
        <v>93182</v>
      </c>
      <c r="E102" s="271">
        <v>93182</v>
      </c>
      <c r="F102" s="268">
        <v>0</v>
      </c>
      <c r="G102" s="271">
        <v>0</v>
      </c>
      <c r="H102" s="268">
        <v>0</v>
      </c>
      <c r="I102" s="281">
        <v>0</v>
      </c>
    </row>
    <row r="103" spans="1:9" s="274" customFormat="1" ht="24" customHeight="1" x14ac:dyDescent="0.25">
      <c r="A103" s="334" t="s">
        <v>267</v>
      </c>
      <c r="B103" s="268">
        <v>107521.59050000001</v>
      </c>
      <c r="C103" s="268">
        <v>85000</v>
      </c>
      <c r="D103" s="268">
        <v>85000</v>
      </c>
      <c r="E103" s="273">
        <v>85000</v>
      </c>
      <c r="F103" s="336">
        <v>0</v>
      </c>
      <c r="G103" s="273">
        <v>0</v>
      </c>
      <c r="H103" s="336">
        <v>0</v>
      </c>
      <c r="I103" s="285">
        <v>0</v>
      </c>
    </row>
    <row r="104" spans="1:9" s="276" customFormat="1" ht="15" customHeight="1" thickBot="1" x14ac:dyDescent="0.3">
      <c r="A104" s="282" t="s">
        <v>52</v>
      </c>
      <c r="B104" s="272" t="s">
        <v>6</v>
      </c>
      <c r="C104" s="272">
        <f>SUM(C101:C103)</f>
        <v>242082</v>
      </c>
      <c r="D104" s="272">
        <f t="shared" ref="D104:I104" si="12">SUM(D101:D103)</f>
        <v>201082</v>
      </c>
      <c r="E104" s="272">
        <f t="shared" si="12"/>
        <v>201082</v>
      </c>
      <c r="F104" s="272">
        <f t="shared" si="12"/>
        <v>0</v>
      </c>
      <c r="G104" s="272">
        <f t="shared" si="12"/>
        <v>0</v>
      </c>
      <c r="H104" s="272">
        <f t="shared" si="12"/>
        <v>0</v>
      </c>
      <c r="I104" s="283">
        <f t="shared" si="12"/>
        <v>0</v>
      </c>
    </row>
    <row r="105" spans="1:9" s="276" customFormat="1" ht="25.5" customHeight="1" thickBot="1" x14ac:dyDescent="0.3">
      <c r="A105" s="277" t="s">
        <v>297</v>
      </c>
      <c r="B105" s="278" t="s">
        <v>6</v>
      </c>
      <c r="C105" s="278">
        <f t="shared" ref="C105:I105" si="13">C104+C99+C81+C76+C72</f>
        <v>1246604.26</v>
      </c>
      <c r="D105" s="278">
        <f t="shared" si="13"/>
        <v>1072810.26</v>
      </c>
      <c r="E105" s="278">
        <f t="shared" si="13"/>
        <v>1002810.26</v>
      </c>
      <c r="F105" s="278">
        <f t="shared" si="13"/>
        <v>102794</v>
      </c>
      <c r="G105" s="278">
        <f t="shared" si="13"/>
        <v>102794</v>
      </c>
      <c r="H105" s="278">
        <f t="shared" si="13"/>
        <v>102794</v>
      </c>
      <c r="I105" s="279">
        <f t="shared" si="13"/>
        <v>102794</v>
      </c>
    </row>
    <row r="106" spans="1:9" s="276" customFormat="1" ht="24" customHeight="1" thickBot="1" x14ac:dyDescent="0.3">
      <c r="A106" s="286"/>
      <c r="B106" s="347"/>
      <c r="C106" s="347"/>
      <c r="D106" s="347"/>
      <c r="E106" s="347"/>
      <c r="F106" s="347"/>
      <c r="G106" s="347"/>
      <c r="H106" s="347"/>
      <c r="I106" s="265"/>
    </row>
    <row r="107" spans="1:9" s="276" customFormat="1" ht="21" customHeight="1" x14ac:dyDescent="0.25">
      <c r="A107" s="394" t="s">
        <v>78</v>
      </c>
      <c r="B107" s="395"/>
      <c r="C107" s="395"/>
      <c r="D107" s="395"/>
      <c r="E107" s="395"/>
      <c r="F107" s="395"/>
      <c r="G107" s="395"/>
      <c r="H107" s="396"/>
      <c r="I107" s="397"/>
    </row>
    <row r="108" spans="1:9" s="276" customFormat="1" ht="21" x14ac:dyDescent="0.25">
      <c r="A108" s="337" t="s">
        <v>430</v>
      </c>
      <c r="B108" s="170">
        <v>26000</v>
      </c>
      <c r="C108" s="170">
        <v>26000</v>
      </c>
      <c r="D108" s="170">
        <v>0</v>
      </c>
      <c r="E108" s="53">
        <v>0</v>
      </c>
      <c r="F108" s="170">
        <v>26000</v>
      </c>
      <c r="G108" s="53">
        <v>26000</v>
      </c>
      <c r="H108" s="170">
        <v>0</v>
      </c>
      <c r="I108" s="280">
        <v>0</v>
      </c>
    </row>
    <row r="109" spans="1:9" s="276" customFormat="1" ht="24" customHeight="1" x14ac:dyDescent="0.25">
      <c r="A109" s="337" t="s">
        <v>80</v>
      </c>
      <c r="B109" s="170">
        <v>138296.57999999999</v>
      </c>
      <c r="C109" s="170">
        <v>4092</v>
      </c>
      <c r="D109" s="170">
        <v>0</v>
      </c>
      <c r="E109" s="53">
        <v>0</v>
      </c>
      <c r="F109" s="170">
        <v>4092</v>
      </c>
      <c r="G109" s="53">
        <v>4092</v>
      </c>
      <c r="H109" s="170">
        <f>(61918+46269)</f>
        <v>108187</v>
      </c>
      <c r="I109" s="280">
        <f>61918+46269</f>
        <v>108187</v>
      </c>
    </row>
    <row r="110" spans="1:9" s="276" customFormat="1" ht="15" customHeight="1" thickBot="1" x14ac:dyDescent="0.3">
      <c r="A110" s="337" t="s">
        <v>79</v>
      </c>
      <c r="B110" s="338">
        <v>865.91345000000001</v>
      </c>
      <c r="C110" s="170">
        <v>0</v>
      </c>
      <c r="D110" s="170">
        <v>0</v>
      </c>
      <c r="E110" s="53">
        <v>0</v>
      </c>
      <c r="F110" s="170">
        <v>0</v>
      </c>
      <c r="G110" s="53">
        <v>0</v>
      </c>
      <c r="H110" s="170">
        <v>732</v>
      </c>
      <c r="I110" s="280">
        <v>732</v>
      </c>
    </row>
    <row r="111" spans="1:9" s="276" customFormat="1" ht="34.5" customHeight="1" thickBot="1" x14ac:dyDescent="0.3">
      <c r="A111" s="277" t="s">
        <v>295</v>
      </c>
      <c r="B111" s="278" t="s">
        <v>6</v>
      </c>
      <c r="C111" s="278">
        <f>SUM(C108:C110)</f>
        <v>30092</v>
      </c>
      <c r="D111" s="278">
        <f t="shared" ref="D111:I111" si="14">SUM(D108:D110)</f>
        <v>0</v>
      </c>
      <c r="E111" s="278">
        <f t="shared" si="14"/>
        <v>0</v>
      </c>
      <c r="F111" s="278">
        <f t="shared" si="14"/>
        <v>30092</v>
      </c>
      <c r="G111" s="278">
        <f t="shared" si="14"/>
        <v>30092</v>
      </c>
      <c r="H111" s="278">
        <f t="shared" si="14"/>
        <v>108919</v>
      </c>
      <c r="I111" s="279">
        <f t="shared" si="14"/>
        <v>108919</v>
      </c>
    </row>
    <row r="112" spans="1:9" s="276" customFormat="1" ht="13.5" thickBot="1" x14ac:dyDescent="0.3">
      <c r="A112" s="286"/>
      <c r="B112" s="347"/>
      <c r="C112" s="347"/>
      <c r="D112" s="347"/>
      <c r="E112" s="347"/>
      <c r="F112" s="347"/>
      <c r="G112" s="347"/>
      <c r="H112" s="347"/>
      <c r="I112" s="265"/>
    </row>
    <row r="113" spans="1:9" s="276" customFormat="1" ht="21" customHeight="1" thickBot="1" x14ac:dyDescent="0.3">
      <c r="A113" s="277" t="s">
        <v>35</v>
      </c>
      <c r="B113" s="278" t="s">
        <v>6</v>
      </c>
      <c r="C113" s="278">
        <f t="shared" ref="C113:I113" si="15">SUM(C62,C105,C111)</f>
        <v>2531102.2599999998</v>
      </c>
      <c r="D113" s="278">
        <f t="shared" si="15"/>
        <v>1555030.26</v>
      </c>
      <c r="E113" s="278">
        <f t="shared" si="15"/>
        <v>1252708.26</v>
      </c>
      <c r="F113" s="278">
        <f t="shared" si="15"/>
        <v>905072</v>
      </c>
      <c r="G113" s="278">
        <f t="shared" si="15"/>
        <v>898507</v>
      </c>
      <c r="H113" s="278">
        <f t="shared" si="15"/>
        <v>580083</v>
      </c>
      <c r="I113" s="279">
        <f t="shared" si="15"/>
        <v>548874</v>
      </c>
    </row>
  </sheetData>
  <mergeCells count="22">
    <mergeCell ref="A1:I1"/>
    <mergeCell ref="A3:A4"/>
    <mergeCell ref="B3:B4"/>
    <mergeCell ref="C3:C4"/>
    <mergeCell ref="D3:E3"/>
    <mergeCell ref="F3:G3"/>
    <mergeCell ref="H3:I3"/>
    <mergeCell ref="A5:I5"/>
    <mergeCell ref="A6:I6"/>
    <mergeCell ref="A19:I19"/>
    <mergeCell ref="A24:I24"/>
    <mergeCell ref="A34:I34"/>
    <mergeCell ref="A82:I82"/>
    <mergeCell ref="A100:I100"/>
    <mergeCell ref="A107:I107"/>
    <mergeCell ref="A59:I59"/>
    <mergeCell ref="A50:I50"/>
    <mergeCell ref="A64:I64"/>
    <mergeCell ref="A65:I65"/>
    <mergeCell ref="A73:I73"/>
    <mergeCell ref="A77:I77"/>
    <mergeCell ref="A53:I53"/>
  </mergeCells>
  <pageMargins left="0.39370078740157483" right="0.39370078740157483" top="0.78740157480314965" bottom="0.39370078740157483" header="0.31496062992125984" footer="0.11811023622047245"/>
  <pageSetup paperSize="9" scale="91" firstPageNumber="8" fitToHeight="0" orientation="landscape" useFirstPageNumber="1" r:id="rId1"/>
  <headerFooter>
    <oddHeader>&amp;L&amp;"Tahoma,Kurzíva"&amp;9Návrh rozpočtu na rok 2022
Příloha č. 10&amp;R&amp;"Tahoma,Kurzíva"&amp;9Přehled akcí financovaných z úvěrových zdrojů v návrhu rozpočtu kraje na rok 2022</oddHeader>
    <oddFooter>&amp;C&amp;"Tahoma,Obyčejné"&amp;10&amp;P</oddFooter>
  </headerFooter>
  <rowBreaks count="4" manualBreakCount="4">
    <brk id="28" max="16383" man="1"/>
    <brk id="55" max="16383" man="1"/>
    <brk id="76" max="16383" man="1"/>
    <brk id="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110F-E8FC-431B-B046-459B752ED518}">
  <sheetPr>
    <pageSetUpPr fitToPage="1"/>
  </sheetPr>
  <dimension ref="A1:G114"/>
  <sheetViews>
    <sheetView zoomScaleNormal="100" zoomScaleSheetLayoutView="100" workbookViewId="0">
      <selection activeCell="F7" sqref="F7"/>
    </sheetView>
  </sheetViews>
  <sheetFormatPr defaultRowHeight="10.5" x14ac:dyDescent="0.15"/>
  <cols>
    <col min="1" max="1" width="7" style="186" customWidth="1"/>
    <col min="2" max="2" width="30" style="176" customWidth="1"/>
    <col min="3" max="3" width="12.140625" style="174" customWidth="1"/>
    <col min="4" max="4" width="52.7109375" style="175" customWidth="1"/>
    <col min="5" max="5" width="16" style="175" customWidth="1"/>
    <col min="6" max="6" width="39.7109375" style="213" customWidth="1"/>
    <col min="7" max="7" width="11.5703125" style="176" customWidth="1"/>
    <col min="8" max="16384" width="9.140625" style="176"/>
  </cols>
  <sheetData>
    <row r="1" spans="1:7" s="171" customFormat="1" ht="24" customHeight="1" x14ac:dyDescent="0.2">
      <c r="A1" s="418" t="s">
        <v>463</v>
      </c>
      <c r="B1" s="418"/>
      <c r="C1" s="418"/>
      <c r="D1" s="418"/>
      <c r="E1" s="196"/>
      <c r="F1" s="196"/>
    </row>
    <row r="2" spans="1:7" s="171" customFormat="1" ht="18" customHeight="1" x14ac:dyDescent="0.2">
      <c r="A2" s="172"/>
      <c r="B2" s="172"/>
      <c r="C2" s="172"/>
      <c r="D2" s="172"/>
      <c r="E2" s="172"/>
      <c r="F2" s="172"/>
    </row>
    <row r="3" spans="1:7" ht="15" customHeight="1" thickBot="1" x14ac:dyDescent="0.2">
      <c r="A3" s="173" t="s">
        <v>81</v>
      </c>
    </row>
    <row r="4" spans="1:7" ht="26.25" customHeight="1" thickBot="1" x14ac:dyDescent="0.2">
      <c r="A4" s="177" t="s">
        <v>168</v>
      </c>
      <c r="B4" s="178" t="s">
        <v>169</v>
      </c>
      <c r="C4" s="179" t="s">
        <v>170</v>
      </c>
      <c r="D4" s="180" t="s">
        <v>171</v>
      </c>
      <c r="E4" s="238"/>
      <c r="F4" s="261"/>
    </row>
    <row r="5" spans="1:7" ht="24" customHeight="1" thickTop="1" x14ac:dyDescent="0.15">
      <c r="A5" s="292">
        <v>1111</v>
      </c>
      <c r="B5" s="293" t="s">
        <v>439</v>
      </c>
      <c r="C5" s="229">
        <v>1200000</v>
      </c>
      <c r="D5" s="257" t="s">
        <v>172</v>
      </c>
      <c r="E5" s="260"/>
      <c r="F5" s="259"/>
    </row>
    <row r="6" spans="1:7" ht="24" customHeight="1" x14ac:dyDescent="0.15">
      <c r="A6" s="292">
        <v>1112</v>
      </c>
      <c r="B6" s="293" t="s">
        <v>440</v>
      </c>
      <c r="C6" s="229">
        <v>50000</v>
      </c>
      <c r="D6" s="257" t="s">
        <v>173</v>
      </c>
      <c r="E6" s="260"/>
      <c r="F6" s="259"/>
    </row>
    <row r="7" spans="1:7" ht="34.5" customHeight="1" x14ac:dyDescent="0.15">
      <c r="A7" s="292">
        <v>1113</v>
      </c>
      <c r="B7" s="293" t="s">
        <v>441</v>
      </c>
      <c r="C7" s="229">
        <v>200000</v>
      </c>
      <c r="D7" s="257" t="s">
        <v>174</v>
      </c>
      <c r="E7" s="238"/>
      <c r="F7" s="238"/>
      <c r="G7" s="238"/>
    </row>
    <row r="8" spans="1:7" ht="24" customHeight="1" x14ac:dyDescent="0.15">
      <c r="A8" s="292">
        <v>1121</v>
      </c>
      <c r="B8" s="293" t="s">
        <v>442</v>
      </c>
      <c r="C8" s="229">
        <v>1400000</v>
      </c>
      <c r="D8" s="257" t="s">
        <v>175</v>
      </c>
      <c r="E8" s="238"/>
      <c r="F8" s="238"/>
      <c r="G8" s="238"/>
    </row>
    <row r="9" spans="1:7" ht="45" customHeight="1" x14ac:dyDescent="0.15">
      <c r="A9" s="292">
        <v>1123</v>
      </c>
      <c r="B9" s="293" t="s">
        <v>443</v>
      </c>
      <c r="C9" s="229">
        <v>63000</v>
      </c>
      <c r="D9" s="257" t="s">
        <v>176</v>
      </c>
      <c r="E9" s="238"/>
      <c r="F9" s="238"/>
      <c r="G9" s="238"/>
    </row>
    <row r="10" spans="1:7" ht="24" customHeight="1" x14ac:dyDescent="0.15">
      <c r="A10" s="292">
        <v>1211</v>
      </c>
      <c r="B10" s="293" t="s">
        <v>444</v>
      </c>
      <c r="C10" s="245">
        <v>4350000</v>
      </c>
      <c r="D10" s="257" t="s">
        <v>177</v>
      </c>
      <c r="E10" s="238"/>
      <c r="F10" s="238"/>
      <c r="G10" s="238"/>
    </row>
    <row r="11" spans="1:7" ht="45" customHeight="1" x14ac:dyDescent="0.15">
      <c r="A11" s="296">
        <v>1332</v>
      </c>
      <c r="B11" s="258" t="s">
        <v>445</v>
      </c>
      <c r="C11" s="229">
        <v>4000</v>
      </c>
      <c r="D11" s="228" t="s">
        <v>408</v>
      </c>
      <c r="E11" s="238"/>
      <c r="F11" s="238"/>
      <c r="G11" s="238"/>
    </row>
    <row r="12" spans="1:7" ht="45" customHeight="1" x14ac:dyDescent="0.15">
      <c r="A12" s="296">
        <v>1357</v>
      </c>
      <c r="B12" s="293" t="s">
        <v>446</v>
      </c>
      <c r="C12" s="229">
        <v>15000</v>
      </c>
      <c r="D12" s="230" t="s">
        <v>293</v>
      </c>
      <c r="E12" s="238"/>
      <c r="F12" s="238"/>
      <c r="G12" s="238"/>
    </row>
    <row r="13" spans="1:7" ht="67.5" customHeight="1" thickBot="1" x14ac:dyDescent="0.2">
      <c r="A13" s="256">
        <v>1361</v>
      </c>
      <c r="B13" s="255" t="s">
        <v>447</v>
      </c>
      <c r="C13" s="254">
        <v>1700</v>
      </c>
      <c r="D13" s="253" t="s">
        <v>292</v>
      </c>
      <c r="E13" s="238"/>
      <c r="F13" s="238"/>
      <c r="G13" s="238"/>
    </row>
    <row r="14" spans="1:7" s="182" customFormat="1" ht="15.75" customHeight="1" thickTop="1" thickBot="1" x14ac:dyDescent="0.2">
      <c r="A14" s="252" t="s">
        <v>178</v>
      </c>
      <c r="B14" s="251"/>
      <c r="C14" s="250">
        <f>SUM(C5:C13)</f>
        <v>7283700</v>
      </c>
      <c r="D14" s="249"/>
      <c r="E14" s="238"/>
      <c r="F14" s="238"/>
      <c r="G14" s="238"/>
    </row>
    <row r="15" spans="1:7" s="182" customFormat="1" ht="15.75" customHeight="1" x14ac:dyDescent="0.15">
      <c r="A15" s="223"/>
      <c r="C15" s="234"/>
      <c r="D15" s="215"/>
      <c r="E15" s="238"/>
      <c r="F15" s="238"/>
      <c r="G15" s="238"/>
    </row>
    <row r="16" spans="1:7" s="182" customFormat="1" ht="15" customHeight="1" x14ac:dyDescent="0.15">
      <c r="A16" s="223"/>
      <c r="C16" s="234"/>
      <c r="D16" s="215"/>
      <c r="E16" s="238"/>
      <c r="F16" s="238"/>
      <c r="G16" s="238"/>
    </row>
    <row r="17" spans="1:7" s="182" customFormat="1" ht="15" customHeight="1" thickBot="1" x14ac:dyDescent="0.2">
      <c r="A17" s="173" t="s">
        <v>82</v>
      </c>
      <c r="B17" s="235"/>
      <c r="C17" s="248"/>
      <c r="D17" s="247"/>
      <c r="E17" s="238"/>
      <c r="F17" s="238"/>
      <c r="G17" s="238"/>
    </row>
    <row r="18" spans="1:7" ht="26.25" customHeight="1" thickBot="1" x14ac:dyDescent="0.2">
      <c r="A18" s="177" t="s">
        <v>168</v>
      </c>
      <c r="B18" s="178" t="s">
        <v>169</v>
      </c>
      <c r="C18" s="181" t="s">
        <v>170</v>
      </c>
      <c r="D18" s="180" t="s">
        <v>171</v>
      </c>
      <c r="E18" s="238"/>
      <c r="F18" s="238"/>
      <c r="G18" s="238"/>
    </row>
    <row r="19" spans="1:7" ht="35.25" customHeight="1" thickTop="1" x14ac:dyDescent="0.15">
      <c r="A19" s="419">
        <v>2111</v>
      </c>
      <c r="B19" s="422" t="s">
        <v>448</v>
      </c>
      <c r="C19" s="246">
        <v>1284</v>
      </c>
      <c r="D19" s="241" t="s">
        <v>179</v>
      </c>
      <c r="E19" s="238"/>
      <c r="F19" s="238"/>
      <c r="G19" s="238"/>
    </row>
    <row r="20" spans="1:7" ht="15" customHeight="1" x14ac:dyDescent="0.15">
      <c r="A20" s="420"/>
      <c r="B20" s="423"/>
      <c r="C20" s="231">
        <v>151</v>
      </c>
      <c r="D20" s="230" t="s">
        <v>238</v>
      </c>
      <c r="E20" s="238"/>
      <c r="F20" s="238"/>
      <c r="G20" s="238"/>
    </row>
    <row r="21" spans="1:7" ht="24" customHeight="1" x14ac:dyDescent="0.15">
      <c r="A21" s="421"/>
      <c r="B21" s="424"/>
      <c r="C21" s="231">
        <v>242</v>
      </c>
      <c r="D21" s="230" t="s">
        <v>409</v>
      </c>
      <c r="E21" s="238"/>
      <c r="F21" s="238"/>
      <c r="G21" s="238"/>
    </row>
    <row r="22" spans="1:7" ht="15" customHeight="1" x14ac:dyDescent="0.15">
      <c r="A22" s="292">
        <v>2119</v>
      </c>
      <c r="B22" s="293" t="s">
        <v>181</v>
      </c>
      <c r="C22" s="229">
        <v>2500</v>
      </c>
      <c r="D22" s="228" t="s">
        <v>182</v>
      </c>
      <c r="E22" s="238"/>
      <c r="F22" s="238"/>
      <c r="G22" s="238"/>
    </row>
    <row r="23" spans="1:7" ht="24" customHeight="1" x14ac:dyDescent="0.15">
      <c r="A23" s="296">
        <v>2131</v>
      </c>
      <c r="B23" s="298" t="s">
        <v>449</v>
      </c>
      <c r="C23" s="229">
        <v>55</v>
      </c>
      <c r="D23" s="228" t="s">
        <v>183</v>
      </c>
      <c r="E23" s="238"/>
      <c r="F23" s="238"/>
      <c r="G23" s="238"/>
    </row>
    <row r="24" spans="1:7" ht="34.5" customHeight="1" x14ac:dyDescent="0.15">
      <c r="A24" s="425">
        <v>2132</v>
      </c>
      <c r="B24" s="428" t="s">
        <v>450</v>
      </c>
      <c r="C24" s="231">
        <v>8954</v>
      </c>
      <c r="D24" s="228" t="s">
        <v>239</v>
      </c>
      <c r="E24" s="238"/>
      <c r="F24" s="238"/>
      <c r="G24" s="238"/>
    </row>
    <row r="25" spans="1:7" ht="34.5" customHeight="1" x14ac:dyDescent="0.15">
      <c r="A25" s="426"/>
      <c r="B25" s="423"/>
      <c r="C25" s="231">
        <v>18104</v>
      </c>
      <c r="D25" s="228" t="s">
        <v>240</v>
      </c>
      <c r="E25" s="238"/>
      <c r="F25" s="238"/>
      <c r="G25" s="238"/>
    </row>
    <row r="26" spans="1:7" ht="34.5" customHeight="1" x14ac:dyDescent="0.15">
      <c r="A26" s="426"/>
      <c r="B26" s="423"/>
      <c r="C26" s="231">
        <v>80</v>
      </c>
      <c r="D26" s="228" t="s">
        <v>395</v>
      </c>
      <c r="E26" s="238"/>
      <c r="F26" s="238"/>
      <c r="G26" s="238"/>
    </row>
    <row r="27" spans="1:7" ht="15" customHeight="1" x14ac:dyDescent="0.15">
      <c r="A27" s="427"/>
      <c r="B27" s="424"/>
      <c r="C27" s="231">
        <v>109</v>
      </c>
      <c r="D27" s="228" t="s">
        <v>396</v>
      </c>
      <c r="E27" s="238"/>
      <c r="F27" s="238"/>
      <c r="G27" s="238"/>
    </row>
    <row r="28" spans="1:7" ht="34.5" customHeight="1" x14ac:dyDescent="0.15">
      <c r="A28" s="297">
        <v>2139</v>
      </c>
      <c r="B28" s="295" t="s">
        <v>451</v>
      </c>
      <c r="C28" s="231">
        <v>2</v>
      </c>
      <c r="D28" s="228" t="s">
        <v>291</v>
      </c>
      <c r="E28" s="238"/>
      <c r="F28" s="238"/>
      <c r="G28" s="238"/>
    </row>
    <row r="29" spans="1:7" ht="24" customHeight="1" x14ac:dyDescent="0.15">
      <c r="A29" s="292">
        <v>2141</v>
      </c>
      <c r="B29" s="293" t="s">
        <v>452</v>
      </c>
      <c r="C29" s="229">
        <v>25000</v>
      </c>
      <c r="D29" s="228" t="s">
        <v>184</v>
      </c>
      <c r="E29" s="238"/>
      <c r="F29" s="238"/>
      <c r="G29" s="238"/>
    </row>
    <row r="30" spans="1:7" ht="24" customHeight="1" x14ac:dyDescent="0.15">
      <c r="A30" s="292">
        <v>2211</v>
      </c>
      <c r="B30" s="293" t="s">
        <v>453</v>
      </c>
      <c r="C30" s="229">
        <v>5</v>
      </c>
      <c r="D30" s="228" t="s">
        <v>301</v>
      </c>
      <c r="E30" s="238"/>
      <c r="F30" s="238"/>
      <c r="G30" s="238"/>
    </row>
    <row r="31" spans="1:7" ht="63" x14ac:dyDescent="0.15">
      <c r="A31" s="416">
        <v>2212</v>
      </c>
      <c r="B31" s="417" t="s">
        <v>454</v>
      </c>
      <c r="C31" s="229">
        <v>30</v>
      </c>
      <c r="D31" s="228" t="s">
        <v>185</v>
      </c>
      <c r="E31" s="238"/>
      <c r="F31" s="238"/>
      <c r="G31" s="238"/>
    </row>
    <row r="32" spans="1:7" ht="57.75" customHeight="1" x14ac:dyDescent="0.15">
      <c r="A32" s="416"/>
      <c r="B32" s="417"/>
      <c r="C32" s="229">
        <v>5000</v>
      </c>
      <c r="D32" s="228" t="s">
        <v>186</v>
      </c>
      <c r="E32" s="238"/>
      <c r="F32" s="238"/>
      <c r="G32" s="238"/>
    </row>
    <row r="33" spans="1:7" ht="24" customHeight="1" x14ac:dyDescent="0.15">
      <c r="A33" s="425">
        <v>2324</v>
      </c>
      <c r="B33" s="428" t="s">
        <v>455</v>
      </c>
      <c r="C33" s="229">
        <v>15</v>
      </c>
      <c r="D33" s="228" t="s">
        <v>290</v>
      </c>
      <c r="E33" s="238"/>
      <c r="F33" s="238"/>
      <c r="G33" s="238"/>
    </row>
    <row r="34" spans="1:7" ht="45" customHeight="1" x14ac:dyDescent="0.15">
      <c r="A34" s="426"/>
      <c r="B34" s="423"/>
      <c r="C34" s="229">
        <v>12050</v>
      </c>
      <c r="D34" s="228" t="s">
        <v>397</v>
      </c>
      <c r="E34" s="238"/>
      <c r="F34" s="238"/>
      <c r="G34" s="238"/>
    </row>
    <row r="35" spans="1:7" ht="34.5" customHeight="1" x14ac:dyDescent="0.15">
      <c r="A35" s="426"/>
      <c r="B35" s="423"/>
      <c r="C35" s="231">
        <v>650</v>
      </c>
      <c r="D35" s="228" t="s">
        <v>180</v>
      </c>
      <c r="E35" s="238"/>
      <c r="F35" s="238"/>
      <c r="G35" s="238"/>
    </row>
    <row r="36" spans="1:7" ht="34.5" customHeight="1" x14ac:dyDescent="0.15">
      <c r="A36" s="296">
        <v>2329</v>
      </c>
      <c r="B36" s="298" t="s">
        <v>187</v>
      </c>
      <c r="C36" s="229">
        <v>4400</v>
      </c>
      <c r="D36" s="228" t="s">
        <v>188</v>
      </c>
      <c r="E36" s="238"/>
      <c r="F36" s="238"/>
      <c r="G36" s="238"/>
    </row>
    <row r="37" spans="1:7" ht="24" customHeight="1" x14ac:dyDescent="0.15">
      <c r="A37" s="425">
        <v>2412</v>
      </c>
      <c r="B37" s="428" t="s">
        <v>456</v>
      </c>
      <c r="C37" s="229">
        <v>11460</v>
      </c>
      <c r="D37" s="228" t="s">
        <v>189</v>
      </c>
      <c r="E37" s="238"/>
      <c r="F37" s="238"/>
      <c r="G37" s="238"/>
    </row>
    <row r="38" spans="1:7" ht="34.5" customHeight="1" x14ac:dyDescent="0.15">
      <c r="A38" s="426"/>
      <c r="B38" s="423"/>
      <c r="C38" s="229">
        <v>2000</v>
      </c>
      <c r="D38" s="228" t="s">
        <v>190</v>
      </c>
      <c r="E38" s="238"/>
      <c r="F38" s="238"/>
      <c r="G38" s="238"/>
    </row>
    <row r="39" spans="1:7" ht="34.5" customHeight="1" x14ac:dyDescent="0.15">
      <c r="A39" s="292" t="s">
        <v>191</v>
      </c>
      <c r="B39" s="293" t="s">
        <v>457</v>
      </c>
      <c r="C39" s="229">
        <v>201261</v>
      </c>
      <c r="D39" s="228" t="s">
        <v>289</v>
      </c>
      <c r="E39" s="238"/>
      <c r="F39" s="238"/>
      <c r="G39" s="238"/>
    </row>
    <row r="40" spans="1:7" ht="24" customHeight="1" x14ac:dyDescent="0.15">
      <c r="A40" s="425">
        <v>2441</v>
      </c>
      <c r="B40" s="428" t="s">
        <v>192</v>
      </c>
      <c r="C40" s="245">
        <v>3546</v>
      </c>
      <c r="D40" s="228" t="s">
        <v>189</v>
      </c>
      <c r="E40" s="238"/>
      <c r="F40" s="238"/>
      <c r="G40" s="238"/>
    </row>
    <row r="41" spans="1:7" ht="15" customHeight="1" x14ac:dyDescent="0.15">
      <c r="A41" s="426"/>
      <c r="B41" s="423"/>
      <c r="C41" s="245">
        <v>6201</v>
      </c>
      <c r="D41" s="228" t="s">
        <v>288</v>
      </c>
      <c r="E41" s="238"/>
      <c r="F41" s="238"/>
      <c r="G41" s="238"/>
    </row>
    <row r="42" spans="1:7" ht="24" customHeight="1" x14ac:dyDescent="0.15">
      <c r="A42" s="429">
        <v>2451</v>
      </c>
      <c r="B42" s="428" t="s">
        <v>193</v>
      </c>
      <c r="C42" s="245">
        <v>149800</v>
      </c>
      <c r="D42" s="320" t="s">
        <v>298</v>
      </c>
      <c r="E42" s="238"/>
      <c r="F42" s="238"/>
      <c r="G42" s="238"/>
    </row>
    <row r="43" spans="1:7" ht="45" customHeight="1" x14ac:dyDescent="0.15">
      <c r="A43" s="420"/>
      <c r="B43" s="423"/>
      <c r="C43" s="245">
        <v>732</v>
      </c>
      <c r="D43" s="320" t="s">
        <v>287</v>
      </c>
      <c r="E43" s="238"/>
      <c r="F43" s="238"/>
      <c r="G43" s="238"/>
    </row>
    <row r="44" spans="1:7" ht="45" customHeight="1" x14ac:dyDescent="0.15">
      <c r="A44" s="420"/>
      <c r="B44" s="423"/>
      <c r="C44" s="245">
        <v>31167</v>
      </c>
      <c r="D44" s="320" t="s">
        <v>398</v>
      </c>
      <c r="E44" s="238"/>
      <c r="F44" s="238"/>
      <c r="G44" s="238"/>
    </row>
    <row r="45" spans="1:7" ht="35.25" customHeight="1" thickBot="1" x14ac:dyDescent="0.2">
      <c r="A45" s="430"/>
      <c r="B45" s="431"/>
      <c r="C45" s="227">
        <v>113201</v>
      </c>
      <c r="D45" s="321" t="s">
        <v>194</v>
      </c>
      <c r="E45" s="238"/>
      <c r="F45" s="238"/>
      <c r="G45" s="238"/>
    </row>
    <row r="46" spans="1:7" ht="15.75" customHeight="1" thickTop="1" thickBot="1" x14ac:dyDescent="0.2">
      <c r="A46" s="226" t="s">
        <v>195</v>
      </c>
      <c r="B46" s="225"/>
      <c r="C46" s="224">
        <f>SUM(C19:C45)</f>
        <v>597999</v>
      </c>
      <c r="D46" s="224"/>
      <c r="E46" s="238"/>
      <c r="F46" s="238"/>
      <c r="G46" s="238"/>
    </row>
    <row r="47" spans="1:7" ht="15.75" customHeight="1" x14ac:dyDescent="0.15">
      <c r="A47" s="223"/>
      <c r="B47" s="182"/>
      <c r="C47" s="237"/>
      <c r="D47" s="322"/>
      <c r="E47" s="238"/>
      <c r="F47" s="238"/>
      <c r="G47" s="238"/>
    </row>
    <row r="48" spans="1:7" ht="15" customHeight="1" x14ac:dyDescent="0.15">
      <c r="A48" s="236"/>
      <c r="B48" s="182"/>
      <c r="C48" s="234"/>
      <c r="E48" s="238"/>
      <c r="F48" s="238"/>
      <c r="G48" s="238"/>
    </row>
    <row r="49" spans="1:7" ht="15" customHeight="1" thickBot="1" x14ac:dyDescent="0.2">
      <c r="A49" s="244" t="s">
        <v>83</v>
      </c>
      <c r="B49" s="243"/>
      <c r="C49" s="242"/>
      <c r="D49" s="323"/>
      <c r="E49" s="238"/>
      <c r="F49" s="238"/>
      <c r="G49" s="238"/>
    </row>
    <row r="50" spans="1:7" s="182" customFormat="1" ht="26.25" customHeight="1" thickBot="1" x14ac:dyDescent="0.2">
      <c r="A50" s="177" t="s">
        <v>168</v>
      </c>
      <c r="B50" s="178" t="s">
        <v>169</v>
      </c>
      <c r="C50" s="181" t="s">
        <v>170</v>
      </c>
      <c r="D50" s="180" t="s">
        <v>171</v>
      </c>
      <c r="E50" s="238"/>
      <c r="F50" s="238"/>
      <c r="G50" s="238"/>
    </row>
    <row r="51" spans="1:7" s="182" customFormat="1" ht="24.75" customHeight="1" thickTop="1" x14ac:dyDescent="0.15">
      <c r="A51" s="262">
        <v>3111</v>
      </c>
      <c r="B51" s="263" t="s">
        <v>458</v>
      </c>
      <c r="C51" s="246">
        <v>56683</v>
      </c>
      <c r="D51" s="241" t="s">
        <v>196</v>
      </c>
      <c r="E51" s="238"/>
      <c r="F51" s="238"/>
      <c r="G51" s="238"/>
    </row>
    <row r="52" spans="1:7" s="182" customFormat="1" ht="24.75" customHeight="1" x14ac:dyDescent="0.15">
      <c r="A52" s="345">
        <v>3112</v>
      </c>
      <c r="B52" s="346" t="s">
        <v>459</v>
      </c>
      <c r="C52" s="229">
        <v>946</v>
      </c>
      <c r="D52" s="228" t="s">
        <v>399</v>
      </c>
      <c r="E52" s="238"/>
      <c r="F52" s="238"/>
      <c r="G52" s="238"/>
    </row>
    <row r="53" spans="1:7" ht="35.25" customHeight="1" thickBot="1" x14ac:dyDescent="0.2">
      <c r="A53" s="240">
        <v>3129</v>
      </c>
      <c r="B53" s="239" t="s">
        <v>460</v>
      </c>
      <c r="C53" s="227">
        <v>16450</v>
      </c>
      <c r="D53" s="321" t="s">
        <v>197</v>
      </c>
      <c r="E53" s="238"/>
      <c r="F53" s="238"/>
      <c r="G53" s="238"/>
    </row>
    <row r="54" spans="1:7" ht="15.75" customHeight="1" thickTop="1" thickBot="1" x14ac:dyDescent="0.2">
      <c r="A54" s="226" t="s">
        <v>198</v>
      </c>
      <c r="B54" s="225"/>
      <c r="C54" s="224">
        <f>SUM(C51:C53)</f>
        <v>74079</v>
      </c>
      <c r="D54" s="324"/>
      <c r="E54" s="238"/>
      <c r="F54" s="238"/>
      <c r="G54" s="238"/>
    </row>
    <row r="55" spans="1:7" ht="15.75" customHeight="1" x14ac:dyDescent="0.15">
      <c r="A55" s="173"/>
      <c r="B55" s="182"/>
      <c r="C55" s="248"/>
      <c r="D55" s="215"/>
      <c r="E55" s="238"/>
      <c r="F55" s="238"/>
      <c r="G55" s="238"/>
    </row>
    <row r="56" spans="1:7" ht="15.75" customHeight="1" x14ac:dyDescent="0.15">
      <c r="A56" s="236"/>
      <c r="B56" s="182"/>
      <c r="C56" s="234"/>
      <c r="E56" s="217"/>
      <c r="F56" s="216"/>
    </row>
    <row r="57" spans="1:7" ht="15" customHeight="1" thickBot="1" x14ac:dyDescent="0.2">
      <c r="A57" s="173" t="s">
        <v>84</v>
      </c>
      <c r="B57" s="235"/>
      <c r="C57" s="234"/>
      <c r="E57" s="215"/>
      <c r="F57" s="216"/>
    </row>
    <row r="58" spans="1:7" ht="26.25" customHeight="1" thickBot="1" x14ac:dyDescent="0.2">
      <c r="A58" s="183" t="s">
        <v>168</v>
      </c>
      <c r="B58" s="184" t="s">
        <v>169</v>
      </c>
      <c r="C58" s="185" t="s">
        <v>170</v>
      </c>
      <c r="D58" s="180" t="s">
        <v>171</v>
      </c>
      <c r="F58" s="214"/>
    </row>
    <row r="59" spans="1:7" s="182" customFormat="1" ht="34.5" customHeight="1" thickTop="1" x14ac:dyDescent="0.25">
      <c r="A59" s="297">
        <v>4112</v>
      </c>
      <c r="B59" s="302" t="s">
        <v>199</v>
      </c>
      <c r="C59" s="229">
        <v>171417</v>
      </c>
      <c r="D59" s="325" t="s">
        <v>200</v>
      </c>
      <c r="E59"/>
      <c r="F59"/>
      <c r="G59" s="326"/>
    </row>
    <row r="60" spans="1:7" s="182" customFormat="1" ht="24" customHeight="1" x14ac:dyDescent="0.25">
      <c r="A60" s="299">
        <v>4113</v>
      </c>
      <c r="B60" s="303" t="s">
        <v>400</v>
      </c>
      <c r="C60" s="229">
        <v>1000</v>
      </c>
      <c r="D60" s="327" t="s">
        <v>391</v>
      </c>
      <c r="E60"/>
      <c r="F60"/>
      <c r="G60" s="326"/>
    </row>
    <row r="61" spans="1:7" ht="15" x14ac:dyDescent="0.25">
      <c r="A61" s="425">
        <v>4116</v>
      </c>
      <c r="B61" s="428" t="s">
        <v>201</v>
      </c>
      <c r="C61" s="229">
        <v>331493</v>
      </c>
      <c r="D61" s="327" t="s">
        <v>202</v>
      </c>
      <c r="E61"/>
      <c r="F61"/>
      <c r="G61" s="326"/>
    </row>
    <row r="62" spans="1:7" ht="15" x14ac:dyDescent="0.25">
      <c r="A62" s="426"/>
      <c r="B62" s="423"/>
      <c r="C62" s="229">
        <v>3000</v>
      </c>
      <c r="D62" s="327" t="s">
        <v>401</v>
      </c>
      <c r="E62"/>
      <c r="F62"/>
      <c r="G62" s="326"/>
    </row>
    <row r="63" spans="1:7" ht="15" x14ac:dyDescent="0.25">
      <c r="A63" s="426"/>
      <c r="B63" s="423"/>
      <c r="C63" s="229">
        <v>702</v>
      </c>
      <c r="D63" s="327" t="s">
        <v>163</v>
      </c>
      <c r="E63"/>
      <c r="F63"/>
      <c r="G63" s="326"/>
    </row>
    <row r="64" spans="1:7" ht="15" x14ac:dyDescent="0.25">
      <c r="A64" s="426"/>
      <c r="B64" s="423"/>
      <c r="C64" s="229">
        <v>33</v>
      </c>
      <c r="D64" s="327" t="s">
        <v>58</v>
      </c>
      <c r="E64"/>
      <c r="F64"/>
      <c r="G64" s="326"/>
    </row>
    <row r="65" spans="1:7" ht="15" x14ac:dyDescent="0.25">
      <c r="A65" s="426"/>
      <c r="B65" s="423"/>
      <c r="C65" s="229">
        <v>1009</v>
      </c>
      <c r="D65" s="327" t="s">
        <v>67</v>
      </c>
      <c r="E65"/>
      <c r="F65"/>
      <c r="G65" s="326"/>
    </row>
    <row r="66" spans="1:7" ht="15" x14ac:dyDescent="0.25">
      <c r="A66" s="426"/>
      <c r="B66" s="423"/>
      <c r="C66" s="229">
        <v>25100</v>
      </c>
      <c r="D66" s="327" t="s">
        <v>69</v>
      </c>
      <c r="E66"/>
      <c r="F66"/>
      <c r="G66" s="326"/>
    </row>
    <row r="67" spans="1:7" ht="15" x14ac:dyDescent="0.25">
      <c r="A67" s="426"/>
      <c r="B67" s="423"/>
      <c r="C67" s="229">
        <v>4000</v>
      </c>
      <c r="D67" s="327" t="s">
        <v>68</v>
      </c>
      <c r="E67"/>
      <c r="F67"/>
      <c r="G67" s="326"/>
    </row>
    <row r="68" spans="1:7" ht="15" x14ac:dyDescent="0.25">
      <c r="A68" s="426"/>
      <c r="B68" s="423"/>
      <c r="C68" s="229">
        <v>181205</v>
      </c>
      <c r="D68" s="327" t="s">
        <v>228</v>
      </c>
      <c r="E68"/>
      <c r="F68"/>
      <c r="G68" s="326"/>
    </row>
    <row r="69" spans="1:7" ht="15" x14ac:dyDescent="0.25">
      <c r="A69" s="426"/>
      <c r="B69" s="423"/>
      <c r="C69" s="229">
        <v>30000</v>
      </c>
      <c r="D69" s="327" t="s">
        <v>402</v>
      </c>
      <c r="E69"/>
      <c r="F69"/>
      <c r="G69" s="326"/>
    </row>
    <row r="70" spans="1:7" ht="24" customHeight="1" x14ac:dyDescent="0.25">
      <c r="A70" s="426"/>
      <c r="B70" s="423"/>
      <c r="C70" s="229">
        <v>3385</v>
      </c>
      <c r="D70" s="327" t="s">
        <v>241</v>
      </c>
      <c r="E70"/>
      <c r="F70"/>
      <c r="G70" s="326"/>
    </row>
    <row r="71" spans="1:7" ht="24" customHeight="1" x14ac:dyDescent="0.25">
      <c r="A71" s="426"/>
      <c r="B71" s="423"/>
      <c r="C71" s="229">
        <v>5000</v>
      </c>
      <c r="D71" s="327" t="s">
        <v>403</v>
      </c>
      <c r="E71"/>
      <c r="F71"/>
      <c r="G71" s="326"/>
    </row>
    <row r="72" spans="1:7" ht="15" x14ac:dyDescent="0.25">
      <c r="A72" s="426"/>
      <c r="B72" s="423"/>
      <c r="C72" s="229">
        <v>17628</v>
      </c>
      <c r="D72" s="327" t="s">
        <v>386</v>
      </c>
      <c r="E72"/>
      <c r="F72"/>
      <c r="G72" s="326"/>
    </row>
    <row r="73" spans="1:7" ht="21" x14ac:dyDescent="0.25">
      <c r="A73" s="425">
        <v>4118</v>
      </c>
      <c r="B73" s="432" t="s">
        <v>203</v>
      </c>
      <c r="C73" s="229">
        <v>3090</v>
      </c>
      <c r="D73" s="327" t="s">
        <v>404</v>
      </c>
      <c r="E73"/>
      <c r="F73"/>
      <c r="G73" s="326"/>
    </row>
    <row r="74" spans="1:7" ht="15" x14ac:dyDescent="0.25">
      <c r="A74" s="427"/>
      <c r="B74" s="433"/>
      <c r="C74" s="229">
        <v>432</v>
      </c>
      <c r="D74" s="327" t="s">
        <v>286</v>
      </c>
      <c r="E74"/>
      <c r="F74"/>
      <c r="G74" s="326"/>
    </row>
    <row r="75" spans="1:7" ht="15" x14ac:dyDescent="0.25">
      <c r="A75" s="300">
        <v>4121</v>
      </c>
      <c r="B75" s="301" t="s">
        <v>204</v>
      </c>
      <c r="C75" s="229">
        <v>72046</v>
      </c>
      <c r="D75" s="327" t="s">
        <v>205</v>
      </c>
      <c r="E75"/>
      <c r="F75"/>
      <c r="G75" s="326"/>
    </row>
    <row r="76" spans="1:7" ht="15" x14ac:dyDescent="0.25">
      <c r="A76" s="429">
        <v>4122</v>
      </c>
      <c r="B76" s="432" t="s">
        <v>210</v>
      </c>
      <c r="C76" s="229">
        <v>7362</v>
      </c>
      <c r="D76" s="327" t="s">
        <v>202</v>
      </c>
      <c r="E76"/>
      <c r="F76"/>
      <c r="G76" s="326"/>
    </row>
    <row r="77" spans="1:7" ht="15" x14ac:dyDescent="0.25">
      <c r="A77" s="421"/>
      <c r="B77" s="433"/>
      <c r="C77" s="229">
        <v>18766</v>
      </c>
      <c r="D77" s="327" t="s">
        <v>205</v>
      </c>
      <c r="E77"/>
      <c r="F77"/>
      <c r="G77" s="326"/>
    </row>
    <row r="78" spans="1:7" ht="24" customHeight="1" x14ac:dyDescent="0.25">
      <c r="A78" s="233">
        <v>4151</v>
      </c>
      <c r="B78" s="232" t="s">
        <v>461</v>
      </c>
      <c r="C78" s="229">
        <v>554</v>
      </c>
      <c r="D78" s="327" t="s">
        <v>58</v>
      </c>
      <c r="E78"/>
      <c r="F78"/>
      <c r="G78" s="326"/>
    </row>
    <row r="79" spans="1:7" ht="35.25" customHeight="1" x14ac:dyDescent="0.25">
      <c r="A79" s="294">
        <v>4152</v>
      </c>
      <c r="B79" s="301" t="s">
        <v>462</v>
      </c>
      <c r="C79" s="231">
        <v>425</v>
      </c>
      <c r="D79" s="327" t="s">
        <v>285</v>
      </c>
      <c r="E79"/>
      <c r="F79"/>
      <c r="G79" s="326"/>
    </row>
    <row r="80" spans="1:7" ht="24" customHeight="1" x14ac:dyDescent="0.25">
      <c r="A80" s="429">
        <v>4216</v>
      </c>
      <c r="B80" s="432" t="s">
        <v>206</v>
      </c>
      <c r="C80" s="229">
        <v>19749</v>
      </c>
      <c r="D80" s="327" t="s">
        <v>405</v>
      </c>
      <c r="E80"/>
      <c r="F80"/>
      <c r="G80" s="326"/>
    </row>
    <row r="81" spans="1:7" ht="24" customHeight="1" x14ac:dyDescent="0.25">
      <c r="A81" s="420"/>
      <c r="B81" s="436"/>
      <c r="C81" s="229">
        <v>24838</v>
      </c>
      <c r="D81" s="327" t="s">
        <v>64</v>
      </c>
      <c r="E81"/>
      <c r="F81"/>
      <c r="G81" s="326"/>
    </row>
    <row r="82" spans="1:7" ht="15" customHeight="1" x14ac:dyDescent="0.25">
      <c r="A82" s="420"/>
      <c r="B82" s="436"/>
      <c r="C82" s="229">
        <v>28654</v>
      </c>
      <c r="D82" s="327" t="s">
        <v>62</v>
      </c>
      <c r="E82"/>
      <c r="F82"/>
      <c r="G82" s="326"/>
    </row>
    <row r="83" spans="1:7" ht="15" x14ac:dyDescent="0.25">
      <c r="A83" s="420"/>
      <c r="B83" s="436"/>
      <c r="C83" s="229">
        <v>14967</v>
      </c>
      <c r="D83" s="327" t="s">
        <v>63</v>
      </c>
      <c r="E83"/>
      <c r="F83"/>
      <c r="G83" s="326"/>
    </row>
    <row r="84" spans="1:7" ht="15" x14ac:dyDescent="0.25">
      <c r="A84" s="420"/>
      <c r="B84" s="436"/>
      <c r="C84" s="229">
        <v>41839</v>
      </c>
      <c r="D84" s="327" t="s">
        <v>406</v>
      </c>
      <c r="E84"/>
      <c r="F84"/>
      <c r="G84" s="326"/>
    </row>
    <row r="85" spans="1:7" ht="15" x14ac:dyDescent="0.25">
      <c r="A85" s="420"/>
      <c r="B85" s="436"/>
      <c r="C85" s="229">
        <v>55053</v>
      </c>
      <c r="D85" s="327" t="s">
        <v>260</v>
      </c>
      <c r="E85"/>
      <c r="F85"/>
      <c r="G85" s="326"/>
    </row>
    <row r="86" spans="1:7" ht="15" x14ac:dyDescent="0.25">
      <c r="A86" s="420"/>
      <c r="B86" s="436"/>
      <c r="C86" s="229">
        <v>52082</v>
      </c>
      <c r="D86" s="327" t="s">
        <v>284</v>
      </c>
      <c r="E86"/>
      <c r="F86"/>
      <c r="G86" s="326"/>
    </row>
    <row r="87" spans="1:7" ht="24" customHeight="1" x14ac:dyDescent="0.25">
      <c r="A87" s="420"/>
      <c r="B87" s="436"/>
      <c r="C87" s="229">
        <v>73351</v>
      </c>
      <c r="D87" s="327" t="s">
        <v>407</v>
      </c>
      <c r="E87"/>
      <c r="F87"/>
      <c r="G87" s="326"/>
    </row>
    <row r="88" spans="1:7" ht="15" x14ac:dyDescent="0.25">
      <c r="A88" s="420"/>
      <c r="B88" s="436"/>
      <c r="C88" s="229">
        <v>7200</v>
      </c>
      <c r="D88" s="327" t="s">
        <v>161</v>
      </c>
      <c r="E88"/>
      <c r="F88"/>
      <c r="G88" s="326"/>
    </row>
    <row r="89" spans="1:7" ht="15" x14ac:dyDescent="0.25">
      <c r="A89" s="420"/>
      <c r="B89" s="436"/>
      <c r="C89" s="229">
        <v>13384</v>
      </c>
      <c r="D89" s="327" t="s">
        <v>232</v>
      </c>
      <c r="E89"/>
      <c r="F89"/>
      <c r="G89" s="326"/>
    </row>
    <row r="90" spans="1:7" ht="15" x14ac:dyDescent="0.25">
      <c r="A90" s="420"/>
      <c r="B90" s="436"/>
      <c r="C90" s="229">
        <v>2191</v>
      </c>
      <c r="D90" s="327" t="s">
        <v>233</v>
      </c>
      <c r="E90"/>
      <c r="F90"/>
      <c r="G90" s="326"/>
    </row>
    <row r="91" spans="1:7" ht="15" x14ac:dyDescent="0.25">
      <c r="A91" s="420"/>
      <c r="B91" s="436"/>
      <c r="C91" s="229">
        <v>1866</v>
      </c>
      <c r="D91" s="327" t="s">
        <v>224</v>
      </c>
      <c r="E91"/>
      <c r="F91"/>
      <c r="G91" s="326"/>
    </row>
    <row r="92" spans="1:7" ht="15" x14ac:dyDescent="0.25">
      <c r="A92" s="420"/>
      <c r="B92" s="436"/>
      <c r="C92" s="229">
        <v>3473</v>
      </c>
      <c r="D92" s="327" t="s">
        <v>223</v>
      </c>
      <c r="E92"/>
      <c r="F92"/>
      <c r="G92" s="326"/>
    </row>
    <row r="93" spans="1:7" ht="15" x14ac:dyDescent="0.25">
      <c r="A93" s="420"/>
      <c r="B93" s="436"/>
      <c r="C93" s="229">
        <v>674</v>
      </c>
      <c r="D93" s="327" t="s">
        <v>222</v>
      </c>
      <c r="E93"/>
      <c r="F93"/>
      <c r="G93" s="326"/>
    </row>
    <row r="94" spans="1:7" ht="15" x14ac:dyDescent="0.25">
      <c r="A94" s="420"/>
      <c r="B94" s="436"/>
      <c r="C94" s="229">
        <v>8935</v>
      </c>
      <c r="D94" s="325" t="s">
        <v>162</v>
      </c>
      <c r="E94"/>
      <c r="F94"/>
      <c r="G94" s="326"/>
    </row>
    <row r="95" spans="1:7" ht="15" x14ac:dyDescent="0.25">
      <c r="A95" s="420"/>
      <c r="B95" s="436"/>
      <c r="C95" s="229">
        <v>65000</v>
      </c>
      <c r="D95" s="327" t="s">
        <v>276</v>
      </c>
      <c r="E95"/>
      <c r="F95"/>
      <c r="G95" s="326"/>
    </row>
    <row r="96" spans="1:7" ht="24" customHeight="1" x14ac:dyDescent="0.25">
      <c r="A96" s="420"/>
      <c r="B96" s="436"/>
      <c r="C96" s="229">
        <v>37794</v>
      </c>
      <c r="D96" s="327" t="s">
        <v>277</v>
      </c>
      <c r="E96"/>
      <c r="F96"/>
      <c r="G96" s="326"/>
    </row>
    <row r="97" spans="1:7" ht="24" customHeight="1" x14ac:dyDescent="0.25">
      <c r="A97" s="429">
        <v>4221</v>
      </c>
      <c r="B97" s="432" t="s">
        <v>207</v>
      </c>
      <c r="C97" s="229">
        <v>10000</v>
      </c>
      <c r="D97" s="327" t="s">
        <v>405</v>
      </c>
      <c r="E97"/>
      <c r="F97"/>
      <c r="G97" s="326"/>
    </row>
    <row r="98" spans="1:7" ht="15.75" thickBot="1" x14ac:dyDescent="0.3">
      <c r="A98" s="430"/>
      <c r="B98" s="437"/>
      <c r="C98" s="227">
        <v>4288</v>
      </c>
      <c r="D98" s="328" t="s">
        <v>164</v>
      </c>
      <c r="E98"/>
      <c r="F98"/>
      <c r="G98" s="326"/>
    </row>
    <row r="99" spans="1:7" ht="15" customHeight="1" thickTop="1" thickBot="1" x14ac:dyDescent="0.2">
      <c r="A99" s="226" t="s">
        <v>208</v>
      </c>
      <c r="B99" s="225"/>
      <c r="C99" s="224">
        <f>SUM(C59:C98)</f>
        <v>1342985</v>
      </c>
      <c r="D99" s="225"/>
      <c r="E99" s="176"/>
      <c r="F99" s="218"/>
    </row>
    <row r="100" spans="1:7" ht="13.5" thickBot="1" x14ac:dyDescent="0.25">
      <c r="A100" s="223"/>
      <c r="B100" s="222"/>
      <c r="C100" s="176"/>
      <c r="D100" s="215"/>
      <c r="E100" s="176"/>
      <c r="F100" s="218"/>
    </row>
    <row r="101" spans="1:7" ht="16.5" customHeight="1" thickBot="1" x14ac:dyDescent="0.2">
      <c r="A101" s="434" t="s">
        <v>209</v>
      </c>
      <c r="B101" s="435"/>
      <c r="C101" s="221">
        <f>SUM(C99,C54,C46,C14)</f>
        <v>9298763</v>
      </c>
      <c r="D101" s="220"/>
      <c r="E101" s="176"/>
      <c r="F101" s="218"/>
    </row>
    <row r="102" spans="1:7" x14ac:dyDescent="0.15">
      <c r="A102" s="182"/>
      <c r="B102" s="182"/>
      <c r="E102" s="219"/>
      <c r="F102" s="218"/>
    </row>
    <row r="103" spans="1:7" x14ac:dyDescent="0.15">
      <c r="E103" s="219"/>
      <c r="F103" s="218"/>
    </row>
    <row r="104" spans="1:7" ht="24" customHeight="1" x14ac:dyDescent="0.15">
      <c r="E104" s="219"/>
      <c r="F104" s="218"/>
    </row>
    <row r="105" spans="1:7" x14ac:dyDescent="0.15">
      <c r="E105" s="219"/>
      <c r="F105" s="218"/>
    </row>
    <row r="106" spans="1:7" x14ac:dyDescent="0.15">
      <c r="E106" s="217"/>
      <c r="F106" s="218"/>
    </row>
    <row r="107" spans="1:7" x14ac:dyDescent="0.15">
      <c r="E107" s="217"/>
      <c r="F107" s="216"/>
    </row>
    <row r="108" spans="1:7" ht="24" customHeight="1" x14ac:dyDescent="0.15">
      <c r="E108" s="217"/>
      <c r="F108" s="216"/>
    </row>
    <row r="109" spans="1:7" x14ac:dyDescent="0.15">
      <c r="E109" s="215"/>
      <c r="F109" s="216"/>
    </row>
    <row r="110" spans="1:7" x14ac:dyDescent="0.15">
      <c r="E110" s="215"/>
      <c r="F110" s="214"/>
    </row>
    <row r="111" spans="1:7" ht="15.75" customHeight="1" x14ac:dyDescent="0.15">
      <c r="E111" s="215"/>
      <c r="F111" s="214"/>
    </row>
    <row r="112" spans="1:7" ht="15.75" customHeight="1" x14ac:dyDescent="0.15">
      <c r="F112" s="214"/>
    </row>
    <row r="113" spans="1:6" s="182" customFormat="1" ht="16.5" customHeight="1" x14ac:dyDescent="0.15">
      <c r="A113" s="186"/>
      <c r="B113" s="176"/>
      <c r="C113" s="174"/>
      <c r="D113" s="175"/>
      <c r="E113" s="175"/>
      <c r="F113" s="213"/>
    </row>
    <row r="114" spans="1:6" s="182" customFormat="1" ht="15.75" customHeight="1" x14ac:dyDescent="0.15">
      <c r="A114" s="186"/>
      <c r="B114" s="176"/>
      <c r="C114" s="174"/>
      <c r="D114" s="175"/>
      <c r="E114" s="175"/>
      <c r="F114" s="213"/>
    </row>
  </sheetData>
  <mergeCells count="26">
    <mergeCell ref="A101:B101"/>
    <mergeCell ref="A76:A77"/>
    <mergeCell ref="B76:B77"/>
    <mergeCell ref="A80:A96"/>
    <mergeCell ref="B80:B96"/>
    <mergeCell ref="A97:A98"/>
    <mergeCell ref="B97:B98"/>
    <mergeCell ref="A42:A45"/>
    <mergeCell ref="B42:B45"/>
    <mergeCell ref="A61:A72"/>
    <mergeCell ref="B61:B72"/>
    <mergeCell ref="A73:A74"/>
    <mergeCell ref="B73:B74"/>
    <mergeCell ref="A33:A35"/>
    <mergeCell ref="B33:B35"/>
    <mergeCell ref="A37:A38"/>
    <mergeCell ref="B37:B38"/>
    <mergeCell ref="A40:A41"/>
    <mergeCell ref="B40:B41"/>
    <mergeCell ref="A31:A32"/>
    <mergeCell ref="B31:B32"/>
    <mergeCell ref="A1:D1"/>
    <mergeCell ref="A19:A21"/>
    <mergeCell ref="B19:B21"/>
    <mergeCell ref="A24:A27"/>
    <mergeCell ref="B24:B27"/>
  </mergeCells>
  <pageMargins left="0.39370078740157483" right="0.39370078740157483" top="0.98425196850393704" bottom="0.39370078740157483" header="0.51181102362204722" footer="0.11811023622047245"/>
  <pageSetup paperSize="9" scale="93" firstPageNumber="13" fitToHeight="0" orientation="portrait" useFirstPageNumber="1" r:id="rId1"/>
  <headerFooter scaleWithDoc="0">
    <oddHeader>&amp;L&amp;"Tahoma,Kurzíva"&amp;9Návrh rozpočtu na rok 2022
Příloha č. 10&amp;R&amp;"Tahoma,Kurzíva"&amp;9Přehled příjmů</oddHeader>
    <oddFooter>&amp;C&amp;"Tahoma,Obyčejné"&amp;10&amp;P</oddFooter>
  </headerFooter>
  <rowBreaks count="3" manualBreakCount="3">
    <brk id="29" max="3" man="1"/>
    <brk id="52" max="3" man="1"/>
    <brk id="94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5"/>
  </sheetPr>
  <dimension ref="A2:W31"/>
  <sheetViews>
    <sheetView topLeftCell="F1" workbookViewId="0">
      <selection activeCell="O32" sqref="O32"/>
    </sheetView>
  </sheetViews>
  <sheetFormatPr defaultColWidth="10.28515625" defaultRowHeight="15.75" outlineLevelRow="1" x14ac:dyDescent="0.25"/>
  <cols>
    <col min="1" max="1" width="21" style="54" customWidth="1"/>
    <col min="2" max="3" width="10.28515625" style="55" hidden="1" customWidth="1"/>
    <col min="4" max="4" width="11.28515625" style="55" hidden="1" customWidth="1"/>
    <col min="5" max="5" width="13.28515625" style="55" hidden="1" customWidth="1"/>
    <col min="6" max="6" width="12.85546875" style="55" customWidth="1"/>
    <col min="7" max="8" width="11.28515625" style="55" bestFit="1" customWidth="1"/>
    <col min="9" max="10" width="11" style="54" customWidth="1"/>
    <col min="11" max="11" width="11.7109375" style="54" customWidth="1"/>
    <col min="12" max="17" width="12.5703125" style="54" customWidth="1"/>
    <col min="18" max="18" width="14.140625" style="54" bestFit="1" customWidth="1"/>
    <col min="19" max="20" width="12.5703125" style="54" customWidth="1"/>
    <col min="21" max="23" width="13" style="54" customWidth="1"/>
    <col min="24" max="16384" width="10.28515625" style="54"/>
  </cols>
  <sheetData>
    <row r="2" spans="1:23" x14ac:dyDescent="0.25">
      <c r="A2" s="83" t="s">
        <v>111</v>
      </c>
    </row>
    <row r="3" spans="1:23" s="83" customFormat="1" ht="23.25" customHeight="1" x14ac:dyDescent="0.25">
      <c r="A3" s="78"/>
      <c r="B3" s="80">
        <v>2001</v>
      </c>
      <c r="C3" s="80">
        <v>2002</v>
      </c>
      <c r="D3" s="80">
        <v>2003</v>
      </c>
      <c r="E3" s="80" t="s">
        <v>108</v>
      </c>
      <c r="F3" s="80" t="s">
        <v>107</v>
      </c>
      <c r="G3" s="80"/>
      <c r="H3" s="80"/>
      <c r="I3" s="78"/>
      <c r="J3" s="70"/>
    </row>
    <row r="4" spans="1:23" ht="23.25" customHeight="1" x14ac:dyDescent="0.25">
      <c r="A4" s="78" t="s">
        <v>91</v>
      </c>
      <c r="B4" s="74">
        <v>84275</v>
      </c>
      <c r="C4" s="74">
        <v>3999376</v>
      </c>
      <c r="D4" s="74">
        <v>6078276</v>
      </c>
      <c r="E4" s="74">
        <v>2912785</v>
      </c>
      <c r="F4" s="74">
        <v>3466158</v>
      </c>
      <c r="G4" s="74"/>
      <c r="H4" s="74"/>
      <c r="I4" s="82"/>
      <c r="J4" s="81"/>
    </row>
    <row r="5" spans="1:23" ht="23.25" customHeight="1" x14ac:dyDescent="0.25">
      <c r="A5" s="78" t="s">
        <v>92</v>
      </c>
      <c r="B5" s="74">
        <v>84275</v>
      </c>
      <c r="C5" s="74">
        <v>3999376</v>
      </c>
      <c r="D5" s="74">
        <v>6078276</v>
      </c>
      <c r="E5" s="74"/>
      <c r="F5" s="74"/>
      <c r="G5" s="74"/>
      <c r="H5" s="74"/>
      <c r="I5" s="82"/>
      <c r="J5" s="81"/>
    </row>
    <row r="6" spans="1:23" x14ac:dyDescent="0.25">
      <c r="M6" s="65"/>
      <c r="N6" s="65"/>
      <c r="O6" s="54" t="s">
        <v>110</v>
      </c>
      <c r="Q6" s="54" t="s">
        <v>109</v>
      </c>
    </row>
    <row r="8" spans="1:23" ht="20.25" customHeight="1" x14ac:dyDescent="0.25">
      <c r="A8" s="78"/>
      <c r="B8" s="80">
        <v>2001</v>
      </c>
      <c r="C8" s="80">
        <v>2002</v>
      </c>
      <c r="D8" s="80">
        <v>2003</v>
      </c>
      <c r="E8" s="80" t="s">
        <v>108</v>
      </c>
      <c r="F8" s="80" t="s">
        <v>107</v>
      </c>
      <c r="G8" s="80">
        <v>2006</v>
      </c>
      <c r="H8" s="80" t="s">
        <v>106</v>
      </c>
      <c r="I8" s="80">
        <v>2008</v>
      </c>
      <c r="J8" s="80">
        <v>2009</v>
      </c>
      <c r="K8" s="80" t="s">
        <v>105</v>
      </c>
      <c r="L8" s="80" t="s">
        <v>104</v>
      </c>
      <c r="M8" s="80" t="s">
        <v>103</v>
      </c>
      <c r="N8" s="80" t="s">
        <v>102</v>
      </c>
      <c r="O8" s="80" t="s">
        <v>101</v>
      </c>
      <c r="P8" s="80" t="s">
        <v>100</v>
      </c>
      <c r="Q8" s="80" t="s">
        <v>99</v>
      </c>
      <c r="R8" s="80" t="s">
        <v>98</v>
      </c>
      <c r="S8" s="80" t="s">
        <v>97</v>
      </c>
      <c r="T8" s="80" t="s">
        <v>42</v>
      </c>
      <c r="U8" s="80" t="s">
        <v>54</v>
      </c>
      <c r="V8" s="80" t="s">
        <v>299</v>
      </c>
      <c r="W8" s="80" t="s">
        <v>411</v>
      </c>
    </row>
    <row r="9" spans="1:23" ht="20.25" customHeight="1" x14ac:dyDescent="0.25">
      <c r="A9" s="78" t="s">
        <v>87</v>
      </c>
      <c r="B9" s="74">
        <v>84275</v>
      </c>
      <c r="C9" s="74">
        <v>3999376</v>
      </c>
      <c r="D9" s="74">
        <v>6078276</v>
      </c>
      <c r="E9" s="74">
        <v>2912785</v>
      </c>
      <c r="F9" s="74">
        <v>3466158</v>
      </c>
      <c r="G9" s="74">
        <v>5192836</v>
      </c>
      <c r="H9" s="74">
        <v>5317944</v>
      </c>
      <c r="I9" s="72">
        <v>7592570</v>
      </c>
      <c r="J9" s="72">
        <v>7540749</v>
      </c>
      <c r="K9" s="72">
        <v>7428164</v>
      </c>
      <c r="L9" s="72">
        <v>8304059</v>
      </c>
      <c r="M9" s="79">
        <v>9019403</v>
      </c>
      <c r="N9" s="79">
        <v>7609322</v>
      </c>
      <c r="O9" s="79">
        <v>8278538</v>
      </c>
      <c r="P9" s="79">
        <v>9696615</v>
      </c>
      <c r="Q9" s="79">
        <v>8053332</v>
      </c>
      <c r="R9" s="79">
        <v>7886430</v>
      </c>
      <c r="S9" s="79">
        <v>9352498</v>
      </c>
      <c r="T9" s="79">
        <v>10284570</v>
      </c>
      <c r="U9" s="79">
        <v>10787896</v>
      </c>
      <c r="V9" s="79">
        <v>9863084</v>
      </c>
      <c r="W9" s="79">
        <v>11993157</v>
      </c>
    </row>
    <row r="10" spans="1:23" ht="20.25" customHeight="1" x14ac:dyDescent="0.25">
      <c r="A10" s="78" t="s">
        <v>86</v>
      </c>
      <c r="B10" s="74">
        <v>1725409</v>
      </c>
      <c r="C10" s="74">
        <v>359422</v>
      </c>
      <c r="D10" s="74">
        <v>5867132</v>
      </c>
      <c r="E10" s="74">
        <f>12367232-2912785</f>
        <v>9454447</v>
      </c>
      <c r="F10" s="74">
        <v>10982426.800000001</v>
      </c>
      <c r="G10" s="77">
        <v>11172923.619999999</v>
      </c>
      <c r="H10" s="76">
        <v>10466523.800000001</v>
      </c>
      <c r="I10" s="72">
        <v>10151456.390000001</v>
      </c>
      <c r="J10" s="72">
        <v>11166878</v>
      </c>
      <c r="K10" s="72">
        <v>10908903</v>
      </c>
      <c r="L10" s="71">
        <v>10288015</v>
      </c>
      <c r="M10" s="72">
        <v>9686464</v>
      </c>
      <c r="N10" s="72">
        <v>10919480</v>
      </c>
      <c r="O10" s="72">
        <v>11432941</v>
      </c>
      <c r="P10" s="72">
        <v>12535240</v>
      </c>
      <c r="Q10" s="72">
        <v>12351887</v>
      </c>
      <c r="R10" s="72">
        <v>14595144</v>
      </c>
      <c r="S10" s="72">
        <v>16794678</v>
      </c>
      <c r="T10" s="72">
        <v>19321422</v>
      </c>
      <c r="U10" s="72">
        <v>21851874</v>
      </c>
      <c r="V10" s="188">
        <v>25003814</v>
      </c>
      <c r="W10" s="72"/>
    </row>
    <row r="11" spans="1:23" x14ac:dyDescent="0.25">
      <c r="A11" s="75" t="s">
        <v>96</v>
      </c>
      <c r="B11" s="74"/>
      <c r="C11" s="74"/>
      <c r="D11" s="74"/>
      <c r="E11" s="74"/>
      <c r="F11" s="74"/>
      <c r="G11" s="74"/>
      <c r="H11" s="73"/>
      <c r="I11" s="73"/>
      <c r="J11" s="73"/>
      <c r="K11" s="72"/>
      <c r="L11" s="72"/>
      <c r="M11" s="72"/>
      <c r="N11" s="72"/>
      <c r="O11" s="71"/>
      <c r="P11" s="71"/>
      <c r="Q11" s="71"/>
      <c r="R11" s="71"/>
      <c r="S11" s="71"/>
      <c r="T11" s="71"/>
      <c r="U11" s="71"/>
      <c r="V11" s="71"/>
      <c r="W11" s="167">
        <v>24124117</v>
      </c>
    </row>
    <row r="12" spans="1:23" x14ac:dyDescent="0.25">
      <c r="A12" s="70" t="s">
        <v>95</v>
      </c>
      <c r="L12" s="69"/>
    </row>
    <row r="13" spans="1:23" x14ac:dyDescent="0.25">
      <c r="V13" s="54">
        <v>34866898</v>
      </c>
    </row>
    <row r="14" spans="1:23" x14ac:dyDescent="0.25">
      <c r="H14" s="68">
        <f>H9+H10</f>
        <v>15784467.800000001</v>
      </c>
      <c r="I14" s="68">
        <f>I9+I10</f>
        <v>17744026.390000001</v>
      </c>
      <c r="J14" s="68"/>
      <c r="K14" s="67"/>
      <c r="L14" s="65"/>
      <c r="M14" s="66" t="s">
        <v>94</v>
      </c>
      <c r="N14" s="65" t="s">
        <v>93</v>
      </c>
      <c r="V14" s="54">
        <f>V13-V9</f>
        <v>25003814</v>
      </c>
    </row>
    <row r="15" spans="1:23" x14ac:dyDescent="0.25">
      <c r="H15" s="64"/>
      <c r="N15" s="287">
        <v>1976894</v>
      </c>
      <c r="O15" s="288">
        <v>21905472</v>
      </c>
      <c r="P15" s="288">
        <v>0</v>
      </c>
      <c r="Q15" s="288">
        <v>241751</v>
      </c>
      <c r="R15" s="63"/>
    </row>
    <row r="16" spans="1:23" ht="22.5" hidden="1" customHeight="1" outlineLevel="1" x14ac:dyDescent="0.25">
      <c r="A16" s="61" t="s">
        <v>90</v>
      </c>
      <c r="B16" s="56"/>
      <c r="C16" s="56"/>
      <c r="D16" s="56"/>
      <c r="E16" s="56"/>
      <c r="F16" s="56"/>
      <c r="G16" s="56"/>
      <c r="H16" s="56"/>
    </row>
    <row r="17" spans="1:8" ht="22.5" hidden="1" customHeight="1" outlineLevel="1" x14ac:dyDescent="0.25">
      <c r="A17" s="62"/>
      <c r="B17" s="60">
        <v>2001</v>
      </c>
      <c r="C17" s="60">
        <v>2002</v>
      </c>
      <c r="D17" s="60">
        <v>2003</v>
      </c>
      <c r="E17" s="60" t="s">
        <v>89</v>
      </c>
      <c r="F17" s="60" t="s">
        <v>88</v>
      </c>
      <c r="G17" s="60"/>
      <c r="H17" s="60"/>
    </row>
    <row r="18" spans="1:8" ht="21.75" hidden="1" customHeight="1" outlineLevel="1" x14ac:dyDescent="0.25">
      <c r="A18" s="59" t="s">
        <v>92</v>
      </c>
      <c r="B18" s="58">
        <v>1809684</v>
      </c>
      <c r="C18" s="58">
        <v>4349169</v>
      </c>
      <c r="D18" s="58">
        <v>10942261</v>
      </c>
      <c r="E18" s="58">
        <v>2908920</v>
      </c>
      <c r="F18" s="58">
        <v>4223860</v>
      </c>
      <c r="G18" s="58"/>
      <c r="H18" s="58"/>
    </row>
    <row r="19" spans="1:8" ht="21.75" hidden="1" customHeight="1" outlineLevel="1" x14ac:dyDescent="0.25">
      <c r="A19" s="59" t="s">
        <v>91</v>
      </c>
      <c r="B19" s="58">
        <v>1809684</v>
      </c>
      <c r="C19" s="58">
        <v>4358798</v>
      </c>
      <c r="D19" s="58">
        <v>11025324</v>
      </c>
      <c r="E19" s="58">
        <v>2908920</v>
      </c>
      <c r="F19" s="58">
        <v>4223860</v>
      </c>
      <c r="G19" s="58"/>
      <c r="H19" s="58"/>
    </row>
    <row r="20" spans="1:8" hidden="1" outlineLevel="1" x14ac:dyDescent="0.25">
      <c r="A20" s="61"/>
      <c r="B20" s="56"/>
      <c r="C20" s="56">
        <f>C18-C19</f>
        <v>-9629</v>
      </c>
      <c r="D20" s="56">
        <f>D18-D19</f>
        <v>-83063</v>
      </c>
      <c r="E20" s="56"/>
      <c r="F20" s="56"/>
      <c r="G20" s="56"/>
      <c r="H20" s="56"/>
    </row>
    <row r="21" spans="1:8" hidden="1" outlineLevel="1" x14ac:dyDescent="0.25">
      <c r="A21" s="61"/>
      <c r="B21" s="56"/>
      <c r="C21" s="56"/>
      <c r="D21" s="56"/>
      <c r="E21" s="56"/>
      <c r="F21" s="56"/>
      <c r="G21" s="56"/>
      <c r="H21" s="56"/>
    </row>
    <row r="22" spans="1:8" ht="24.75" hidden="1" customHeight="1" outlineLevel="1" x14ac:dyDescent="0.25">
      <c r="A22" s="59"/>
      <c r="B22" s="60">
        <v>2001</v>
      </c>
      <c r="C22" s="60">
        <v>2002</v>
      </c>
      <c r="D22" s="60">
        <v>2003</v>
      </c>
      <c r="E22" s="60" t="s">
        <v>89</v>
      </c>
      <c r="F22" s="60" t="s">
        <v>88</v>
      </c>
      <c r="G22" s="60"/>
      <c r="H22" s="60"/>
    </row>
    <row r="23" spans="1:8" ht="24.75" hidden="1" customHeight="1" outlineLevel="1" x14ac:dyDescent="0.25">
      <c r="A23" s="59" t="s">
        <v>87</v>
      </c>
      <c r="B23" s="58">
        <v>84275</v>
      </c>
      <c r="C23" s="58">
        <v>3999376</v>
      </c>
      <c r="D23" s="58">
        <v>6078276</v>
      </c>
      <c r="E23" s="58">
        <v>2911420</v>
      </c>
      <c r="F23" s="58">
        <v>4226360</v>
      </c>
      <c r="G23" s="58"/>
      <c r="H23" s="58"/>
    </row>
    <row r="24" spans="1:8" ht="24.75" hidden="1" customHeight="1" outlineLevel="1" x14ac:dyDescent="0.25">
      <c r="A24" s="59" t="s">
        <v>90</v>
      </c>
      <c r="B24" s="58">
        <v>1809684</v>
      </c>
      <c r="C24" s="58">
        <v>4358798</v>
      </c>
      <c r="D24" s="58">
        <v>11055594</v>
      </c>
      <c r="E24" s="58">
        <v>8367041</v>
      </c>
      <c r="F24" s="58">
        <v>7528049</v>
      </c>
      <c r="G24" s="58"/>
      <c r="H24" s="58"/>
    </row>
    <row r="25" spans="1:8" ht="21" hidden="1" customHeight="1" outlineLevel="1" x14ac:dyDescent="0.25">
      <c r="A25" s="59" t="s">
        <v>86</v>
      </c>
      <c r="B25" s="58">
        <f>B24-B23</f>
        <v>1725409</v>
      </c>
      <c r="C25" s="58">
        <f>C24-C23</f>
        <v>359422</v>
      </c>
      <c r="D25" s="58">
        <f>D24-D23</f>
        <v>4977318</v>
      </c>
      <c r="E25" s="58">
        <v>8367041</v>
      </c>
      <c r="F25" s="58">
        <v>7528049</v>
      </c>
      <c r="G25" s="58"/>
      <c r="H25" s="58"/>
    </row>
    <row r="26" spans="1:8" hidden="1" outlineLevel="1" x14ac:dyDescent="0.25">
      <c r="A26" s="61"/>
      <c r="B26" s="56"/>
      <c r="C26" s="56"/>
      <c r="D26" s="56"/>
      <c r="E26" s="56"/>
      <c r="F26" s="56"/>
      <c r="G26" s="56"/>
      <c r="H26" s="56"/>
    </row>
    <row r="27" spans="1:8" ht="25.5" hidden="1" customHeight="1" outlineLevel="1" x14ac:dyDescent="0.25">
      <c r="A27" s="59"/>
      <c r="B27" s="60">
        <v>2001</v>
      </c>
      <c r="C27" s="60">
        <v>2002</v>
      </c>
      <c r="D27" s="60">
        <v>2003</v>
      </c>
      <c r="E27" s="60" t="s">
        <v>89</v>
      </c>
      <c r="F27" s="60" t="s">
        <v>88</v>
      </c>
      <c r="G27" s="60"/>
      <c r="H27" s="60"/>
    </row>
    <row r="28" spans="1:8" ht="21" hidden="1" customHeight="1" outlineLevel="1" x14ac:dyDescent="0.25">
      <c r="A28" s="59" t="s">
        <v>87</v>
      </c>
      <c r="B28" s="58">
        <v>84275</v>
      </c>
      <c r="C28" s="58">
        <v>3999376</v>
      </c>
      <c r="D28" s="58">
        <v>6078276</v>
      </c>
      <c r="E28" s="58">
        <v>2911420</v>
      </c>
      <c r="F28" s="58">
        <v>4226360</v>
      </c>
      <c r="G28" s="58"/>
      <c r="H28" s="58"/>
    </row>
    <row r="29" spans="1:8" ht="23.25" hidden="1" customHeight="1" outlineLevel="1" x14ac:dyDescent="0.25">
      <c r="A29" s="59" t="s">
        <v>86</v>
      </c>
      <c r="B29" s="58">
        <v>1725409</v>
      </c>
      <c r="C29" s="58">
        <v>359422</v>
      </c>
      <c r="D29" s="58">
        <v>4977318</v>
      </c>
      <c r="E29" s="58">
        <v>8367041</v>
      </c>
      <c r="F29" s="58">
        <v>7528049</v>
      </c>
      <c r="G29" s="58"/>
      <c r="H29" s="58"/>
    </row>
    <row r="30" spans="1:8" hidden="1" outlineLevel="1" x14ac:dyDescent="0.25">
      <c r="A30" s="57" t="s">
        <v>85</v>
      </c>
      <c r="B30" s="56"/>
      <c r="C30" s="56"/>
      <c r="D30" s="56"/>
      <c r="E30" s="56"/>
      <c r="F30" s="56"/>
      <c r="G30" s="56"/>
      <c r="H30" s="56"/>
    </row>
    <row r="31" spans="1:8" collapsed="1" x14ac:dyDescent="0.25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5"/>
  </sheetPr>
  <dimension ref="A1:W17"/>
  <sheetViews>
    <sheetView zoomScale="85" workbookViewId="0">
      <selection activeCell="W18" sqref="W18"/>
    </sheetView>
  </sheetViews>
  <sheetFormatPr defaultColWidth="10.28515625" defaultRowHeight="15.75" x14ac:dyDescent="0.25"/>
  <cols>
    <col min="1" max="1" width="25.140625" style="84" customWidth="1"/>
    <col min="2" max="2" width="11.42578125" style="84" hidden="1" customWidth="1"/>
    <col min="3" max="3" width="14.28515625" style="84" hidden="1" customWidth="1"/>
    <col min="4" max="4" width="13.42578125" style="84" hidden="1" customWidth="1"/>
    <col min="5" max="5" width="12.7109375" style="84" hidden="1" customWidth="1"/>
    <col min="6" max="6" width="13.140625" style="84" customWidth="1"/>
    <col min="7" max="7" width="13" style="84" customWidth="1"/>
    <col min="8" max="8" width="12.7109375" style="84" customWidth="1"/>
    <col min="9" max="10" width="15" style="84" customWidth="1"/>
    <col min="11" max="17" width="14.42578125" style="84" customWidth="1"/>
    <col min="18" max="23" width="14.7109375" style="84" customWidth="1"/>
    <col min="24" max="16384" width="10.28515625" style="84"/>
  </cols>
  <sheetData>
    <row r="1" spans="1:23" x14ac:dyDescent="0.25">
      <c r="A1" s="438" t="s">
        <v>111</v>
      </c>
      <c r="B1" s="438"/>
      <c r="C1" s="438"/>
      <c r="D1" s="438"/>
      <c r="E1" s="438"/>
      <c r="F1" s="438"/>
    </row>
    <row r="2" spans="1:23" ht="22.5" customHeight="1" x14ac:dyDescent="0.25">
      <c r="A2" s="106"/>
      <c r="B2" s="105">
        <v>2001</v>
      </c>
      <c r="C2" s="105">
        <v>2002</v>
      </c>
      <c r="D2" s="105">
        <v>2003</v>
      </c>
      <c r="E2" s="105">
        <v>2004</v>
      </c>
      <c r="F2" s="105">
        <v>2005</v>
      </c>
      <c r="G2" s="105">
        <v>2006</v>
      </c>
      <c r="H2" s="105">
        <v>2007</v>
      </c>
      <c r="I2" s="97">
        <v>2008</v>
      </c>
      <c r="J2" s="96">
        <v>2009</v>
      </c>
      <c r="K2" s="96">
        <v>2010</v>
      </c>
      <c r="L2" s="96">
        <v>2011</v>
      </c>
      <c r="M2" s="96">
        <v>2012</v>
      </c>
      <c r="N2" s="96">
        <v>2013</v>
      </c>
      <c r="O2" s="96">
        <v>2014</v>
      </c>
      <c r="P2" s="96">
        <v>2015</v>
      </c>
      <c r="Q2" s="96">
        <v>2016</v>
      </c>
      <c r="R2" s="96">
        <v>2017</v>
      </c>
      <c r="S2" s="96">
        <v>2018</v>
      </c>
      <c r="T2" s="96">
        <v>2019</v>
      </c>
      <c r="U2" s="96">
        <v>2020</v>
      </c>
      <c r="V2" s="96">
        <v>2021</v>
      </c>
      <c r="W2" s="96">
        <v>2022</v>
      </c>
    </row>
    <row r="3" spans="1:23" ht="22.5" customHeight="1" x14ac:dyDescent="0.25">
      <c r="A3" s="104" t="s">
        <v>116</v>
      </c>
      <c r="B3" s="103">
        <v>84275</v>
      </c>
      <c r="C3" s="102">
        <v>3960026</v>
      </c>
      <c r="D3" s="102">
        <v>5976481</v>
      </c>
      <c r="E3" s="102">
        <v>2622083</v>
      </c>
      <c r="F3" s="102">
        <v>2804755</v>
      </c>
      <c r="G3" s="102">
        <v>3835304</v>
      </c>
      <c r="H3" s="102">
        <v>3597607</v>
      </c>
      <c r="I3" s="72">
        <v>4148674</v>
      </c>
      <c r="J3" s="79">
        <v>4386633</v>
      </c>
      <c r="K3" s="79">
        <v>4426857</v>
      </c>
      <c r="L3" s="79">
        <v>4548788</v>
      </c>
      <c r="M3" s="79">
        <v>4787612</v>
      </c>
      <c r="N3" s="79">
        <v>4674368</v>
      </c>
      <c r="O3" s="79">
        <v>4749050</v>
      </c>
      <c r="P3" s="79">
        <v>5225653</v>
      </c>
      <c r="Q3" s="79">
        <v>5123867</v>
      </c>
      <c r="R3" s="79">
        <v>5704252</v>
      </c>
      <c r="S3" s="79">
        <v>6456472</v>
      </c>
      <c r="T3" s="79">
        <v>6996283</v>
      </c>
      <c r="U3" s="79">
        <v>7490726</v>
      </c>
      <c r="V3" s="79">
        <v>7002032</v>
      </c>
      <c r="W3" s="79">
        <v>7846903</v>
      </c>
    </row>
    <row r="4" spans="1:23" ht="22.5" customHeight="1" x14ac:dyDescent="0.25">
      <c r="A4" s="104" t="s">
        <v>115</v>
      </c>
      <c r="B4" s="103">
        <v>0</v>
      </c>
      <c r="C4" s="102">
        <v>39350</v>
      </c>
      <c r="D4" s="102">
        <v>101795</v>
      </c>
      <c r="E4" s="102">
        <v>290702</v>
      </c>
      <c r="F4" s="102">
        <v>661403</v>
      </c>
      <c r="G4" s="102">
        <v>1357532</v>
      </c>
      <c r="H4" s="102">
        <v>1720337</v>
      </c>
      <c r="I4" s="72">
        <v>3443896</v>
      </c>
      <c r="J4" s="79">
        <v>3154116</v>
      </c>
      <c r="K4" s="79">
        <v>3001307</v>
      </c>
      <c r="L4" s="79">
        <v>3755271</v>
      </c>
      <c r="M4" s="79">
        <v>4231791</v>
      </c>
      <c r="N4" s="79">
        <v>2934954</v>
      </c>
      <c r="O4" s="79">
        <v>3529488</v>
      </c>
      <c r="P4" s="79">
        <v>4470962</v>
      </c>
      <c r="Q4" s="79">
        <v>1689119</v>
      </c>
      <c r="R4" s="79">
        <v>2182178</v>
      </c>
      <c r="S4" s="79">
        <v>2896026</v>
      </c>
      <c r="T4" s="79">
        <v>3288287</v>
      </c>
      <c r="U4" s="79">
        <v>3297170</v>
      </c>
      <c r="V4" s="79">
        <v>2861052</v>
      </c>
      <c r="W4" s="79">
        <v>4146254</v>
      </c>
    </row>
    <row r="5" spans="1:23" ht="22.5" customHeight="1" x14ac:dyDescent="0.25">
      <c r="A5" s="101" t="s">
        <v>114</v>
      </c>
      <c r="B5" s="100">
        <f t="shared" ref="B5:S5" si="0">SUM(B3:B4)</f>
        <v>84275</v>
      </c>
      <c r="C5" s="100">
        <f t="shared" si="0"/>
        <v>3999376</v>
      </c>
      <c r="D5" s="100">
        <f t="shared" si="0"/>
        <v>6078276</v>
      </c>
      <c r="E5" s="100">
        <f t="shared" si="0"/>
        <v>2912785</v>
      </c>
      <c r="F5" s="100">
        <f t="shared" si="0"/>
        <v>3466158</v>
      </c>
      <c r="G5" s="100">
        <f t="shared" si="0"/>
        <v>5192836</v>
      </c>
      <c r="H5" s="100">
        <f t="shared" si="0"/>
        <v>5317944</v>
      </c>
      <c r="I5" s="86">
        <f t="shared" si="0"/>
        <v>7592570</v>
      </c>
      <c r="J5" s="85">
        <f t="shared" si="0"/>
        <v>7540749</v>
      </c>
      <c r="K5" s="85">
        <f t="shared" si="0"/>
        <v>7428164</v>
      </c>
      <c r="L5" s="85">
        <f t="shared" si="0"/>
        <v>8304059</v>
      </c>
      <c r="M5" s="85">
        <f t="shared" si="0"/>
        <v>9019403</v>
      </c>
      <c r="N5" s="85">
        <f t="shared" si="0"/>
        <v>7609322</v>
      </c>
      <c r="O5" s="85">
        <f t="shared" si="0"/>
        <v>8278538</v>
      </c>
      <c r="P5" s="85">
        <f t="shared" si="0"/>
        <v>9696615</v>
      </c>
      <c r="Q5" s="85">
        <f t="shared" si="0"/>
        <v>6812986</v>
      </c>
      <c r="R5" s="85">
        <f t="shared" si="0"/>
        <v>7886430</v>
      </c>
      <c r="S5" s="85">
        <f t="shared" si="0"/>
        <v>9352498</v>
      </c>
      <c r="T5" s="85">
        <f>SUM(T3:T4)</f>
        <v>10284570</v>
      </c>
      <c r="U5" s="85">
        <f>SUM(U3:U4)</f>
        <v>10787896</v>
      </c>
      <c r="V5" s="85">
        <f>SUM(V3:V4)</f>
        <v>9863084</v>
      </c>
      <c r="W5" s="85">
        <f>SUM(W3:W4)</f>
        <v>11993157</v>
      </c>
    </row>
    <row r="9" spans="1:23" x14ac:dyDescent="0.25">
      <c r="A9" s="99"/>
      <c r="B9" s="98">
        <v>2001</v>
      </c>
      <c r="C9" s="98">
        <v>2002</v>
      </c>
      <c r="D9" s="98">
        <v>2003</v>
      </c>
      <c r="E9" s="98">
        <v>2004</v>
      </c>
      <c r="F9" s="98">
        <v>2005</v>
      </c>
      <c r="G9" s="98">
        <v>2006</v>
      </c>
      <c r="H9" s="98">
        <v>2007</v>
      </c>
      <c r="I9" s="97">
        <v>2008</v>
      </c>
      <c r="J9" s="96">
        <v>2009</v>
      </c>
      <c r="K9" s="96">
        <v>2010</v>
      </c>
      <c r="L9" s="96">
        <v>2011</v>
      </c>
      <c r="M9" s="96">
        <v>2012</v>
      </c>
      <c r="N9" s="96">
        <v>2013</v>
      </c>
      <c r="O9" s="96">
        <v>2014</v>
      </c>
      <c r="P9" s="96">
        <v>2015</v>
      </c>
      <c r="Q9" s="96">
        <v>2016</v>
      </c>
      <c r="R9" s="96">
        <v>2017</v>
      </c>
      <c r="S9" s="96">
        <v>2018</v>
      </c>
      <c r="T9" s="96">
        <v>2019</v>
      </c>
      <c r="U9" s="96">
        <v>2020</v>
      </c>
      <c r="V9" s="96">
        <v>2021</v>
      </c>
      <c r="W9" s="96">
        <v>2022</v>
      </c>
    </row>
    <row r="10" spans="1:23" x14ac:dyDescent="0.25">
      <c r="A10" s="93" t="s">
        <v>113</v>
      </c>
      <c r="B10" s="92">
        <v>10</v>
      </c>
      <c r="C10" s="91">
        <v>1033100</v>
      </c>
      <c r="D10" s="90">
        <v>1139600</v>
      </c>
      <c r="E10" s="89">
        <v>1152642</v>
      </c>
      <c r="F10" s="89">
        <v>1245018</v>
      </c>
      <c r="G10" s="89">
        <v>3847124</v>
      </c>
      <c r="H10" s="89">
        <v>4045313</v>
      </c>
      <c r="I10" s="72">
        <v>4328690</v>
      </c>
      <c r="J10" s="79">
        <v>4532498</v>
      </c>
      <c r="K10" s="79">
        <v>4121475</v>
      </c>
      <c r="L10" s="79">
        <v>4416300</v>
      </c>
      <c r="M10" s="79">
        <v>4543700</v>
      </c>
      <c r="N10" s="79">
        <v>4302600</v>
      </c>
      <c r="O10" s="79">
        <v>4498900</v>
      </c>
      <c r="P10" s="79">
        <v>4776650</v>
      </c>
      <c r="Q10" s="79">
        <v>5330950</v>
      </c>
      <c r="R10" s="79">
        <v>5771300</v>
      </c>
      <c r="S10" s="79">
        <v>6427050</v>
      </c>
      <c r="T10" s="79">
        <v>7030550</v>
      </c>
      <c r="U10" s="79">
        <v>7340300</v>
      </c>
      <c r="V10" s="79">
        <v>6307200</v>
      </c>
      <c r="W10" s="79">
        <v>7283700</v>
      </c>
    </row>
    <row r="11" spans="1:23" x14ac:dyDescent="0.25">
      <c r="A11" s="93" t="s">
        <v>82</v>
      </c>
      <c r="B11" s="92">
        <v>90</v>
      </c>
      <c r="C11" s="91">
        <v>5899</v>
      </c>
      <c r="D11" s="90">
        <v>36891</v>
      </c>
      <c r="E11" s="89">
        <v>45708</v>
      </c>
      <c r="F11" s="89">
        <v>85840</v>
      </c>
      <c r="G11" s="89">
        <v>131499</v>
      </c>
      <c r="H11" s="89">
        <v>208296</v>
      </c>
      <c r="I11" s="72">
        <v>97807</v>
      </c>
      <c r="J11" s="79">
        <v>183697</v>
      </c>
      <c r="K11" s="79">
        <v>169579</v>
      </c>
      <c r="L11" s="79">
        <v>291031</v>
      </c>
      <c r="M11" s="95">
        <v>169400</v>
      </c>
      <c r="N11" s="95">
        <v>184620</v>
      </c>
      <c r="O11" s="95">
        <v>191852</v>
      </c>
      <c r="P11" s="95">
        <v>162937</v>
      </c>
      <c r="Q11" s="95">
        <v>140391</v>
      </c>
      <c r="R11" s="95">
        <v>164820</v>
      </c>
      <c r="S11" s="95">
        <v>613120</v>
      </c>
      <c r="T11" s="95">
        <v>563161</v>
      </c>
      <c r="U11" s="95">
        <v>585252</v>
      </c>
      <c r="V11" s="95">
        <v>581497</v>
      </c>
      <c r="W11" s="95">
        <v>597999</v>
      </c>
    </row>
    <row r="12" spans="1:23" x14ac:dyDescent="0.25">
      <c r="A12" s="93" t="s">
        <v>83</v>
      </c>
      <c r="B12" s="92">
        <v>0</v>
      </c>
      <c r="C12" s="94">
        <v>0</v>
      </c>
      <c r="D12" s="90">
        <v>20000</v>
      </c>
      <c r="E12" s="89">
        <v>10000</v>
      </c>
      <c r="F12" s="89">
        <v>10300</v>
      </c>
      <c r="G12" s="89">
        <v>40000</v>
      </c>
      <c r="H12" s="89">
        <v>40000</v>
      </c>
      <c r="I12" s="72">
        <v>40500</v>
      </c>
      <c r="J12" s="79">
        <v>58500</v>
      </c>
      <c r="K12" s="79">
        <v>45730</v>
      </c>
      <c r="L12" s="79">
        <v>60230</v>
      </c>
      <c r="M12" s="79">
        <v>79409</v>
      </c>
      <c r="N12" s="79">
        <v>85980</v>
      </c>
      <c r="O12" s="79">
        <v>85980</v>
      </c>
      <c r="P12" s="79">
        <v>55980</v>
      </c>
      <c r="Q12" s="79">
        <v>40980</v>
      </c>
      <c r="R12" s="79">
        <v>55000</v>
      </c>
      <c r="S12" s="79">
        <v>66000</v>
      </c>
      <c r="T12" s="79">
        <v>41450</v>
      </c>
      <c r="U12" s="79">
        <v>36450</v>
      </c>
      <c r="V12" s="79">
        <v>65658</v>
      </c>
      <c r="W12" s="79">
        <v>74079</v>
      </c>
    </row>
    <row r="13" spans="1:23" x14ac:dyDescent="0.25">
      <c r="A13" s="93" t="s">
        <v>84</v>
      </c>
      <c r="B13" s="92">
        <v>84175</v>
      </c>
      <c r="C13" s="91">
        <v>2960377</v>
      </c>
      <c r="D13" s="90">
        <v>4881785</v>
      </c>
      <c r="E13" s="89">
        <v>1704435</v>
      </c>
      <c r="F13" s="89">
        <v>2089000</v>
      </c>
      <c r="G13" s="89">
        <v>680213</v>
      </c>
      <c r="H13" s="89">
        <v>774335</v>
      </c>
      <c r="I13" s="72">
        <v>1925572.7</v>
      </c>
      <c r="J13" s="79">
        <v>2098388</v>
      </c>
      <c r="K13" s="79">
        <v>1689276</v>
      </c>
      <c r="L13" s="79">
        <v>2313905</v>
      </c>
      <c r="M13" s="79">
        <v>2139590</v>
      </c>
      <c r="N13" s="79">
        <v>1706993</v>
      </c>
      <c r="O13" s="79">
        <v>2169460</v>
      </c>
      <c r="P13" s="79">
        <v>3565454</v>
      </c>
      <c r="Q13" s="79">
        <v>2541011</v>
      </c>
      <c r="R13" s="79">
        <v>974346</v>
      </c>
      <c r="S13" s="79">
        <v>1130957</v>
      </c>
      <c r="T13" s="79">
        <v>1809816</v>
      </c>
      <c r="U13" s="79">
        <v>2233393</v>
      </c>
      <c r="V13" s="79">
        <v>1615456</v>
      </c>
      <c r="W13" s="79">
        <v>1342985</v>
      </c>
    </row>
    <row r="14" spans="1:23" ht="20.25" customHeight="1" x14ac:dyDescent="0.25">
      <c r="A14" s="88" t="s">
        <v>112</v>
      </c>
      <c r="B14" s="87">
        <f t="shared" ref="B14:S14" si="1">SUM(B10:B13)</f>
        <v>84275</v>
      </c>
      <c r="C14" s="87">
        <f t="shared" si="1"/>
        <v>3999376</v>
      </c>
      <c r="D14" s="87">
        <f t="shared" si="1"/>
        <v>6078276</v>
      </c>
      <c r="E14" s="78">
        <f t="shared" si="1"/>
        <v>2912785</v>
      </c>
      <c r="F14" s="78">
        <f t="shared" si="1"/>
        <v>3430158</v>
      </c>
      <c r="G14" s="78">
        <f t="shared" si="1"/>
        <v>4698836</v>
      </c>
      <c r="H14" s="78">
        <f t="shared" si="1"/>
        <v>5067944</v>
      </c>
      <c r="I14" s="86">
        <f t="shared" si="1"/>
        <v>6392569.7000000002</v>
      </c>
      <c r="J14" s="85">
        <f t="shared" si="1"/>
        <v>6873083</v>
      </c>
      <c r="K14" s="85">
        <f t="shared" si="1"/>
        <v>6026060</v>
      </c>
      <c r="L14" s="85">
        <f t="shared" si="1"/>
        <v>7081466</v>
      </c>
      <c r="M14" s="85">
        <f t="shared" si="1"/>
        <v>6932099</v>
      </c>
      <c r="N14" s="85">
        <f t="shared" si="1"/>
        <v>6280193</v>
      </c>
      <c r="O14" s="85">
        <f t="shared" si="1"/>
        <v>6946192</v>
      </c>
      <c r="P14" s="85">
        <f t="shared" si="1"/>
        <v>8561021</v>
      </c>
      <c r="Q14" s="85">
        <f t="shared" si="1"/>
        <v>8053332</v>
      </c>
      <c r="R14" s="85">
        <f t="shared" si="1"/>
        <v>6965466</v>
      </c>
      <c r="S14" s="85">
        <f t="shared" si="1"/>
        <v>8237127</v>
      </c>
      <c r="T14" s="85">
        <f>SUM(T10:T13)</f>
        <v>9444977</v>
      </c>
      <c r="U14" s="85">
        <f>SUM(U10:U13)</f>
        <v>10195395</v>
      </c>
      <c r="V14" s="85">
        <f>SUM(V10:V13)</f>
        <v>8569811</v>
      </c>
      <c r="W14" s="85">
        <f>SUM(W10:W13)</f>
        <v>9298763</v>
      </c>
    </row>
    <row r="17" spans="2:8" x14ac:dyDescent="0.25">
      <c r="B17" s="54">
        <f>B5-B14</f>
        <v>0</v>
      </c>
      <c r="C17" s="54">
        <f>C5-C14</f>
        <v>0</v>
      </c>
      <c r="D17" s="54">
        <f>D5-D14</f>
        <v>0</v>
      </c>
      <c r="E17" s="54">
        <f>E5-E14</f>
        <v>0</v>
      </c>
      <c r="F17" s="54">
        <f>F5-F14</f>
        <v>36000</v>
      </c>
      <c r="G17" s="54">
        <v>494000</v>
      </c>
      <c r="H17" s="54"/>
    </row>
  </sheetData>
  <mergeCells count="1">
    <mergeCell ref="A1:F1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35"/>
  </sheetPr>
  <dimension ref="A1:AG13"/>
  <sheetViews>
    <sheetView workbookViewId="0">
      <selection activeCell="AF13" sqref="AF13"/>
    </sheetView>
  </sheetViews>
  <sheetFormatPr defaultColWidth="10.28515625" defaultRowHeight="15.75" x14ac:dyDescent="0.25"/>
  <cols>
    <col min="1" max="1" width="39.5703125" style="84" customWidth="1"/>
    <col min="2" max="2" width="21.7109375" style="84" hidden="1" customWidth="1"/>
    <col min="3" max="3" width="10.28515625" style="84" hidden="1" customWidth="1"/>
    <col min="4" max="4" width="22.28515625" style="84" hidden="1" customWidth="1"/>
    <col min="5" max="5" width="10.28515625" style="84" hidden="1" customWidth="1"/>
    <col min="6" max="6" width="17.7109375" style="84" hidden="1" customWidth="1"/>
    <col min="7" max="7" width="10.28515625" style="84" hidden="1" customWidth="1"/>
    <col min="8" max="8" width="17.7109375" style="107" hidden="1" customWidth="1"/>
    <col min="9" max="9" width="10.28515625" style="107" hidden="1" customWidth="1"/>
    <col min="10" max="10" width="17.7109375" style="84" hidden="1" customWidth="1"/>
    <col min="11" max="11" width="10.28515625" style="84" hidden="1" customWidth="1"/>
    <col min="12" max="12" width="17.7109375" style="84" hidden="1" customWidth="1"/>
    <col min="13" max="13" width="10.28515625" style="84" hidden="1" customWidth="1"/>
    <col min="14" max="14" width="17.7109375" style="84" hidden="1" customWidth="1"/>
    <col min="15" max="15" width="10.28515625" style="84" hidden="1" customWidth="1"/>
    <col min="16" max="16" width="17.7109375" style="84" hidden="1" customWidth="1"/>
    <col min="17" max="17" width="0" style="84" hidden="1" customWidth="1"/>
    <col min="18" max="18" width="17.7109375" style="84" hidden="1" customWidth="1"/>
    <col min="19" max="19" width="10.28515625" style="84" hidden="1" customWidth="1"/>
    <col min="20" max="20" width="16.42578125" style="84" hidden="1" customWidth="1"/>
    <col min="21" max="21" width="10.28515625" style="84" hidden="1" customWidth="1"/>
    <col min="22" max="22" width="16.42578125" style="84" customWidth="1"/>
    <col min="23" max="23" width="10.28515625" style="84" customWidth="1"/>
    <col min="24" max="24" width="16.42578125" style="84" customWidth="1"/>
    <col min="25" max="25" width="10.28515625" style="84" customWidth="1"/>
    <col min="26" max="26" width="16.42578125" style="84" customWidth="1"/>
    <col min="27" max="27" width="10.28515625" style="84" customWidth="1"/>
    <col min="28" max="28" width="16.42578125" style="84" customWidth="1"/>
    <col min="29" max="29" width="10.28515625" style="84" customWidth="1"/>
    <col min="30" max="30" width="16.42578125" style="84" customWidth="1"/>
    <col min="31" max="31" width="10.28515625" style="84" customWidth="1"/>
    <col min="32" max="32" width="16.42578125" style="84" customWidth="1"/>
    <col min="33" max="33" width="10.28515625" style="84" customWidth="1"/>
    <col min="34" max="16384" width="10.28515625" style="84"/>
  </cols>
  <sheetData>
    <row r="1" spans="1:33" ht="35.25" customHeight="1" x14ac:dyDescent="0.25">
      <c r="A1" s="134" t="s">
        <v>134</v>
      </c>
      <c r="B1" s="133" t="s">
        <v>133</v>
      </c>
      <c r="C1" s="133"/>
      <c r="D1" s="132" t="s">
        <v>132</v>
      </c>
      <c r="E1" s="132"/>
      <c r="F1" s="132" t="s">
        <v>131</v>
      </c>
      <c r="G1" s="132"/>
      <c r="H1" s="132" t="s">
        <v>130</v>
      </c>
      <c r="I1" s="132"/>
      <c r="J1" s="131" t="s">
        <v>129</v>
      </c>
      <c r="K1" s="131"/>
      <c r="L1" s="131" t="s">
        <v>128</v>
      </c>
      <c r="M1" s="131"/>
      <c r="N1" s="131" t="s">
        <v>127</v>
      </c>
      <c r="O1" s="131"/>
      <c r="P1" s="131" t="s">
        <v>126</v>
      </c>
      <c r="Q1" s="131"/>
      <c r="R1" s="131" t="s">
        <v>125</v>
      </c>
      <c r="S1" s="131"/>
      <c r="T1" s="131" t="s">
        <v>124</v>
      </c>
      <c r="U1" s="131"/>
      <c r="V1" s="131" t="s">
        <v>123</v>
      </c>
      <c r="W1" s="131"/>
      <c r="X1" s="131" t="s">
        <v>122</v>
      </c>
      <c r="Y1" s="131"/>
      <c r="Z1" s="131" t="s">
        <v>166</v>
      </c>
      <c r="AA1" s="131"/>
      <c r="AB1" s="131" t="s">
        <v>212</v>
      </c>
      <c r="AC1" s="131"/>
      <c r="AD1" s="131" t="s">
        <v>300</v>
      </c>
      <c r="AE1" s="131"/>
      <c r="AF1" s="131" t="s">
        <v>410</v>
      </c>
      <c r="AG1" s="131"/>
    </row>
    <row r="2" spans="1:33" x14ac:dyDescent="0.25">
      <c r="A2" s="123" t="s">
        <v>82</v>
      </c>
      <c r="B2" s="122">
        <v>208296</v>
      </c>
      <c r="C2" s="121">
        <f>(B2/$B$10)*100</f>
        <v>4.1100690931075796</v>
      </c>
      <c r="D2" s="120">
        <v>97807</v>
      </c>
      <c r="E2" s="119">
        <f t="shared" ref="E2:E8" si="0">(D2/$D$10)*100</f>
        <v>1.5300091856553601</v>
      </c>
      <c r="F2" s="120">
        <v>183697</v>
      </c>
      <c r="G2" s="119">
        <f t="shared" ref="G2:G8" si="1">(F2/$D$10)*100</f>
        <v>2.8735989998398144</v>
      </c>
      <c r="H2" s="120">
        <v>169579</v>
      </c>
      <c r="I2" s="119">
        <f t="shared" ref="I2:I8" si="2">(H2/$H$10)*100</f>
        <v>2.8140941178813357</v>
      </c>
      <c r="J2" s="118">
        <v>291031</v>
      </c>
      <c r="K2" s="117">
        <f t="shared" ref="K2:K7" si="3">(J2/$J$10)*100</f>
        <v>4.1097563696556616</v>
      </c>
      <c r="L2" s="118">
        <v>169400</v>
      </c>
      <c r="M2" s="117">
        <f t="shared" ref="M2:M7" si="4">(L2/$L$10)*100</f>
        <v>2.4437042806226512</v>
      </c>
      <c r="N2" s="118">
        <v>184620</v>
      </c>
      <c r="O2" s="117">
        <f t="shared" ref="O2:O8" si="5">(N2/$N$10)*100</f>
        <v>2.9397185723432386</v>
      </c>
      <c r="P2" s="118">
        <v>191852</v>
      </c>
      <c r="Q2" s="117">
        <f t="shared" ref="Q2:Q8" si="6">P2/$P$10*100</f>
        <v>2.7619737548285448</v>
      </c>
      <c r="R2" s="118">
        <v>162937</v>
      </c>
      <c r="S2" s="117">
        <f t="shared" ref="S2:S8" si="7">R2/$R$10*100</f>
        <v>1.9032426155712034</v>
      </c>
      <c r="T2" s="118">
        <v>140391</v>
      </c>
      <c r="U2" s="117">
        <f t="shared" ref="U2:U8" si="8">T2/$T$10*100</f>
        <v>1.7432660170970227</v>
      </c>
      <c r="V2" s="118">
        <v>164820</v>
      </c>
      <c r="W2" s="117">
        <f t="shared" ref="W2:W8" si="9">V2/$V$10*100</f>
        <v>2.3662451299022922</v>
      </c>
      <c r="X2" s="118">
        <v>613120</v>
      </c>
      <c r="Y2" s="117">
        <f t="shared" ref="Y2:Y8" si="10">X2/$X$10*100</f>
        <v>7.4433719426688461</v>
      </c>
      <c r="Z2" s="118">
        <v>563161</v>
      </c>
      <c r="AA2" s="117">
        <f>Z2/$Z$10*100</f>
        <v>5.9625449590824839</v>
      </c>
      <c r="AB2" s="118">
        <v>585252</v>
      </c>
      <c r="AC2" s="117">
        <f>AB2/$AB$10*100</f>
        <v>5.7403563079213704</v>
      </c>
      <c r="AD2" s="118">
        <v>581497</v>
      </c>
      <c r="AE2" s="117">
        <f>AD2/$AD$10*100</f>
        <v>6.7854121870365631</v>
      </c>
      <c r="AF2" s="118">
        <v>597999</v>
      </c>
      <c r="AG2" s="117">
        <f>AF2/$AF$10*100</f>
        <v>6.4309521599808486</v>
      </c>
    </row>
    <row r="3" spans="1:33" x14ac:dyDescent="0.25">
      <c r="A3" s="123" t="s">
        <v>81</v>
      </c>
      <c r="B3" s="122">
        <v>4045313</v>
      </c>
      <c r="C3" s="121">
        <f>(B3/$B$10)*100</f>
        <v>79.82158050680907</v>
      </c>
      <c r="D3" s="120">
        <v>4328690</v>
      </c>
      <c r="E3" s="119">
        <f t="shared" si="0"/>
        <v>67.714329872652286</v>
      </c>
      <c r="F3" s="120">
        <v>4532498</v>
      </c>
      <c r="G3" s="119">
        <f t="shared" si="1"/>
        <v>70.902528182691924</v>
      </c>
      <c r="H3" s="120">
        <v>4121475</v>
      </c>
      <c r="I3" s="119">
        <f t="shared" si="2"/>
        <v>68.394191229426866</v>
      </c>
      <c r="J3" s="118">
        <v>4416300</v>
      </c>
      <c r="K3" s="117">
        <f t="shared" si="3"/>
        <v>62.364205377813008</v>
      </c>
      <c r="L3" s="118">
        <v>4543700</v>
      </c>
      <c r="M3" s="117">
        <f t="shared" si="4"/>
        <v>65.545803659180294</v>
      </c>
      <c r="N3" s="118">
        <v>4302600</v>
      </c>
      <c r="O3" s="117">
        <f t="shared" si="5"/>
        <v>68.510633351554645</v>
      </c>
      <c r="P3" s="118">
        <v>4498900</v>
      </c>
      <c r="Q3" s="117">
        <f t="shared" si="6"/>
        <v>64.767861297240273</v>
      </c>
      <c r="R3" s="118">
        <v>4776650</v>
      </c>
      <c r="S3" s="117">
        <f t="shared" si="7"/>
        <v>55.795330954099988</v>
      </c>
      <c r="T3" s="118">
        <v>5330950</v>
      </c>
      <c r="U3" s="117">
        <f t="shared" si="8"/>
        <v>66.19558215158645</v>
      </c>
      <c r="V3" s="118">
        <v>5771300</v>
      </c>
      <c r="W3" s="117">
        <f t="shared" si="9"/>
        <v>82.85590655384722</v>
      </c>
      <c r="X3" s="118">
        <v>6427050</v>
      </c>
      <c r="Y3" s="117">
        <f t="shared" si="10"/>
        <v>78.02538433606766</v>
      </c>
      <c r="Z3" s="118">
        <v>7030550</v>
      </c>
      <c r="AA3" s="117">
        <f t="shared" ref="AA3:AA8" si="11">Z3/$Z$10*100</f>
        <v>74.436920280483477</v>
      </c>
      <c r="AB3" s="118">
        <v>7340300</v>
      </c>
      <c r="AC3" s="117">
        <f t="shared" ref="AC3:AC8" si="12">AB3/$AB$10*100</f>
        <v>71.996229670356087</v>
      </c>
      <c r="AD3" s="118">
        <v>6307200</v>
      </c>
      <c r="AE3" s="117">
        <f t="shared" ref="AE3:AE8" si="13">AD3/$AD$10*100</f>
        <v>73.597889148313783</v>
      </c>
      <c r="AF3" s="118">
        <v>7283700</v>
      </c>
      <c r="AG3" s="117">
        <f t="shared" ref="AG3:AG8" si="14">AF3/$AF$10*100</f>
        <v>78.329773540846233</v>
      </c>
    </row>
    <row r="4" spans="1:33" x14ac:dyDescent="0.25">
      <c r="A4" s="130" t="s">
        <v>83</v>
      </c>
      <c r="B4" s="124">
        <v>40000</v>
      </c>
      <c r="C4" s="121">
        <f>(B4/$B$10)*100</f>
        <v>0.78927470390359489</v>
      </c>
      <c r="D4" s="120">
        <v>40500</v>
      </c>
      <c r="E4" s="119">
        <f t="shared" si="0"/>
        <v>0.63354741500140166</v>
      </c>
      <c r="F4" s="120">
        <v>58500</v>
      </c>
      <c r="G4" s="119">
        <f t="shared" si="1"/>
        <v>0.9151240438909134</v>
      </c>
      <c r="H4" s="120">
        <v>45730</v>
      </c>
      <c r="I4" s="119">
        <f t="shared" si="2"/>
        <v>0.75887063852666581</v>
      </c>
      <c r="J4" s="118">
        <v>60230</v>
      </c>
      <c r="K4" s="117">
        <f t="shared" si="3"/>
        <v>0.85053010210032787</v>
      </c>
      <c r="L4" s="118">
        <v>79409</v>
      </c>
      <c r="M4" s="117">
        <f t="shared" si="4"/>
        <v>1.1455260520659039</v>
      </c>
      <c r="N4" s="118">
        <v>85980</v>
      </c>
      <c r="O4" s="117">
        <f t="shared" si="5"/>
        <v>1.3690662054494185</v>
      </c>
      <c r="P4" s="118">
        <v>85980</v>
      </c>
      <c r="Q4" s="117">
        <f t="shared" si="6"/>
        <v>1.2378005099772653</v>
      </c>
      <c r="R4" s="118">
        <v>55980</v>
      </c>
      <c r="S4" s="117">
        <f t="shared" si="7"/>
        <v>0.65389396895533836</v>
      </c>
      <c r="T4" s="118">
        <v>40980</v>
      </c>
      <c r="U4" s="117">
        <f t="shared" si="8"/>
        <v>0.50885770014200338</v>
      </c>
      <c r="V4" s="118">
        <v>55000</v>
      </c>
      <c r="W4" s="117">
        <f t="shared" si="9"/>
        <v>0.78960976910948966</v>
      </c>
      <c r="X4" s="118">
        <v>66000</v>
      </c>
      <c r="Y4" s="117">
        <f t="shared" si="10"/>
        <v>0.80125024174083992</v>
      </c>
      <c r="Z4" s="118">
        <v>41450</v>
      </c>
      <c r="AA4" s="117">
        <f t="shared" si="11"/>
        <v>0.43885760653519856</v>
      </c>
      <c r="AB4" s="118">
        <v>36450</v>
      </c>
      <c r="AC4" s="117">
        <f t="shared" si="12"/>
        <v>0.35751434838964063</v>
      </c>
      <c r="AD4" s="118">
        <v>65658</v>
      </c>
      <c r="AE4" s="117">
        <f t="shared" si="13"/>
        <v>0.7661545861396476</v>
      </c>
      <c r="AF4" s="118">
        <v>74079</v>
      </c>
      <c r="AG4" s="117">
        <f t="shared" si="14"/>
        <v>0.79665435069159207</v>
      </c>
    </row>
    <row r="5" spans="1:33" x14ac:dyDescent="0.25">
      <c r="A5" s="129" t="s">
        <v>121</v>
      </c>
      <c r="B5" s="128">
        <v>176006</v>
      </c>
      <c r="C5" s="121">
        <f>(B5/$B$10)*100</f>
        <v>3.472927088381403</v>
      </c>
      <c r="D5" s="127">
        <v>1640569</v>
      </c>
      <c r="E5" s="119">
        <f t="shared" si="0"/>
        <v>25.663660471146532</v>
      </c>
      <c r="F5" s="127">
        <v>1647849</v>
      </c>
      <c r="G5" s="119">
        <f t="shared" si="1"/>
        <v>25.777542574386285</v>
      </c>
      <c r="H5" s="127">
        <v>1296585</v>
      </c>
      <c r="I5" s="119">
        <f t="shared" si="2"/>
        <v>21.516297547651366</v>
      </c>
      <c r="J5" s="126">
        <f>1995546+1880</f>
        <v>1997426</v>
      </c>
      <c r="K5" s="117">
        <f t="shared" si="3"/>
        <v>28.206391162507877</v>
      </c>
      <c r="L5" s="126">
        <f>1872536+925</f>
        <v>1873461</v>
      </c>
      <c r="M5" s="117">
        <f t="shared" si="4"/>
        <v>27.025883502240806</v>
      </c>
      <c r="N5" s="126">
        <f>1507801+605</f>
        <v>1508406</v>
      </c>
      <c r="O5" s="117">
        <f t="shared" si="5"/>
        <v>24.018465674542167</v>
      </c>
      <c r="P5" s="126">
        <f>1857309+435</f>
        <v>1857744</v>
      </c>
      <c r="Q5" s="117">
        <f t="shared" si="6"/>
        <v>26.744783328764882</v>
      </c>
      <c r="R5" s="118">
        <v>3199577</v>
      </c>
      <c r="S5" s="117">
        <f t="shared" si="7"/>
        <v>37.373778197717307</v>
      </c>
      <c r="T5" s="118">
        <v>2170452</v>
      </c>
      <c r="U5" s="117">
        <f t="shared" si="8"/>
        <v>26.950981283275048</v>
      </c>
      <c r="V5" s="118">
        <v>591823</v>
      </c>
      <c r="W5" s="117">
        <f t="shared" si="9"/>
        <v>8.4965313160670082</v>
      </c>
      <c r="X5" s="118">
        <v>701761</v>
      </c>
      <c r="Y5" s="117">
        <f t="shared" si="10"/>
        <v>8.5194874377923284</v>
      </c>
      <c r="Z5" s="118">
        <v>1327707</v>
      </c>
      <c r="AA5" s="117">
        <f t="shared" si="11"/>
        <v>14.057281452352926</v>
      </c>
      <c r="AB5" s="118">
        <v>1635206</v>
      </c>
      <c r="AC5" s="117">
        <f t="shared" si="12"/>
        <v>16.038672361394532</v>
      </c>
      <c r="AD5" s="118">
        <v>792933</v>
      </c>
      <c r="AE5" s="117">
        <f t="shared" si="13"/>
        <v>9.2526311257039389</v>
      </c>
      <c r="AF5" s="118">
        <v>606358</v>
      </c>
      <c r="AG5" s="117">
        <f t="shared" si="14"/>
        <v>6.5208458372366298</v>
      </c>
    </row>
    <row r="6" spans="1:33" x14ac:dyDescent="0.25">
      <c r="A6" s="129" t="s">
        <v>120</v>
      </c>
      <c r="B6" s="128"/>
      <c r="C6" s="121"/>
      <c r="D6" s="127">
        <v>0</v>
      </c>
      <c r="E6" s="119">
        <f t="shared" si="0"/>
        <v>0</v>
      </c>
      <c r="F6" s="127">
        <v>0</v>
      </c>
      <c r="G6" s="119">
        <f t="shared" si="1"/>
        <v>0</v>
      </c>
      <c r="H6" s="127">
        <v>198587</v>
      </c>
      <c r="I6" s="119">
        <f t="shared" si="2"/>
        <v>3.295470008595998</v>
      </c>
      <c r="J6" s="126">
        <v>198587</v>
      </c>
      <c r="K6" s="117">
        <f t="shared" si="3"/>
        <v>2.8043204613282051</v>
      </c>
      <c r="L6" s="126">
        <v>153000</v>
      </c>
      <c r="M6" s="117">
        <f t="shared" si="4"/>
        <v>2.2071237009165623</v>
      </c>
      <c r="N6" s="126">
        <v>198587</v>
      </c>
      <c r="O6" s="117">
        <f t="shared" si="5"/>
        <v>3.1621161961105337</v>
      </c>
      <c r="P6" s="126">
        <v>198587</v>
      </c>
      <c r="Q6" s="117">
        <f t="shared" si="6"/>
        <v>2.8589333551390461</v>
      </c>
      <c r="R6" s="118">
        <v>207979</v>
      </c>
      <c r="S6" s="117">
        <f t="shared" si="7"/>
        <v>2.4293714499707453</v>
      </c>
      <c r="T6" s="118">
        <v>208810</v>
      </c>
      <c r="U6" s="117">
        <f t="shared" si="8"/>
        <v>2.5928398332516278</v>
      </c>
      <c r="V6" s="118">
        <v>209438</v>
      </c>
      <c r="W6" s="117">
        <f t="shared" si="9"/>
        <v>3.0068052876864231</v>
      </c>
      <c r="X6" s="118">
        <v>210904</v>
      </c>
      <c r="Y6" s="117">
        <f t="shared" si="10"/>
        <v>2.5604072876380322</v>
      </c>
      <c r="Z6" s="118">
        <v>216176</v>
      </c>
      <c r="AA6" s="117">
        <f t="shared" si="11"/>
        <v>2.2887932919264919</v>
      </c>
      <c r="AB6" s="118">
        <v>312465</v>
      </c>
      <c r="AC6" s="117">
        <f t="shared" si="12"/>
        <v>3.0647660046521001</v>
      </c>
      <c r="AD6" s="118">
        <v>321214</v>
      </c>
      <c r="AE6" s="117">
        <f t="shared" si="13"/>
        <v>3.7482040152344083</v>
      </c>
      <c r="AF6" s="118">
        <v>331493</v>
      </c>
      <c r="AG6" s="117">
        <f t="shared" si="14"/>
        <v>3.5649150322467618</v>
      </c>
    </row>
    <row r="7" spans="1:33" ht="31.5" x14ac:dyDescent="0.25">
      <c r="A7" s="125" t="s">
        <v>119</v>
      </c>
      <c r="B7" s="124">
        <v>124479</v>
      </c>
      <c r="C7" s="121">
        <f>(B7/$B$10)*100</f>
        <v>2.4562031466803895</v>
      </c>
      <c r="D7" s="120">
        <v>122010</v>
      </c>
      <c r="E7" s="119">
        <f t="shared" si="0"/>
        <v>1.9086202494894078</v>
      </c>
      <c r="F7" s="120">
        <v>129223</v>
      </c>
      <c r="G7" s="119">
        <f t="shared" si="1"/>
        <v>2.0214542619438549</v>
      </c>
      <c r="H7" s="120">
        <v>128864</v>
      </c>
      <c r="I7" s="119">
        <f t="shared" si="2"/>
        <v>2.1384453523529472</v>
      </c>
      <c r="J7" s="118">
        <v>117892</v>
      </c>
      <c r="K7" s="117">
        <f t="shared" si="3"/>
        <v>1.6647965265949169</v>
      </c>
      <c r="L7" s="118">
        <v>113129</v>
      </c>
      <c r="M7" s="117">
        <f t="shared" si="4"/>
        <v>1.6319588049737894</v>
      </c>
      <c r="N7" s="118">
        <v>0</v>
      </c>
      <c r="O7" s="117">
        <f t="shared" si="5"/>
        <v>0</v>
      </c>
      <c r="P7" s="118">
        <v>113129</v>
      </c>
      <c r="Q7" s="117">
        <f t="shared" si="6"/>
        <v>1.6286477540499888</v>
      </c>
      <c r="R7" s="118">
        <v>114252</v>
      </c>
      <c r="S7" s="117">
        <f t="shared" si="7"/>
        <v>1.3345604455356435</v>
      </c>
      <c r="T7" s="118">
        <v>116831</v>
      </c>
      <c r="U7" s="117">
        <f t="shared" si="8"/>
        <v>1.450716299787467</v>
      </c>
      <c r="V7" s="118">
        <v>123989</v>
      </c>
      <c r="W7" s="117">
        <f t="shared" si="9"/>
        <v>1.7800531938566635</v>
      </c>
      <c r="X7" s="118">
        <v>130188</v>
      </c>
      <c r="Y7" s="117">
        <f t="shared" si="10"/>
        <v>1.5805025222993405</v>
      </c>
      <c r="Z7" s="118">
        <v>143207</v>
      </c>
      <c r="AA7" s="117">
        <f t="shared" si="11"/>
        <v>1.5162239145738523</v>
      </c>
      <c r="AB7" s="118">
        <v>156273</v>
      </c>
      <c r="AC7" s="117">
        <f t="shared" si="12"/>
        <v>1.5327802404909276</v>
      </c>
      <c r="AD7" s="118">
        <v>171417</v>
      </c>
      <c r="AE7" s="117">
        <f t="shared" si="13"/>
        <v>2.0002424790931799</v>
      </c>
      <c r="AF7" s="118">
        <v>171417</v>
      </c>
      <c r="AG7" s="117">
        <f t="shared" si="14"/>
        <v>1.8434387455621786</v>
      </c>
    </row>
    <row r="8" spans="1:33" x14ac:dyDescent="0.25">
      <c r="A8" s="123" t="s">
        <v>118</v>
      </c>
      <c r="B8" s="122">
        <v>473850</v>
      </c>
      <c r="C8" s="121">
        <f>(B8/$B$10)*100</f>
        <v>9.3499454611179598</v>
      </c>
      <c r="D8" s="120">
        <v>163000</v>
      </c>
      <c r="E8" s="119">
        <f t="shared" si="0"/>
        <v>2.5498328060550239</v>
      </c>
      <c r="F8" s="120">
        <v>321316</v>
      </c>
      <c r="G8" s="119">
        <f t="shared" si="1"/>
        <v>5.0263931160145772</v>
      </c>
      <c r="H8" s="120">
        <v>65240</v>
      </c>
      <c r="I8" s="119">
        <f t="shared" si="2"/>
        <v>1.0826311055648301</v>
      </c>
      <c r="J8" s="118">
        <v>0</v>
      </c>
      <c r="K8" s="117">
        <f>(J8/$H$10)*100</f>
        <v>0</v>
      </c>
      <c r="L8" s="118"/>
      <c r="M8" s="117">
        <f>(L8/$H$10)*100</f>
        <v>0</v>
      </c>
      <c r="N8" s="118"/>
      <c r="O8" s="117">
        <f t="shared" si="5"/>
        <v>0</v>
      </c>
      <c r="P8" s="118"/>
      <c r="Q8" s="117">
        <f t="shared" si="6"/>
        <v>0</v>
      </c>
      <c r="R8" s="118">
        <v>43646</v>
      </c>
      <c r="S8" s="117">
        <f t="shared" si="7"/>
        <v>0.50982236814978021</v>
      </c>
      <c r="T8" s="118">
        <v>44918</v>
      </c>
      <c r="U8" s="117">
        <f t="shared" si="8"/>
        <v>0.55775671486038325</v>
      </c>
      <c r="V8" s="118">
        <v>49096</v>
      </c>
      <c r="W8" s="117">
        <f t="shared" si="9"/>
        <v>0.70484874953090004</v>
      </c>
      <c r="X8" s="118">
        <v>88104</v>
      </c>
      <c r="Y8" s="117">
        <f t="shared" si="10"/>
        <v>1.0695962317929539</v>
      </c>
      <c r="Z8" s="118">
        <v>122726</v>
      </c>
      <c r="AA8" s="117">
        <f t="shared" si="11"/>
        <v>1.2993784950455676</v>
      </c>
      <c r="AB8" s="118">
        <v>129449</v>
      </c>
      <c r="AC8" s="117">
        <f t="shared" si="12"/>
        <v>1.2696810667953522</v>
      </c>
      <c r="AD8" s="118">
        <v>329892</v>
      </c>
      <c r="AE8" s="117">
        <f t="shared" si="13"/>
        <v>3.849466458478489</v>
      </c>
      <c r="AF8" s="118">
        <v>233717</v>
      </c>
      <c r="AG8" s="117">
        <f t="shared" si="14"/>
        <v>2.5134203334357483</v>
      </c>
    </row>
    <row r="9" spans="1:33" x14ac:dyDescent="0.25">
      <c r="B9" s="115"/>
      <c r="D9" s="116"/>
      <c r="E9" s="107"/>
      <c r="F9" s="116"/>
      <c r="G9" s="107"/>
      <c r="H9" s="116"/>
      <c r="J9" s="115"/>
      <c r="L9" s="115"/>
      <c r="N9" s="115"/>
      <c r="P9" s="115"/>
      <c r="R9" s="115"/>
      <c r="T9" s="115"/>
      <c r="V9" s="115"/>
      <c r="X9" s="115"/>
      <c r="Z9" s="115"/>
      <c r="AB9" s="115"/>
      <c r="AD9" s="115"/>
      <c r="AF9" s="115"/>
    </row>
    <row r="10" spans="1:33" x14ac:dyDescent="0.25">
      <c r="A10" s="114" t="s">
        <v>117</v>
      </c>
      <c r="B10" s="113">
        <f t="shared" ref="B10:Y10" si="15">SUM(B2:B9)</f>
        <v>5067944</v>
      </c>
      <c r="C10" s="112">
        <f t="shared" si="15"/>
        <v>100</v>
      </c>
      <c r="D10" s="111">
        <f t="shared" si="15"/>
        <v>6392576</v>
      </c>
      <c r="E10" s="110">
        <f t="shared" si="15"/>
        <v>100</v>
      </c>
      <c r="F10" s="111">
        <f t="shared" si="15"/>
        <v>6873083</v>
      </c>
      <c r="G10" s="110">
        <f t="shared" si="15"/>
        <v>107.51664117876737</v>
      </c>
      <c r="H10" s="111">
        <f t="shared" si="15"/>
        <v>6026060</v>
      </c>
      <c r="I10" s="110">
        <f t="shared" si="15"/>
        <v>100</v>
      </c>
      <c r="J10" s="109">
        <f t="shared" si="15"/>
        <v>7081466</v>
      </c>
      <c r="K10" s="108">
        <f t="shared" si="15"/>
        <v>99.999999999999972</v>
      </c>
      <c r="L10" s="109">
        <f t="shared" si="15"/>
        <v>6932099</v>
      </c>
      <c r="M10" s="108">
        <f t="shared" si="15"/>
        <v>100.00000000000001</v>
      </c>
      <c r="N10" s="109">
        <f t="shared" si="15"/>
        <v>6280193</v>
      </c>
      <c r="O10" s="108">
        <f t="shared" si="15"/>
        <v>100</v>
      </c>
      <c r="P10" s="109">
        <f t="shared" si="15"/>
        <v>6946192</v>
      </c>
      <c r="Q10" s="108">
        <f t="shared" si="15"/>
        <v>100</v>
      </c>
      <c r="R10" s="109">
        <f t="shared" si="15"/>
        <v>8561021</v>
      </c>
      <c r="S10" s="108">
        <f t="shared" si="15"/>
        <v>100</v>
      </c>
      <c r="T10" s="109">
        <f t="shared" si="15"/>
        <v>8053332</v>
      </c>
      <c r="U10" s="108">
        <f t="shared" si="15"/>
        <v>100.00000000000003</v>
      </c>
      <c r="V10" s="109">
        <f t="shared" si="15"/>
        <v>6965466</v>
      </c>
      <c r="W10" s="108">
        <f t="shared" si="15"/>
        <v>99.999999999999986</v>
      </c>
      <c r="X10" s="109">
        <f t="shared" si="15"/>
        <v>8237127</v>
      </c>
      <c r="Y10" s="108">
        <f t="shared" si="15"/>
        <v>100</v>
      </c>
      <c r="Z10" s="109">
        <f t="shared" ref="Z10:AE10" si="16">SUM(Z2:Z9)</f>
        <v>9444977</v>
      </c>
      <c r="AA10" s="108">
        <f t="shared" si="16"/>
        <v>100</v>
      </c>
      <c r="AB10" s="109">
        <f t="shared" si="16"/>
        <v>10195395</v>
      </c>
      <c r="AC10" s="108">
        <f t="shared" si="16"/>
        <v>100.00000000000001</v>
      </c>
      <c r="AD10" s="109">
        <f t="shared" si="16"/>
        <v>8569811</v>
      </c>
      <c r="AE10" s="108">
        <f t="shared" si="16"/>
        <v>100.00000000000001</v>
      </c>
      <c r="AF10" s="109">
        <f t="shared" ref="AF10:AG10" si="17">SUM(AF2:AF9)</f>
        <v>9298763</v>
      </c>
      <c r="AG10" s="108">
        <f t="shared" si="17"/>
        <v>100</v>
      </c>
    </row>
    <row r="11" spans="1:33" x14ac:dyDescent="0.25">
      <c r="B11" s="84">
        <v>4697998</v>
      </c>
    </row>
    <row r="12" spans="1:33" x14ac:dyDescent="0.25">
      <c r="B12" s="54">
        <f>B11-B10</f>
        <v>-369946</v>
      </c>
    </row>
    <row r="13" spans="1:33" x14ac:dyDescent="0.25">
      <c r="D13" s="54">
        <f>D7+D5+D8</f>
        <v>1925579</v>
      </c>
      <c r="E13" s="54"/>
      <c r="F13" s="54"/>
      <c r="G13" s="54"/>
      <c r="H13" s="63">
        <f>H7+H5+H8</f>
        <v>1490689</v>
      </c>
      <c r="J13" s="54">
        <f>J7+J5+J8</f>
        <v>2115318</v>
      </c>
      <c r="L13" s="54">
        <f>L7+L5+L8</f>
        <v>1986590</v>
      </c>
      <c r="N13" s="54">
        <f>N7+N5+N8</f>
        <v>1508406</v>
      </c>
      <c r="P13" s="54">
        <f>P5+P6+P7+P8</f>
        <v>2169460</v>
      </c>
      <c r="R13" s="54">
        <f>R5+R6+R7+R8</f>
        <v>3565454</v>
      </c>
      <c r="T13" s="54">
        <f>T5+T6+T7+T8</f>
        <v>2541011</v>
      </c>
      <c r="V13" s="54">
        <f>V5+V6+V7+V8</f>
        <v>974346</v>
      </c>
      <c r="X13" s="54">
        <f>X5+X6+X7+X8</f>
        <v>1130957</v>
      </c>
      <c r="Z13" s="54">
        <f>Z5+Z6+Z7+Z8</f>
        <v>1809816</v>
      </c>
      <c r="AB13" s="54">
        <f>AB5+AB6+AB7+AB8</f>
        <v>2233393</v>
      </c>
      <c r="AD13" s="54">
        <f>AD5+AD6+AD7+AD8</f>
        <v>1615456</v>
      </c>
      <c r="AF13" s="54">
        <f>AF5+AF6+AF7+AF8</f>
        <v>1342985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AG34"/>
  <sheetViews>
    <sheetView workbookViewId="0">
      <selection activeCell="AF37" sqref="AF37"/>
    </sheetView>
  </sheetViews>
  <sheetFormatPr defaultColWidth="10.28515625" defaultRowHeight="15.75" x14ac:dyDescent="0.25"/>
  <cols>
    <col min="1" max="1" width="48.85546875" style="84" customWidth="1"/>
    <col min="2" max="2" width="18.42578125" style="84" hidden="1" customWidth="1"/>
    <col min="3" max="3" width="10.28515625" style="84" hidden="1" customWidth="1"/>
    <col min="4" max="4" width="17.7109375" style="84" hidden="1" customWidth="1"/>
    <col min="5" max="5" width="15" style="84" hidden="1" customWidth="1"/>
    <col min="6" max="6" width="17.140625" style="107" hidden="1" customWidth="1"/>
    <col min="7" max="7" width="10.28515625" style="107" hidden="1" customWidth="1"/>
    <col min="8" max="8" width="17.140625" style="136" hidden="1" customWidth="1"/>
    <col min="9" max="9" width="10.28515625" style="107" hidden="1" customWidth="1"/>
    <col min="10" max="10" width="17.140625" style="135" hidden="1" customWidth="1"/>
    <col min="11" max="11" width="10.28515625" style="84" hidden="1" customWidth="1"/>
    <col min="12" max="12" width="17.140625" style="135" hidden="1" customWidth="1"/>
    <col min="13" max="13" width="10.28515625" style="84" hidden="1" customWidth="1"/>
    <col min="14" max="14" width="17.140625" style="135" hidden="1" customWidth="1"/>
    <col min="15" max="15" width="10.28515625" style="84" hidden="1" customWidth="1"/>
    <col min="16" max="16" width="17.140625" style="135" hidden="1" customWidth="1"/>
    <col min="17" max="17" width="0" style="84" hidden="1" customWidth="1"/>
    <col min="18" max="18" width="17.140625" style="135" hidden="1" customWidth="1"/>
    <col min="19" max="19" width="11.5703125" style="84" hidden="1" customWidth="1"/>
    <col min="20" max="20" width="17.140625" style="135" hidden="1" customWidth="1"/>
    <col min="21" max="21" width="11.5703125" style="84" hidden="1" customWidth="1"/>
    <col min="22" max="22" width="17.140625" style="135" customWidth="1"/>
    <col min="23" max="23" width="11.5703125" style="84" customWidth="1"/>
    <col min="24" max="24" width="17.140625" style="135" customWidth="1"/>
    <col min="25" max="25" width="11.5703125" style="84" customWidth="1"/>
    <col min="26" max="26" width="17.140625" style="135" customWidth="1"/>
    <col min="27" max="27" width="11.5703125" style="84" customWidth="1"/>
    <col min="28" max="28" width="17.140625" style="135" customWidth="1"/>
    <col min="29" max="29" width="11.5703125" style="84" customWidth="1"/>
    <col min="30" max="30" width="17.140625" style="135" customWidth="1"/>
    <col min="31" max="31" width="11.5703125" style="84" customWidth="1"/>
    <col min="32" max="32" width="17.140625" style="135" customWidth="1"/>
    <col min="33" max="33" width="11.5703125" style="84" customWidth="1"/>
    <col min="34" max="16384" width="10.28515625" style="84"/>
  </cols>
  <sheetData>
    <row r="1" spans="1:33" ht="35.25" customHeight="1" x14ac:dyDescent="0.25">
      <c r="A1" s="134" t="s">
        <v>149</v>
      </c>
      <c r="B1" s="133" t="s">
        <v>133</v>
      </c>
      <c r="C1" s="133"/>
      <c r="D1" s="132" t="s">
        <v>132</v>
      </c>
      <c r="E1" s="132"/>
      <c r="F1" s="132" t="s">
        <v>131</v>
      </c>
      <c r="G1" s="132"/>
      <c r="H1" s="166" t="s">
        <v>130</v>
      </c>
      <c r="I1" s="132"/>
      <c r="J1" s="165" t="s">
        <v>129</v>
      </c>
      <c r="K1" s="131"/>
      <c r="L1" s="165" t="s">
        <v>128</v>
      </c>
      <c r="M1" s="131"/>
      <c r="N1" s="165" t="s">
        <v>127</v>
      </c>
      <c r="O1" s="131"/>
      <c r="P1" s="165" t="s">
        <v>126</v>
      </c>
      <c r="Q1" s="131"/>
      <c r="R1" s="165" t="s">
        <v>125</v>
      </c>
      <c r="S1" s="131"/>
      <c r="T1" s="165" t="s">
        <v>124</v>
      </c>
      <c r="U1" s="131"/>
      <c r="V1" s="165" t="s">
        <v>123</v>
      </c>
      <c r="W1" s="131"/>
      <c r="X1" s="165" t="s">
        <v>122</v>
      </c>
      <c r="Y1" s="131"/>
      <c r="Z1" s="165" t="s">
        <v>166</v>
      </c>
      <c r="AA1" s="131"/>
      <c r="AB1" s="165" t="s">
        <v>212</v>
      </c>
      <c r="AC1" s="131"/>
      <c r="AD1" s="165" t="s">
        <v>300</v>
      </c>
      <c r="AE1" s="131"/>
      <c r="AF1" s="165" t="s">
        <v>410</v>
      </c>
      <c r="AG1" s="131"/>
    </row>
    <row r="2" spans="1:33" x14ac:dyDescent="0.25">
      <c r="A2" s="123" t="s">
        <v>148</v>
      </c>
      <c r="B2" s="122">
        <v>33878</v>
      </c>
      <c r="C2" s="121">
        <f>(B2/$B$13)*100</f>
        <v>0.63705070982319489</v>
      </c>
      <c r="D2" s="120">
        <v>39564</v>
      </c>
      <c r="E2" s="119">
        <f>(D2/$D$13)*100</f>
        <v>0.52307207405401746</v>
      </c>
      <c r="F2" s="120">
        <v>42663</v>
      </c>
      <c r="G2" s="119">
        <f>(F2/$D$13)*100</f>
        <v>0.56404367342449069</v>
      </c>
      <c r="H2" s="161">
        <v>40336</v>
      </c>
      <c r="I2" s="119">
        <f t="shared" ref="I2:I11" si="0">(H2/$H$13)*100</f>
        <v>0.54301439763580883</v>
      </c>
      <c r="J2" s="160">
        <v>40321</v>
      </c>
      <c r="K2" s="117">
        <f t="shared" ref="K2:K11" si="1">(J2/$J$13)*100</f>
        <v>0.4855577254448698</v>
      </c>
      <c r="L2" s="160">
        <v>40362</v>
      </c>
      <c r="M2" s="117">
        <f t="shared" ref="M2:M11" si="2">(L2/$L$13)*100</f>
        <v>0.44750190228776782</v>
      </c>
      <c r="N2" s="160">
        <v>40362</v>
      </c>
      <c r="O2" s="117">
        <f t="shared" ref="O2:O11" si="3">(N2/$N$13)*100</f>
        <v>0.53042833513945131</v>
      </c>
      <c r="P2" s="160">
        <v>0</v>
      </c>
      <c r="Q2" s="117">
        <f t="shared" ref="Q2:Q11" si="4">(P2/$P$13)*100</f>
        <v>0</v>
      </c>
      <c r="R2" s="160"/>
      <c r="S2" s="117">
        <f t="shared" ref="S2:S11" si="5">(R2/$R$13)*100</f>
        <v>0</v>
      </c>
      <c r="T2" s="160"/>
      <c r="U2" s="117">
        <f t="shared" ref="U2:U11" si="6">(T2/$T$13)*100</f>
        <v>0</v>
      </c>
      <c r="V2" s="160"/>
      <c r="W2" s="117">
        <f t="shared" ref="W2:W11" si="7">(V2/$V$13)*100</f>
        <v>0</v>
      </c>
      <c r="X2" s="160"/>
      <c r="Y2" s="117">
        <f t="shared" ref="Y2:Y11" si="8">(X2/$X$13)*100</f>
        <v>0</v>
      </c>
      <c r="Z2" s="160"/>
      <c r="AA2" s="117">
        <f>(Z2/$Z$13)*100</f>
        <v>0</v>
      </c>
      <c r="AB2" s="160"/>
      <c r="AC2" s="117">
        <f>(AB2/$AB$13)*100</f>
        <v>0</v>
      </c>
      <c r="AD2" s="160"/>
      <c r="AE2" s="117">
        <f>(AD2/$AD$13)*100</f>
        <v>0</v>
      </c>
      <c r="AF2" s="160"/>
      <c r="AG2" s="117">
        <f>(AF2/$AF$13)*100</f>
        <v>0</v>
      </c>
    </row>
    <row r="3" spans="1:33" x14ac:dyDescent="0.25">
      <c r="A3" s="123" t="s">
        <v>147</v>
      </c>
      <c r="B3" s="122">
        <v>325186</v>
      </c>
      <c r="C3" s="121">
        <f>(B3/$B$13)*100</f>
        <v>6.1148819919878816</v>
      </c>
      <c r="D3" s="120">
        <v>345169</v>
      </c>
      <c r="E3" s="119">
        <f>(D3/$D$13)*100</f>
        <v>4.563448203648548</v>
      </c>
      <c r="F3" s="120">
        <v>390214</v>
      </c>
      <c r="G3" s="119">
        <f>(F3/$D$13)*100</f>
        <v>5.158984084139985</v>
      </c>
      <c r="H3" s="161">
        <v>376007</v>
      </c>
      <c r="I3" s="119">
        <f t="shared" si="0"/>
        <v>5.0619103186197822</v>
      </c>
      <c r="J3" s="160">
        <v>368162</v>
      </c>
      <c r="K3" s="117">
        <f t="shared" si="1"/>
        <v>4.4335185961467758</v>
      </c>
      <c r="L3" s="160">
        <v>380226</v>
      </c>
      <c r="M3" s="117">
        <f t="shared" si="2"/>
        <v>4.2156448713955896</v>
      </c>
      <c r="N3" s="160">
        <v>371351</v>
      </c>
      <c r="O3" s="117">
        <f t="shared" si="3"/>
        <v>4.8802114038543776</v>
      </c>
      <c r="P3" s="160">
        <v>454831</v>
      </c>
      <c r="Q3" s="117">
        <f t="shared" si="4"/>
        <v>5.4940981124928099</v>
      </c>
      <c r="R3" s="160">
        <v>462728</v>
      </c>
      <c r="S3" s="117">
        <f t="shared" si="5"/>
        <v>4.7720570528993882</v>
      </c>
      <c r="T3" s="160">
        <f>487135+729</f>
        <v>487864</v>
      </c>
      <c r="U3" s="117">
        <f t="shared" si="6"/>
        <v>7.1607955748037648</v>
      </c>
      <c r="V3" s="160">
        <v>552029</v>
      </c>
      <c r="W3" s="117">
        <f t="shared" si="7"/>
        <v>6.9997324518191375</v>
      </c>
      <c r="X3" s="160">
        <v>611017</v>
      </c>
      <c r="Y3" s="117">
        <f t="shared" si="8"/>
        <v>6.5331957301674919</v>
      </c>
      <c r="Z3" s="160">
        <v>630528</v>
      </c>
      <c r="AA3" s="117">
        <f t="shared" ref="AA3:AA11" si="9">(Z3/$Z$13)*100</f>
        <v>6.1308153865450867</v>
      </c>
      <c r="AB3" s="160">
        <v>675342</v>
      </c>
      <c r="AC3" s="117">
        <f t="shared" ref="AC3:AC11" si="10">(AB3/$AB$13)*100</f>
        <v>6.2601827084725326</v>
      </c>
      <c r="AD3" s="160">
        <v>666171</v>
      </c>
      <c r="AE3" s="117">
        <f t="shared" ref="AE3:AE11" si="11">(AD3/$AD$13)*100</f>
        <v>6.7545389801114686</v>
      </c>
      <c r="AF3" s="160">
        <v>696724</v>
      </c>
      <c r="AG3" s="117">
        <f t="shared" ref="AG3:AG11" si="12">(AF3/$AF$13)*100</f>
        <v>5.8093461129542456</v>
      </c>
    </row>
    <row r="4" spans="1:33" x14ac:dyDescent="0.25">
      <c r="A4" s="123" t="s">
        <v>135</v>
      </c>
      <c r="B4" s="122"/>
      <c r="C4" s="121"/>
      <c r="D4" s="120">
        <v>125289</v>
      </c>
      <c r="E4" s="119">
        <f>(D4/$D$13)*100</f>
        <v>1.6564345639003588</v>
      </c>
      <c r="F4" s="120">
        <v>118503</v>
      </c>
      <c r="G4" s="119">
        <f>(F4/$D$13)*100</f>
        <v>1.5667174702159343</v>
      </c>
      <c r="H4" s="161">
        <v>174848</v>
      </c>
      <c r="I4" s="119">
        <f t="shared" si="0"/>
        <v>2.3538521766616891</v>
      </c>
      <c r="J4" s="160">
        <v>292666</v>
      </c>
      <c r="K4" s="117">
        <f t="shared" si="1"/>
        <v>3.5243728398365182</v>
      </c>
      <c r="L4" s="160">
        <v>224176</v>
      </c>
      <c r="M4" s="117">
        <f t="shared" si="2"/>
        <v>2.4854860127660334</v>
      </c>
      <c r="N4" s="160">
        <v>190510</v>
      </c>
      <c r="O4" s="117">
        <f t="shared" si="3"/>
        <v>2.5036396146726347</v>
      </c>
      <c r="P4" s="160">
        <f>208012-6000-3000</f>
        <v>199012</v>
      </c>
      <c r="Q4" s="117">
        <f t="shared" si="4"/>
        <v>2.403951035798833</v>
      </c>
      <c r="R4" s="160">
        <v>224902</v>
      </c>
      <c r="S4" s="117">
        <f t="shared" si="5"/>
        <v>2.3193867138171411</v>
      </c>
      <c r="T4" s="160">
        <v>284745</v>
      </c>
      <c r="U4" s="117">
        <f t="shared" si="6"/>
        <v>4.1794449599632228</v>
      </c>
      <c r="V4" s="160">
        <v>215385</v>
      </c>
      <c r="W4" s="117">
        <f t="shared" si="7"/>
        <v>2.7310836462125447</v>
      </c>
      <c r="X4" s="160">
        <v>230412</v>
      </c>
      <c r="Y4" s="117">
        <f t="shared" si="8"/>
        <v>2.4636412646118719</v>
      </c>
      <c r="Z4" s="160">
        <v>261042</v>
      </c>
      <c r="AA4" s="117">
        <f t="shared" si="9"/>
        <v>2.5381907070494925</v>
      </c>
      <c r="AB4" s="160">
        <v>287965</v>
      </c>
      <c r="AC4" s="117">
        <f t="shared" si="10"/>
        <v>2.6693342242083165</v>
      </c>
      <c r="AD4" s="160">
        <v>265371</v>
      </c>
      <c r="AE4" s="117">
        <f t="shared" si="11"/>
        <v>2.6906886725647925</v>
      </c>
      <c r="AF4" s="160">
        <v>488995</v>
      </c>
      <c r="AG4" s="117">
        <f t="shared" si="12"/>
        <v>4.0772834041945751</v>
      </c>
    </row>
    <row r="5" spans="1:33" x14ac:dyDescent="0.25">
      <c r="A5" s="123" t="s">
        <v>146</v>
      </c>
      <c r="B5" s="122">
        <v>1394294</v>
      </c>
      <c r="C5" s="121">
        <f>(B5/$B$13)*100</f>
        <v>26.218666462076325</v>
      </c>
      <c r="D5" s="120">
        <f>1495788+150887</f>
        <v>1646675</v>
      </c>
      <c r="E5" s="119">
        <f>(D5/$D$13)*100</f>
        <v>21.770541591924456</v>
      </c>
      <c r="F5" s="120">
        <f>1712209+262884</f>
        <v>1975093</v>
      </c>
      <c r="G5" s="119">
        <f>(F5/$D$13)*100</f>
        <v>26.112526336052255</v>
      </c>
      <c r="H5" s="161">
        <v>1885784</v>
      </c>
      <c r="I5" s="119">
        <f t="shared" si="0"/>
        <v>25.386946222512051</v>
      </c>
      <c r="J5" s="160">
        <v>1869609</v>
      </c>
      <c r="K5" s="117">
        <f t="shared" si="1"/>
        <v>22.514399283531102</v>
      </c>
      <c r="L5" s="160">
        <v>2074408</v>
      </c>
      <c r="M5" s="117">
        <f t="shared" si="2"/>
        <v>22.999393640576876</v>
      </c>
      <c r="N5" s="160">
        <v>1874367</v>
      </c>
      <c r="O5" s="117">
        <f t="shared" si="3"/>
        <v>24.632509966065307</v>
      </c>
      <c r="P5" s="160">
        <f>1820014+113000+6000+3000</f>
        <v>1942014</v>
      </c>
      <c r="Q5" s="117">
        <f t="shared" si="4"/>
        <v>23.45841741621528</v>
      </c>
      <c r="R5" s="160">
        <f>1861624+230600+242000</f>
        <v>2334224</v>
      </c>
      <c r="S5" s="117">
        <f t="shared" si="5"/>
        <v>24.072565529311003</v>
      </c>
      <c r="T5" s="160">
        <f>1987183+273550+20000</f>
        <v>2280733</v>
      </c>
      <c r="U5" s="117">
        <f t="shared" si="6"/>
        <v>33.476261363226051</v>
      </c>
      <c r="V5" s="160">
        <v>2620033</v>
      </c>
      <c r="W5" s="117">
        <f t="shared" si="7"/>
        <v>33.22204089809965</v>
      </c>
      <c r="X5" s="160">
        <v>2943633</v>
      </c>
      <c r="Y5" s="117">
        <f t="shared" si="8"/>
        <v>31.47429702738242</v>
      </c>
      <c r="Z5" s="160">
        <v>3169508</v>
      </c>
      <c r="AA5" s="117">
        <f t="shared" si="9"/>
        <v>30.818089623581734</v>
      </c>
      <c r="AB5" s="160">
        <v>3473523</v>
      </c>
      <c r="AC5" s="117">
        <f t="shared" si="10"/>
        <v>32.198335986924604</v>
      </c>
      <c r="AD5" s="160">
        <v>3368260</v>
      </c>
      <c r="AE5" s="117">
        <f t="shared" si="11"/>
        <v>34.151957177887141</v>
      </c>
      <c r="AF5" s="160">
        <v>3982397</v>
      </c>
      <c r="AG5" s="117">
        <f t="shared" si="12"/>
        <v>33.205577147034766</v>
      </c>
    </row>
    <row r="6" spans="1:33" x14ac:dyDescent="0.25">
      <c r="A6" s="130" t="s">
        <v>167</v>
      </c>
      <c r="B6" s="122">
        <v>1799286</v>
      </c>
      <c r="C6" s="121">
        <f>(B6/$B$13)*100</f>
        <v>33.834241202991237</v>
      </c>
      <c r="D6" s="120">
        <f>1694248+56311</f>
        <v>1750559</v>
      </c>
      <c r="E6" s="119">
        <f>(D6/$D$13)*100</f>
        <v>23.143982582244636</v>
      </c>
      <c r="F6" s="120">
        <f>1777470+153597</f>
        <v>1931067</v>
      </c>
      <c r="G6" s="119">
        <f>(F6/$D$13)*100</f>
        <v>25.530462562614233</v>
      </c>
      <c r="H6" s="161">
        <v>1988860</v>
      </c>
      <c r="I6" s="119">
        <f t="shared" si="0"/>
        <v>26.774583867561354</v>
      </c>
      <c r="J6" s="160">
        <v>1979289</v>
      </c>
      <c r="K6" s="117">
        <f t="shared" si="1"/>
        <v>23.835199147790256</v>
      </c>
      <c r="L6" s="160">
        <v>2074003</v>
      </c>
      <c r="M6" s="117">
        <f t="shared" si="2"/>
        <v>22.994903321206515</v>
      </c>
      <c r="N6" s="160">
        <v>2033921</v>
      </c>
      <c r="O6" s="117">
        <f t="shared" si="3"/>
        <v>26.729332784182347</v>
      </c>
      <c r="P6" s="160">
        <v>1941642</v>
      </c>
      <c r="Q6" s="117">
        <f t="shared" si="4"/>
        <v>23.453923869166271</v>
      </c>
      <c r="R6" s="160">
        <v>1959543</v>
      </c>
      <c r="S6" s="117">
        <f t="shared" si="5"/>
        <v>20.208526377503901</v>
      </c>
      <c r="T6" s="160">
        <v>2082143</v>
      </c>
      <c r="U6" s="117">
        <f t="shared" si="6"/>
        <v>30.561386739969816</v>
      </c>
      <c r="V6" s="160">
        <v>2161804</v>
      </c>
      <c r="W6" s="117">
        <f t="shared" si="7"/>
        <v>27.411693250304637</v>
      </c>
      <c r="X6" s="160">
        <v>2478254</v>
      </c>
      <c r="Y6" s="117">
        <f t="shared" si="8"/>
        <v>26.498310932544438</v>
      </c>
      <c r="Z6" s="160">
        <v>2746121</v>
      </c>
      <c r="AA6" s="117">
        <f t="shared" si="9"/>
        <v>26.701369138427761</v>
      </c>
      <c r="AB6" s="160">
        <v>2862200</v>
      </c>
      <c r="AC6" s="117">
        <f t="shared" si="10"/>
        <v>26.53158688218722</v>
      </c>
      <c r="AD6" s="160">
        <v>2521387</v>
      </c>
      <c r="AE6" s="117">
        <f t="shared" si="11"/>
        <v>25.565217902680114</v>
      </c>
      <c r="AF6" s="160">
        <v>2841721</v>
      </c>
      <c r="AG6" s="117">
        <f t="shared" si="12"/>
        <v>23.694520133439429</v>
      </c>
    </row>
    <row r="7" spans="1:33" ht="31.5" x14ac:dyDescent="0.25">
      <c r="A7" s="130" t="s">
        <v>145</v>
      </c>
      <c r="B7" s="122"/>
      <c r="C7" s="121"/>
      <c r="D7" s="120"/>
      <c r="E7" s="119"/>
      <c r="F7" s="120"/>
      <c r="G7" s="119"/>
      <c r="H7" s="161">
        <v>40000</v>
      </c>
      <c r="I7" s="119">
        <f t="shared" si="0"/>
        <v>0.53849107262575246</v>
      </c>
      <c r="J7" s="160">
        <v>70000</v>
      </c>
      <c r="K7" s="117">
        <f t="shared" si="1"/>
        <v>0.84296125545350775</v>
      </c>
      <c r="L7" s="160">
        <v>50000</v>
      </c>
      <c r="M7" s="117">
        <f t="shared" si="2"/>
        <v>0.55436041609405851</v>
      </c>
      <c r="N7" s="160">
        <v>50000</v>
      </c>
      <c r="O7" s="117">
        <f t="shared" si="3"/>
        <v>0.65708876559567331</v>
      </c>
      <c r="P7" s="160">
        <v>90000</v>
      </c>
      <c r="Q7" s="117">
        <f t="shared" si="4"/>
        <v>1.0871484795986925</v>
      </c>
      <c r="R7" s="160">
        <v>70000</v>
      </c>
      <c r="S7" s="117">
        <f t="shared" si="5"/>
        <v>0.72190140579985906</v>
      </c>
      <c r="T7" s="160">
        <v>70000</v>
      </c>
      <c r="U7" s="117">
        <f t="shared" si="6"/>
        <v>1.0274496380882039</v>
      </c>
      <c r="V7" s="160">
        <v>165800</v>
      </c>
      <c r="W7" s="117">
        <f t="shared" si="7"/>
        <v>2.1023454211855048</v>
      </c>
      <c r="X7" s="160">
        <v>236950</v>
      </c>
      <c r="Y7" s="117">
        <f t="shared" si="8"/>
        <v>2.5335477216889006</v>
      </c>
      <c r="Z7" s="160">
        <v>223958</v>
      </c>
      <c r="AA7" s="117">
        <f t="shared" si="9"/>
        <v>2.1776117037464862</v>
      </c>
      <c r="AB7" s="160">
        <v>267428</v>
      </c>
      <c r="AC7" s="117">
        <f t="shared" si="10"/>
        <v>2.4789634605302089</v>
      </c>
      <c r="AD7" s="160">
        <v>150994</v>
      </c>
      <c r="AE7" s="117">
        <f t="shared" si="11"/>
        <v>1.5309805721998571</v>
      </c>
      <c r="AF7" s="160">
        <v>179892</v>
      </c>
      <c r="AG7" s="117">
        <f t="shared" si="12"/>
        <v>1.499955349538074</v>
      </c>
    </row>
    <row r="8" spans="1:33" x14ac:dyDescent="0.25">
      <c r="A8" s="125" t="s">
        <v>144</v>
      </c>
      <c r="B8" s="120">
        <v>625731</v>
      </c>
      <c r="C8" s="121">
        <f>(B8/$B$13)*100</f>
        <v>11.76640822092147</v>
      </c>
      <c r="D8" s="120">
        <v>630375</v>
      </c>
      <c r="E8" s="119">
        <f>(D8/$D$13)*100</f>
        <v>8.3341309948893265</v>
      </c>
      <c r="F8" s="120">
        <v>716272</v>
      </c>
      <c r="G8" s="119">
        <f>(F8/$D$13)*100</f>
        <v>9.4697674812157313</v>
      </c>
      <c r="H8" s="161">
        <v>579775</v>
      </c>
      <c r="I8" s="119">
        <f t="shared" si="0"/>
        <v>7.8050915407898911</v>
      </c>
      <c r="J8" s="160">
        <v>756498</v>
      </c>
      <c r="K8" s="117">
        <f t="shared" si="1"/>
        <v>9.1099786261152538</v>
      </c>
      <c r="L8" s="160">
        <v>587036</v>
      </c>
      <c r="M8" s="117">
        <f t="shared" si="2"/>
        <v>6.5085904244438346</v>
      </c>
      <c r="N8" s="160">
        <v>506722</v>
      </c>
      <c r="O8" s="117">
        <f t="shared" si="3"/>
        <v>6.6592266696034157</v>
      </c>
      <c r="P8" s="160">
        <v>183261</v>
      </c>
      <c r="Q8" s="117">
        <f t="shared" si="4"/>
        <v>2.2136879724415111</v>
      </c>
      <c r="R8" s="160">
        <v>156739</v>
      </c>
      <c r="S8" s="117">
        <f t="shared" si="5"/>
        <v>1.6164300634809157</v>
      </c>
      <c r="T8" s="160">
        <v>441415</v>
      </c>
      <c r="U8" s="117">
        <f t="shared" si="6"/>
        <v>6.4790240285243508</v>
      </c>
      <c r="V8" s="160">
        <v>623094</v>
      </c>
      <c r="W8" s="117">
        <f t="shared" si="7"/>
        <v>7.9008372609659885</v>
      </c>
      <c r="X8" s="160">
        <v>759267</v>
      </c>
      <c r="Y8" s="117">
        <f t="shared" si="8"/>
        <v>8.1183337328700844</v>
      </c>
      <c r="Z8" s="160">
        <v>1148153</v>
      </c>
      <c r="AA8" s="117">
        <f t="shared" si="9"/>
        <v>11.163840588376567</v>
      </c>
      <c r="AB8" s="160">
        <v>1212471</v>
      </c>
      <c r="AC8" s="117">
        <f t="shared" si="10"/>
        <v>11.239179539736014</v>
      </c>
      <c r="AD8" s="160">
        <v>1501472</v>
      </c>
      <c r="AE8" s="117">
        <f t="shared" si="11"/>
        <v>15.223945730969865</v>
      </c>
      <c r="AF8" s="160">
        <v>2293028</v>
      </c>
      <c r="AG8" s="117">
        <f t="shared" si="12"/>
        <v>19.11946954417423</v>
      </c>
    </row>
    <row r="9" spans="1:33" x14ac:dyDescent="0.25">
      <c r="A9" s="129" t="s">
        <v>143</v>
      </c>
      <c r="B9" s="164">
        <v>385294</v>
      </c>
      <c r="C9" s="121">
        <f>(B9/$B$13)*100</f>
        <v>7.245168433514908</v>
      </c>
      <c r="D9" s="127">
        <v>2490523</v>
      </c>
      <c r="E9" s="119">
        <f>(D9/$D$13)*100</f>
        <v>32.926979857679548</v>
      </c>
      <c r="F9" s="127">
        <v>2137285</v>
      </c>
      <c r="G9" s="119">
        <f>(F9/$D$13)*100</f>
        <v>28.256852133114464</v>
      </c>
      <c r="H9" s="163">
        <v>2314492</v>
      </c>
      <c r="I9" s="119">
        <f t="shared" si="0"/>
        <v>31.15833199159308</v>
      </c>
      <c r="J9" s="162">
        <v>2908422</v>
      </c>
      <c r="K9" s="117">
        <f t="shared" si="1"/>
        <v>35.024100864408595</v>
      </c>
      <c r="L9" s="162">
        <v>3580869</v>
      </c>
      <c r="M9" s="117">
        <f t="shared" si="2"/>
        <v>39.701840576366308</v>
      </c>
      <c r="N9" s="162">
        <v>2533958</v>
      </c>
      <c r="O9" s="117">
        <f t="shared" si="3"/>
        <v>33.300706685825624</v>
      </c>
      <c r="P9" s="162">
        <v>3467778</v>
      </c>
      <c r="Q9" s="117">
        <f t="shared" si="4"/>
        <v>41.888773114286607</v>
      </c>
      <c r="R9" s="162">
        <v>4488479</v>
      </c>
      <c r="S9" s="117">
        <f t="shared" si="5"/>
        <v>46.289132857187795</v>
      </c>
      <c r="T9" s="160">
        <v>1166086</v>
      </c>
      <c r="U9" s="117">
        <f t="shared" si="6"/>
        <v>17.115637695424589</v>
      </c>
      <c r="V9" s="160">
        <v>1548285</v>
      </c>
      <c r="W9" s="117">
        <f t="shared" si="7"/>
        <v>19.632267071412539</v>
      </c>
      <c r="X9" s="160">
        <v>2092965</v>
      </c>
      <c r="Y9" s="117">
        <f t="shared" si="8"/>
        <v>22.378673590734795</v>
      </c>
      <c r="Z9" s="160">
        <v>2105260</v>
      </c>
      <c r="AA9" s="117">
        <f t="shared" si="9"/>
        <v>20.470082852272871</v>
      </c>
      <c r="AB9" s="160">
        <v>2008967</v>
      </c>
      <c r="AC9" s="117">
        <f t="shared" si="10"/>
        <v>18.6224171979411</v>
      </c>
      <c r="AD9" s="160">
        <v>1388913</v>
      </c>
      <c r="AE9" s="117">
        <f t="shared" si="11"/>
        <v>14.082670963586766</v>
      </c>
      <c r="AF9" s="160">
        <v>1510400</v>
      </c>
      <c r="AG9" s="117">
        <f t="shared" si="12"/>
        <v>12.593848308664683</v>
      </c>
    </row>
    <row r="10" spans="1:33" hidden="1" x14ac:dyDescent="0.25">
      <c r="A10" s="129" t="s">
        <v>142</v>
      </c>
      <c r="B10" s="164">
        <v>646760</v>
      </c>
      <c r="C10" s="121">
        <f>(B10/$B$13)*100</f>
        <v>12.161842997970645</v>
      </c>
      <c r="D10" s="127">
        <v>485340</v>
      </c>
      <c r="E10" s="119">
        <f>(D10/$D$13)*100</f>
        <v>6.4166363467135987</v>
      </c>
      <c r="F10" s="127">
        <v>221336</v>
      </c>
      <c r="G10" s="119">
        <f>(F10/$D$13)*100</f>
        <v>2.9262632843701351</v>
      </c>
      <c r="H10" s="163">
        <v>20036</v>
      </c>
      <c r="I10" s="119">
        <f t="shared" si="0"/>
        <v>0.26973017827823942</v>
      </c>
      <c r="J10" s="162">
        <v>11067</v>
      </c>
      <c r="K10" s="117">
        <f t="shared" si="1"/>
        <v>0.13327217448719958</v>
      </c>
      <c r="L10" s="162"/>
      <c r="M10" s="117">
        <f t="shared" si="2"/>
        <v>0</v>
      </c>
      <c r="N10" s="162"/>
      <c r="O10" s="117">
        <f t="shared" si="3"/>
        <v>0</v>
      </c>
      <c r="P10" s="162"/>
      <c r="Q10" s="117">
        <f t="shared" si="4"/>
        <v>0</v>
      </c>
      <c r="R10" s="162"/>
      <c r="S10" s="117">
        <f t="shared" si="5"/>
        <v>0</v>
      </c>
      <c r="T10" s="162"/>
      <c r="U10" s="117">
        <f t="shared" si="6"/>
        <v>0</v>
      </c>
      <c r="V10" s="162"/>
      <c r="W10" s="117">
        <f t="shared" si="7"/>
        <v>0</v>
      </c>
      <c r="X10" s="162"/>
      <c r="Y10" s="117">
        <f t="shared" si="8"/>
        <v>0</v>
      </c>
      <c r="Z10" s="162"/>
      <c r="AA10" s="117">
        <f t="shared" si="9"/>
        <v>0</v>
      </c>
      <c r="AB10" s="162"/>
      <c r="AC10" s="117">
        <f t="shared" si="10"/>
        <v>0</v>
      </c>
      <c r="AD10" s="162"/>
      <c r="AE10" s="117">
        <f t="shared" si="11"/>
        <v>0</v>
      </c>
      <c r="AF10" s="162"/>
      <c r="AG10" s="117">
        <f t="shared" si="12"/>
        <v>0</v>
      </c>
    </row>
    <row r="11" spans="1:33" x14ac:dyDescent="0.25">
      <c r="A11" s="123" t="s">
        <v>141</v>
      </c>
      <c r="B11" s="122">
        <v>107515</v>
      </c>
      <c r="C11" s="121">
        <f>(B11/$B$13)*100</f>
        <v>2.0217399807143512</v>
      </c>
      <c r="D11" s="120">
        <v>50282</v>
      </c>
      <c r="E11" s="119">
        <f>(D11/$D$13)*100</f>
        <v>0.66477378494550865</v>
      </c>
      <c r="F11" s="120">
        <v>8316</v>
      </c>
      <c r="G11" s="119">
        <f>(F11/$D$13)*100</f>
        <v>0.10994508562918838</v>
      </c>
      <c r="H11" s="161">
        <v>8026</v>
      </c>
      <c r="I11" s="119">
        <f t="shared" si="0"/>
        <v>0.10804823372235724</v>
      </c>
      <c r="J11" s="160">
        <v>8025</v>
      </c>
      <c r="K11" s="117">
        <f t="shared" si="1"/>
        <v>9.6639486785919992E-2</v>
      </c>
      <c r="L11" s="160">
        <v>8323</v>
      </c>
      <c r="M11" s="117">
        <f t="shared" si="2"/>
        <v>9.2278834863016995E-2</v>
      </c>
      <c r="N11" s="160">
        <v>8131</v>
      </c>
      <c r="O11" s="117">
        <f t="shared" si="3"/>
        <v>0.10685577506116839</v>
      </c>
      <c r="P11" s="160">
        <v>0</v>
      </c>
      <c r="Q11" s="117">
        <f t="shared" si="4"/>
        <v>0</v>
      </c>
      <c r="R11" s="160"/>
      <c r="S11" s="117">
        <f t="shared" si="5"/>
        <v>0</v>
      </c>
      <c r="T11" s="160"/>
      <c r="U11" s="117">
        <f t="shared" si="6"/>
        <v>0</v>
      </c>
      <c r="V11" s="160"/>
      <c r="W11" s="117">
        <f t="shared" si="7"/>
        <v>0</v>
      </c>
      <c r="X11" s="160"/>
      <c r="Y11" s="117">
        <f t="shared" si="8"/>
        <v>0</v>
      </c>
      <c r="Z11" s="160"/>
      <c r="AA11" s="117">
        <f t="shared" si="9"/>
        <v>0</v>
      </c>
      <c r="AB11" s="160"/>
      <c r="AC11" s="117">
        <f t="shared" si="10"/>
        <v>0</v>
      </c>
      <c r="AD11" s="160"/>
      <c r="AE11" s="117">
        <f t="shared" si="11"/>
        <v>0</v>
      </c>
      <c r="AF11" s="160"/>
      <c r="AG11" s="117">
        <f t="shared" si="12"/>
        <v>0</v>
      </c>
    </row>
    <row r="12" spans="1:33" x14ac:dyDescent="0.25">
      <c r="B12" s="54"/>
      <c r="D12" s="63"/>
      <c r="E12" s="107"/>
      <c r="F12" s="63"/>
      <c r="H12" s="159"/>
      <c r="J12" s="159"/>
      <c r="K12" s="107"/>
      <c r="L12" s="159"/>
      <c r="M12" s="107"/>
      <c r="N12" s="159"/>
      <c r="O12" s="107"/>
      <c r="P12" s="159"/>
      <c r="Q12" s="107"/>
      <c r="R12" s="159"/>
      <c r="S12" s="107"/>
      <c r="T12" s="159"/>
      <c r="U12" s="107"/>
      <c r="V12" s="159"/>
      <c r="W12" s="107"/>
      <c r="X12" s="159"/>
      <c r="Y12" s="107"/>
      <c r="Z12" s="159"/>
      <c r="AA12" s="107"/>
      <c r="AB12" s="159"/>
      <c r="AC12" s="107"/>
      <c r="AD12" s="159"/>
      <c r="AE12" s="107"/>
      <c r="AF12" s="159"/>
      <c r="AG12" s="107"/>
    </row>
    <row r="13" spans="1:33" x14ac:dyDescent="0.25">
      <c r="A13" s="114" t="s">
        <v>117</v>
      </c>
      <c r="B13" s="158">
        <f>SUM(B2:B12)</f>
        <v>5317944</v>
      </c>
      <c r="C13" s="112">
        <f>SUM(C2:C11)</f>
        <v>100.00000000000003</v>
      </c>
      <c r="D13" s="157">
        <f>SUM(D2:D12)</f>
        <v>7563776</v>
      </c>
      <c r="E13" s="110">
        <f>SUM(E2:E11)</f>
        <v>100</v>
      </c>
      <c r="F13" s="157">
        <f>SUM(F2:F12)</f>
        <v>7540749</v>
      </c>
      <c r="G13" s="110">
        <f>SUM(G2:G11)</f>
        <v>99.695562110776422</v>
      </c>
      <c r="H13" s="156">
        <f>SUM(H2:H12)</f>
        <v>7428164</v>
      </c>
      <c r="I13" s="110">
        <f>SUM(I2:I11)</f>
        <v>100</v>
      </c>
      <c r="J13" s="155">
        <f>SUM(J2:J12)</f>
        <v>8304059</v>
      </c>
      <c r="K13" s="108">
        <f>SUM(K2:K11)</f>
        <v>100</v>
      </c>
      <c r="L13" s="155">
        <f>SUM(L2:L12)</f>
        <v>9019403</v>
      </c>
      <c r="M13" s="108">
        <f>SUM(M2:M11)</f>
        <v>100</v>
      </c>
      <c r="N13" s="155">
        <f>SUM(N2:N12)</f>
        <v>7609322</v>
      </c>
      <c r="O13" s="108">
        <f>SUM(O2:O11)</f>
        <v>99.999999999999986</v>
      </c>
      <c r="P13" s="155">
        <f>SUM(P2:P12)</f>
        <v>8278538</v>
      </c>
      <c r="Q13" s="108">
        <f>SUM(Q2:Q11)</f>
        <v>100</v>
      </c>
      <c r="R13" s="155">
        <f>SUM(R2:R12)</f>
        <v>9696615</v>
      </c>
      <c r="S13" s="108">
        <f>SUM(S2:S11)</f>
        <v>100</v>
      </c>
      <c r="T13" s="155">
        <f>SUM(T2:T12)</f>
        <v>6812986</v>
      </c>
      <c r="U13" s="108">
        <f>SUM(U2:U11)</f>
        <v>100</v>
      </c>
      <c r="V13" s="155">
        <f>SUM(V2:V12)</f>
        <v>7886430</v>
      </c>
      <c r="W13" s="108">
        <f>SUM(W2:W11)</f>
        <v>100</v>
      </c>
      <c r="X13" s="155">
        <f>SUM(X2:X12)</f>
        <v>9352498</v>
      </c>
      <c r="Y13" s="108">
        <f>SUM(Y2:Y11)</f>
        <v>100</v>
      </c>
      <c r="Z13" s="155">
        <f>SUM(Z2:Z12)</f>
        <v>10284570</v>
      </c>
      <c r="AA13" s="108">
        <f>SUM(AA2:AA11)</f>
        <v>100.00000000000001</v>
      </c>
      <c r="AB13" s="155">
        <f>SUM(AB2:AB12)</f>
        <v>10787896</v>
      </c>
      <c r="AC13" s="108">
        <f>SUM(AC2:AC11)</f>
        <v>100</v>
      </c>
      <c r="AD13" s="155">
        <f>SUM(AD2:AD12)</f>
        <v>9862568</v>
      </c>
      <c r="AE13" s="108">
        <f>SUM(AE2:AE11)</f>
        <v>99.999999999999986</v>
      </c>
      <c r="AF13" s="155">
        <f>SUM(AF2:AF12)</f>
        <v>11993157</v>
      </c>
      <c r="AG13" s="108">
        <f>SUM(AG2:AG11)</f>
        <v>100</v>
      </c>
    </row>
    <row r="18" spans="1:33" x14ac:dyDescent="0.25">
      <c r="A18" s="154" t="s">
        <v>140</v>
      </c>
      <c r="B18" s="154">
        <v>2008</v>
      </c>
      <c r="F18" s="153">
        <v>2009</v>
      </c>
      <c r="H18" s="152" t="s">
        <v>105</v>
      </c>
      <c r="J18" s="151" t="s">
        <v>104</v>
      </c>
      <c r="L18" s="151" t="s">
        <v>103</v>
      </c>
      <c r="N18" s="151" t="s">
        <v>102</v>
      </c>
      <c r="P18" s="151" t="s">
        <v>101</v>
      </c>
      <c r="R18" s="151" t="s">
        <v>100</v>
      </c>
      <c r="T18" s="151" t="s">
        <v>99</v>
      </c>
      <c r="V18" s="151" t="s">
        <v>98</v>
      </c>
      <c r="X18" s="151" t="s">
        <v>97</v>
      </c>
      <c r="Z18" s="151" t="s">
        <v>42</v>
      </c>
      <c r="AB18" s="151" t="s">
        <v>54</v>
      </c>
      <c r="AD18" s="151" t="s">
        <v>299</v>
      </c>
      <c r="AF18" s="151" t="s">
        <v>411</v>
      </c>
    </row>
    <row r="19" spans="1:33" x14ac:dyDescent="0.25">
      <c r="A19" s="150" t="s">
        <v>139</v>
      </c>
      <c r="B19" s="149">
        <f>SUM(B20:B33)</f>
        <v>2490523</v>
      </c>
      <c r="C19" s="119">
        <f>SUM(C20:C33)</f>
        <v>100</v>
      </c>
      <c r="D19" s="84">
        <f>SUM(D20:D33)</f>
        <v>99.99</v>
      </c>
      <c r="F19" s="149">
        <f t="shared" ref="F19:W19" si="13">SUM(F20:F33)</f>
        <v>2137285</v>
      </c>
      <c r="G19" s="119">
        <f t="shared" si="13"/>
        <v>100.00000000000001</v>
      </c>
      <c r="H19" s="148">
        <f t="shared" si="13"/>
        <v>2314492</v>
      </c>
      <c r="I19" s="119">
        <f t="shared" si="13"/>
        <v>100</v>
      </c>
      <c r="J19" s="147">
        <f t="shared" si="13"/>
        <v>2908422</v>
      </c>
      <c r="K19" s="117">
        <f t="shared" si="13"/>
        <v>100.00000000000003</v>
      </c>
      <c r="L19" s="147">
        <f t="shared" si="13"/>
        <v>3580869</v>
      </c>
      <c r="M19" s="117">
        <f t="shared" si="13"/>
        <v>100</v>
      </c>
      <c r="N19" s="147">
        <f t="shared" si="13"/>
        <v>2533958</v>
      </c>
      <c r="O19" s="117">
        <f t="shared" si="13"/>
        <v>100</v>
      </c>
      <c r="P19" s="147">
        <f t="shared" si="13"/>
        <v>3467778</v>
      </c>
      <c r="Q19" s="117">
        <f t="shared" si="13"/>
        <v>100</v>
      </c>
      <c r="R19" s="147">
        <f t="shared" si="13"/>
        <v>4488479</v>
      </c>
      <c r="S19" s="117">
        <f t="shared" si="13"/>
        <v>100</v>
      </c>
      <c r="T19" s="147">
        <f t="shared" si="13"/>
        <v>1166086</v>
      </c>
      <c r="U19" s="117">
        <f t="shared" si="13"/>
        <v>99.999999999999986</v>
      </c>
      <c r="V19" s="147">
        <f t="shared" si="13"/>
        <v>1548285</v>
      </c>
      <c r="W19" s="117">
        <f t="shared" si="13"/>
        <v>100.00000000000001</v>
      </c>
      <c r="X19" s="147">
        <f t="shared" ref="X19:AC19" si="14">SUM(X20:X34)</f>
        <v>2092965</v>
      </c>
      <c r="Y19" s="117">
        <f t="shared" si="14"/>
        <v>100</v>
      </c>
      <c r="Z19" s="147">
        <f t="shared" si="14"/>
        <v>2105260</v>
      </c>
      <c r="AA19" s="117">
        <f t="shared" si="14"/>
        <v>100</v>
      </c>
      <c r="AB19" s="147">
        <f t="shared" si="14"/>
        <v>2008967</v>
      </c>
      <c r="AC19" s="117">
        <f t="shared" si="14"/>
        <v>99.999999999999986</v>
      </c>
      <c r="AD19" s="147">
        <f t="shared" ref="AD19:AE19" si="15">SUM(AD20:AD34)</f>
        <v>1388913</v>
      </c>
      <c r="AE19" s="117">
        <f t="shared" si="15"/>
        <v>99.999999999999986</v>
      </c>
      <c r="AF19" s="147">
        <f t="shared" ref="AF19:AG19" si="16">SUM(AF20:AF34)</f>
        <v>1510400</v>
      </c>
      <c r="AG19" s="117">
        <f t="shared" si="16"/>
        <v>100</v>
      </c>
    </row>
    <row r="20" spans="1:33" x14ac:dyDescent="0.25">
      <c r="A20" s="141" t="s">
        <v>247</v>
      </c>
      <c r="B20" s="140">
        <v>1279000</v>
      </c>
      <c r="C20" s="119">
        <f>B20/$B$19*100</f>
        <v>51.354675303139139</v>
      </c>
      <c r="D20" s="84">
        <v>51.35</v>
      </c>
      <c r="F20" s="140">
        <v>796441</v>
      </c>
      <c r="G20" s="119">
        <f>F20/$F$19*100</f>
        <v>37.264145867303611</v>
      </c>
      <c r="H20" s="146">
        <v>1450100</v>
      </c>
      <c r="I20" s="119">
        <f t="shared" ref="I20:I33" si="17">H20/$H$19*100</f>
        <v>62.653057344765074</v>
      </c>
      <c r="J20" s="145">
        <v>1863488</v>
      </c>
      <c r="K20" s="117">
        <f t="shared" ref="K20:K33" si="18">J20/$J$19*100</f>
        <v>64.072132585986481</v>
      </c>
      <c r="L20" s="145">
        <v>2103220</v>
      </c>
      <c r="M20" s="117">
        <f t="shared" ref="M20:M33" si="19">L20/$L$19*100</f>
        <v>58.734904851308443</v>
      </c>
      <c r="N20" s="145">
        <v>1458090</v>
      </c>
      <c r="O20" s="117">
        <f t="shared" ref="O20:O33" si="20">N20/$N$19*100</f>
        <v>57.54199556583022</v>
      </c>
      <c r="P20" s="144">
        <v>1962744</v>
      </c>
      <c r="Q20" s="117">
        <f t="shared" ref="Q20:Q33" si="21">P20/$P$19*100</f>
        <v>56.599470900386365</v>
      </c>
      <c r="R20" s="144">
        <v>2009867</v>
      </c>
      <c r="S20" s="117">
        <f t="shared" ref="S20:S33" si="22">R20/$R$19*100</f>
        <v>44.778353647193178</v>
      </c>
      <c r="T20" s="144">
        <v>386450</v>
      </c>
      <c r="U20" s="117">
        <f t="shared" ref="U20:U33" si="23">T20/$T$19*100</f>
        <v>33.140780354107676</v>
      </c>
      <c r="V20" s="144">
        <v>556055</v>
      </c>
      <c r="W20" s="117">
        <f t="shared" ref="W20:W33" si="24">V20/$V$19*100</f>
        <v>35.914253512757668</v>
      </c>
      <c r="X20" s="144">
        <v>866210</v>
      </c>
      <c r="Y20" s="117">
        <f t="shared" ref="Y20:Y34" si="25">X20/$X$19*100</f>
        <v>41.386740819841705</v>
      </c>
      <c r="Z20" s="144">
        <v>706903</v>
      </c>
      <c r="AA20" s="117">
        <f>Z20/$Z$19*100</f>
        <v>33.577942866914299</v>
      </c>
      <c r="AB20" s="144">
        <v>332328</v>
      </c>
      <c r="AC20" s="117">
        <f>AB20/$AB$19*100</f>
        <v>16.542232898798236</v>
      </c>
      <c r="AD20" s="144">
        <v>627941</v>
      </c>
      <c r="AE20" s="117">
        <f>AD20/$AD$19*100</f>
        <v>45.210967137610488</v>
      </c>
      <c r="AF20" s="144">
        <v>589851</v>
      </c>
      <c r="AG20" s="117">
        <f>AF20/$AF$19*100</f>
        <v>39.052635063559322</v>
      </c>
    </row>
    <row r="21" spans="1:33" x14ac:dyDescent="0.25">
      <c r="A21" s="141" t="s">
        <v>412</v>
      </c>
      <c r="B21" s="140"/>
      <c r="C21" s="119"/>
      <c r="F21" s="140"/>
      <c r="G21" s="119"/>
      <c r="H21" s="329"/>
      <c r="I21" s="119"/>
      <c r="J21" s="330"/>
      <c r="K21" s="117"/>
      <c r="L21" s="330"/>
      <c r="M21" s="117"/>
      <c r="N21" s="330"/>
      <c r="O21" s="117"/>
      <c r="P21" s="144"/>
      <c r="Q21" s="117"/>
      <c r="R21" s="144"/>
      <c r="S21" s="117"/>
      <c r="T21" s="144"/>
      <c r="U21" s="117"/>
      <c r="V21" s="144"/>
      <c r="W21" s="117"/>
      <c r="X21" s="144"/>
      <c r="Y21" s="117"/>
      <c r="Z21" s="144"/>
      <c r="AA21" s="117"/>
      <c r="AB21" s="144"/>
      <c r="AC21" s="117"/>
      <c r="AD21" s="144"/>
      <c r="AE21" s="117"/>
      <c r="AF21" s="144">
        <v>4407</v>
      </c>
      <c r="AG21" s="117">
        <f>AF21/$AF$19*100</f>
        <v>0.2917770127118644</v>
      </c>
    </row>
    <row r="22" spans="1:33" x14ac:dyDescent="0.25">
      <c r="A22" s="141" t="s">
        <v>23</v>
      </c>
      <c r="B22" s="140">
        <v>60000</v>
      </c>
      <c r="C22" s="119">
        <f>B22/$B$19*100</f>
        <v>2.409132539631234</v>
      </c>
      <c r="D22" s="84">
        <v>2.41</v>
      </c>
      <c r="F22" s="140">
        <v>391001</v>
      </c>
      <c r="G22" s="119">
        <f>F22/$F$19*100</f>
        <v>18.294284571313607</v>
      </c>
      <c r="H22" s="143">
        <v>264859</v>
      </c>
      <c r="I22" s="119">
        <f t="shared" si="17"/>
        <v>11.443504665386616</v>
      </c>
      <c r="J22" s="142">
        <v>22717</v>
      </c>
      <c r="K22" s="117">
        <f t="shared" si="18"/>
        <v>0.78107647377168787</v>
      </c>
      <c r="L22" s="142"/>
      <c r="M22" s="117">
        <f t="shared" si="19"/>
        <v>0</v>
      </c>
      <c r="N22" s="142">
        <v>9330</v>
      </c>
      <c r="O22" s="117">
        <f t="shared" si="20"/>
        <v>0.36819868364037606</v>
      </c>
      <c r="P22" s="144">
        <v>188525</v>
      </c>
      <c r="Q22" s="117">
        <f t="shared" si="21"/>
        <v>5.4364783443461491</v>
      </c>
      <c r="R22" s="144">
        <v>828700</v>
      </c>
      <c r="S22" s="117">
        <f t="shared" si="22"/>
        <v>18.462824489097532</v>
      </c>
      <c r="T22" s="144">
        <v>7000</v>
      </c>
      <c r="U22" s="117">
        <f t="shared" si="23"/>
        <v>0.60029877727714764</v>
      </c>
      <c r="V22" s="144">
        <v>7154</v>
      </c>
      <c r="W22" s="117">
        <f t="shared" si="24"/>
        <v>0.4620596337237653</v>
      </c>
      <c r="X22" s="144">
        <v>5032</v>
      </c>
      <c r="Y22" s="117">
        <f t="shared" si="25"/>
        <v>0.24042446959218144</v>
      </c>
      <c r="Z22" s="144">
        <v>7532</v>
      </c>
      <c r="AA22" s="117">
        <f t="shared" ref="AA22:AA34" si="26">Z22/$Z$19*100</f>
        <v>0.35777053665580499</v>
      </c>
      <c r="AB22" s="144">
        <v>4700</v>
      </c>
      <c r="AC22" s="117">
        <f t="shared" ref="AC22:AC34" si="27">AB22/$AB$19*100</f>
        <v>0.23395108033133447</v>
      </c>
      <c r="AD22" s="144">
        <v>1500</v>
      </c>
      <c r="AE22" s="117">
        <f t="shared" ref="AE22:AE34" si="28">AD22/$AD$19*100</f>
        <v>0.10799812515254735</v>
      </c>
      <c r="AF22" s="144">
        <v>1700</v>
      </c>
      <c r="AG22" s="117">
        <f t="shared" ref="AG22:AG34" si="29">AF22/$AF$19*100</f>
        <v>0.11255296610169492</v>
      </c>
    </row>
    <row r="23" spans="1:33" x14ac:dyDescent="0.25">
      <c r="A23" s="141" t="s">
        <v>24</v>
      </c>
      <c r="B23" s="140">
        <v>308150</v>
      </c>
      <c r="C23" s="119">
        <f>B23/$B$19*100</f>
        <v>12.372903201456079</v>
      </c>
      <c r="D23" s="84">
        <v>12.37</v>
      </c>
      <c r="F23" s="140">
        <v>420602</v>
      </c>
      <c r="G23" s="119">
        <f>F23/$F$19*100</f>
        <v>19.679265984648747</v>
      </c>
      <c r="H23" s="143">
        <v>17222</v>
      </c>
      <c r="I23" s="119">
        <f t="shared" si="17"/>
        <v>0.7440941683963479</v>
      </c>
      <c r="J23" s="142">
        <v>17200</v>
      </c>
      <c r="K23" s="117">
        <f t="shared" si="18"/>
        <v>0.59138598181419344</v>
      </c>
      <c r="L23" s="142"/>
      <c r="M23" s="117">
        <f t="shared" si="19"/>
        <v>0</v>
      </c>
      <c r="N23" s="142">
        <v>1260</v>
      </c>
      <c r="O23" s="117">
        <f t="shared" si="20"/>
        <v>4.9724581070404478E-2</v>
      </c>
      <c r="P23" s="144">
        <v>24496</v>
      </c>
      <c r="Q23" s="117">
        <f t="shared" si="21"/>
        <v>0.70638893262486813</v>
      </c>
      <c r="R23" s="144">
        <v>44177</v>
      </c>
      <c r="S23" s="117">
        <f t="shared" si="22"/>
        <v>0.98423096108949149</v>
      </c>
      <c r="T23" s="144">
        <v>60000</v>
      </c>
      <c r="U23" s="117">
        <f t="shared" si="23"/>
        <v>5.14541809094698</v>
      </c>
      <c r="V23" s="144">
        <v>150630</v>
      </c>
      <c r="W23" s="117">
        <f t="shared" si="24"/>
        <v>9.7288289946618356</v>
      </c>
      <c r="X23" s="144">
        <v>295049</v>
      </c>
      <c r="Y23" s="117">
        <f t="shared" si="25"/>
        <v>14.097177927007856</v>
      </c>
      <c r="Z23" s="144">
        <v>309059</v>
      </c>
      <c r="AA23" s="117">
        <f t="shared" si="26"/>
        <v>14.680324520486781</v>
      </c>
      <c r="AB23" s="144">
        <v>223383</v>
      </c>
      <c r="AC23" s="117">
        <f t="shared" si="27"/>
        <v>11.119296633543508</v>
      </c>
      <c r="AD23" s="144">
        <v>74044</v>
      </c>
      <c r="AE23" s="117">
        <f t="shared" si="28"/>
        <v>5.3310754525301443</v>
      </c>
      <c r="AF23" s="144">
        <v>93952</v>
      </c>
      <c r="AG23" s="117">
        <f t="shared" si="29"/>
        <v>6.2203389830508469</v>
      </c>
    </row>
    <row r="24" spans="1:33" x14ac:dyDescent="0.25">
      <c r="A24" s="141" t="s">
        <v>138</v>
      </c>
      <c r="B24" s="140">
        <f>372042+500+5000-5648+1+2</f>
        <v>371897</v>
      </c>
      <c r="C24" s="119">
        <f>B24/$B$19*100</f>
        <v>14.932486068187284</v>
      </c>
      <c r="D24" s="84">
        <v>14.93</v>
      </c>
      <c r="F24" s="140">
        <v>43630</v>
      </c>
      <c r="G24" s="119">
        <f>F24/$F$19*100</f>
        <v>2.041374921921971</v>
      </c>
      <c r="H24" s="143">
        <v>19316</v>
      </c>
      <c r="I24" s="119">
        <f t="shared" si="17"/>
        <v>0.83456758545719756</v>
      </c>
      <c r="J24" s="142">
        <v>15030</v>
      </c>
      <c r="K24" s="117">
        <f t="shared" si="18"/>
        <v>0.51677507596903061</v>
      </c>
      <c r="L24" s="142">
        <v>34567</v>
      </c>
      <c r="M24" s="117">
        <f t="shared" si="19"/>
        <v>0.96532433886858182</v>
      </c>
      <c r="N24" s="142">
        <v>24746</v>
      </c>
      <c r="O24" s="117">
        <f t="shared" si="20"/>
        <v>0.97657498664145193</v>
      </c>
      <c r="P24" s="137">
        <v>44823</v>
      </c>
      <c r="Q24" s="117">
        <f t="shared" si="21"/>
        <v>1.2925567899675239</v>
      </c>
      <c r="R24" s="137">
        <v>41540</v>
      </c>
      <c r="S24" s="117">
        <f t="shared" si="22"/>
        <v>0.92548054697370752</v>
      </c>
      <c r="T24" s="137">
        <v>65098</v>
      </c>
      <c r="U24" s="117">
        <f t="shared" si="23"/>
        <v>5.5826071147411085</v>
      </c>
      <c r="V24" s="137">
        <v>107573</v>
      </c>
      <c r="W24" s="117">
        <f t="shared" si="24"/>
        <v>6.9478810425729103</v>
      </c>
      <c r="X24" s="137">
        <v>61321</v>
      </c>
      <c r="Y24" s="117">
        <f t="shared" si="25"/>
        <v>2.9298626589551189</v>
      </c>
      <c r="Z24" s="137">
        <v>20720</v>
      </c>
      <c r="AA24" s="117">
        <f t="shared" si="26"/>
        <v>0.98420147630221455</v>
      </c>
      <c r="AB24" s="137">
        <v>57819</v>
      </c>
      <c r="AC24" s="117">
        <f t="shared" si="27"/>
        <v>2.8780462795058357</v>
      </c>
      <c r="AD24" s="137">
        <v>40035</v>
      </c>
      <c r="AE24" s="117">
        <f t="shared" si="28"/>
        <v>2.8824699603214885</v>
      </c>
      <c r="AF24" s="137">
        <v>57899</v>
      </c>
      <c r="AG24" s="117">
        <f t="shared" si="29"/>
        <v>3.8333554025423733</v>
      </c>
    </row>
    <row r="25" spans="1:33" hidden="1" x14ac:dyDescent="0.25">
      <c r="A25" s="141" t="s">
        <v>26</v>
      </c>
      <c r="B25" s="140"/>
      <c r="C25" s="119"/>
      <c r="F25" s="140"/>
      <c r="G25" s="119"/>
      <c r="H25" s="143">
        <v>55523</v>
      </c>
      <c r="I25" s="119">
        <f t="shared" si="17"/>
        <v>2.3989281449233784</v>
      </c>
      <c r="J25" s="142">
        <v>39289</v>
      </c>
      <c r="K25" s="117">
        <f t="shared" si="18"/>
        <v>1.3508699906684793</v>
      </c>
      <c r="L25" s="142">
        <v>38437</v>
      </c>
      <c r="M25" s="117">
        <f t="shared" si="19"/>
        <v>1.0733986638438882</v>
      </c>
      <c r="N25" s="142">
        <v>41699</v>
      </c>
      <c r="O25" s="117">
        <f t="shared" si="20"/>
        <v>1.6456073857577751</v>
      </c>
      <c r="P25" s="137">
        <v>20590</v>
      </c>
      <c r="Q25" s="117">
        <f t="shared" si="21"/>
        <v>0.59375196451445278</v>
      </c>
      <c r="R25" s="137">
        <v>16078</v>
      </c>
      <c r="S25" s="117">
        <f t="shared" si="22"/>
        <v>0.35820597578823477</v>
      </c>
      <c r="T25" s="137">
        <v>7150</v>
      </c>
      <c r="U25" s="117">
        <f t="shared" si="23"/>
        <v>0.61316232250451508</v>
      </c>
      <c r="V25" s="137">
        <v>12100</v>
      </c>
      <c r="W25" s="117">
        <f t="shared" si="24"/>
        <v>0.78150986414000001</v>
      </c>
      <c r="X25" s="137">
        <v>7220</v>
      </c>
      <c r="Y25" s="117">
        <f t="shared" si="25"/>
        <v>0.34496515708576109</v>
      </c>
      <c r="Z25" s="137">
        <v>2620</v>
      </c>
      <c r="AA25" s="117">
        <f t="shared" si="26"/>
        <v>0.12445018667528</v>
      </c>
      <c r="AB25" s="137">
        <v>3620</v>
      </c>
      <c r="AC25" s="117">
        <f t="shared" si="27"/>
        <v>0.18019210868072996</v>
      </c>
      <c r="AD25" s="137">
        <v>0</v>
      </c>
      <c r="AE25" s="117">
        <f t="shared" si="28"/>
        <v>0</v>
      </c>
      <c r="AF25" s="137"/>
      <c r="AG25" s="117">
        <f t="shared" si="29"/>
        <v>0</v>
      </c>
    </row>
    <row r="26" spans="1:33" x14ac:dyDescent="0.25">
      <c r="A26" s="141" t="s">
        <v>27</v>
      </c>
      <c r="B26" s="140">
        <v>104688</v>
      </c>
      <c r="C26" s="119">
        <f t="shared" ref="C26:C33" si="30">B26/$B$19*100</f>
        <v>4.2034544551485773</v>
      </c>
      <c r="D26" s="84">
        <v>4.2</v>
      </c>
      <c r="F26" s="140">
        <v>31820</v>
      </c>
      <c r="G26" s="119">
        <f t="shared" ref="G26:G33" si="31">F26/$F$19*100</f>
        <v>1.4888047218784579</v>
      </c>
      <c r="H26" s="143">
        <f>57028+1170</f>
        <v>58198</v>
      </c>
      <c r="I26" s="119">
        <f t="shared" si="17"/>
        <v>2.5145042627064602</v>
      </c>
      <c r="J26" s="142">
        <v>208227</v>
      </c>
      <c r="K26" s="117">
        <f t="shared" si="18"/>
        <v>7.1594493508851196</v>
      </c>
      <c r="L26" s="142">
        <v>304068</v>
      </c>
      <c r="M26" s="117">
        <f t="shared" si="19"/>
        <v>8.4914583582923591</v>
      </c>
      <c r="N26" s="142">
        <v>176970</v>
      </c>
      <c r="O26" s="117">
        <f t="shared" si="20"/>
        <v>6.9839358031980003</v>
      </c>
      <c r="P26" s="137">
        <v>228943</v>
      </c>
      <c r="Q26" s="117">
        <f t="shared" si="21"/>
        <v>6.6020085484134228</v>
      </c>
      <c r="R26" s="137">
        <v>237960</v>
      </c>
      <c r="S26" s="117">
        <f t="shared" si="22"/>
        <v>5.3015732055335452</v>
      </c>
      <c r="T26" s="137">
        <v>13535</v>
      </c>
      <c r="U26" s="117">
        <f t="shared" si="23"/>
        <v>1.1607205643494563</v>
      </c>
      <c r="V26" s="137">
        <v>62827</v>
      </c>
      <c r="W26" s="117">
        <f t="shared" si="24"/>
        <v>4.0578446474647754</v>
      </c>
      <c r="X26" s="137">
        <v>64071</v>
      </c>
      <c r="Y26" s="117">
        <f t="shared" si="25"/>
        <v>3.0612552049365376</v>
      </c>
      <c r="Z26" s="137">
        <v>202028</v>
      </c>
      <c r="AA26" s="117">
        <f t="shared" si="26"/>
        <v>9.596344394516592</v>
      </c>
      <c r="AB26" s="137">
        <v>433119</v>
      </c>
      <c r="AC26" s="117">
        <f t="shared" si="27"/>
        <v>21.559288928090904</v>
      </c>
      <c r="AD26" s="137">
        <v>499557</v>
      </c>
      <c r="AE26" s="117">
        <f t="shared" si="28"/>
        <v>35.967479604554065</v>
      </c>
      <c r="AF26" s="137">
        <v>182774</v>
      </c>
      <c r="AG26" s="117">
        <f t="shared" si="29"/>
        <v>12.10103283898305</v>
      </c>
    </row>
    <row r="27" spans="1:33" x14ac:dyDescent="0.25">
      <c r="A27" s="141" t="s">
        <v>28</v>
      </c>
      <c r="B27" s="140">
        <f>301250+7000</f>
        <v>308250</v>
      </c>
      <c r="C27" s="119">
        <f t="shared" si="30"/>
        <v>12.376918422355466</v>
      </c>
      <c r="D27" s="84">
        <v>12.38</v>
      </c>
      <c r="F27" s="140">
        <v>418475</v>
      </c>
      <c r="G27" s="119">
        <f t="shared" si="31"/>
        <v>19.579747202642604</v>
      </c>
      <c r="H27" s="143">
        <f>255388-258+23964</f>
        <v>279094</v>
      </c>
      <c r="I27" s="119">
        <f t="shared" si="17"/>
        <v>12.058542436093967</v>
      </c>
      <c r="J27" s="142">
        <v>399843</v>
      </c>
      <c r="K27" s="117">
        <f t="shared" si="18"/>
        <v>13.747764251542588</v>
      </c>
      <c r="L27" s="142">
        <v>431871</v>
      </c>
      <c r="M27" s="117">
        <f t="shared" si="19"/>
        <v>12.060508217418734</v>
      </c>
      <c r="N27" s="142">
        <v>405753</v>
      </c>
      <c r="O27" s="117">
        <f t="shared" si="20"/>
        <v>16.012617415126847</v>
      </c>
      <c r="P27" s="137">
        <v>454070</v>
      </c>
      <c r="Q27" s="117">
        <f t="shared" si="21"/>
        <v>13.09397545056229</v>
      </c>
      <c r="R27" s="137">
        <v>605840</v>
      </c>
      <c r="S27" s="117">
        <f t="shared" si="22"/>
        <v>13.497668141033966</v>
      </c>
      <c r="T27" s="137">
        <v>76028</v>
      </c>
      <c r="U27" s="117">
        <f t="shared" si="23"/>
        <v>6.5199307769752828</v>
      </c>
      <c r="V27" s="137">
        <v>90966</v>
      </c>
      <c r="W27" s="117">
        <f t="shared" si="24"/>
        <v>5.8752749009387806</v>
      </c>
      <c r="X27" s="137">
        <v>435288</v>
      </c>
      <c r="Y27" s="117">
        <f t="shared" si="25"/>
        <v>20.797672201876285</v>
      </c>
      <c r="Z27" s="137">
        <v>202853</v>
      </c>
      <c r="AA27" s="117">
        <f t="shared" si="26"/>
        <v>9.6355319532979298</v>
      </c>
      <c r="AB27" s="137">
        <v>145534</v>
      </c>
      <c r="AC27" s="117">
        <f t="shared" si="27"/>
        <v>7.2442205372213682</v>
      </c>
      <c r="AD27" s="137">
        <v>80794</v>
      </c>
      <c r="AE27" s="117">
        <f t="shared" si="28"/>
        <v>5.8170670157166073</v>
      </c>
      <c r="AF27" s="137">
        <v>294965</v>
      </c>
      <c r="AG27" s="117">
        <f t="shared" si="29"/>
        <v>19.528932733050848</v>
      </c>
    </row>
    <row r="28" spans="1:33" ht="15.75" hidden="1" customHeight="1" x14ac:dyDescent="0.25">
      <c r="A28" s="141" t="s">
        <v>137</v>
      </c>
      <c r="B28" s="140">
        <v>1800</v>
      </c>
      <c r="C28" s="119">
        <f t="shared" si="30"/>
        <v>7.2273976188937022E-2</v>
      </c>
      <c r="D28" s="84">
        <v>7.0000000000000007E-2</v>
      </c>
      <c r="F28" s="140">
        <v>3386</v>
      </c>
      <c r="G28" s="119">
        <f t="shared" si="31"/>
        <v>0.15842529190070578</v>
      </c>
      <c r="H28" s="143">
        <v>18000</v>
      </c>
      <c r="I28" s="119">
        <f t="shared" si="17"/>
        <v>0.77770845611045536</v>
      </c>
      <c r="J28" s="142">
        <v>0</v>
      </c>
      <c r="K28" s="117">
        <f t="shared" si="18"/>
        <v>0</v>
      </c>
      <c r="L28" s="142"/>
      <c r="M28" s="117">
        <f t="shared" si="19"/>
        <v>0</v>
      </c>
      <c r="N28" s="142"/>
      <c r="O28" s="117">
        <f t="shared" si="20"/>
        <v>0</v>
      </c>
      <c r="P28" s="135">
        <v>0</v>
      </c>
      <c r="Q28" s="117">
        <f t="shared" si="21"/>
        <v>0</v>
      </c>
      <c r="S28" s="117">
        <f t="shared" si="22"/>
        <v>0</v>
      </c>
      <c r="U28" s="117">
        <f t="shared" si="23"/>
        <v>0</v>
      </c>
      <c r="W28" s="117">
        <f t="shared" si="24"/>
        <v>0</v>
      </c>
      <c r="Y28" s="117">
        <f t="shared" si="25"/>
        <v>0</v>
      </c>
      <c r="AA28" s="117">
        <f t="shared" si="26"/>
        <v>0</v>
      </c>
      <c r="AC28" s="117">
        <f t="shared" si="27"/>
        <v>0</v>
      </c>
      <c r="AE28" s="117">
        <f t="shared" si="28"/>
        <v>0</v>
      </c>
      <c r="AG28" s="117">
        <f t="shared" si="29"/>
        <v>0</v>
      </c>
    </row>
    <row r="29" spans="1:33" ht="15.75" hidden="1" customHeight="1" x14ac:dyDescent="0.25">
      <c r="A29" s="141"/>
      <c r="B29" s="140"/>
      <c r="C29" s="119"/>
      <c r="F29" s="140"/>
      <c r="G29" s="119"/>
      <c r="H29" s="143"/>
      <c r="I29" s="119"/>
      <c r="J29" s="142"/>
      <c r="K29" s="117"/>
      <c r="L29" s="142"/>
      <c r="M29" s="117"/>
      <c r="N29" s="142"/>
      <c r="O29" s="117"/>
      <c r="Q29" s="117"/>
      <c r="S29" s="117"/>
      <c r="U29" s="117"/>
      <c r="W29" s="117"/>
      <c r="Y29" s="117"/>
      <c r="AA29" s="117"/>
      <c r="AC29" s="117">
        <f t="shared" si="27"/>
        <v>0</v>
      </c>
      <c r="AE29" s="117">
        <f t="shared" si="28"/>
        <v>0</v>
      </c>
      <c r="AG29" s="117">
        <f t="shared" si="29"/>
        <v>0</v>
      </c>
    </row>
    <row r="30" spans="1:33" ht="15.75" customHeight="1" x14ac:dyDescent="0.25">
      <c r="A30" s="141" t="s">
        <v>137</v>
      </c>
      <c r="B30" s="140"/>
      <c r="C30" s="119"/>
      <c r="F30" s="140"/>
      <c r="G30" s="119"/>
      <c r="H30" s="143"/>
      <c r="I30" s="119"/>
      <c r="J30" s="142"/>
      <c r="K30" s="117"/>
      <c r="L30" s="142"/>
      <c r="M30" s="117"/>
      <c r="N30" s="142"/>
      <c r="O30" s="117"/>
      <c r="Q30" s="117"/>
      <c r="S30" s="117"/>
      <c r="U30" s="117"/>
      <c r="W30" s="117"/>
      <c r="Y30" s="117"/>
      <c r="AA30" s="117"/>
      <c r="AB30" s="137">
        <v>500</v>
      </c>
      <c r="AC30" s="117">
        <f t="shared" si="27"/>
        <v>2.4888412801205791E-2</v>
      </c>
      <c r="AD30" s="137">
        <v>500</v>
      </c>
      <c r="AE30" s="117">
        <f t="shared" si="28"/>
        <v>3.5999375050849117E-2</v>
      </c>
      <c r="AF30" s="137">
        <v>56000</v>
      </c>
      <c r="AG30" s="117">
        <f t="shared" si="29"/>
        <v>3.7076271186440675</v>
      </c>
    </row>
    <row r="31" spans="1:33" x14ac:dyDescent="0.25">
      <c r="A31" s="141" t="s">
        <v>29</v>
      </c>
      <c r="B31" s="140">
        <v>33000</v>
      </c>
      <c r="C31" s="119">
        <f t="shared" si="30"/>
        <v>1.3250228967971787</v>
      </c>
      <c r="D31" s="84">
        <v>1.33</v>
      </c>
      <c r="F31" s="140">
        <v>10700</v>
      </c>
      <c r="G31" s="119">
        <f t="shared" si="31"/>
        <v>0.50063515160589256</v>
      </c>
      <c r="H31" s="143">
        <v>114431</v>
      </c>
      <c r="I31" s="119">
        <f t="shared" si="17"/>
        <v>4.9441086856208623</v>
      </c>
      <c r="J31" s="142">
        <v>324149</v>
      </c>
      <c r="K31" s="117">
        <f t="shared" si="18"/>
        <v>11.145184570877266</v>
      </c>
      <c r="L31" s="142">
        <v>591057</v>
      </c>
      <c r="M31" s="117">
        <f t="shared" si="19"/>
        <v>16.505965451403</v>
      </c>
      <c r="N31" s="142">
        <v>312314</v>
      </c>
      <c r="O31" s="117">
        <f t="shared" si="20"/>
        <v>12.325145089224051</v>
      </c>
      <c r="P31" s="137">
        <v>418203</v>
      </c>
      <c r="Q31" s="117">
        <f t="shared" si="21"/>
        <v>12.059682021167445</v>
      </c>
      <c r="R31" s="137">
        <v>651384</v>
      </c>
      <c r="S31" s="117">
        <f t="shared" si="22"/>
        <v>14.512354853392429</v>
      </c>
      <c r="T31" s="137">
        <v>36800</v>
      </c>
      <c r="U31" s="117">
        <f t="shared" si="23"/>
        <v>3.1558564291141478</v>
      </c>
      <c r="V31" s="137">
        <v>111988</v>
      </c>
      <c r="W31" s="117">
        <f t="shared" si="24"/>
        <v>7.2330352615958953</v>
      </c>
      <c r="X31" s="137">
        <v>96590</v>
      </c>
      <c r="Y31" s="117">
        <f t="shared" si="25"/>
        <v>4.6149840059437208</v>
      </c>
      <c r="Z31" s="137">
        <v>162298</v>
      </c>
      <c r="AA31" s="117">
        <f t="shared" si="26"/>
        <v>7.7091665637498457</v>
      </c>
      <c r="AB31" s="137">
        <v>74063</v>
      </c>
      <c r="AC31" s="117">
        <f t="shared" si="27"/>
        <v>3.6866210345914094</v>
      </c>
      <c r="AD31" s="137">
        <v>5755</v>
      </c>
      <c r="AE31" s="117">
        <f t="shared" si="28"/>
        <v>0.41435280683527337</v>
      </c>
      <c r="AF31" s="137">
        <v>152537</v>
      </c>
      <c r="AG31" s="117">
        <f t="shared" si="29"/>
        <v>10.099112817796611</v>
      </c>
    </row>
    <row r="32" spans="1:33" x14ac:dyDescent="0.25">
      <c r="A32" s="141" t="s">
        <v>30</v>
      </c>
      <c r="B32" s="140">
        <v>16738</v>
      </c>
      <c r="C32" s="119">
        <f t="shared" si="30"/>
        <v>0.6720676741391266</v>
      </c>
      <c r="D32" s="84">
        <v>0.67</v>
      </c>
      <c r="F32" s="140">
        <v>20230</v>
      </c>
      <c r="G32" s="119">
        <f t="shared" si="31"/>
        <v>0.94652795485861729</v>
      </c>
      <c r="H32" s="143">
        <v>19305</v>
      </c>
      <c r="I32" s="119">
        <f t="shared" si="17"/>
        <v>0.83409231917846338</v>
      </c>
      <c r="J32" s="142">
        <v>8863</v>
      </c>
      <c r="K32" s="117">
        <f t="shared" si="18"/>
        <v>0.30473569516390675</v>
      </c>
      <c r="L32" s="142">
        <v>10636</v>
      </c>
      <c r="M32" s="117">
        <f t="shared" si="19"/>
        <v>0.2970228734980252</v>
      </c>
      <c r="N32" s="142">
        <v>23446</v>
      </c>
      <c r="O32" s="117">
        <f t="shared" si="20"/>
        <v>0.92527184744182811</v>
      </c>
      <c r="P32" s="137">
        <v>19042</v>
      </c>
      <c r="Q32" s="117">
        <f t="shared" si="21"/>
        <v>0.54911242876562449</v>
      </c>
      <c r="R32" s="137">
        <v>3306</v>
      </c>
      <c r="S32" s="117">
        <f t="shared" si="22"/>
        <v>7.3655240450050008E-2</v>
      </c>
      <c r="T32" s="137">
        <v>511200</v>
      </c>
      <c r="U32" s="117">
        <f t="shared" si="23"/>
        <v>43.838962134868268</v>
      </c>
      <c r="V32" s="137">
        <v>441740</v>
      </c>
      <c r="W32" s="117">
        <f t="shared" si="24"/>
        <v>28.530922924396997</v>
      </c>
      <c r="X32" s="137">
        <v>141727</v>
      </c>
      <c r="Y32" s="117">
        <f t="shared" si="25"/>
        <v>6.7715895870212828</v>
      </c>
      <c r="Z32" s="137">
        <v>406667</v>
      </c>
      <c r="AA32" s="117">
        <f t="shared" si="26"/>
        <v>19.316711475067212</v>
      </c>
      <c r="AB32" s="137">
        <v>730401</v>
      </c>
      <c r="AC32" s="117">
        <f t="shared" si="27"/>
        <v>36.357043196827028</v>
      </c>
      <c r="AD32" s="137">
        <v>57873</v>
      </c>
      <c r="AE32" s="117">
        <f t="shared" si="28"/>
        <v>4.1667836646355818</v>
      </c>
      <c r="AF32" s="137">
        <v>76027</v>
      </c>
      <c r="AG32" s="117">
        <f t="shared" si="29"/>
        <v>5.0335672669491522</v>
      </c>
    </row>
    <row r="33" spans="1:33" x14ac:dyDescent="0.25">
      <c r="A33" s="141" t="s">
        <v>136</v>
      </c>
      <c r="B33" s="140">
        <f>5000+2000</f>
        <v>7000</v>
      </c>
      <c r="C33" s="119">
        <f t="shared" si="30"/>
        <v>0.28106546295697732</v>
      </c>
      <c r="D33" s="84">
        <v>0.28000000000000003</v>
      </c>
      <c r="F33" s="140">
        <v>1000</v>
      </c>
      <c r="G33" s="119">
        <f t="shared" si="31"/>
        <v>4.6788331925784347E-2</v>
      </c>
      <c r="H33" s="139">
        <v>18444</v>
      </c>
      <c r="I33" s="119">
        <f t="shared" si="17"/>
        <v>0.79689193136117997</v>
      </c>
      <c r="J33" s="138">
        <v>9616</v>
      </c>
      <c r="K33" s="117">
        <f t="shared" si="18"/>
        <v>0.33062602332123742</v>
      </c>
      <c r="L33" s="138">
        <v>67013</v>
      </c>
      <c r="M33" s="117">
        <f t="shared" si="19"/>
        <v>1.8714172453669766</v>
      </c>
      <c r="N33" s="138">
        <v>80350</v>
      </c>
      <c r="O33" s="117">
        <f t="shared" si="20"/>
        <v>3.1709286420690477</v>
      </c>
      <c r="P33" s="137">
        <v>106342</v>
      </c>
      <c r="Q33" s="117">
        <f t="shared" si="21"/>
        <v>3.0665746192518668</v>
      </c>
      <c r="R33" s="137">
        <v>49627</v>
      </c>
      <c r="S33" s="117">
        <f t="shared" si="22"/>
        <v>1.1056529394478618</v>
      </c>
      <c r="T33" s="137">
        <v>2825</v>
      </c>
      <c r="U33" s="117">
        <f t="shared" si="23"/>
        <v>0.24226343511542028</v>
      </c>
      <c r="V33" s="137">
        <v>7252</v>
      </c>
      <c r="W33" s="117">
        <f t="shared" si="24"/>
        <v>0.46838921774737857</v>
      </c>
      <c r="X33" s="137">
        <v>67857</v>
      </c>
      <c r="Y33" s="117">
        <f t="shared" si="25"/>
        <v>3.2421469064222288</v>
      </c>
      <c r="Z33" s="137">
        <v>32580</v>
      </c>
      <c r="AA33" s="117">
        <f t="shared" si="26"/>
        <v>1.5475523213284821</v>
      </c>
      <c r="AB33" s="137">
        <v>3500</v>
      </c>
      <c r="AC33" s="117">
        <f t="shared" si="27"/>
        <v>0.17421888960844056</v>
      </c>
      <c r="AD33" s="137">
        <v>914</v>
      </c>
      <c r="AE33" s="117">
        <f t="shared" si="28"/>
        <v>6.5806857592952184E-2</v>
      </c>
      <c r="AF33" s="137">
        <v>288</v>
      </c>
      <c r="AG33" s="117">
        <f t="shared" si="29"/>
        <v>1.9067796610169493E-2</v>
      </c>
    </row>
    <row r="34" spans="1:33" hidden="1" x14ac:dyDescent="0.25">
      <c r="A34" s="84" t="s">
        <v>135</v>
      </c>
      <c r="X34" s="137">
        <v>52600</v>
      </c>
      <c r="Y34" s="117">
        <f t="shared" si="25"/>
        <v>2.5131810613173178</v>
      </c>
      <c r="Z34" s="137">
        <v>52000</v>
      </c>
      <c r="AA34" s="117">
        <f t="shared" si="26"/>
        <v>2.4700037050055577</v>
      </c>
      <c r="AB34" s="137">
        <v>0</v>
      </c>
      <c r="AC34" s="117">
        <f t="shared" si="27"/>
        <v>0</v>
      </c>
      <c r="AD34" s="137"/>
      <c r="AE34" s="117">
        <f t="shared" si="28"/>
        <v>0</v>
      </c>
      <c r="AF34" s="137"/>
      <c r="AG34" s="117">
        <f t="shared" si="29"/>
        <v>0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2" ma:contentTypeDescription="Vytvoří nový dokument" ma:contentTypeScope="" ma:versionID="7c47bba14f301d9574767b734d46b97a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5b13e7c44c4f9a9efb99a855cf15abe5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F4617B-8774-455F-9D7A-2C822DF54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49BF98-9325-433B-844A-82ACD5F9068D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1c884cfb-4f2a-45da-9f70-0953090e4289"/>
  </ds:schemaRefs>
</ds:datastoreItem>
</file>

<file path=customXml/itemProps3.xml><?xml version="1.0" encoding="utf-8"?>
<ds:datastoreItem xmlns:ds="http://schemas.openxmlformats.org/officeDocument/2006/customXml" ds:itemID="{EA810C3B-F47C-4C9D-BDE5-9DB6A1D806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9</vt:i4>
      </vt:variant>
      <vt:variant>
        <vt:lpstr>Grafy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22" baseType="lpstr">
      <vt:lpstr>OBSAH</vt:lpstr>
      <vt:lpstr>Dotační programy</vt:lpstr>
      <vt:lpstr>Akce spolufin. z evr.fin.zdrojů</vt:lpstr>
      <vt:lpstr>Akce fin. z úvěrových zdrojů</vt:lpstr>
      <vt:lpstr>Přehled příjmů 2022</vt:lpstr>
      <vt:lpstr>Zdrojová data I.s</vt:lpstr>
      <vt:lpstr>Zdrojová data II. a III. s</vt:lpstr>
      <vt:lpstr>Zdrojová data IV.</vt:lpstr>
      <vt:lpstr>Zdrojová data V.a VI.</vt:lpstr>
      <vt:lpstr>Graf 1. Rozpočet 2018 - 2022</vt:lpstr>
      <vt:lpstr>Graf 2. Příjmy 2018 - 2022</vt:lpstr>
      <vt:lpstr>Graf 3. Výdaje B+K 2018 - 2022</vt:lpstr>
      <vt:lpstr>Graf 4. Příjmy 2022</vt:lpstr>
      <vt:lpstr>Graf 5. Výdaje 2022</vt:lpstr>
      <vt:lpstr>Graf 6. Výdaje EU 2022</vt:lpstr>
      <vt:lpstr>'Akce fin. z úvěrových zdrojů'!Názvy_tisku</vt:lpstr>
      <vt:lpstr>'Akce spolufin. z evr.fin.zdrojů'!Názvy_tisku</vt:lpstr>
      <vt:lpstr>'Dotační programy'!Názvy_tisku</vt:lpstr>
      <vt:lpstr>'Přehled příjmů 2022'!Názvy_tisku</vt:lpstr>
      <vt:lpstr>'Akce spolufin. z evr.fin.zdrojů'!Oblast_tisku</vt:lpstr>
      <vt:lpstr>'Dotační programy'!Oblast_tisku</vt:lpstr>
      <vt:lpstr>'Přehled příjmů 2022'!Oblast_tisku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2021-11-25T14:44:38Z</cp:lastPrinted>
  <dcterms:created xsi:type="dcterms:W3CDTF">2017-09-20T06:24:12Z</dcterms:created>
  <dcterms:modified xsi:type="dcterms:W3CDTF">2021-11-30T11:55:00Z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</Properties>
</file>