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sk_kubikova2611\Desktop\Revize Materiál Revize final přílohy\"/>
    </mc:Choice>
  </mc:AlternateContent>
  <xr:revisionPtr revIDLastSave="0" documentId="13_ncr:1_{F11A4A68-53C7-4078-994B-B5052507001E}" xr6:coauthVersionLast="46" xr6:coauthVersionMax="46" xr10:uidLastSave="{00000000-0000-0000-0000-000000000000}"/>
  <bookViews>
    <workbookView xWindow="28680" yWindow="-75" windowWidth="29040" windowHeight="15840" tabRatio="830" xr2:uid="{E510E962-0F90-463F-8DD8-9036D002E16D}"/>
  </bookViews>
  <sheets>
    <sheet name="Příloha č. 2 úvěr změny" sheetId="25" r:id="rId1"/>
  </sheets>
  <externalReferences>
    <externalReference r:id="rId2"/>
  </externalReferences>
  <definedNames>
    <definedName name="DF_GRID_1">#REF!</definedName>
    <definedName name="kurz">[1]rozhodnutí!$N$31</definedName>
    <definedName name="_xlnm.Print_Titles" localSheetId="0">'Příloha č. 2 úvěr změny'!$3:$5</definedName>
    <definedName name="_xlnm.Print_Area" localSheetId="0">'Příloha č. 2 úvěr změny'!$A$1:$M$98</definedName>
    <definedName name="SAPBEXhrIndnt" hidden="1">"Wide"</definedName>
    <definedName name="SAPsysID" hidden="1">"708C5W7SBKP804JT78WJ0JNKI"</definedName>
    <definedName name="SAPwbID" hidden="1">"ARS"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25" l="1"/>
  <c r="D94" i="25"/>
  <c r="D92" i="25"/>
  <c r="K91" i="25"/>
  <c r="L38" i="25"/>
  <c r="G59" i="25"/>
  <c r="K59" i="25" s="1"/>
  <c r="F59" i="25"/>
  <c r="L59" i="25" s="1"/>
  <c r="E59" i="25"/>
  <c r="L40" i="25"/>
  <c r="K40" i="25"/>
  <c r="L39" i="25"/>
  <c r="K39" i="25"/>
  <c r="I38" i="25"/>
  <c r="K38" i="25" s="1"/>
  <c r="E38" i="25"/>
  <c r="K88" i="25" l="1"/>
  <c r="L88" i="25"/>
  <c r="F25" i="25"/>
  <c r="F26" i="25" s="1"/>
  <c r="J36" i="25"/>
  <c r="I36" i="25"/>
  <c r="E36" i="25"/>
  <c r="H49" i="25"/>
  <c r="G49" i="25"/>
  <c r="D49" i="25"/>
  <c r="I76" i="25"/>
  <c r="D76" i="25"/>
  <c r="L87" i="25" l="1"/>
  <c r="G67" i="25"/>
  <c r="E67" i="25"/>
  <c r="F67" i="25" s="1"/>
  <c r="I41" i="25"/>
  <c r="K87" i="25"/>
  <c r="L79" i="25"/>
  <c r="L80" i="25"/>
  <c r="L81" i="25"/>
  <c r="L82" i="25"/>
  <c r="L83" i="25"/>
  <c r="L84" i="25"/>
  <c r="L85" i="25"/>
  <c r="H86" i="25"/>
  <c r="F86" i="25"/>
  <c r="G86" i="25"/>
  <c r="E86" i="25"/>
  <c r="L78" i="25"/>
  <c r="L63" i="25"/>
  <c r="L52" i="25"/>
  <c r="L53" i="25"/>
  <c r="L54" i="25"/>
  <c r="L55" i="25"/>
  <c r="L56" i="25"/>
  <c r="L57" i="25"/>
  <c r="L58" i="25"/>
  <c r="L60" i="25"/>
  <c r="L61" i="25"/>
  <c r="L64" i="25"/>
  <c r="L66" i="25"/>
  <c r="L68" i="25"/>
  <c r="L72" i="25"/>
  <c r="L73" i="25"/>
  <c r="L74" i="25"/>
  <c r="L75" i="25"/>
  <c r="L51" i="25"/>
  <c r="H71" i="25"/>
  <c r="F71" i="25"/>
  <c r="E70" i="25"/>
  <c r="K70" i="25" s="1"/>
  <c r="F70" i="25"/>
  <c r="L70" i="25" s="1"/>
  <c r="H65" i="25"/>
  <c r="H69" i="25"/>
  <c r="F69" i="25"/>
  <c r="E69" i="25"/>
  <c r="F65" i="25"/>
  <c r="F62" i="25"/>
  <c r="E62" i="25"/>
  <c r="K62" i="25" s="1"/>
  <c r="G61" i="25"/>
  <c r="E61" i="25"/>
  <c r="L48" i="25"/>
  <c r="L44" i="25"/>
  <c r="L45" i="25"/>
  <c r="L43" i="25"/>
  <c r="J49" i="25"/>
  <c r="F46" i="25"/>
  <c r="L90" i="25"/>
  <c r="L24" i="25"/>
  <c r="L89" i="25"/>
  <c r="L18" i="25"/>
  <c r="L19" i="25" s="1"/>
  <c r="L13" i="25"/>
  <c r="L14" i="25"/>
  <c r="L15" i="25"/>
  <c r="L12" i="25"/>
  <c r="J10" i="25"/>
  <c r="L9" i="25"/>
  <c r="L8" i="25"/>
  <c r="L31" i="25"/>
  <c r="L32" i="25"/>
  <c r="L33" i="25"/>
  <c r="L35" i="25"/>
  <c r="L30" i="25"/>
  <c r="H34" i="25"/>
  <c r="H36" i="25" s="1"/>
  <c r="F41" i="25"/>
  <c r="G41" i="25"/>
  <c r="H41" i="25"/>
  <c r="J41" i="25"/>
  <c r="F34" i="25"/>
  <c r="F36" i="25" s="1"/>
  <c r="K8" i="25"/>
  <c r="H25" i="25"/>
  <c r="H26" i="25" s="1"/>
  <c r="I25" i="25"/>
  <c r="I26" i="25" s="1"/>
  <c r="J25" i="25"/>
  <c r="J26" i="25" s="1"/>
  <c r="K90" i="25"/>
  <c r="K89" i="25"/>
  <c r="H19" i="25"/>
  <c r="I19" i="25"/>
  <c r="J19" i="25"/>
  <c r="H16" i="25"/>
  <c r="H10" i="25"/>
  <c r="F10" i="25"/>
  <c r="F19" i="25"/>
  <c r="E24" i="25"/>
  <c r="E25" i="25" s="1"/>
  <c r="E26" i="25" s="1"/>
  <c r="F16" i="25"/>
  <c r="G16" i="25"/>
  <c r="I16" i="25"/>
  <c r="J16" i="25"/>
  <c r="K12" i="25"/>
  <c r="K85" i="25"/>
  <c r="K84" i="25"/>
  <c r="K83" i="25"/>
  <c r="K82" i="25"/>
  <c r="K81" i="25"/>
  <c r="K80" i="25"/>
  <c r="K79" i="25"/>
  <c r="K78" i="25"/>
  <c r="K75" i="25"/>
  <c r="K74" i="25"/>
  <c r="K73" i="25"/>
  <c r="K72" i="25"/>
  <c r="G71" i="25"/>
  <c r="E71" i="25"/>
  <c r="K68" i="25"/>
  <c r="K66" i="25"/>
  <c r="G65" i="25"/>
  <c r="E65" i="25"/>
  <c r="K64" i="25"/>
  <c r="K63" i="25"/>
  <c r="K60" i="25"/>
  <c r="K58" i="25"/>
  <c r="K57" i="25"/>
  <c r="K56" i="25"/>
  <c r="K55" i="25"/>
  <c r="K54" i="25"/>
  <c r="K53" i="25"/>
  <c r="K52" i="25"/>
  <c r="K51" i="25"/>
  <c r="I49" i="25"/>
  <c r="K48" i="25"/>
  <c r="E47" i="25"/>
  <c r="K47" i="25" s="1"/>
  <c r="E46" i="25"/>
  <c r="K45" i="25"/>
  <c r="K44" i="25"/>
  <c r="K43" i="25"/>
  <c r="D41" i="25"/>
  <c r="D36" i="25"/>
  <c r="K35" i="25"/>
  <c r="G34" i="25"/>
  <c r="G36" i="25" s="1"/>
  <c r="K33" i="25"/>
  <c r="K32" i="25"/>
  <c r="K31" i="25"/>
  <c r="K30" i="25"/>
  <c r="G25" i="25"/>
  <c r="G26" i="25" s="1"/>
  <c r="D25" i="25"/>
  <c r="D26" i="25" s="1"/>
  <c r="G19" i="25"/>
  <c r="E19" i="25"/>
  <c r="D19" i="25"/>
  <c r="K18" i="25"/>
  <c r="K19" i="25" s="1"/>
  <c r="E16" i="25"/>
  <c r="D16" i="25"/>
  <c r="K15" i="25"/>
  <c r="K14" i="25"/>
  <c r="K13" i="25"/>
  <c r="I10" i="25"/>
  <c r="G10" i="25"/>
  <c r="E10" i="25"/>
  <c r="D10" i="25"/>
  <c r="K9" i="25"/>
  <c r="L25" i="25" l="1"/>
  <c r="L26" i="25" s="1"/>
  <c r="L69" i="25"/>
  <c r="H76" i="25"/>
  <c r="K46" i="25"/>
  <c r="K49" i="25" s="1"/>
  <c r="E49" i="25"/>
  <c r="F76" i="25"/>
  <c r="J76" i="25"/>
  <c r="G76" i="25"/>
  <c r="E76" i="25"/>
  <c r="L46" i="25"/>
  <c r="F49" i="25"/>
  <c r="K34" i="25"/>
  <c r="K36" i="25" s="1"/>
  <c r="L71" i="25"/>
  <c r="K24" i="25"/>
  <c r="K86" i="25"/>
  <c r="L10" i="25"/>
  <c r="L86" i="25"/>
  <c r="L91" i="25" s="1"/>
  <c r="K41" i="25"/>
  <c r="L65" i="25"/>
  <c r="L67" i="25"/>
  <c r="K67" i="25"/>
  <c r="L62" i="25"/>
  <c r="L47" i="25"/>
  <c r="L16" i="25"/>
  <c r="L34" i="25"/>
  <c r="L36" i="25" s="1"/>
  <c r="L41" i="25"/>
  <c r="J20" i="25"/>
  <c r="G20" i="25"/>
  <c r="K10" i="25"/>
  <c r="K65" i="25"/>
  <c r="F20" i="25"/>
  <c r="K61" i="25"/>
  <c r="K16" i="25"/>
  <c r="E20" i="25"/>
  <c r="K71" i="25"/>
  <c r="D20" i="25"/>
  <c r="K69" i="25"/>
  <c r="H20" i="25"/>
  <c r="I20" i="25"/>
  <c r="E41" i="25"/>
  <c r="L76" i="25" l="1"/>
  <c r="K76" i="25"/>
  <c r="L49" i="25"/>
  <c r="K25" i="25"/>
  <c r="K26" i="25" s="1"/>
  <c r="L20" i="25"/>
  <c r="K20" i="25"/>
  <c r="K92" i="25" l="1"/>
  <c r="L92" i="25"/>
  <c r="L94" i="25" s="1"/>
  <c r="E91" i="25"/>
  <c r="E92" i="25" s="1"/>
  <c r="E94" i="25" s="1"/>
  <c r="F91" i="25"/>
  <c r="F92" i="25" s="1"/>
  <c r="F94" i="25" s="1"/>
  <c r="G91" i="25"/>
  <c r="G92" i="25" s="1"/>
  <c r="G94" i="25" s="1"/>
  <c r="H91" i="25"/>
  <c r="D91" i="25"/>
  <c r="J91" i="25"/>
  <c r="J92" i="25" s="1"/>
  <c r="J94" i="25" s="1"/>
  <c r="I91" i="25"/>
  <c r="I92" i="25" s="1"/>
  <c r="I94" i="25" s="1"/>
  <c r="H92" i="25" l="1"/>
  <c r="H94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E59" authorId="0" shapeId="0" xr:uid="{33AFFE67-3C06-48DB-8783-13A91AD62F07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označil jsem zeleně, protože už proběhlo v RK 28.3.</t>
        </r>
      </text>
    </comment>
  </commentList>
</comments>
</file>

<file path=xl/sharedStrings.xml><?xml version="1.0" encoding="utf-8"?>
<sst xmlns="http://schemas.openxmlformats.org/spreadsheetml/2006/main" count="220" uniqueCount="159">
  <si>
    <t>v tis. Kč</t>
  </si>
  <si>
    <t>Název akce</t>
  </si>
  <si>
    <t>ODVĚTVÍ SOCIÁLNÍCH VĚCÍ:</t>
  </si>
  <si>
    <t>Rekonstrukce a výstavba Domova Březiny</t>
  </si>
  <si>
    <t>Zateplení a stavební úpravy správní budovy, pavilonu E a F Domova Březiny</t>
  </si>
  <si>
    <t>ODVĚTVÍ SOCIÁLNÍCH VĚCÍ CELKEM</t>
  </si>
  <si>
    <t>ODVĚTVÍ ÚZEMNÍHO PLÁNOVÁNÍ A STAVEBNÍHO ŘÁDU:</t>
  </si>
  <si>
    <t>Digitálně technická mapa Moravskoslezského kraje</t>
  </si>
  <si>
    <t>ODVĚTVÍ ÚZEMNÍHO PLÁNOVÁNÍ A STAVEBNÍHO ŘÁDU CELKEM</t>
  </si>
  <si>
    <t>REPRODUKCE MAJETKU KRAJE VYJMA AKCÍ SPOLUFINANCOVANÝCH Z EVROPSKÝCH FINANČNÍCH ZDROJŮ</t>
  </si>
  <si>
    <t>ODVĚTVÍ DOPRAVY:</t>
  </si>
  <si>
    <t>Letiště Leoše Janáčka Ostrava, výstavba odbavovací plochy APN S3</t>
  </si>
  <si>
    <t>ODVĚTVÍ DOPRAVY CELKEM</t>
  </si>
  <si>
    <t>ODVĚTVÍ KULTURY:</t>
  </si>
  <si>
    <t>Zámek Nová Horka - dobudování infrastruktury (Muzeum Novojičínska, příspěvková organizace)</t>
  </si>
  <si>
    <t>Zámek Bruntál - revitalizace objektu (Muzeum v Bruntále, příspěvková organizace)</t>
  </si>
  <si>
    <t>Novostavba objektu depozitáře (Muzeum v Bruntále, příspěvková organizace)</t>
  </si>
  <si>
    <t>ODVĚTVÍ KULTURY CELKEM</t>
  </si>
  <si>
    <t>Rekonstrukce budovy a spojovací chodby Máchova (Domov Duha, příspěvková organizace, Nový Jičín)</t>
  </si>
  <si>
    <t>Výstavba domova pro seniory a domova se zvláštním režimem Kopřivnice</t>
  </si>
  <si>
    <t>Nákup budov a pozemků v Opavě (Sírius, příspěvková organizace, Opava)</t>
  </si>
  <si>
    <t>ODVĚTVÍ ŠKOLSTVÍ:</t>
  </si>
  <si>
    <t>Rekonstrukce elektroinstalace (Mendelovo gymnázium, Opava, příspěvková organizace)</t>
  </si>
  <si>
    <t>Sportovní areál na ul. Komenského, Opava (Mendelovo gymnázium, Opava, příspěvková organizace)</t>
  </si>
  <si>
    <t>Rekonstrukce objektů Polského gymnázia (Polské gymnázium - Polskie Gimnazjum im. Juliusza Słowackiego, Český Těšín, příspěvková organizace)</t>
  </si>
  <si>
    <t>Rekultivace vnitrobloku a zpevněné plochy (Polské gymnázium - Polskie Gimnazjum im. Juliusza Słowackiego, Český Těšín, příspěvková organizace)</t>
  </si>
  <si>
    <t>Rekonstrukce budovy na ulici Praskova čp. 411 v Opavě (Základní škola, Opava, Havlíčkova 1, příspěvková organizace)</t>
  </si>
  <si>
    <t>Demolice budov a výstavba sportoviště (Střední průmyslová škola a Obchodní akademie, Bruntál, příspěvková organizace)</t>
  </si>
  <si>
    <t>Rekonstrukce školní kuchyně a výdejny (Základní škola, Ostrava - Poruba, Čkalovova 942, příspěvková organizace)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</si>
  <si>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</si>
  <si>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Vybudování dílen pro praktické vyučování (Střední odborná škola, Frýdek-Místek, příspěvková organizace)</t>
  </si>
  <si>
    <t>Modernizace Školního statku v Opavě (Školní statek, Opava,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</si>
  <si>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</si>
  <si>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</si>
  <si>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ODVĚTVÍ ŠKOLSTVÍ CELKEM</t>
  </si>
  <si>
    <t>ODVĚTVÍ ZDRAVOTNICTVÍ:</t>
  </si>
  <si>
    <t>Přístavba a nástavba rehabilitace (Nemocnice Třinec, příspěvková organizace)</t>
  </si>
  <si>
    <t>Pavilon L - stavební úpravy (Slezská nemocnice v Opavě, příspěvková organizace)</t>
  </si>
  <si>
    <t>ODVĚTVÍ ZDRAVOTNICTVÍ CELKEM</t>
  </si>
  <si>
    <t>CELKEM ZA AKCE REPRODUKCE MAJETKU KRAJE VYJMA AKCÍ SPOLUFINANCOVANÝCH Z EVROPSKÝCH FINANČNÍCH ZDROJŮ</t>
  </si>
  <si>
    <t>CELKEM</t>
  </si>
  <si>
    <t>Rekonstrukce objektu na ul. B. Němcové, Opava (Střední odborné učiliště stavební, Opava, příspěvková organizace)</t>
  </si>
  <si>
    <t>Využití objektu v Bílé (Vzdělávací a sportovní centrum, Bílá, příspěvková organizace)</t>
  </si>
  <si>
    <t>AKCE SPOLUFINANCOVANÉ Z EVROPSKÝCH FINANČNÍCH ZDROJŮ REALIZOVANÉ KRAJEM</t>
  </si>
  <si>
    <t>CELKEM ZA AKCE SPOLUFINANCOVANÉ Z EVROPSKÝCH FINANČNÍCH ZDROJŮ REALIZOVANÉ KRAJEM</t>
  </si>
  <si>
    <t>AKCE SPOLUFINANCOVANÉ Z EVROPSKÝCH FINANČNÍCH ZDROJŮ REALIZOVANÉ PŘÍSPĚVKOVÝMI ORGANIZACEMI KRAJE</t>
  </si>
  <si>
    <t>CELKEM ZA AKCE SPOLUFINANCOVANÉ Z EVROPSKÝCH FINANČNÍCH ZDROJŮ REALIZOVANÉ PŘÍSPĚVKOVÝMI ORGANIZACEMI KRAJE</t>
  </si>
  <si>
    <t>Rekonstrukce školního dvora (Matiční gymnázium, Ostrava, příspěvková organizace)</t>
  </si>
  <si>
    <t>Vybavení rekonstruovaných objektů Polského gymnázia (Polské gymnázium - Polskie Gimnazjum im. Juliusza Słowackiego, Český Těšín, příspěvková organizace)</t>
  </si>
  <si>
    <t>Energetické úspory v ZŠ Čkalovova</t>
  </si>
  <si>
    <t>Energetické úspory v ZUŠ L. Janáčka Havířov</t>
  </si>
  <si>
    <t>Energetické úspory ve VOŠ zdravotnická Ostrava</t>
  </si>
  <si>
    <t>Energetické úspory v ZUŠ Klimkovice</t>
  </si>
  <si>
    <t>Přístavba tělocvičny (Gymnázium, Třinec, příspěvková organizace)</t>
  </si>
  <si>
    <t>Stavební úpravy tělocvičny (Střední škola průmyslová, Krnov, příspěvková organiazce)</t>
  </si>
  <si>
    <t>Rekonstrukce střechy a zateplení fasády (Gymnázium Třinec, příspěvková organizace)</t>
  </si>
  <si>
    <t>Rekonstrukce střechy budov dílen (Střední průmyslová škola, Ostrava - Vítkovice, příspěvková organizace)</t>
  </si>
  <si>
    <t>Rekonstrukce vzletové a přistávací dráhy a navazujících provozních ploch Letiště Leoše Janáčka Ostrava</t>
  </si>
  <si>
    <t>Pavilon F - stavební úpravy 1.NP pro rehabilitaci (Slezská nemocnice v Opavě, příspěvková organizace)</t>
  </si>
  <si>
    <t xml:space="preserve">PŘEHLED AKCÍ FINANCOVANÝCH Z ÚVĚRU ČESKÉ SPOŘITELNY, a. s. </t>
  </si>
  <si>
    <t xml:space="preserve">Nákup budovy a pozemků ve Skotnici (Domov NaNovo, příspěvková organizace) </t>
  </si>
  <si>
    <t>Stavební úpravy budovy na ul. Rybářská 27 (Domov Bílá Opava, příspěvková organizace)</t>
  </si>
  <si>
    <t>Dům pro volnočasové aktivity seniorů se zahradním parterem (Domov Letokruhy, příspěvková organizace, Budišov nad Budišovkou)</t>
  </si>
  <si>
    <t>Rekonstrukce prostor dílen (Střední průmyslová škola, Ostrava-Vítkovice, příspěvková organizace)</t>
  </si>
  <si>
    <t>Pavilon H - stavební úpravy a přístavba (Slezská nemocnice v Opavě, příspěvková organizace)</t>
  </si>
  <si>
    <t>Rekonstrukce hemodialýzy v budově S (Nemocnice ve Frýdku-Místku, příspěvková organizace)</t>
  </si>
  <si>
    <t>Rekonstrukce podkroví (Odborný léčebný ústav Metylovice - Moravskoslezské sanatorium, příspěvková organizace)</t>
  </si>
  <si>
    <t>Domov sester - přístavba výtahu a stavební úpravy (Slezská nemocnice v Opavě, příspěvková organizace)</t>
  </si>
  <si>
    <t>Tabulka č. 8</t>
  </si>
  <si>
    <t>Výdaje financované z úvěru ČS</t>
  </si>
  <si>
    <t>číslo akce</t>
  </si>
  <si>
    <t>3425</t>
  </si>
  <si>
    <t>3445</t>
  </si>
  <si>
    <t>3450</t>
  </si>
  <si>
    <t>3448</t>
  </si>
  <si>
    <t>3449</t>
  </si>
  <si>
    <t>3468</t>
  </si>
  <si>
    <t>Snížení energetické náročnosti budov Slezské nemocnice v Opavě (Slezská nemocnice v Opavě, příspěvková organizace)</t>
  </si>
  <si>
    <t>7042</t>
  </si>
  <si>
    <t>Rekonstrukce mostů ev. č. 486-011, 012 Hukvaldy (Správa silnic Moravskoslezského kraje, příspěvková organizace, Ostrava)</t>
  </si>
  <si>
    <t>4190</t>
  </si>
  <si>
    <t>Rekonstrukce mostu ev. č. 478-008 Polanka nad Odrou (Správa silnic Moravskoslezského kraje, příspěvková organizace, Ostrava)</t>
  </si>
  <si>
    <t>4191</t>
  </si>
  <si>
    <t>Rekonstrukce mostu ev. č. 4804-2 Košatka (Správa silnic Moravskoslezského kraje, příspěvková organizace, Ostrava)</t>
  </si>
  <si>
    <t>4192</t>
  </si>
  <si>
    <t>Rekonstrukce silnice III/47811, II/478 Ostrava, ulice Mitrovická</t>
  </si>
  <si>
    <t>4079</t>
  </si>
  <si>
    <t>4081</t>
  </si>
  <si>
    <t>5954</t>
  </si>
  <si>
    <t>5955</t>
  </si>
  <si>
    <t>5748</t>
  </si>
  <si>
    <t>5848</t>
  </si>
  <si>
    <t>4051</t>
  </si>
  <si>
    <t>5851</t>
  </si>
  <si>
    <t>5957</t>
  </si>
  <si>
    <t>4139</t>
  </si>
  <si>
    <t>5758</t>
  </si>
  <si>
    <t>5737</t>
  </si>
  <si>
    <t>4013</t>
  </si>
  <si>
    <t>5905</t>
  </si>
  <si>
    <t>5754</t>
  </si>
  <si>
    <t>5866</t>
  </si>
  <si>
    <t>Rekonstrukce cvičné kuchyně v prostorách Tyršova 34, Opava (Základní škola, Opava, Havlíčkova 1, příspěvková organizace)</t>
  </si>
  <si>
    <t>4028</t>
  </si>
  <si>
    <t>4036</t>
  </si>
  <si>
    <t>5914</t>
  </si>
  <si>
    <t>Oprava izolačních vrstev střešního pláště (Střední škola prof. Zdeňka Matějčka, Ostrava-Poruba, příspěvková organizace)</t>
  </si>
  <si>
    <t>5947</t>
  </si>
  <si>
    <t>5879</t>
  </si>
  <si>
    <t>5884</t>
  </si>
  <si>
    <t>5867</t>
  </si>
  <si>
    <t>5750</t>
  </si>
  <si>
    <t>4105</t>
  </si>
  <si>
    <t>5730</t>
  </si>
  <si>
    <t>4002</t>
  </si>
  <si>
    <t>4012</t>
  </si>
  <si>
    <t>5456</t>
  </si>
  <si>
    <t>5971</t>
  </si>
  <si>
    <t>4027</t>
  </si>
  <si>
    <t>5681</t>
  </si>
  <si>
    <t>5834</t>
  </si>
  <si>
    <t>4004</t>
  </si>
  <si>
    <t>4007</t>
  </si>
  <si>
    <t>4301</t>
  </si>
  <si>
    <t>Výstavba operačních sálů a dospávacího pokoje (Nemocnice s poliklinikou Karviná-Ráj, příspěvková organizace)</t>
  </si>
  <si>
    <t>5988</t>
  </si>
  <si>
    <t>5594</t>
  </si>
  <si>
    <t>5984</t>
  </si>
  <si>
    <t>5921</t>
  </si>
  <si>
    <t>5765</t>
  </si>
  <si>
    <t>Nemocnice Havířov - ČOV (Nemocnice Havířov, příspěvková organizace)</t>
  </si>
  <si>
    <t>5761</t>
  </si>
  <si>
    <t>5690</t>
  </si>
  <si>
    <t>4496</t>
  </si>
  <si>
    <t xml:space="preserve"> </t>
  </si>
  <si>
    <t>Odbor</t>
  </si>
  <si>
    <t>EP</t>
  </si>
  <si>
    <t>ZDR</t>
  </si>
  <si>
    <t>DSH</t>
  </si>
  <si>
    <t>IM</t>
  </si>
  <si>
    <t>IM, ŠMS</t>
  </si>
  <si>
    <t>Úpravy venkovních ploch (Mateřská školka Klíček, Karviná-Hranice, Einsteinova 2849, příspěvková organizace)</t>
  </si>
  <si>
    <t>4096</t>
  </si>
  <si>
    <t>Rekonstrukce venkovního sportovního areálu“ organizace Střední průmyslová škola, Ostrava-Vítkovice, příspěvková organizace</t>
  </si>
  <si>
    <t>4252</t>
  </si>
  <si>
    <t>Celkem před revizí</t>
  </si>
  <si>
    <t>Celkem po revizi</t>
  </si>
  <si>
    <t>2022 po revizi</t>
  </si>
  <si>
    <t>2023 po revizi</t>
  </si>
  <si>
    <t>2024 po revizi</t>
  </si>
  <si>
    <t xml:space="preserve"> ŠMS</t>
  </si>
  <si>
    <t>5482</t>
  </si>
  <si>
    <t>4372</t>
  </si>
  <si>
    <t>4408</t>
  </si>
  <si>
    <t>4410</t>
  </si>
  <si>
    <t>Pavilon T - stavební úpravy a přístavba odd. onkologie - (Slezská nemocnice v Opavě, příspěvková organizace)</t>
  </si>
  <si>
    <t>Výstavba nadzemních koridorů  (Slezská nemocnice v Opavě, příspěvková organizace)</t>
  </si>
  <si>
    <t>Rekonstrukce dětského oddělení vč. DIP  (Nemocnice ve Frýdku Místku, příspěvková organizace)</t>
  </si>
  <si>
    <t>Šatny pro zaměstnance v 1.PP budovy PCHO  ((Nemocnice ve Frýdku Místku, příspěvková organizace)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</si>
</sst>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ahoma"/>
      <family val="2"/>
      <charset val="238"/>
    </font>
    <font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indexed="8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wrapText="1"/>
    </xf>
    <xf numFmtId="0" fontId="11" fillId="0" borderId="0"/>
    <xf numFmtId="0" fontId="20" fillId="0" borderId="0"/>
    <xf numFmtId="0" fontId="11" fillId="0" borderId="0"/>
  </cellStyleXfs>
  <cellXfs count="99">
    <xf numFmtId="0" fontId="0" fillId="0" borderId="0" xfId="0"/>
    <xf numFmtId="0" fontId="4" fillId="0" borderId="0" xfId="1" applyFont="1" applyAlignment="1">
      <alignment vertical="center"/>
    </xf>
    <xf numFmtId="3" fontId="7" fillId="2" borderId="11" xfId="1" applyNumberFormat="1" applyFont="1" applyFill="1" applyBorder="1" applyAlignment="1">
      <alignment horizontal="left" vertical="center" wrapText="1"/>
    </xf>
    <xf numFmtId="3" fontId="7" fillId="2" borderId="12" xfId="1" applyNumberFormat="1" applyFont="1" applyFill="1" applyBorder="1" applyAlignment="1">
      <alignment horizontal="right" vertical="center" wrapText="1"/>
    </xf>
    <xf numFmtId="3" fontId="7" fillId="2" borderId="13" xfId="1" applyNumberFormat="1" applyFont="1" applyFill="1" applyBorder="1" applyAlignment="1">
      <alignment horizontal="right" vertical="center" wrapText="1"/>
    </xf>
    <xf numFmtId="3" fontId="7" fillId="2" borderId="14" xfId="1" applyNumberFormat="1" applyFont="1" applyFill="1" applyBorder="1" applyAlignment="1">
      <alignment horizontal="left" vertical="center" wrapText="1"/>
    </xf>
    <xf numFmtId="3" fontId="7" fillId="2" borderId="15" xfId="1" applyNumberFormat="1" applyFont="1" applyFill="1" applyBorder="1" applyAlignment="1">
      <alignment horizontal="right" vertical="center" wrapText="1"/>
    </xf>
    <xf numFmtId="3" fontId="7" fillId="2" borderId="16" xfId="1" applyNumberFormat="1" applyFont="1" applyFill="1" applyBorder="1" applyAlignment="1">
      <alignment horizontal="right" vertical="center" wrapText="1"/>
    </xf>
    <xf numFmtId="3" fontId="7" fillId="0" borderId="9" xfId="1" applyNumberFormat="1" applyFont="1" applyBorder="1" applyAlignment="1">
      <alignment horizontal="left" vertical="center" wrapText="1"/>
    </xf>
    <xf numFmtId="3" fontId="17" fillId="0" borderId="12" xfId="1" applyNumberFormat="1" applyFont="1" applyBorder="1" applyAlignment="1">
      <alignment horizontal="right" vertical="center" wrapText="1"/>
    </xf>
    <xf numFmtId="3" fontId="17" fillId="0" borderId="11" xfId="1" applyNumberFormat="1" applyFont="1" applyBorder="1" applyAlignment="1">
      <alignment vertical="center" wrapText="1"/>
    </xf>
    <xf numFmtId="3" fontId="4" fillId="0" borderId="11" xfId="1" applyNumberFormat="1" applyFont="1" applyBorder="1" applyAlignment="1">
      <alignment vertical="center" wrapText="1"/>
    </xf>
    <xf numFmtId="3" fontId="4" fillId="0" borderId="12" xfId="1" applyNumberFormat="1" applyFont="1" applyBorder="1" applyAlignment="1">
      <alignment horizontal="right" vertical="center" wrapText="1"/>
    </xf>
    <xf numFmtId="3" fontId="7" fillId="0" borderId="0" xfId="1" applyNumberFormat="1" applyFont="1" applyAlignment="1">
      <alignment horizontal="center" vertical="center" wrapText="1"/>
    </xf>
    <xf numFmtId="3" fontId="7" fillId="0" borderId="22" xfId="1" applyNumberFormat="1" applyFont="1" applyBorder="1" applyAlignment="1">
      <alignment horizontal="center" vertical="center" wrapText="1"/>
    </xf>
    <xf numFmtId="3" fontId="7" fillId="3" borderId="17" xfId="1" applyNumberFormat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5" fillId="0" borderId="0" xfId="3" applyFont="1"/>
    <xf numFmtId="3" fontId="5" fillId="0" borderId="0" xfId="3" applyNumberFormat="1" applyFont="1" applyAlignment="1">
      <alignment horizontal="center"/>
    </xf>
    <xf numFmtId="4" fontId="5" fillId="0" borderId="0" xfId="3" applyNumberFormat="1" applyFont="1" applyAlignment="1">
      <alignment horizontal="center"/>
    </xf>
    <xf numFmtId="3" fontId="5" fillId="0" borderId="0" xfId="3" applyNumberFormat="1" applyFont="1"/>
    <xf numFmtId="3" fontId="6" fillId="0" borderId="0" xfId="3" applyNumberFormat="1" applyFont="1" applyAlignment="1">
      <alignment horizontal="right"/>
    </xf>
    <xf numFmtId="0" fontId="7" fillId="0" borderId="29" xfId="1" applyFont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3" fontId="4" fillId="0" borderId="11" xfId="3" applyNumberFormat="1" applyFont="1" applyBorder="1" applyAlignment="1">
      <alignment vertical="center" wrapText="1"/>
    </xf>
    <xf numFmtId="3" fontId="4" fillId="0" borderId="12" xfId="3" applyNumberFormat="1" applyFont="1" applyBorder="1" applyAlignment="1">
      <alignment vertical="center"/>
    </xf>
    <xf numFmtId="3" fontId="4" fillId="2" borderId="13" xfId="3" applyNumberFormat="1" applyFont="1" applyFill="1" applyBorder="1" applyAlignment="1">
      <alignment vertical="center"/>
    </xf>
    <xf numFmtId="0" fontId="15" fillId="0" borderId="0" xfId="3" applyFont="1" applyAlignment="1">
      <alignment vertical="center"/>
    </xf>
    <xf numFmtId="3" fontId="16" fillId="0" borderId="12" xfId="3" applyNumberFormat="1" applyFont="1" applyBorder="1" applyAlignment="1">
      <alignment horizontal="right" vertical="center" wrapText="1"/>
    </xf>
    <xf numFmtId="49" fontId="5" fillId="0" borderId="0" xfId="3" applyNumberFormat="1" applyFont="1"/>
    <xf numFmtId="49" fontId="7" fillId="0" borderId="23" xfId="1" applyNumberFormat="1" applyFont="1" applyBorder="1" applyAlignment="1">
      <alignment horizontal="center" vertical="center" wrapText="1"/>
    </xf>
    <xf numFmtId="49" fontId="10" fillId="0" borderId="31" xfId="3" applyNumberFormat="1" applyFont="1" applyBorder="1" applyAlignment="1">
      <alignment horizontal="center" vertical="center" wrapText="1"/>
    </xf>
    <xf numFmtId="49" fontId="4" fillId="0" borderId="32" xfId="3" applyNumberFormat="1" applyFont="1" applyBorder="1" applyAlignment="1">
      <alignment vertical="center" wrapText="1"/>
    </xf>
    <xf numFmtId="49" fontId="7" fillId="2" borderId="32" xfId="1" applyNumberFormat="1" applyFont="1" applyFill="1" applyBorder="1" applyAlignment="1">
      <alignment horizontal="left" vertical="center" wrapText="1"/>
    </xf>
    <xf numFmtId="49" fontId="7" fillId="2" borderId="33" xfId="1" applyNumberFormat="1" applyFont="1" applyFill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 wrapText="1"/>
    </xf>
    <xf numFmtId="49" fontId="17" fillId="0" borderId="32" xfId="1" applyNumberFormat="1" applyFont="1" applyBorder="1" applyAlignment="1">
      <alignment vertical="center" wrapText="1"/>
    </xf>
    <xf numFmtId="49" fontId="4" fillId="0" borderId="32" xfId="1" applyNumberFormat="1" applyFont="1" applyBorder="1" applyAlignment="1">
      <alignment vertical="center" wrapText="1"/>
    </xf>
    <xf numFmtId="49" fontId="5" fillId="0" borderId="0" xfId="3" applyNumberFormat="1" applyFont="1" applyAlignment="1">
      <alignment horizontal="center"/>
    </xf>
    <xf numFmtId="49" fontId="4" fillId="0" borderId="32" xfId="3" applyNumberFormat="1" applyFont="1" applyBorder="1" applyAlignment="1">
      <alignment horizontal="center" vertical="center" wrapText="1"/>
    </xf>
    <xf numFmtId="49" fontId="7" fillId="2" borderId="32" xfId="1" applyNumberFormat="1" applyFont="1" applyFill="1" applyBorder="1" applyAlignment="1">
      <alignment horizontal="center" vertical="center" wrapText="1"/>
    </xf>
    <xf numFmtId="49" fontId="7" fillId="2" borderId="33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4" fillId="0" borderId="32" xfId="1" applyNumberFormat="1" applyFont="1" applyBorder="1" applyAlignment="1">
      <alignment horizontal="center" vertical="center" wrapText="1"/>
    </xf>
    <xf numFmtId="3" fontId="5" fillId="0" borderId="0" xfId="3" applyNumberFormat="1" applyFont="1" applyAlignment="1">
      <alignment vertical="center"/>
    </xf>
    <xf numFmtId="3" fontId="17" fillId="3" borderId="12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3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3" fontId="21" fillId="0" borderId="0" xfId="3" applyNumberFormat="1" applyFont="1"/>
    <xf numFmtId="3" fontId="17" fillId="4" borderId="12" xfId="1" applyNumberFormat="1" applyFont="1" applyFill="1" applyBorder="1" applyAlignment="1">
      <alignment horizontal="right" vertical="center" wrapText="1"/>
    </xf>
    <xf numFmtId="3" fontId="15" fillId="0" borderId="0" xfId="3" applyNumberFormat="1" applyFont="1" applyAlignment="1">
      <alignment vertical="center"/>
    </xf>
    <xf numFmtId="3" fontId="6" fillId="0" borderId="23" xfId="3" applyNumberFormat="1" applyFont="1" applyBorder="1" applyAlignment="1">
      <alignment horizontal="center" vertical="center" wrapText="1"/>
    </xf>
    <xf numFmtId="3" fontId="4" fillId="0" borderId="34" xfId="3" applyNumberFormat="1" applyFont="1" applyBorder="1" applyAlignment="1">
      <alignment vertical="center"/>
    </xf>
    <xf numFmtId="3" fontId="17" fillId="0" borderId="34" xfId="1" applyNumberFormat="1" applyFont="1" applyBorder="1" applyAlignment="1">
      <alignment horizontal="right" vertical="center" wrapText="1"/>
    </xf>
    <xf numFmtId="0" fontId="7" fillId="5" borderId="29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3" fontId="4" fillId="5" borderId="12" xfId="3" applyNumberFormat="1" applyFont="1" applyFill="1" applyBorder="1" applyAlignment="1">
      <alignment vertical="center"/>
    </xf>
    <xf numFmtId="3" fontId="17" fillId="5" borderId="12" xfId="1" applyNumberFormat="1" applyFont="1" applyFill="1" applyBorder="1" applyAlignment="1">
      <alignment horizontal="right" vertical="center" wrapText="1"/>
    </xf>
    <xf numFmtId="3" fontId="13" fillId="0" borderId="0" xfId="3" applyNumberFormat="1" applyFont="1" applyAlignment="1">
      <alignment vertical="center"/>
    </xf>
    <xf numFmtId="3" fontId="4" fillId="4" borderId="12" xfId="3" applyNumberFormat="1" applyFont="1" applyFill="1" applyBorder="1" applyAlignment="1">
      <alignment vertical="center"/>
    </xf>
    <xf numFmtId="3" fontId="16" fillId="4" borderId="12" xfId="3" applyNumberFormat="1" applyFont="1" applyFill="1" applyBorder="1" applyAlignment="1">
      <alignment horizontal="right" vertical="center" wrapText="1"/>
    </xf>
    <xf numFmtId="3" fontId="16" fillId="3" borderId="12" xfId="3" applyNumberFormat="1" applyFont="1" applyFill="1" applyBorder="1" applyAlignment="1">
      <alignment horizontal="right" vertical="center" wrapText="1"/>
    </xf>
    <xf numFmtId="3" fontId="4" fillId="3" borderId="12" xfId="1" applyNumberFormat="1" applyFont="1" applyFill="1" applyBorder="1" applyAlignment="1">
      <alignment horizontal="right" vertical="center" wrapText="1"/>
    </xf>
    <xf numFmtId="3" fontId="4" fillId="4" borderId="12" xfId="1" applyNumberFormat="1" applyFont="1" applyFill="1" applyBorder="1" applyAlignment="1">
      <alignment horizontal="right" vertical="center" wrapText="1"/>
    </xf>
    <xf numFmtId="49" fontId="4" fillId="3" borderId="32" xfId="1" applyNumberFormat="1" applyFont="1" applyFill="1" applyBorder="1" applyAlignment="1">
      <alignment vertical="center" wrapText="1"/>
    </xf>
    <xf numFmtId="3" fontId="8" fillId="2" borderId="16" xfId="1" applyNumberFormat="1" applyFont="1" applyFill="1" applyBorder="1" applyAlignment="1">
      <alignment horizontal="right" vertical="center" wrapText="1"/>
    </xf>
    <xf numFmtId="0" fontId="15" fillId="3" borderId="0" xfId="3" applyFont="1" applyFill="1" applyAlignment="1">
      <alignment vertical="center"/>
    </xf>
    <xf numFmtId="3" fontId="6" fillId="0" borderId="18" xfId="3" applyNumberFormat="1" applyFont="1" applyBorder="1" applyAlignment="1">
      <alignment horizontal="left" vertical="center" wrapText="1"/>
    </xf>
    <xf numFmtId="3" fontId="6" fillId="0" borderId="19" xfId="3" applyNumberFormat="1" applyFont="1" applyBorder="1" applyAlignment="1">
      <alignment horizontal="left" vertical="center" wrapText="1"/>
    </xf>
    <xf numFmtId="3" fontId="6" fillId="0" borderId="20" xfId="3" applyNumberFormat="1" applyFont="1" applyBorder="1" applyAlignment="1">
      <alignment horizontal="left" vertical="center" wrapText="1"/>
    </xf>
    <xf numFmtId="3" fontId="6" fillId="0" borderId="25" xfId="3" applyNumberFormat="1" applyFont="1" applyBorder="1" applyAlignment="1">
      <alignment horizontal="left" vertical="center" wrapText="1"/>
    </xf>
    <xf numFmtId="3" fontId="6" fillId="0" borderId="24" xfId="3" applyNumberFormat="1" applyFont="1" applyBorder="1" applyAlignment="1">
      <alignment horizontal="left" vertical="center" wrapText="1"/>
    </xf>
    <xf numFmtId="3" fontId="14" fillId="0" borderId="24" xfId="3" applyNumberFormat="1" applyFont="1" applyBorder="1" applyAlignment="1">
      <alignment horizontal="left" vertical="center" wrapText="1"/>
    </xf>
    <xf numFmtId="3" fontId="14" fillId="0" borderId="26" xfId="3" applyNumberFormat="1" applyFont="1" applyBorder="1" applyAlignment="1">
      <alignment horizontal="left" vertical="center" wrapText="1"/>
    </xf>
    <xf numFmtId="3" fontId="7" fillId="2" borderId="28" xfId="1" applyNumberFormat="1" applyFont="1" applyFill="1" applyBorder="1" applyAlignment="1">
      <alignment horizontal="center" vertical="center" wrapText="1"/>
    </xf>
    <xf numFmtId="3" fontId="7" fillId="2" borderId="30" xfId="1" applyNumberFormat="1" applyFont="1" applyFill="1" applyBorder="1" applyAlignment="1">
      <alignment horizontal="center" vertical="center" wrapText="1"/>
    </xf>
    <xf numFmtId="3" fontId="6" fillId="0" borderId="9" xfId="3" applyNumberFormat="1" applyFont="1" applyBorder="1" applyAlignment="1">
      <alignment horizontal="left" vertical="center" wrapText="1"/>
    </xf>
    <xf numFmtId="3" fontId="6" fillId="0" borderId="0" xfId="3" applyNumberFormat="1" applyFont="1" applyAlignment="1">
      <alignment horizontal="left" vertical="center" wrapText="1"/>
    </xf>
    <xf numFmtId="3" fontId="14" fillId="0" borderId="0" xfId="3" applyNumberFormat="1" applyFont="1" applyAlignment="1">
      <alignment horizontal="left" vertical="center" wrapText="1"/>
    </xf>
    <xf numFmtId="3" fontId="14" fillId="0" borderId="10" xfId="3" applyNumberFormat="1" applyFont="1" applyBorder="1" applyAlignment="1">
      <alignment horizontal="left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3" fontId="8" fillId="2" borderId="27" xfId="1" applyNumberFormat="1" applyFont="1" applyFill="1" applyBorder="1" applyAlignment="1">
      <alignment horizontal="center" vertical="center" wrapText="1"/>
    </xf>
    <xf numFmtId="3" fontId="12" fillId="2" borderId="2" xfId="4" applyNumberFormat="1" applyFont="1" applyFill="1" applyBorder="1" applyAlignment="1">
      <alignment horizontal="center" vertical="center" wrapText="1"/>
    </xf>
    <xf numFmtId="3" fontId="12" fillId="2" borderId="21" xfId="4" applyNumberFormat="1" applyFont="1" applyFill="1" applyBorder="1" applyAlignment="1">
      <alignment horizontal="center" vertical="center" wrapText="1"/>
    </xf>
    <xf numFmtId="3" fontId="9" fillId="2" borderId="21" xfId="3" applyNumberFormat="1" applyFont="1" applyFill="1" applyBorder="1" applyAlignment="1">
      <alignment vertical="center" wrapText="1"/>
    </xf>
    <xf numFmtId="3" fontId="9" fillId="2" borderId="8" xfId="3" applyNumberFormat="1" applyFont="1" applyFill="1" applyBorder="1" applyAlignment="1">
      <alignment vertical="center" wrapText="1"/>
    </xf>
    <xf numFmtId="3" fontId="9" fillId="2" borderId="2" xfId="3" applyNumberFormat="1" applyFont="1" applyFill="1" applyBorder="1" applyAlignment="1">
      <alignment vertical="center"/>
    </xf>
    <xf numFmtId="3" fontId="9" fillId="2" borderId="21" xfId="3" applyNumberFormat="1" applyFont="1" applyFill="1" applyBorder="1" applyAlignment="1">
      <alignment vertical="center"/>
    </xf>
    <xf numFmtId="3" fontId="9" fillId="2" borderId="8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horizontal="center" vertical="center" wrapText="1"/>
    </xf>
    <xf numFmtId="3" fontId="2" fillId="0" borderId="0" xfId="3" applyNumberFormat="1" applyFont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10" fillId="0" borderId="4" xfId="3" applyNumberFormat="1" applyFont="1" applyBorder="1" applyAlignment="1">
      <alignment horizontal="center" vertical="center" wrapText="1"/>
    </xf>
    <xf numFmtId="3" fontId="6" fillId="0" borderId="21" xfId="3" applyNumberFormat="1" applyFont="1" applyBorder="1" applyAlignment="1">
      <alignment horizontal="center" vertical="center" wrapText="1"/>
    </xf>
    <xf numFmtId="3" fontId="6" fillId="0" borderId="3" xfId="3" applyNumberFormat="1" applyFont="1" applyBorder="1" applyAlignment="1">
      <alignment horizontal="center" vertical="center" wrapText="1"/>
    </xf>
    <xf numFmtId="3" fontId="6" fillId="0" borderId="27" xfId="3" applyNumberFormat="1" applyFont="1" applyBorder="1" applyAlignment="1">
      <alignment horizontal="center" vertical="center" wrapText="1"/>
    </xf>
  </cellXfs>
  <cellStyles count="5">
    <cellStyle name="Normální" xfId="0" builtinId="0"/>
    <cellStyle name="Normální 11" xfId="3" xr:uid="{D9EAD43A-DDB1-481F-B70F-6498166047AA}"/>
    <cellStyle name="Normální 2 2" xfId="1" xr:uid="{2FD7E0ED-A6F3-4323-BD8D-0DE1FB05DE6C}"/>
    <cellStyle name="Normální 3 2" xfId="2" xr:uid="{1546D617-F3ED-4C02-B632-C84EE5B4B4B2}"/>
    <cellStyle name="Normální 3 2 2" xfId="4" xr:uid="{CD781F6E-A9C3-40C0-97AA-FF3CC59E685D}"/>
  </cellStyles>
  <dxfs count="248"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DBA8-87E4-42FB-A318-A293376E5627}">
  <sheetPr>
    <pageSetUpPr fitToPage="1"/>
  </sheetPr>
  <dimension ref="A1:P97"/>
  <sheetViews>
    <sheetView tabSelected="1" zoomScaleNormal="100" workbookViewId="0">
      <pane ySplit="5" topLeftCell="A78" activePane="bottomLeft" state="frozen"/>
      <selection pane="bottomLeft" activeCell="A98" sqref="A98"/>
    </sheetView>
  </sheetViews>
  <sheetFormatPr defaultColWidth="9.140625" defaultRowHeight="12.75" x14ac:dyDescent="0.2"/>
  <cols>
    <col min="1" max="1" width="50.7109375" style="18" customWidth="1"/>
    <col min="2" max="2" width="7.7109375" style="31" customWidth="1"/>
    <col min="3" max="3" width="7.7109375" style="40" customWidth="1"/>
    <col min="4" max="11" width="12.7109375" style="19" customWidth="1"/>
    <col min="12" max="12" width="13" style="19" customWidth="1"/>
    <col min="13" max="13" width="48" style="18" customWidth="1"/>
    <col min="14" max="16384" width="9.140625" style="18"/>
  </cols>
  <sheetData>
    <row r="1" spans="1:14" ht="15" customHeight="1" x14ac:dyDescent="0.2">
      <c r="A1" s="18" t="s">
        <v>68</v>
      </c>
      <c r="N1" s="18" t="s">
        <v>134</v>
      </c>
    </row>
    <row r="2" spans="1:14" s="1" customFormat="1" ht="23.25" customHeight="1" x14ac:dyDescent="0.25">
      <c r="A2" s="92" t="s">
        <v>59</v>
      </c>
      <c r="B2" s="92"/>
      <c r="C2" s="92"/>
      <c r="D2" s="93"/>
      <c r="E2" s="93"/>
      <c r="F2" s="93"/>
      <c r="G2" s="93"/>
      <c r="H2" s="93"/>
      <c r="I2" s="93"/>
      <c r="J2" s="93"/>
      <c r="K2" s="93"/>
      <c r="L2" s="93"/>
    </row>
    <row r="3" spans="1:14" ht="13.5" thickBot="1" x14ac:dyDescent="0.25">
      <c r="A3" s="21"/>
      <c r="D3" s="21"/>
      <c r="E3" s="21"/>
      <c r="F3" s="21"/>
      <c r="G3" s="21"/>
      <c r="H3" s="21"/>
      <c r="I3" s="21"/>
      <c r="J3" s="21"/>
      <c r="K3" s="21"/>
      <c r="L3" s="22" t="s">
        <v>0</v>
      </c>
      <c r="N3" s="20"/>
    </row>
    <row r="4" spans="1:14" ht="24.6" customHeight="1" x14ac:dyDescent="0.2">
      <c r="A4" s="94" t="s">
        <v>1</v>
      </c>
      <c r="B4" s="32"/>
      <c r="C4" s="32"/>
      <c r="D4" s="96" t="s">
        <v>69</v>
      </c>
      <c r="E4" s="97"/>
      <c r="F4" s="97"/>
      <c r="G4" s="97"/>
      <c r="H4" s="97"/>
      <c r="I4" s="98"/>
      <c r="J4" s="54"/>
      <c r="K4" s="77" t="s">
        <v>145</v>
      </c>
      <c r="L4" s="77" t="s">
        <v>146</v>
      </c>
    </row>
    <row r="5" spans="1:14" ht="24.6" customHeight="1" thickBot="1" x14ac:dyDescent="0.25">
      <c r="A5" s="95"/>
      <c r="B5" s="33" t="s">
        <v>70</v>
      </c>
      <c r="C5" s="33" t="s">
        <v>135</v>
      </c>
      <c r="D5" s="16">
        <v>2021</v>
      </c>
      <c r="E5" s="57">
        <v>2022</v>
      </c>
      <c r="F5" s="23" t="s">
        <v>147</v>
      </c>
      <c r="G5" s="58">
        <v>2023</v>
      </c>
      <c r="H5" s="17" t="s">
        <v>148</v>
      </c>
      <c r="I5" s="58">
        <v>2024</v>
      </c>
      <c r="J5" s="16" t="s">
        <v>149</v>
      </c>
      <c r="K5" s="78"/>
      <c r="L5" s="78"/>
    </row>
    <row r="6" spans="1:14" s="24" customFormat="1" ht="21" customHeight="1" x14ac:dyDescent="0.25">
      <c r="A6" s="83" t="s">
        <v>43</v>
      </c>
      <c r="B6" s="84"/>
      <c r="C6" s="84"/>
      <c r="D6" s="85"/>
      <c r="E6" s="85"/>
      <c r="F6" s="85"/>
      <c r="G6" s="85"/>
      <c r="H6" s="86"/>
      <c r="I6" s="87"/>
      <c r="J6" s="87"/>
      <c r="K6" s="87"/>
      <c r="L6" s="88"/>
    </row>
    <row r="7" spans="1:14" s="25" customFormat="1" ht="18" customHeight="1" x14ac:dyDescent="0.25">
      <c r="A7" s="73" t="s">
        <v>2</v>
      </c>
      <c r="B7" s="74"/>
      <c r="C7" s="74"/>
      <c r="D7" s="75"/>
      <c r="E7" s="75"/>
      <c r="F7" s="75"/>
      <c r="G7" s="75"/>
      <c r="H7" s="75"/>
      <c r="I7" s="75"/>
      <c r="J7" s="75"/>
      <c r="K7" s="75"/>
      <c r="L7" s="76"/>
    </row>
    <row r="8" spans="1:14" s="29" customFormat="1" ht="15" customHeight="1" x14ac:dyDescent="0.25">
      <c r="A8" s="26" t="s">
        <v>3</v>
      </c>
      <c r="B8" s="34">
        <v>3402</v>
      </c>
      <c r="C8" s="41" t="s">
        <v>136</v>
      </c>
      <c r="D8" s="27">
        <v>5576.1411900000003</v>
      </c>
      <c r="E8" s="59">
        <v>91590.16</v>
      </c>
      <c r="F8" s="27">
        <v>91590.16</v>
      </c>
      <c r="G8" s="59">
        <v>60950</v>
      </c>
      <c r="H8" s="27">
        <v>60950</v>
      </c>
      <c r="I8" s="59">
        <v>0</v>
      </c>
      <c r="J8" s="27">
        <v>0</v>
      </c>
      <c r="K8" s="28">
        <f>D8+E8+G8+I8</f>
        <v>158116.30119</v>
      </c>
      <c r="L8" s="28">
        <f>D8+F8+H8+J8</f>
        <v>158116.30119</v>
      </c>
    </row>
    <row r="9" spans="1:14" s="29" customFormat="1" ht="24" customHeight="1" x14ac:dyDescent="0.25">
      <c r="A9" s="26" t="s">
        <v>4</v>
      </c>
      <c r="B9" s="34" t="s">
        <v>71</v>
      </c>
      <c r="C9" s="41" t="s">
        <v>136</v>
      </c>
      <c r="D9" s="27">
        <v>3541.7672600000001</v>
      </c>
      <c r="E9" s="59">
        <v>26967.23</v>
      </c>
      <c r="F9" s="27">
        <v>26967.23</v>
      </c>
      <c r="G9" s="59">
        <v>19995</v>
      </c>
      <c r="H9" s="27">
        <v>19995</v>
      </c>
      <c r="I9" s="59">
        <v>0</v>
      </c>
      <c r="J9" s="27">
        <v>0</v>
      </c>
      <c r="K9" s="28">
        <f>D9+E9+G9+I9</f>
        <v>50503.997260000004</v>
      </c>
      <c r="L9" s="28">
        <f t="shared" ref="L9" si="0">D9+F9+H9+J9</f>
        <v>50503.997260000004</v>
      </c>
    </row>
    <row r="10" spans="1:14" s="24" customFormat="1" ht="15" customHeight="1" x14ac:dyDescent="0.25">
      <c r="A10" s="2" t="s">
        <v>5</v>
      </c>
      <c r="B10" s="35"/>
      <c r="C10" s="42"/>
      <c r="D10" s="3">
        <f t="shared" ref="D10:J10" si="1">SUM(D8:D9)</f>
        <v>9117.9084500000008</v>
      </c>
      <c r="E10" s="3">
        <f t="shared" si="1"/>
        <v>118557.39</v>
      </c>
      <c r="F10" s="3">
        <f t="shared" si="1"/>
        <v>118557.39</v>
      </c>
      <c r="G10" s="3">
        <f t="shared" si="1"/>
        <v>80945</v>
      </c>
      <c r="H10" s="3">
        <f t="shared" si="1"/>
        <v>80945</v>
      </c>
      <c r="I10" s="3">
        <f t="shared" si="1"/>
        <v>0</v>
      </c>
      <c r="J10" s="3">
        <f t="shared" si="1"/>
        <v>0</v>
      </c>
      <c r="K10" s="4">
        <f>SUM(K8:K9)</f>
        <v>208620.29845</v>
      </c>
      <c r="L10" s="4">
        <f>SUM(L8:L9)</f>
        <v>208620.29845</v>
      </c>
    </row>
    <row r="11" spans="1:14" s="25" customFormat="1" ht="18" customHeight="1" x14ac:dyDescent="0.25">
      <c r="A11" s="79" t="s">
        <v>21</v>
      </c>
      <c r="B11" s="80"/>
      <c r="C11" s="80"/>
      <c r="D11" s="81"/>
      <c r="E11" s="81"/>
      <c r="F11" s="81"/>
      <c r="G11" s="81"/>
      <c r="H11" s="81"/>
      <c r="I11" s="81"/>
      <c r="J11" s="81"/>
      <c r="K11" s="81"/>
      <c r="L11" s="82"/>
    </row>
    <row r="12" spans="1:14" s="29" customFormat="1" ht="15" customHeight="1" x14ac:dyDescent="0.25">
      <c r="A12" s="26" t="s">
        <v>49</v>
      </c>
      <c r="B12" s="34" t="s">
        <v>72</v>
      </c>
      <c r="C12" s="41" t="s">
        <v>136</v>
      </c>
      <c r="D12" s="27">
        <v>0</v>
      </c>
      <c r="E12" s="59">
        <v>26810</v>
      </c>
      <c r="F12" s="27">
        <v>26810</v>
      </c>
      <c r="G12" s="59">
        <v>0</v>
      </c>
      <c r="H12" s="27">
        <v>0</v>
      </c>
      <c r="I12" s="59">
        <v>0</v>
      </c>
      <c r="J12" s="55">
        <v>0</v>
      </c>
      <c r="K12" s="28">
        <f>D12+E12+G12+I12</f>
        <v>26810</v>
      </c>
      <c r="L12" s="28">
        <f>D12+F12+H12+J12</f>
        <v>26810</v>
      </c>
    </row>
    <row r="13" spans="1:14" s="29" customFormat="1" ht="15" customHeight="1" x14ac:dyDescent="0.25">
      <c r="A13" s="26" t="s">
        <v>52</v>
      </c>
      <c r="B13" s="34" t="s">
        <v>73</v>
      </c>
      <c r="C13" s="41" t="s">
        <v>136</v>
      </c>
      <c r="D13" s="27">
        <v>0</v>
      </c>
      <c r="E13" s="59">
        <v>10963</v>
      </c>
      <c r="F13" s="27">
        <v>10963</v>
      </c>
      <c r="G13" s="59">
        <v>0</v>
      </c>
      <c r="H13" s="27">
        <v>0</v>
      </c>
      <c r="I13" s="59">
        <v>0</v>
      </c>
      <c r="J13" s="55">
        <v>0</v>
      </c>
      <c r="K13" s="28">
        <f>D13+E13+G13+I13</f>
        <v>10963</v>
      </c>
      <c r="L13" s="28">
        <f t="shared" ref="L13:L15" si="2">D13+F13+H13+J13</f>
        <v>10963</v>
      </c>
    </row>
    <row r="14" spans="1:14" s="29" customFormat="1" ht="15" customHeight="1" x14ac:dyDescent="0.25">
      <c r="A14" s="26" t="s">
        <v>50</v>
      </c>
      <c r="B14" s="34" t="s">
        <v>74</v>
      </c>
      <c r="C14" s="41" t="s">
        <v>136</v>
      </c>
      <c r="D14" s="27">
        <v>0</v>
      </c>
      <c r="E14" s="59">
        <v>21262</v>
      </c>
      <c r="F14" s="27">
        <v>21262</v>
      </c>
      <c r="G14" s="59">
        <v>0</v>
      </c>
      <c r="H14" s="27">
        <v>0</v>
      </c>
      <c r="I14" s="59">
        <v>0</v>
      </c>
      <c r="J14" s="55">
        <v>0</v>
      </c>
      <c r="K14" s="28">
        <f>D14+E14+G14+I14</f>
        <v>21262</v>
      </c>
      <c r="L14" s="28">
        <f t="shared" si="2"/>
        <v>21262</v>
      </c>
    </row>
    <row r="15" spans="1:14" s="29" customFormat="1" ht="15" customHeight="1" x14ac:dyDescent="0.25">
      <c r="A15" s="26" t="s">
        <v>51</v>
      </c>
      <c r="B15" s="34" t="s">
        <v>75</v>
      </c>
      <c r="C15" s="41" t="s">
        <v>136</v>
      </c>
      <c r="D15" s="27">
        <v>0</v>
      </c>
      <c r="E15" s="59">
        <v>50842</v>
      </c>
      <c r="F15" s="27">
        <v>50842</v>
      </c>
      <c r="G15" s="59">
        <v>0</v>
      </c>
      <c r="H15" s="27">
        <v>0</v>
      </c>
      <c r="I15" s="59">
        <v>0</v>
      </c>
      <c r="J15" s="55">
        <v>0</v>
      </c>
      <c r="K15" s="28">
        <f>D15+E15+G15+I15</f>
        <v>50842</v>
      </c>
      <c r="L15" s="28">
        <f t="shared" si="2"/>
        <v>50842</v>
      </c>
    </row>
    <row r="16" spans="1:14" s="24" customFormat="1" ht="15" customHeight="1" x14ac:dyDescent="0.25">
      <c r="A16" s="2" t="s">
        <v>34</v>
      </c>
      <c r="B16" s="35"/>
      <c r="C16" s="42"/>
      <c r="D16" s="3">
        <f>SUM(D12:D15)</f>
        <v>0</v>
      </c>
      <c r="E16" s="3">
        <f>SUM(E12:E15)</f>
        <v>109877</v>
      </c>
      <c r="F16" s="3">
        <f t="shared" ref="F16:J16" si="3">SUM(F12:F15)</f>
        <v>109877</v>
      </c>
      <c r="G16" s="3">
        <f t="shared" si="3"/>
        <v>0</v>
      </c>
      <c r="H16" s="3">
        <f t="shared" si="3"/>
        <v>0</v>
      </c>
      <c r="I16" s="3">
        <f t="shared" si="3"/>
        <v>0</v>
      </c>
      <c r="J16" s="3">
        <f t="shared" si="3"/>
        <v>0</v>
      </c>
      <c r="K16" s="3">
        <f>SUM(K12:K15)</f>
        <v>109877</v>
      </c>
      <c r="L16" s="3">
        <f>SUM(L12:L15)</f>
        <v>109877</v>
      </c>
    </row>
    <row r="17" spans="1:14" s="25" customFormat="1" ht="18" customHeight="1" x14ac:dyDescent="0.25">
      <c r="A17" s="73" t="s">
        <v>6</v>
      </c>
      <c r="B17" s="74"/>
      <c r="C17" s="74"/>
      <c r="D17" s="75"/>
      <c r="E17" s="75"/>
      <c r="F17" s="75"/>
      <c r="G17" s="75"/>
      <c r="H17" s="75"/>
      <c r="I17" s="75"/>
      <c r="J17" s="75"/>
      <c r="K17" s="75"/>
      <c r="L17" s="76"/>
    </row>
    <row r="18" spans="1:14" s="29" customFormat="1" ht="15" customHeight="1" x14ac:dyDescent="0.25">
      <c r="A18" s="26" t="s">
        <v>7</v>
      </c>
      <c r="B18" s="34" t="s">
        <v>76</v>
      </c>
      <c r="C18" s="41" t="s">
        <v>136</v>
      </c>
      <c r="D18" s="27">
        <v>0</v>
      </c>
      <c r="E18" s="59">
        <v>8443</v>
      </c>
      <c r="F18" s="27">
        <v>8443</v>
      </c>
      <c r="G18" s="62">
        <v>27770</v>
      </c>
      <c r="H18" s="27">
        <v>27770</v>
      </c>
      <c r="I18" s="59">
        <v>0</v>
      </c>
      <c r="J18" s="55">
        <v>0</v>
      </c>
      <c r="K18" s="28">
        <f>D18+E18+G18+I18</f>
        <v>36213</v>
      </c>
      <c r="L18" s="28">
        <f>D18+F18+H18+J18</f>
        <v>36213</v>
      </c>
    </row>
    <row r="19" spans="1:14" s="24" customFormat="1" ht="23.45" customHeight="1" thickBot="1" x14ac:dyDescent="0.3">
      <c r="A19" s="2" t="s">
        <v>8</v>
      </c>
      <c r="B19" s="35"/>
      <c r="C19" s="42"/>
      <c r="D19" s="3">
        <f t="shared" ref="D19:J19" si="4">SUM(D18:D18)</f>
        <v>0</v>
      </c>
      <c r="E19" s="3">
        <f t="shared" si="4"/>
        <v>8443</v>
      </c>
      <c r="F19" s="3">
        <f t="shared" si="4"/>
        <v>8443</v>
      </c>
      <c r="G19" s="3">
        <f t="shared" si="4"/>
        <v>27770</v>
      </c>
      <c r="H19" s="3">
        <f t="shared" si="4"/>
        <v>27770</v>
      </c>
      <c r="I19" s="3">
        <f t="shared" si="4"/>
        <v>0</v>
      </c>
      <c r="J19" s="3">
        <f t="shared" si="4"/>
        <v>0</v>
      </c>
      <c r="K19" s="4">
        <f>SUM(K18:K18)</f>
        <v>36213</v>
      </c>
      <c r="L19" s="4">
        <f>SUM(L18:L18)</f>
        <v>36213</v>
      </c>
    </row>
    <row r="20" spans="1:14" s="24" customFormat="1" ht="25.5" customHeight="1" thickBot="1" x14ac:dyDescent="0.3">
      <c r="A20" s="5" t="s">
        <v>44</v>
      </c>
      <c r="B20" s="36"/>
      <c r="C20" s="43"/>
      <c r="D20" s="6">
        <f t="shared" ref="D20:L20" si="5">D10+D16+D19</f>
        <v>9117.9084500000008</v>
      </c>
      <c r="E20" s="6">
        <f t="shared" si="5"/>
        <v>236877.39</v>
      </c>
      <c r="F20" s="6">
        <f t="shared" si="5"/>
        <v>236877.39</v>
      </c>
      <c r="G20" s="6">
        <f t="shared" si="5"/>
        <v>108715</v>
      </c>
      <c r="H20" s="6">
        <f t="shared" si="5"/>
        <v>108715</v>
      </c>
      <c r="I20" s="6">
        <f t="shared" si="5"/>
        <v>0</v>
      </c>
      <c r="J20" s="6">
        <f t="shared" si="5"/>
        <v>0</v>
      </c>
      <c r="K20" s="7">
        <f t="shared" si="5"/>
        <v>354710.29845</v>
      </c>
      <c r="L20" s="7">
        <f t="shared" si="5"/>
        <v>354710.29845</v>
      </c>
    </row>
    <row r="21" spans="1:14" s="24" customFormat="1" ht="12" customHeight="1" thickBot="1" x14ac:dyDescent="0.3">
      <c r="A21" s="8"/>
      <c r="B21" s="37"/>
      <c r="C21" s="44"/>
      <c r="D21" s="13"/>
      <c r="E21" s="13"/>
      <c r="F21" s="13"/>
      <c r="G21" s="13"/>
      <c r="H21" s="13"/>
      <c r="I21" s="13"/>
      <c r="J21" s="13"/>
      <c r="K21" s="13"/>
      <c r="L21" s="14"/>
    </row>
    <row r="22" spans="1:14" s="24" customFormat="1" ht="21" customHeight="1" x14ac:dyDescent="0.25">
      <c r="A22" s="83" t="s">
        <v>45</v>
      </c>
      <c r="B22" s="84"/>
      <c r="C22" s="84"/>
      <c r="D22" s="85"/>
      <c r="E22" s="85"/>
      <c r="F22" s="85"/>
      <c r="G22" s="85"/>
      <c r="H22" s="86"/>
      <c r="I22" s="87"/>
      <c r="J22" s="87"/>
      <c r="K22" s="87"/>
      <c r="L22" s="88"/>
    </row>
    <row r="23" spans="1:14" s="25" customFormat="1" ht="18" customHeight="1" x14ac:dyDescent="0.25">
      <c r="A23" s="73" t="s">
        <v>35</v>
      </c>
      <c r="B23" s="74"/>
      <c r="C23" s="74"/>
      <c r="D23" s="75"/>
      <c r="E23" s="75"/>
      <c r="F23" s="75"/>
      <c r="G23" s="75"/>
      <c r="H23" s="75"/>
      <c r="I23" s="75"/>
      <c r="J23" s="75"/>
      <c r="K23" s="75"/>
      <c r="L23" s="76"/>
      <c r="N23" s="46"/>
    </row>
    <row r="24" spans="1:14" s="29" customFormat="1" ht="24" customHeight="1" x14ac:dyDescent="0.25">
      <c r="A24" s="26" t="s">
        <v>77</v>
      </c>
      <c r="B24" s="34" t="s">
        <v>78</v>
      </c>
      <c r="C24" s="41" t="s">
        <v>137</v>
      </c>
      <c r="D24" s="27">
        <v>0</v>
      </c>
      <c r="E24" s="59">
        <f>40219</f>
        <v>40219</v>
      </c>
      <c r="F24" s="27">
        <v>0</v>
      </c>
      <c r="G24" s="59">
        <v>0</v>
      </c>
      <c r="H24" s="27">
        <v>0</v>
      </c>
      <c r="I24" s="59">
        <v>0</v>
      </c>
      <c r="J24" s="55">
        <v>0</v>
      </c>
      <c r="K24" s="28">
        <f>D24+E24+G24+I24</f>
        <v>40219</v>
      </c>
      <c r="L24" s="28">
        <f t="shared" ref="L24" si="6">D24+F24+H24+J24</f>
        <v>0</v>
      </c>
    </row>
    <row r="25" spans="1:14" s="24" customFormat="1" ht="15" customHeight="1" thickBot="1" x14ac:dyDescent="0.3">
      <c r="A25" s="2" t="s">
        <v>38</v>
      </c>
      <c r="B25" s="35"/>
      <c r="C25" s="42"/>
      <c r="D25" s="3">
        <f>SUM(D24:D24)</f>
        <v>0</v>
      </c>
      <c r="E25" s="3">
        <f>SUM(E24:E24)</f>
        <v>40219</v>
      </c>
      <c r="F25" s="3">
        <f>SUM(F24:F24)</f>
        <v>0</v>
      </c>
      <c r="G25" s="3">
        <f>SUM(G24:G24)</f>
        <v>0</v>
      </c>
      <c r="H25" s="3">
        <f t="shared" ref="H25:J25" si="7">SUM(H24:H24)</f>
        <v>0</v>
      </c>
      <c r="I25" s="3">
        <f t="shared" si="7"/>
        <v>0</v>
      </c>
      <c r="J25" s="3">
        <f t="shared" si="7"/>
        <v>0</v>
      </c>
      <c r="K25" s="4">
        <f>SUM(K24:K24)</f>
        <v>40219</v>
      </c>
      <c r="L25" s="4">
        <f>SUM(L24:L24)</f>
        <v>0</v>
      </c>
    </row>
    <row r="26" spans="1:14" s="24" customFormat="1" ht="36" customHeight="1" thickBot="1" x14ac:dyDescent="0.3">
      <c r="A26" s="5" t="s">
        <v>46</v>
      </c>
      <c r="B26" s="36"/>
      <c r="C26" s="43"/>
      <c r="D26" s="6">
        <f>D25</f>
        <v>0</v>
      </c>
      <c r="E26" s="6">
        <f>E25</f>
        <v>40219</v>
      </c>
      <c r="F26" s="6">
        <f>F25</f>
        <v>0</v>
      </c>
      <c r="G26" s="6">
        <f>G25</f>
        <v>0</v>
      </c>
      <c r="H26" s="6">
        <f t="shared" ref="H26:J26" si="8">H25</f>
        <v>0</v>
      </c>
      <c r="I26" s="6">
        <f t="shared" si="8"/>
        <v>0</v>
      </c>
      <c r="J26" s="6">
        <f t="shared" si="8"/>
        <v>0</v>
      </c>
      <c r="K26" s="7">
        <f>K25</f>
        <v>40219</v>
      </c>
      <c r="L26" s="68">
        <f>L25</f>
        <v>0</v>
      </c>
      <c r="N26" s="61"/>
    </row>
    <row r="27" spans="1:14" s="24" customFormat="1" ht="12" customHeight="1" thickBot="1" x14ac:dyDescent="0.3">
      <c r="A27" s="8"/>
      <c r="B27" s="37"/>
      <c r="C27" s="44"/>
      <c r="D27" s="13"/>
      <c r="E27" s="13"/>
      <c r="F27" s="13"/>
      <c r="G27" s="13"/>
      <c r="H27" s="13"/>
      <c r="I27" s="13"/>
      <c r="J27" s="13"/>
      <c r="K27" s="13"/>
      <c r="L27" s="14"/>
    </row>
    <row r="28" spans="1:14" s="24" customFormat="1" ht="21" customHeight="1" x14ac:dyDescent="0.25">
      <c r="A28" s="83" t="s">
        <v>9</v>
      </c>
      <c r="B28" s="84"/>
      <c r="C28" s="84"/>
      <c r="D28" s="85"/>
      <c r="E28" s="85"/>
      <c r="F28" s="85"/>
      <c r="G28" s="85"/>
      <c r="H28" s="85"/>
      <c r="I28" s="89"/>
      <c r="J28" s="90"/>
      <c r="K28" s="90"/>
      <c r="L28" s="91"/>
    </row>
    <row r="29" spans="1:14" s="25" customFormat="1" ht="18" customHeight="1" x14ac:dyDescent="0.25">
      <c r="A29" s="79" t="s">
        <v>10</v>
      </c>
      <c r="B29" s="80"/>
      <c r="C29" s="80"/>
      <c r="D29" s="81"/>
      <c r="E29" s="81"/>
      <c r="F29" s="81"/>
      <c r="G29" s="81"/>
      <c r="H29" s="81"/>
      <c r="I29" s="81"/>
      <c r="J29" s="81"/>
      <c r="K29" s="81"/>
      <c r="L29" s="82"/>
    </row>
    <row r="30" spans="1:14" s="29" customFormat="1" ht="24" customHeight="1" x14ac:dyDescent="0.25">
      <c r="A30" s="26" t="s">
        <v>79</v>
      </c>
      <c r="B30" s="34" t="s">
        <v>80</v>
      </c>
      <c r="C30" s="41" t="s">
        <v>138</v>
      </c>
      <c r="D30" s="9">
        <v>0</v>
      </c>
      <c r="E30" s="60">
        <v>40000</v>
      </c>
      <c r="F30" s="47">
        <v>40000</v>
      </c>
      <c r="G30" s="60">
        <v>52000</v>
      </c>
      <c r="H30" s="47">
        <v>52000</v>
      </c>
      <c r="I30" s="52">
        <v>0</v>
      </c>
      <c r="J30" s="9">
        <v>0</v>
      </c>
      <c r="K30" s="28">
        <f t="shared" ref="K30:K35" si="9">D30+E30+G30+I30</f>
        <v>92000</v>
      </c>
      <c r="L30" s="28">
        <f>D30+F30+H30+J30</f>
        <v>92000</v>
      </c>
    </row>
    <row r="31" spans="1:14" s="29" customFormat="1" ht="24" customHeight="1" x14ac:dyDescent="0.25">
      <c r="A31" s="10" t="s">
        <v>81</v>
      </c>
      <c r="B31" s="34" t="s">
        <v>82</v>
      </c>
      <c r="C31" s="41" t="s">
        <v>138</v>
      </c>
      <c r="D31" s="9">
        <v>0</v>
      </c>
      <c r="E31" s="60">
        <v>41000</v>
      </c>
      <c r="F31" s="47">
        <v>0</v>
      </c>
      <c r="G31" s="60">
        <v>0</v>
      </c>
      <c r="H31" s="65">
        <v>0</v>
      </c>
      <c r="I31" s="52">
        <v>0</v>
      </c>
      <c r="J31" s="9">
        <v>0</v>
      </c>
      <c r="K31" s="28">
        <f t="shared" si="9"/>
        <v>41000</v>
      </c>
      <c r="L31" s="28">
        <f t="shared" ref="L31:L35" si="10">D31+F31+H31+J31</f>
        <v>0</v>
      </c>
      <c r="M31" s="69"/>
    </row>
    <row r="32" spans="1:14" s="29" customFormat="1" ht="24" customHeight="1" x14ac:dyDescent="0.25">
      <c r="A32" s="26" t="s">
        <v>83</v>
      </c>
      <c r="B32" s="34" t="s">
        <v>84</v>
      </c>
      <c r="C32" s="41" t="s">
        <v>138</v>
      </c>
      <c r="D32" s="9">
        <v>0</v>
      </c>
      <c r="E32" s="60">
        <v>60000</v>
      </c>
      <c r="F32" s="47">
        <v>60000</v>
      </c>
      <c r="G32" s="60">
        <v>0</v>
      </c>
      <c r="H32" s="47">
        <v>0</v>
      </c>
      <c r="I32" s="52">
        <v>0</v>
      </c>
      <c r="J32" s="9">
        <v>0</v>
      </c>
      <c r="K32" s="28">
        <f t="shared" si="9"/>
        <v>60000</v>
      </c>
      <c r="L32" s="28">
        <f t="shared" si="10"/>
        <v>60000</v>
      </c>
    </row>
    <row r="33" spans="1:16" s="29" customFormat="1" ht="15" customHeight="1" x14ac:dyDescent="0.25">
      <c r="A33" s="26" t="s">
        <v>85</v>
      </c>
      <c r="B33" s="34" t="s">
        <v>86</v>
      </c>
      <c r="C33" s="41" t="s">
        <v>139</v>
      </c>
      <c r="D33" s="9">
        <v>0</v>
      </c>
      <c r="E33" s="60">
        <v>300</v>
      </c>
      <c r="F33" s="47">
        <v>300</v>
      </c>
      <c r="G33" s="60">
        <v>75000</v>
      </c>
      <c r="H33" s="9">
        <v>75000</v>
      </c>
      <c r="I33" s="52">
        <v>15000</v>
      </c>
      <c r="J33" s="9">
        <v>15000</v>
      </c>
      <c r="K33" s="28">
        <f t="shared" si="9"/>
        <v>90300</v>
      </c>
      <c r="L33" s="28">
        <f t="shared" si="10"/>
        <v>90300</v>
      </c>
    </row>
    <row r="34" spans="1:16" s="29" customFormat="1" ht="15" customHeight="1" x14ac:dyDescent="0.25">
      <c r="A34" s="26" t="s">
        <v>11</v>
      </c>
      <c r="B34" s="34" t="s">
        <v>87</v>
      </c>
      <c r="C34" s="41" t="s">
        <v>139</v>
      </c>
      <c r="D34" s="9">
        <v>0</v>
      </c>
      <c r="E34" s="60">
        <v>30807</v>
      </c>
      <c r="F34" s="47">
        <f>30807-29500</f>
        <v>1307</v>
      </c>
      <c r="G34" s="60">
        <f>277178+30993-52000</f>
        <v>256171</v>
      </c>
      <c r="H34" s="9">
        <f>277178+30993-52000</f>
        <v>256171</v>
      </c>
      <c r="I34" s="52">
        <v>0</v>
      </c>
      <c r="J34" s="9">
        <v>0</v>
      </c>
      <c r="K34" s="28">
        <f t="shared" si="9"/>
        <v>286978</v>
      </c>
      <c r="L34" s="28">
        <f t="shared" si="10"/>
        <v>257478</v>
      </c>
      <c r="N34" s="53"/>
    </row>
    <row r="35" spans="1:16" s="29" customFormat="1" ht="24" customHeight="1" x14ac:dyDescent="0.25">
      <c r="A35" s="26" t="s">
        <v>57</v>
      </c>
      <c r="B35" s="34" t="s">
        <v>88</v>
      </c>
      <c r="C35" s="41" t="s">
        <v>139</v>
      </c>
      <c r="D35" s="9">
        <v>0</v>
      </c>
      <c r="E35" s="60">
        <v>31298</v>
      </c>
      <c r="F35" s="47">
        <v>31298</v>
      </c>
      <c r="G35" s="60">
        <v>29000</v>
      </c>
      <c r="H35" s="9">
        <v>29000</v>
      </c>
      <c r="I35" s="52">
        <v>2702</v>
      </c>
      <c r="J35" s="9">
        <v>2702</v>
      </c>
      <c r="K35" s="28">
        <f t="shared" si="9"/>
        <v>63000</v>
      </c>
      <c r="L35" s="28">
        <f t="shared" si="10"/>
        <v>63000</v>
      </c>
    </row>
    <row r="36" spans="1:16" s="24" customFormat="1" ht="15" customHeight="1" x14ac:dyDescent="0.25">
      <c r="A36" s="2" t="s">
        <v>12</v>
      </c>
      <c r="B36" s="35"/>
      <c r="C36" s="42"/>
      <c r="D36" s="3">
        <f t="shared" ref="D36" si="11">SUM(D30:D35)</f>
        <v>0</v>
      </c>
      <c r="E36" s="3">
        <f t="shared" ref="E36:L36" si="12">SUM(E30:E35)</f>
        <v>203405</v>
      </c>
      <c r="F36" s="3">
        <f t="shared" si="12"/>
        <v>132905</v>
      </c>
      <c r="G36" s="3">
        <f t="shared" si="12"/>
        <v>412171</v>
      </c>
      <c r="H36" s="3">
        <f t="shared" si="12"/>
        <v>412171</v>
      </c>
      <c r="I36" s="3">
        <f t="shared" si="12"/>
        <v>17702</v>
      </c>
      <c r="J36" s="3">
        <f t="shared" si="12"/>
        <v>17702</v>
      </c>
      <c r="K36" s="4">
        <f t="shared" si="12"/>
        <v>633278</v>
      </c>
      <c r="L36" s="4">
        <f t="shared" si="12"/>
        <v>562778</v>
      </c>
      <c r="N36" s="61"/>
      <c r="O36" s="61"/>
      <c r="P36" s="61"/>
    </row>
    <row r="37" spans="1:16" s="25" customFormat="1" ht="18" customHeight="1" x14ac:dyDescent="0.25">
      <c r="A37" s="70" t="s">
        <v>13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2"/>
      <c r="N37" s="46"/>
    </row>
    <row r="38" spans="1:16" s="29" customFormat="1" ht="24" customHeight="1" x14ac:dyDescent="0.25">
      <c r="A38" s="10" t="s">
        <v>15</v>
      </c>
      <c r="B38" s="38" t="s">
        <v>89</v>
      </c>
      <c r="C38" s="41" t="s">
        <v>139</v>
      </c>
      <c r="D38" s="9">
        <v>375.1</v>
      </c>
      <c r="E38" s="60">
        <f>50000-30000</f>
        <v>20000</v>
      </c>
      <c r="F38" s="47">
        <v>5000</v>
      </c>
      <c r="G38" s="52">
        <v>55000</v>
      </c>
      <c r="H38" s="9">
        <v>55000</v>
      </c>
      <c r="I38" s="52">
        <f>37000-12443</f>
        <v>24557</v>
      </c>
      <c r="J38" s="47">
        <v>39557</v>
      </c>
      <c r="K38" s="28">
        <f>SUM(D38+E38+G38+I38)</f>
        <v>99932.1</v>
      </c>
      <c r="L38" s="28">
        <f>D38+F38+H38+J38</f>
        <v>99932.1</v>
      </c>
      <c r="M38" s="24"/>
    </row>
    <row r="39" spans="1:16" s="29" customFormat="1" ht="24" customHeight="1" x14ac:dyDescent="0.25">
      <c r="A39" s="10" t="s">
        <v>14</v>
      </c>
      <c r="B39" s="38" t="s">
        <v>90</v>
      </c>
      <c r="C39" s="41" t="s">
        <v>139</v>
      </c>
      <c r="D39" s="9">
        <v>615</v>
      </c>
      <c r="E39" s="60">
        <v>40400</v>
      </c>
      <c r="F39" s="47">
        <v>40400</v>
      </c>
      <c r="G39" s="52">
        <v>10000</v>
      </c>
      <c r="H39" s="9">
        <v>10000</v>
      </c>
      <c r="I39" s="52">
        <v>0</v>
      </c>
      <c r="J39" s="47">
        <v>0</v>
      </c>
      <c r="K39" s="28">
        <f>SUM(D39+E39+G39+I39)</f>
        <v>51015</v>
      </c>
      <c r="L39" s="28">
        <f t="shared" ref="L39:L40" si="13">D39+F39+H39+J39</f>
        <v>51015</v>
      </c>
    </row>
    <row r="40" spans="1:16" s="29" customFormat="1" ht="24" customHeight="1" x14ac:dyDescent="0.25">
      <c r="A40" s="10" t="s">
        <v>16</v>
      </c>
      <c r="B40" s="38" t="s">
        <v>91</v>
      </c>
      <c r="C40" s="41" t="s">
        <v>139</v>
      </c>
      <c r="D40" s="9">
        <v>0</v>
      </c>
      <c r="E40" s="60">
        <v>0</v>
      </c>
      <c r="F40" s="47">
        <v>0</v>
      </c>
      <c r="G40" s="52">
        <v>30000</v>
      </c>
      <c r="H40" s="9">
        <v>0</v>
      </c>
      <c r="I40" s="52">
        <v>65000</v>
      </c>
      <c r="J40" s="47">
        <v>0</v>
      </c>
      <c r="K40" s="28">
        <f>SUM(D40+E40+G40+I40)</f>
        <v>95000</v>
      </c>
      <c r="L40" s="28">
        <f t="shared" si="13"/>
        <v>0</v>
      </c>
      <c r="M40" s="69"/>
    </row>
    <row r="41" spans="1:16" s="24" customFormat="1" ht="15" customHeight="1" x14ac:dyDescent="0.25">
      <c r="A41" s="2" t="s">
        <v>17</v>
      </c>
      <c r="B41" s="35"/>
      <c r="C41" s="42"/>
      <c r="D41" s="3">
        <f>SUM(D38:D40)</f>
        <v>990.1</v>
      </c>
      <c r="E41" s="3">
        <f>SUM(E38:E40)</f>
        <v>60400</v>
      </c>
      <c r="F41" s="3">
        <f t="shared" ref="F41:J41" si="14">SUM(F38:F40)</f>
        <v>45400</v>
      </c>
      <c r="G41" s="3">
        <f t="shared" si="14"/>
        <v>95000</v>
      </c>
      <c r="H41" s="3">
        <f t="shared" si="14"/>
        <v>65000</v>
      </c>
      <c r="I41" s="3">
        <f t="shared" si="14"/>
        <v>89557</v>
      </c>
      <c r="J41" s="3">
        <f t="shared" si="14"/>
        <v>39557</v>
      </c>
      <c r="K41" s="4">
        <f>SUM(K38:K40)</f>
        <v>245947.1</v>
      </c>
      <c r="L41" s="4">
        <f>SUM(L38:L40)</f>
        <v>150947.1</v>
      </c>
      <c r="N41" s="61"/>
      <c r="O41" s="61"/>
    </row>
    <row r="42" spans="1:16" s="25" customFormat="1" ht="18" customHeight="1" x14ac:dyDescent="0.25">
      <c r="A42" s="73" t="s">
        <v>2</v>
      </c>
      <c r="B42" s="74"/>
      <c r="C42" s="74"/>
      <c r="D42" s="75"/>
      <c r="E42" s="75"/>
      <c r="F42" s="75"/>
      <c r="G42" s="75"/>
      <c r="H42" s="75"/>
      <c r="I42" s="75"/>
      <c r="J42" s="75"/>
      <c r="K42" s="75"/>
      <c r="L42" s="76"/>
    </row>
    <row r="43" spans="1:16" s="29" customFormat="1" ht="24" customHeight="1" x14ac:dyDescent="0.25">
      <c r="A43" s="26" t="s">
        <v>60</v>
      </c>
      <c r="B43" s="34" t="s">
        <v>92</v>
      </c>
      <c r="C43" s="41" t="s">
        <v>139</v>
      </c>
      <c r="D43" s="9">
        <v>11814</v>
      </c>
      <c r="E43" s="52">
        <v>0</v>
      </c>
      <c r="F43" s="47">
        <v>0</v>
      </c>
      <c r="G43" s="52">
        <v>0</v>
      </c>
      <c r="H43" s="47">
        <v>0</v>
      </c>
      <c r="I43" s="52">
        <v>0</v>
      </c>
      <c r="J43" s="47">
        <v>0</v>
      </c>
      <c r="K43" s="28">
        <f t="shared" ref="K43:K48" si="15">D43+E43+G43+I43</f>
        <v>11814</v>
      </c>
      <c r="L43" s="28">
        <f>D43+F43+H43+J43</f>
        <v>11814</v>
      </c>
    </row>
    <row r="44" spans="1:16" s="29" customFormat="1" ht="24" customHeight="1" x14ac:dyDescent="0.25">
      <c r="A44" s="11" t="s">
        <v>61</v>
      </c>
      <c r="B44" s="39" t="s">
        <v>93</v>
      </c>
      <c r="C44" s="41" t="s">
        <v>139</v>
      </c>
      <c r="D44" s="9">
        <v>6329.88</v>
      </c>
      <c r="E44" s="52">
        <v>0</v>
      </c>
      <c r="F44" s="47">
        <v>0</v>
      </c>
      <c r="G44" s="52">
        <v>0</v>
      </c>
      <c r="H44" s="47">
        <v>0</v>
      </c>
      <c r="I44" s="52">
        <v>0</v>
      </c>
      <c r="J44" s="47">
        <v>0</v>
      </c>
      <c r="K44" s="28">
        <f t="shared" si="15"/>
        <v>6329.88</v>
      </c>
      <c r="L44" s="28">
        <f t="shared" ref="L44:L48" si="16">D44+F44+H44+J44</f>
        <v>6329.88</v>
      </c>
    </row>
    <row r="45" spans="1:16" s="29" customFormat="1" ht="24" customHeight="1" x14ac:dyDescent="0.25">
      <c r="A45" s="11" t="s">
        <v>62</v>
      </c>
      <c r="B45" s="39" t="s">
        <v>94</v>
      </c>
      <c r="C45" s="41" t="s">
        <v>139</v>
      </c>
      <c r="D45" s="9">
        <v>12143.58</v>
      </c>
      <c r="E45" s="52">
        <v>1042.1199999999999</v>
      </c>
      <c r="F45" s="47">
        <v>1042.1199999999999</v>
      </c>
      <c r="G45" s="52">
        <v>0</v>
      </c>
      <c r="H45" s="47">
        <v>0</v>
      </c>
      <c r="I45" s="52">
        <v>0</v>
      </c>
      <c r="J45" s="47">
        <v>0</v>
      </c>
      <c r="K45" s="28">
        <f t="shared" si="15"/>
        <v>13185.7</v>
      </c>
      <c r="L45" s="28">
        <f t="shared" si="16"/>
        <v>13185.7</v>
      </c>
    </row>
    <row r="46" spans="1:16" s="29" customFormat="1" ht="24" customHeight="1" x14ac:dyDescent="0.25">
      <c r="A46" s="11" t="s">
        <v>20</v>
      </c>
      <c r="B46" s="39" t="s">
        <v>95</v>
      </c>
      <c r="C46" s="41" t="s">
        <v>139</v>
      </c>
      <c r="D46" s="9">
        <v>10650</v>
      </c>
      <c r="E46" s="52">
        <f>5700-2850</f>
        <v>2850</v>
      </c>
      <c r="F46" s="47">
        <f>5700-2850</f>
        <v>2850</v>
      </c>
      <c r="G46" s="52">
        <v>0</v>
      </c>
      <c r="H46" s="47">
        <v>0</v>
      </c>
      <c r="I46" s="52">
        <v>0</v>
      </c>
      <c r="J46" s="47">
        <v>0</v>
      </c>
      <c r="K46" s="28">
        <f t="shared" si="15"/>
        <v>13500</v>
      </c>
      <c r="L46" s="28">
        <f t="shared" si="16"/>
        <v>13500</v>
      </c>
    </row>
    <row r="47" spans="1:16" s="29" customFormat="1" ht="24" customHeight="1" x14ac:dyDescent="0.25">
      <c r="A47" s="26" t="s">
        <v>18</v>
      </c>
      <c r="B47" s="34" t="s">
        <v>96</v>
      </c>
      <c r="C47" s="41" t="s">
        <v>136</v>
      </c>
      <c r="D47" s="9">
        <v>0</v>
      </c>
      <c r="E47" s="52">
        <f>82731+15000</f>
        <v>97731</v>
      </c>
      <c r="F47" s="47">
        <v>29386</v>
      </c>
      <c r="G47" s="52">
        <v>19761</v>
      </c>
      <c r="H47" s="47">
        <v>88106</v>
      </c>
      <c r="I47" s="52">
        <v>0</v>
      </c>
      <c r="J47" s="47">
        <v>0</v>
      </c>
      <c r="K47" s="28">
        <f t="shared" si="15"/>
        <v>117492</v>
      </c>
      <c r="L47" s="28">
        <f t="shared" si="16"/>
        <v>117492</v>
      </c>
    </row>
    <row r="48" spans="1:16" s="29" customFormat="1" ht="15" customHeight="1" x14ac:dyDescent="0.25">
      <c r="A48" s="11" t="s">
        <v>19</v>
      </c>
      <c r="B48" s="39" t="s">
        <v>97</v>
      </c>
      <c r="C48" s="45" t="s">
        <v>136</v>
      </c>
      <c r="D48" s="9">
        <v>1446.18</v>
      </c>
      <c r="E48" s="52">
        <v>181514.85</v>
      </c>
      <c r="F48" s="47">
        <v>88514.85</v>
      </c>
      <c r="G48" s="52">
        <v>112039</v>
      </c>
      <c r="H48" s="47">
        <v>205039</v>
      </c>
      <c r="I48" s="52">
        <v>0</v>
      </c>
      <c r="J48" s="47">
        <v>0</v>
      </c>
      <c r="K48" s="28">
        <f t="shared" si="15"/>
        <v>295000.03000000003</v>
      </c>
      <c r="L48" s="28">
        <f t="shared" si="16"/>
        <v>295000.03000000003</v>
      </c>
    </row>
    <row r="49" spans="1:15" s="24" customFormat="1" ht="15" customHeight="1" x14ac:dyDescent="0.25">
      <c r="A49" s="2" t="s">
        <v>5</v>
      </c>
      <c r="B49" s="35"/>
      <c r="C49" s="42"/>
      <c r="D49" s="3">
        <f>SUM(D43:D48)</f>
        <v>42383.64</v>
      </c>
      <c r="E49" s="3">
        <f>SUM(E43:E48)</f>
        <v>283137.96999999997</v>
      </c>
      <c r="F49" s="3">
        <f>SUM(F43:F48)</f>
        <v>121792.97</v>
      </c>
      <c r="G49" s="3">
        <f>SUM(G43:G48)</f>
        <v>131800</v>
      </c>
      <c r="H49" s="3">
        <f>SUM(H43:H48)</f>
        <v>293145</v>
      </c>
      <c r="I49" s="3">
        <f t="shared" ref="I49" si="17">SUM(I43:I48)</f>
        <v>0</v>
      </c>
      <c r="J49" s="3">
        <f t="shared" ref="J49" si="18">SUM(J43:J48)</f>
        <v>0</v>
      </c>
      <c r="K49" s="4">
        <f>SUM(K43:K48)</f>
        <v>457321.61000000004</v>
      </c>
      <c r="L49" s="4">
        <f>SUM(L43:L48)</f>
        <v>457321.61000000004</v>
      </c>
    </row>
    <row r="50" spans="1:15" s="25" customFormat="1" ht="18" customHeight="1" x14ac:dyDescent="0.25">
      <c r="A50" s="73" t="s">
        <v>21</v>
      </c>
      <c r="B50" s="74"/>
      <c r="C50" s="74"/>
      <c r="D50" s="75"/>
      <c r="E50" s="75"/>
      <c r="F50" s="75"/>
      <c r="G50" s="75"/>
      <c r="H50" s="75"/>
      <c r="I50" s="75"/>
      <c r="J50" s="75"/>
      <c r="K50" s="75"/>
      <c r="L50" s="76"/>
    </row>
    <row r="51" spans="1:15" s="25" customFormat="1" ht="24" customHeight="1" x14ac:dyDescent="0.25">
      <c r="A51" s="26" t="s">
        <v>22</v>
      </c>
      <c r="B51" s="34" t="s">
        <v>98</v>
      </c>
      <c r="C51" s="41" t="s">
        <v>139</v>
      </c>
      <c r="D51" s="9">
        <v>95.59</v>
      </c>
      <c r="E51" s="52">
        <v>44904.41</v>
      </c>
      <c r="F51" s="47">
        <v>44904.41</v>
      </c>
      <c r="G51" s="52">
        <v>0</v>
      </c>
      <c r="H51" s="47">
        <v>0</v>
      </c>
      <c r="I51" s="52">
        <v>0</v>
      </c>
      <c r="J51" s="47">
        <v>0</v>
      </c>
      <c r="K51" s="28">
        <f t="shared" ref="K51:K75" si="19">D51+E51+G51+I51</f>
        <v>45000</v>
      </c>
      <c r="L51" s="28">
        <f>D51+F51+H51+J51</f>
        <v>45000</v>
      </c>
    </row>
    <row r="52" spans="1:15" s="25" customFormat="1" ht="24" customHeight="1" x14ac:dyDescent="0.25">
      <c r="A52" s="11" t="s">
        <v>27</v>
      </c>
      <c r="B52" s="39" t="s">
        <v>99</v>
      </c>
      <c r="C52" s="41" t="s">
        <v>139</v>
      </c>
      <c r="D52" s="9">
        <v>50386.47</v>
      </c>
      <c r="E52" s="52">
        <v>3269.53</v>
      </c>
      <c r="F52" s="47">
        <v>3269.53</v>
      </c>
      <c r="G52" s="52">
        <v>0</v>
      </c>
      <c r="H52" s="47">
        <v>0</v>
      </c>
      <c r="I52" s="52">
        <v>0</v>
      </c>
      <c r="J52" s="47">
        <v>0</v>
      </c>
      <c r="K52" s="28">
        <f t="shared" si="19"/>
        <v>53656</v>
      </c>
      <c r="L52" s="28">
        <f t="shared" ref="L52:L75" si="20">D52+F52+H52+J52</f>
        <v>53656</v>
      </c>
    </row>
    <row r="53" spans="1:15" s="25" customFormat="1" ht="24" customHeight="1" x14ac:dyDescent="0.25">
      <c r="A53" s="11" t="s">
        <v>31</v>
      </c>
      <c r="B53" s="39" t="s">
        <v>100</v>
      </c>
      <c r="C53" s="41" t="s">
        <v>139</v>
      </c>
      <c r="D53" s="9">
        <v>30678.01</v>
      </c>
      <c r="E53" s="52">
        <v>0</v>
      </c>
      <c r="F53" s="47">
        <v>0</v>
      </c>
      <c r="G53" s="52">
        <v>0</v>
      </c>
      <c r="H53" s="47">
        <v>0</v>
      </c>
      <c r="I53" s="52">
        <v>0</v>
      </c>
      <c r="J53" s="47">
        <v>0</v>
      </c>
      <c r="K53" s="28">
        <f t="shared" si="19"/>
        <v>30678.01</v>
      </c>
      <c r="L53" s="28">
        <f t="shared" si="20"/>
        <v>30678.01</v>
      </c>
    </row>
    <row r="54" spans="1:15" s="25" customFormat="1" ht="24" customHeight="1" x14ac:dyDescent="0.25">
      <c r="A54" s="26" t="s">
        <v>32</v>
      </c>
      <c r="B54" s="34" t="s">
        <v>101</v>
      </c>
      <c r="C54" s="41" t="s">
        <v>139</v>
      </c>
      <c r="D54" s="9">
        <v>40000</v>
      </c>
      <c r="E54" s="52">
        <v>0</v>
      </c>
      <c r="F54" s="47">
        <v>0</v>
      </c>
      <c r="G54" s="52">
        <v>0</v>
      </c>
      <c r="H54" s="47">
        <v>0</v>
      </c>
      <c r="I54" s="52">
        <v>0</v>
      </c>
      <c r="J54" s="47">
        <v>0</v>
      </c>
      <c r="K54" s="28">
        <f t="shared" si="19"/>
        <v>40000</v>
      </c>
      <c r="L54" s="28">
        <f t="shared" si="20"/>
        <v>40000</v>
      </c>
    </row>
    <row r="55" spans="1:15" s="25" customFormat="1" ht="24" customHeight="1" x14ac:dyDescent="0.25">
      <c r="A55" s="26" t="s">
        <v>102</v>
      </c>
      <c r="B55" s="34" t="s">
        <v>103</v>
      </c>
      <c r="C55" s="41" t="s">
        <v>139</v>
      </c>
      <c r="D55" s="9">
        <v>6200</v>
      </c>
      <c r="E55" s="52">
        <v>0</v>
      </c>
      <c r="F55" s="47">
        <v>0</v>
      </c>
      <c r="G55" s="52">
        <v>0</v>
      </c>
      <c r="H55" s="47">
        <v>0</v>
      </c>
      <c r="I55" s="52">
        <v>0</v>
      </c>
      <c r="J55" s="47">
        <v>0</v>
      </c>
      <c r="K55" s="28">
        <f t="shared" si="19"/>
        <v>6200</v>
      </c>
      <c r="L55" s="28">
        <f t="shared" si="20"/>
        <v>6200</v>
      </c>
    </row>
    <row r="56" spans="1:15" s="25" customFormat="1" ht="24" customHeight="1" x14ac:dyDescent="0.25">
      <c r="A56" s="11" t="s">
        <v>54</v>
      </c>
      <c r="B56" s="39" t="s">
        <v>104</v>
      </c>
      <c r="C56" s="41" t="s">
        <v>139</v>
      </c>
      <c r="D56" s="9">
        <v>7025.05</v>
      </c>
      <c r="E56" s="52">
        <v>2094.9499999999998</v>
      </c>
      <c r="F56" s="47">
        <v>2094.9499999999998</v>
      </c>
      <c r="G56" s="52">
        <v>0</v>
      </c>
      <c r="H56" s="47">
        <v>0</v>
      </c>
      <c r="I56" s="52">
        <v>0</v>
      </c>
      <c r="J56" s="47">
        <v>0</v>
      </c>
      <c r="K56" s="28">
        <f t="shared" si="19"/>
        <v>9120</v>
      </c>
      <c r="L56" s="28">
        <f t="shared" si="20"/>
        <v>9120</v>
      </c>
    </row>
    <row r="57" spans="1:15" s="25" customFormat="1" ht="24" customHeight="1" x14ac:dyDescent="0.25">
      <c r="A57" s="26" t="s">
        <v>63</v>
      </c>
      <c r="B57" s="34" t="s">
        <v>105</v>
      </c>
      <c r="C57" s="41" t="s">
        <v>139</v>
      </c>
      <c r="D57" s="9">
        <v>7949.67</v>
      </c>
      <c r="E57" s="52">
        <v>0</v>
      </c>
      <c r="F57" s="47">
        <v>0</v>
      </c>
      <c r="G57" s="52">
        <v>0</v>
      </c>
      <c r="H57" s="47">
        <v>0</v>
      </c>
      <c r="I57" s="52">
        <v>0</v>
      </c>
      <c r="J57" s="47">
        <v>0</v>
      </c>
      <c r="K57" s="28">
        <f t="shared" si="19"/>
        <v>7949.67</v>
      </c>
      <c r="L57" s="28">
        <f t="shared" si="20"/>
        <v>7949.67</v>
      </c>
    </row>
    <row r="58" spans="1:15" s="25" customFormat="1" ht="24" customHeight="1" x14ac:dyDescent="0.25">
      <c r="A58" s="26" t="s">
        <v>106</v>
      </c>
      <c r="B58" s="34" t="s">
        <v>107</v>
      </c>
      <c r="C58" s="41" t="s">
        <v>139</v>
      </c>
      <c r="D58" s="9">
        <v>0</v>
      </c>
      <c r="E58" s="52">
        <v>15000</v>
      </c>
      <c r="F58" s="47">
        <v>15000</v>
      </c>
      <c r="G58" s="52">
        <v>0</v>
      </c>
      <c r="H58" s="47">
        <v>0</v>
      </c>
      <c r="I58" s="52">
        <v>0</v>
      </c>
      <c r="J58" s="47">
        <v>0</v>
      </c>
      <c r="K58" s="28">
        <f t="shared" si="19"/>
        <v>15000</v>
      </c>
      <c r="L58" s="28">
        <f t="shared" si="20"/>
        <v>15000</v>
      </c>
    </row>
    <row r="59" spans="1:15" s="25" customFormat="1" ht="24" customHeight="1" x14ac:dyDescent="0.25">
      <c r="A59" s="26" t="s">
        <v>23</v>
      </c>
      <c r="B59" s="67" t="s">
        <v>108</v>
      </c>
      <c r="C59" s="41" t="s">
        <v>139</v>
      </c>
      <c r="D59" s="9">
        <v>0</v>
      </c>
      <c r="E59" s="52">
        <f>500+213</f>
        <v>713</v>
      </c>
      <c r="F59" s="47">
        <f>500+213</f>
        <v>713</v>
      </c>
      <c r="G59" s="52">
        <f>30000-213</f>
        <v>29787</v>
      </c>
      <c r="H59" s="47">
        <v>0</v>
      </c>
      <c r="I59" s="52">
        <v>0</v>
      </c>
      <c r="J59" s="47">
        <v>0</v>
      </c>
      <c r="K59" s="28">
        <f t="shared" si="19"/>
        <v>30500</v>
      </c>
      <c r="L59" s="28">
        <f>D59+F59+H59+J59</f>
        <v>713</v>
      </c>
      <c r="M59" s="48"/>
    </row>
    <row r="60" spans="1:15" s="25" customFormat="1" ht="24" customHeight="1" x14ac:dyDescent="0.25">
      <c r="A60" s="26" t="s">
        <v>30</v>
      </c>
      <c r="B60" s="34" t="s">
        <v>109</v>
      </c>
      <c r="C60" s="41" t="s">
        <v>139</v>
      </c>
      <c r="D60" s="9">
        <v>43980.06</v>
      </c>
      <c r="E60" s="52">
        <v>13719.93</v>
      </c>
      <c r="F60" s="9">
        <v>13719.93</v>
      </c>
      <c r="G60" s="52">
        <v>0</v>
      </c>
      <c r="H60" s="47">
        <v>0</v>
      </c>
      <c r="I60" s="52">
        <v>0</v>
      </c>
      <c r="J60" s="47">
        <v>0</v>
      </c>
      <c r="K60" s="28">
        <f t="shared" si="19"/>
        <v>57699.99</v>
      </c>
      <c r="L60" s="28">
        <f t="shared" si="20"/>
        <v>57699.99</v>
      </c>
      <c r="M60" s="49"/>
    </row>
    <row r="61" spans="1:15" s="25" customFormat="1" ht="24" customHeight="1" x14ac:dyDescent="0.25">
      <c r="A61" s="26" t="s">
        <v>33</v>
      </c>
      <c r="B61" s="39" t="s">
        <v>110</v>
      </c>
      <c r="C61" s="41" t="s">
        <v>139</v>
      </c>
      <c r="D61" s="9">
        <v>500</v>
      </c>
      <c r="E61" s="52">
        <f>25639-15639</f>
        <v>10000</v>
      </c>
      <c r="F61" s="9">
        <v>900</v>
      </c>
      <c r="G61" s="52">
        <f>49361+15639</f>
        <v>65000</v>
      </c>
      <c r="H61" s="47">
        <v>60000</v>
      </c>
      <c r="I61" s="52">
        <v>0</v>
      </c>
      <c r="J61" s="47">
        <v>11950.5</v>
      </c>
      <c r="K61" s="28">
        <f t="shared" si="19"/>
        <v>75500</v>
      </c>
      <c r="L61" s="28">
        <f t="shared" si="20"/>
        <v>73350.5</v>
      </c>
    </row>
    <row r="62" spans="1:15" s="25" customFormat="1" ht="33.950000000000003" customHeight="1" x14ac:dyDescent="0.25">
      <c r="A62" s="26" t="s">
        <v>24</v>
      </c>
      <c r="B62" s="39" t="s">
        <v>111</v>
      </c>
      <c r="C62" s="41" t="s">
        <v>140</v>
      </c>
      <c r="D62" s="12">
        <v>18811.419999999998</v>
      </c>
      <c r="E62" s="52">
        <f>27286.58</f>
        <v>27286.58</v>
      </c>
      <c r="F62" s="9">
        <f>27286.58-1000</f>
        <v>26286.58</v>
      </c>
      <c r="G62" s="52">
        <v>0</v>
      </c>
      <c r="H62" s="9">
        <v>0</v>
      </c>
      <c r="I62" s="52">
        <v>0</v>
      </c>
      <c r="J62" s="47">
        <v>0</v>
      </c>
      <c r="K62" s="28">
        <f t="shared" si="19"/>
        <v>46098</v>
      </c>
      <c r="L62" s="28">
        <f t="shared" si="20"/>
        <v>45098</v>
      </c>
    </row>
    <row r="63" spans="1:15" s="25" customFormat="1" ht="33.950000000000003" customHeight="1" x14ac:dyDescent="0.25">
      <c r="A63" s="26" t="s">
        <v>48</v>
      </c>
      <c r="B63" s="39" t="s">
        <v>112</v>
      </c>
      <c r="C63" s="41" t="s">
        <v>150</v>
      </c>
      <c r="D63" s="12">
        <v>0</v>
      </c>
      <c r="E63" s="52">
        <v>11420</v>
      </c>
      <c r="F63" s="9">
        <v>6500</v>
      </c>
      <c r="G63" s="52">
        <v>0</v>
      </c>
      <c r="H63" s="47">
        <v>0</v>
      </c>
      <c r="I63" s="52">
        <v>0</v>
      </c>
      <c r="J63" s="47">
        <v>0</v>
      </c>
      <c r="K63" s="28">
        <f t="shared" si="19"/>
        <v>11420</v>
      </c>
      <c r="L63" s="28">
        <f>D63+F63+H63+J63</f>
        <v>6500</v>
      </c>
    </row>
    <row r="64" spans="1:15" s="25" customFormat="1" ht="24" customHeight="1" x14ac:dyDescent="0.25">
      <c r="A64" s="26" t="s">
        <v>26</v>
      </c>
      <c r="B64" s="34" t="s">
        <v>113</v>
      </c>
      <c r="C64" s="41" t="s">
        <v>139</v>
      </c>
      <c r="D64" s="9">
        <v>803.35</v>
      </c>
      <c r="E64" s="52">
        <v>123195.65</v>
      </c>
      <c r="F64" s="47">
        <v>128195.65</v>
      </c>
      <c r="G64" s="52">
        <v>52000</v>
      </c>
      <c r="H64" s="47">
        <v>77000</v>
      </c>
      <c r="I64" s="52">
        <v>0</v>
      </c>
      <c r="J64" s="47">
        <v>0</v>
      </c>
      <c r="K64" s="28">
        <f t="shared" si="19"/>
        <v>175999</v>
      </c>
      <c r="L64" s="28">
        <f t="shared" si="20"/>
        <v>205999</v>
      </c>
      <c r="N64" s="46"/>
      <c r="O64" s="46"/>
    </row>
    <row r="65" spans="1:16" s="25" customFormat="1" ht="33.950000000000003" customHeight="1" x14ac:dyDescent="0.25">
      <c r="A65" s="26" t="s">
        <v>29</v>
      </c>
      <c r="B65" s="39" t="s">
        <v>114</v>
      </c>
      <c r="C65" s="41" t="s">
        <v>139</v>
      </c>
      <c r="D65" s="12">
        <v>0</v>
      </c>
      <c r="E65" s="52">
        <f>20250-5250</f>
        <v>15000</v>
      </c>
      <c r="F65" s="47">
        <f>20250-5250</f>
        <v>15000</v>
      </c>
      <c r="G65" s="52">
        <f>17750+5250</f>
        <v>23000</v>
      </c>
      <c r="H65" s="47">
        <f>17750+5250</f>
        <v>23000</v>
      </c>
      <c r="I65" s="52">
        <v>0</v>
      </c>
      <c r="J65" s="47">
        <v>0</v>
      </c>
      <c r="K65" s="28">
        <f t="shared" si="19"/>
        <v>38000</v>
      </c>
      <c r="L65" s="28">
        <f t="shared" si="20"/>
        <v>38000</v>
      </c>
    </row>
    <row r="66" spans="1:16" s="25" customFormat="1" ht="24" customHeight="1" x14ac:dyDescent="0.25">
      <c r="A66" s="26" t="s">
        <v>47</v>
      </c>
      <c r="B66" s="34" t="s">
        <v>115</v>
      </c>
      <c r="C66" s="41" t="s">
        <v>139</v>
      </c>
      <c r="D66" s="9">
        <v>0</v>
      </c>
      <c r="E66" s="52">
        <v>14350</v>
      </c>
      <c r="F66" s="47">
        <v>14350</v>
      </c>
      <c r="G66" s="52">
        <v>4500</v>
      </c>
      <c r="H66" s="47">
        <v>4500</v>
      </c>
      <c r="I66" s="52">
        <v>0</v>
      </c>
      <c r="J66" s="47">
        <v>0</v>
      </c>
      <c r="K66" s="28">
        <f t="shared" si="19"/>
        <v>18850</v>
      </c>
      <c r="L66" s="28">
        <f t="shared" si="20"/>
        <v>18850</v>
      </c>
    </row>
    <row r="67" spans="1:16" s="25" customFormat="1" ht="24" customHeight="1" x14ac:dyDescent="0.25">
      <c r="A67" s="26" t="s">
        <v>41</v>
      </c>
      <c r="B67" s="34" t="s">
        <v>116</v>
      </c>
      <c r="C67" s="41" t="s">
        <v>139</v>
      </c>
      <c r="D67" s="9">
        <v>0</v>
      </c>
      <c r="E67" s="52">
        <f>2090</f>
        <v>2090</v>
      </c>
      <c r="F67" s="47">
        <f>E67</f>
        <v>2090</v>
      </c>
      <c r="G67" s="52">
        <f>26000</f>
        <v>26000</v>
      </c>
      <c r="H67" s="47">
        <v>0</v>
      </c>
      <c r="I67" s="52">
        <v>27610</v>
      </c>
      <c r="J67" s="47">
        <v>0</v>
      </c>
      <c r="K67" s="28">
        <f t="shared" si="19"/>
        <v>55700</v>
      </c>
      <c r="L67" s="28">
        <f>D67+F67+H67+J67</f>
        <v>2090</v>
      </c>
    </row>
    <row r="68" spans="1:16" s="25" customFormat="1" ht="24" customHeight="1" x14ac:dyDescent="0.25">
      <c r="A68" s="26" t="s">
        <v>28</v>
      </c>
      <c r="B68" s="34" t="s">
        <v>117</v>
      </c>
      <c r="C68" s="41" t="s">
        <v>139</v>
      </c>
      <c r="D68" s="9">
        <v>0</v>
      </c>
      <c r="E68" s="52">
        <v>25000</v>
      </c>
      <c r="F68" s="9">
        <v>25000</v>
      </c>
      <c r="G68" s="52">
        <v>0</v>
      </c>
      <c r="H68" s="9">
        <v>0</v>
      </c>
      <c r="I68" s="52">
        <v>0</v>
      </c>
      <c r="J68" s="47">
        <v>0</v>
      </c>
      <c r="K68" s="28">
        <f t="shared" si="19"/>
        <v>25000</v>
      </c>
      <c r="L68" s="28">
        <f t="shared" si="20"/>
        <v>25000</v>
      </c>
    </row>
    <row r="69" spans="1:16" s="25" customFormat="1" ht="33.950000000000003" customHeight="1" x14ac:dyDescent="0.25">
      <c r="A69" s="26" t="s">
        <v>25</v>
      </c>
      <c r="B69" s="39" t="s">
        <v>118</v>
      </c>
      <c r="C69" s="41" t="s">
        <v>139</v>
      </c>
      <c r="D69" s="12">
        <v>0</v>
      </c>
      <c r="E69" s="52">
        <f>5500+3600</f>
        <v>9100</v>
      </c>
      <c r="F69" s="65">
        <f>5500+3600-8965</f>
        <v>135</v>
      </c>
      <c r="G69" s="52">
        <v>0</v>
      </c>
      <c r="H69" s="65">
        <f>8965+2035</f>
        <v>11000</v>
      </c>
      <c r="I69" s="52">
        <v>0</v>
      </c>
      <c r="J69" s="47">
        <v>0</v>
      </c>
      <c r="K69" s="28">
        <f t="shared" si="19"/>
        <v>9100</v>
      </c>
      <c r="L69" s="28">
        <f t="shared" si="20"/>
        <v>11135</v>
      </c>
    </row>
    <row r="70" spans="1:16" s="25" customFormat="1" ht="24" customHeight="1" x14ac:dyDescent="0.25">
      <c r="A70" s="26" t="s">
        <v>42</v>
      </c>
      <c r="B70" s="39" t="s">
        <v>119</v>
      </c>
      <c r="C70" s="41" t="s">
        <v>139</v>
      </c>
      <c r="D70" s="9">
        <v>28.6</v>
      </c>
      <c r="E70" s="52">
        <f>11036</f>
        <v>11036</v>
      </c>
      <c r="F70" s="65">
        <f>11036-1000</f>
        <v>10036</v>
      </c>
      <c r="G70" s="52">
        <v>0</v>
      </c>
      <c r="H70" s="9">
        <v>0</v>
      </c>
      <c r="I70" s="52">
        <v>0</v>
      </c>
      <c r="J70" s="47">
        <v>0</v>
      </c>
      <c r="K70" s="28">
        <f t="shared" si="19"/>
        <v>11064.6</v>
      </c>
      <c r="L70" s="28">
        <f t="shared" si="20"/>
        <v>10064.6</v>
      </c>
    </row>
    <row r="71" spans="1:16" s="29" customFormat="1" ht="15" customHeight="1" x14ac:dyDescent="0.25">
      <c r="A71" s="26" t="s">
        <v>53</v>
      </c>
      <c r="B71" s="38" t="s">
        <v>120</v>
      </c>
      <c r="C71" s="41" t="s">
        <v>139</v>
      </c>
      <c r="D71" s="30">
        <v>0</v>
      </c>
      <c r="E71" s="63">
        <f>50000-10000</f>
        <v>40000</v>
      </c>
      <c r="F71" s="64">
        <f>50000-10000</f>
        <v>40000</v>
      </c>
      <c r="G71" s="63">
        <f>20500+10000</f>
        <v>30500</v>
      </c>
      <c r="H71" s="64">
        <f>20500+10000</f>
        <v>30500</v>
      </c>
      <c r="I71" s="63">
        <v>0</v>
      </c>
      <c r="J71" s="47">
        <v>0</v>
      </c>
      <c r="K71" s="28">
        <f t="shared" si="19"/>
        <v>70500</v>
      </c>
      <c r="L71" s="28">
        <f t="shared" si="20"/>
        <v>70500</v>
      </c>
      <c r="M71" s="25"/>
    </row>
    <row r="72" spans="1:16" s="25" customFormat="1" ht="24" customHeight="1" x14ac:dyDescent="0.25">
      <c r="A72" s="26" t="s">
        <v>55</v>
      </c>
      <c r="B72" s="34" t="s">
        <v>121</v>
      </c>
      <c r="C72" s="41" t="s">
        <v>139</v>
      </c>
      <c r="D72" s="9">
        <v>127.05</v>
      </c>
      <c r="E72" s="52">
        <v>7373</v>
      </c>
      <c r="F72" s="47">
        <v>7373</v>
      </c>
      <c r="G72" s="52">
        <v>14000</v>
      </c>
      <c r="H72" s="47">
        <v>14000</v>
      </c>
      <c r="I72" s="52">
        <v>0</v>
      </c>
      <c r="J72" s="47">
        <v>0</v>
      </c>
      <c r="K72" s="28">
        <f t="shared" si="19"/>
        <v>21500.05</v>
      </c>
      <c r="L72" s="28">
        <f t="shared" si="20"/>
        <v>21500.05</v>
      </c>
    </row>
    <row r="73" spans="1:16" s="25" customFormat="1" ht="24" customHeight="1" x14ac:dyDescent="0.25">
      <c r="A73" s="26" t="s">
        <v>56</v>
      </c>
      <c r="B73" s="39" t="s">
        <v>122</v>
      </c>
      <c r="C73" s="41" t="s">
        <v>139</v>
      </c>
      <c r="D73" s="9">
        <v>17970.75</v>
      </c>
      <c r="E73" s="52">
        <v>7029.25</v>
      </c>
      <c r="F73" s="47">
        <v>7029.25</v>
      </c>
      <c r="G73" s="52">
        <v>0</v>
      </c>
      <c r="H73" s="47">
        <v>0</v>
      </c>
      <c r="I73" s="52">
        <v>0</v>
      </c>
      <c r="J73" s="56">
        <v>0</v>
      </c>
      <c r="K73" s="28">
        <f t="shared" si="19"/>
        <v>25000</v>
      </c>
      <c r="L73" s="28">
        <f t="shared" si="20"/>
        <v>25000</v>
      </c>
    </row>
    <row r="74" spans="1:16" s="25" customFormat="1" ht="24" customHeight="1" x14ac:dyDescent="0.25">
      <c r="A74" s="26" t="s">
        <v>141</v>
      </c>
      <c r="B74" s="39" t="s">
        <v>142</v>
      </c>
      <c r="C74" s="41" t="s">
        <v>139</v>
      </c>
      <c r="D74" s="9">
        <v>0</v>
      </c>
      <c r="E74" s="52">
        <v>0</v>
      </c>
      <c r="F74" s="65">
        <v>11100</v>
      </c>
      <c r="G74" s="52">
        <v>0</v>
      </c>
      <c r="H74" s="47">
        <v>0</v>
      </c>
      <c r="I74" s="52">
        <v>0</v>
      </c>
      <c r="J74" s="56">
        <v>0</v>
      </c>
      <c r="K74" s="28">
        <f t="shared" si="19"/>
        <v>0</v>
      </c>
      <c r="L74" s="28">
        <f t="shared" si="20"/>
        <v>11100</v>
      </c>
      <c r="M74" s="50"/>
    </row>
    <row r="75" spans="1:16" s="25" customFormat="1" ht="24" customHeight="1" x14ac:dyDescent="0.25">
      <c r="A75" s="26" t="s">
        <v>143</v>
      </c>
      <c r="B75" s="39" t="s">
        <v>144</v>
      </c>
      <c r="C75" s="41" t="s">
        <v>139</v>
      </c>
      <c r="D75" s="9">
        <v>0</v>
      </c>
      <c r="E75" s="52">
        <v>0</v>
      </c>
      <c r="F75" s="65">
        <v>9350</v>
      </c>
      <c r="G75" s="52">
        <v>0</v>
      </c>
      <c r="H75" s="47">
        <v>0</v>
      </c>
      <c r="I75" s="52">
        <v>0</v>
      </c>
      <c r="J75" s="56">
        <v>0</v>
      </c>
      <c r="K75" s="28">
        <f t="shared" si="19"/>
        <v>0</v>
      </c>
      <c r="L75" s="28">
        <f t="shared" si="20"/>
        <v>9350</v>
      </c>
      <c r="M75" s="50"/>
    </row>
    <row r="76" spans="1:16" s="24" customFormat="1" ht="15" customHeight="1" x14ac:dyDescent="0.25">
      <c r="A76" s="2" t="s">
        <v>34</v>
      </c>
      <c r="B76" s="35"/>
      <c r="C76" s="42"/>
      <c r="D76" s="3">
        <f t="shared" ref="D76:L76" si="21">SUM(D51:D75)</f>
        <v>224556.02000000002</v>
      </c>
      <c r="E76" s="3">
        <f t="shared" si="21"/>
        <v>382582.3</v>
      </c>
      <c r="F76" s="3">
        <f t="shared" si="21"/>
        <v>383047.3</v>
      </c>
      <c r="G76" s="3">
        <f t="shared" si="21"/>
        <v>244787</v>
      </c>
      <c r="H76" s="3">
        <f t="shared" si="21"/>
        <v>220000</v>
      </c>
      <c r="I76" s="3">
        <f t="shared" si="21"/>
        <v>27610</v>
      </c>
      <c r="J76" s="3">
        <f t="shared" si="21"/>
        <v>11950.5</v>
      </c>
      <c r="K76" s="3">
        <f t="shared" si="21"/>
        <v>879535.32000000007</v>
      </c>
      <c r="L76" s="3">
        <f t="shared" si="21"/>
        <v>839553.82000000007</v>
      </c>
      <c r="N76" s="61"/>
      <c r="O76" s="61"/>
      <c r="P76" s="61"/>
    </row>
    <row r="77" spans="1:16" s="25" customFormat="1" ht="18" customHeight="1" x14ac:dyDescent="0.25">
      <c r="A77" s="70" t="s">
        <v>35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2"/>
      <c r="N77" s="46"/>
      <c r="O77" s="46"/>
    </row>
    <row r="78" spans="1:16" s="25" customFormat="1" ht="24" customHeight="1" x14ac:dyDescent="0.25">
      <c r="A78" s="10" t="s">
        <v>58</v>
      </c>
      <c r="B78" s="38" t="s">
        <v>123</v>
      </c>
      <c r="C78" s="41" t="s">
        <v>139</v>
      </c>
      <c r="D78" s="9">
        <v>14723.48</v>
      </c>
      <c r="E78" s="52">
        <v>6976.53</v>
      </c>
      <c r="F78" s="47">
        <v>6976.53</v>
      </c>
      <c r="G78" s="52">
        <v>0</v>
      </c>
      <c r="H78" s="47">
        <v>0</v>
      </c>
      <c r="I78" s="52">
        <v>0</v>
      </c>
      <c r="J78" s="9">
        <v>0</v>
      </c>
      <c r="K78" s="28">
        <f t="shared" ref="K78:K85" si="22">D78+E78+G78+I78</f>
        <v>21700.01</v>
      </c>
      <c r="L78" s="28">
        <f>D78+F78+H78+J78</f>
        <v>21700.01</v>
      </c>
      <c r="N78" s="46"/>
    </row>
    <row r="79" spans="1:16" s="25" customFormat="1" ht="24" customHeight="1" x14ac:dyDescent="0.25">
      <c r="A79" s="10" t="s">
        <v>124</v>
      </c>
      <c r="B79" s="38" t="s">
        <v>125</v>
      </c>
      <c r="C79" s="41" t="s">
        <v>139</v>
      </c>
      <c r="D79" s="12">
        <v>22241.64</v>
      </c>
      <c r="E79" s="66">
        <v>0</v>
      </c>
      <c r="F79" s="65">
        <v>0</v>
      </c>
      <c r="G79" s="66">
        <v>0</v>
      </c>
      <c r="H79" s="65">
        <v>0</v>
      </c>
      <c r="I79" s="66">
        <v>0</v>
      </c>
      <c r="J79" s="12">
        <v>0</v>
      </c>
      <c r="K79" s="28">
        <f t="shared" si="22"/>
        <v>22241.64</v>
      </c>
      <c r="L79" s="28">
        <f t="shared" ref="L79:L86" si="23">D79+F79+H79+J79</f>
        <v>22241.64</v>
      </c>
    </row>
    <row r="80" spans="1:16" s="25" customFormat="1" ht="24" customHeight="1" x14ac:dyDescent="0.25">
      <c r="A80" s="10" t="s">
        <v>64</v>
      </c>
      <c r="B80" s="38" t="s">
        <v>126</v>
      </c>
      <c r="C80" s="41" t="s">
        <v>139</v>
      </c>
      <c r="D80" s="9">
        <v>20898.27</v>
      </c>
      <c r="E80" s="52">
        <v>0</v>
      </c>
      <c r="F80" s="47">
        <v>0</v>
      </c>
      <c r="G80" s="52">
        <v>0</v>
      </c>
      <c r="H80" s="47">
        <v>0</v>
      </c>
      <c r="I80" s="52">
        <v>0</v>
      </c>
      <c r="J80" s="9">
        <v>0</v>
      </c>
      <c r="K80" s="28">
        <f t="shared" si="22"/>
        <v>20898.27</v>
      </c>
      <c r="L80" s="28">
        <f t="shared" si="23"/>
        <v>20898.27</v>
      </c>
    </row>
    <row r="81" spans="1:16" s="25" customFormat="1" ht="24" customHeight="1" x14ac:dyDescent="0.25">
      <c r="A81" s="10" t="s">
        <v>65</v>
      </c>
      <c r="B81" s="38" t="s">
        <v>127</v>
      </c>
      <c r="C81" s="41" t="s">
        <v>139</v>
      </c>
      <c r="D81" s="9">
        <v>28727.64</v>
      </c>
      <c r="E81" s="52">
        <v>0</v>
      </c>
      <c r="F81" s="47">
        <v>0</v>
      </c>
      <c r="G81" s="52">
        <v>0</v>
      </c>
      <c r="H81" s="47">
        <v>0</v>
      </c>
      <c r="I81" s="52">
        <v>0</v>
      </c>
      <c r="J81" s="9">
        <v>0</v>
      </c>
      <c r="K81" s="28">
        <f t="shared" si="22"/>
        <v>28727.64</v>
      </c>
      <c r="L81" s="28">
        <f t="shared" si="23"/>
        <v>28727.64</v>
      </c>
    </row>
    <row r="82" spans="1:16" s="25" customFormat="1" ht="24" customHeight="1" x14ac:dyDescent="0.25">
      <c r="A82" s="10" t="s">
        <v>66</v>
      </c>
      <c r="B82" s="38" t="s">
        <v>128</v>
      </c>
      <c r="C82" s="41" t="s">
        <v>139</v>
      </c>
      <c r="D82" s="9">
        <v>11437.7</v>
      </c>
      <c r="E82" s="52">
        <v>0</v>
      </c>
      <c r="F82" s="47">
        <v>0</v>
      </c>
      <c r="G82" s="52">
        <v>0</v>
      </c>
      <c r="H82" s="47">
        <v>0</v>
      </c>
      <c r="I82" s="52">
        <v>0</v>
      </c>
      <c r="J82" s="9">
        <v>0</v>
      </c>
      <c r="K82" s="28">
        <f t="shared" si="22"/>
        <v>11437.7</v>
      </c>
      <c r="L82" s="28">
        <f t="shared" si="23"/>
        <v>11437.7</v>
      </c>
    </row>
    <row r="83" spans="1:16" s="25" customFormat="1" ht="24" customHeight="1" x14ac:dyDescent="0.25">
      <c r="A83" s="10" t="s">
        <v>67</v>
      </c>
      <c r="B83" s="38" t="s">
        <v>129</v>
      </c>
      <c r="C83" s="41" t="s">
        <v>139</v>
      </c>
      <c r="D83" s="9">
        <v>11567.78</v>
      </c>
      <c r="E83" s="52">
        <v>0</v>
      </c>
      <c r="F83" s="47">
        <v>0</v>
      </c>
      <c r="G83" s="52">
        <v>0</v>
      </c>
      <c r="H83" s="47">
        <v>0</v>
      </c>
      <c r="I83" s="52">
        <v>0</v>
      </c>
      <c r="J83" s="9">
        <v>0</v>
      </c>
      <c r="K83" s="28">
        <f t="shared" si="22"/>
        <v>11567.78</v>
      </c>
      <c r="L83" s="28">
        <f t="shared" si="23"/>
        <v>11567.78</v>
      </c>
    </row>
    <row r="84" spans="1:16" s="25" customFormat="1" ht="15" customHeight="1" x14ac:dyDescent="0.25">
      <c r="A84" s="10" t="s">
        <v>130</v>
      </c>
      <c r="B84" s="38" t="s">
        <v>131</v>
      </c>
      <c r="C84" s="41" t="s">
        <v>139</v>
      </c>
      <c r="D84" s="9">
        <v>1099.1500000000001</v>
      </c>
      <c r="E84" s="52">
        <v>22900.85</v>
      </c>
      <c r="F84" s="47">
        <v>22900.85</v>
      </c>
      <c r="G84" s="52">
        <v>0</v>
      </c>
      <c r="H84" s="47">
        <v>0</v>
      </c>
      <c r="I84" s="52">
        <v>0</v>
      </c>
      <c r="J84" s="9">
        <v>0</v>
      </c>
      <c r="K84" s="28">
        <f t="shared" si="22"/>
        <v>24000</v>
      </c>
      <c r="L84" s="28">
        <f t="shared" si="23"/>
        <v>24000</v>
      </c>
    </row>
    <row r="85" spans="1:16" s="25" customFormat="1" ht="24" customHeight="1" x14ac:dyDescent="0.25">
      <c r="A85" s="10" t="s">
        <v>37</v>
      </c>
      <c r="B85" s="38" t="s">
        <v>132</v>
      </c>
      <c r="C85" s="41" t="s">
        <v>139</v>
      </c>
      <c r="D85" s="9">
        <v>34.11</v>
      </c>
      <c r="E85" s="52">
        <v>93382</v>
      </c>
      <c r="F85" s="47">
        <v>93382</v>
      </c>
      <c r="G85" s="52">
        <v>50000</v>
      </c>
      <c r="H85" s="47">
        <v>50000</v>
      </c>
      <c r="I85" s="52">
        <v>0</v>
      </c>
      <c r="J85" s="9">
        <v>0</v>
      </c>
      <c r="K85" s="28">
        <f t="shared" si="22"/>
        <v>143416.10999999999</v>
      </c>
      <c r="L85" s="28">
        <f t="shared" si="23"/>
        <v>143416.10999999999</v>
      </c>
    </row>
    <row r="86" spans="1:16" s="25" customFormat="1" ht="24" customHeight="1" x14ac:dyDescent="0.25">
      <c r="A86" s="11" t="s">
        <v>36</v>
      </c>
      <c r="B86" s="38" t="s">
        <v>133</v>
      </c>
      <c r="C86" s="41" t="s">
        <v>139</v>
      </c>
      <c r="D86" s="12">
        <v>29.04</v>
      </c>
      <c r="E86" s="66">
        <f>94970.96</f>
        <v>94970.96</v>
      </c>
      <c r="F86" s="47">
        <f>94970.96-80000</f>
        <v>14970.960000000006</v>
      </c>
      <c r="G86" s="66">
        <f>10000</f>
        <v>10000</v>
      </c>
      <c r="H86" s="65">
        <f>10000+80000</f>
        <v>90000</v>
      </c>
      <c r="I86" s="66">
        <v>0</v>
      </c>
      <c r="J86" s="12">
        <v>0</v>
      </c>
      <c r="K86" s="28">
        <f>D86+E86+G86+I86</f>
        <v>105000</v>
      </c>
      <c r="L86" s="28">
        <f t="shared" si="23"/>
        <v>105000</v>
      </c>
    </row>
    <row r="87" spans="1:16" s="25" customFormat="1" ht="24" customHeight="1" x14ac:dyDescent="0.25">
      <c r="A87" s="11" t="s">
        <v>155</v>
      </c>
      <c r="B87" s="38" t="s">
        <v>152</v>
      </c>
      <c r="C87" s="41" t="s">
        <v>139</v>
      </c>
      <c r="D87" s="12">
        <v>0</v>
      </c>
      <c r="E87" s="66">
        <v>0</v>
      </c>
      <c r="F87" s="47">
        <v>30200</v>
      </c>
      <c r="G87" s="66">
        <v>0</v>
      </c>
      <c r="H87" s="65">
        <v>0</v>
      </c>
      <c r="I87" s="66">
        <v>0</v>
      </c>
      <c r="J87" s="12">
        <v>0</v>
      </c>
      <c r="K87" s="28">
        <f>D87+E87+G87+I87</f>
        <v>0</v>
      </c>
      <c r="L87" s="28">
        <f>D87+F87+H87+J87</f>
        <v>30200</v>
      </c>
      <c r="M87" s="50"/>
    </row>
    <row r="88" spans="1:16" s="25" customFormat="1" ht="24" customHeight="1" x14ac:dyDescent="0.25">
      <c r="A88" s="11" t="s">
        <v>156</v>
      </c>
      <c r="B88" s="38" t="s">
        <v>151</v>
      </c>
      <c r="C88" s="41" t="s">
        <v>139</v>
      </c>
      <c r="D88" s="12">
        <v>0</v>
      </c>
      <c r="E88" s="66">
        <v>0</v>
      </c>
      <c r="F88" s="47">
        <v>40000</v>
      </c>
      <c r="G88" s="66">
        <v>0</v>
      </c>
      <c r="H88" s="65">
        <v>140000</v>
      </c>
      <c r="I88" s="66">
        <v>0</v>
      </c>
      <c r="J88" s="12">
        <v>0</v>
      </c>
      <c r="K88" s="28">
        <f>D88+E88+G88+I88</f>
        <v>0</v>
      </c>
      <c r="L88" s="28">
        <f>D88+F88+H88+J88</f>
        <v>180000</v>
      </c>
      <c r="M88" s="50"/>
    </row>
    <row r="89" spans="1:16" s="29" customFormat="1" ht="24" customHeight="1" x14ac:dyDescent="0.25">
      <c r="A89" s="26" t="s">
        <v>157</v>
      </c>
      <c r="B89" s="34" t="s">
        <v>153</v>
      </c>
      <c r="C89" s="41" t="s">
        <v>137</v>
      </c>
      <c r="D89" s="27">
        <v>0</v>
      </c>
      <c r="E89" s="66">
        <v>0</v>
      </c>
      <c r="F89" s="27">
        <v>15500</v>
      </c>
      <c r="G89" s="66">
        <v>0</v>
      </c>
      <c r="H89" s="27">
        <v>0</v>
      </c>
      <c r="I89" s="66">
        <v>0</v>
      </c>
      <c r="J89" s="55">
        <v>0</v>
      </c>
      <c r="K89" s="28">
        <f>D89+E89+G89+I89</f>
        <v>0</v>
      </c>
      <c r="L89" s="28">
        <f>D89+F89+H89+J89</f>
        <v>15500</v>
      </c>
    </row>
    <row r="90" spans="1:16" s="29" customFormat="1" ht="24" customHeight="1" x14ac:dyDescent="0.25">
      <c r="A90" s="26" t="s">
        <v>158</v>
      </c>
      <c r="B90" s="34" t="s">
        <v>154</v>
      </c>
      <c r="C90" s="41" t="s">
        <v>137</v>
      </c>
      <c r="D90" s="27">
        <v>0</v>
      </c>
      <c r="E90" s="66">
        <v>0</v>
      </c>
      <c r="F90" s="27">
        <v>20000</v>
      </c>
      <c r="G90" s="66">
        <v>0</v>
      </c>
      <c r="H90" s="27">
        <v>0</v>
      </c>
      <c r="I90" s="66">
        <v>0</v>
      </c>
      <c r="J90" s="55">
        <v>0</v>
      </c>
      <c r="K90" s="28">
        <f>D90+E90+G90+I90</f>
        <v>0</v>
      </c>
      <c r="L90" s="28">
        <f>D90+F90+H90+J90</f>
        <v>20000</v>
      </c>
    </row>
    <row r="91" spans="1:16" s="24" customFormat="1" ht="15" customHeight="1" thickBot="1" x14ac:dyDescent="0.3">
      <c r="A91" s="2" t="s">
        <v>38</v>
      </c>
      <c r="B91" s="35"/>
      <c r="C91" s="42"/>
      <c r="D91" s="3">
        <f t="shared" ref="D91:K91" si="24">SUM(D78:D90)</f>
        <v>110758.80999999998</v>
      </c>
      <c r="E91" s="3">
        <f t="shared" si="24"/>
        <v>218230.34000000003</v>
      </c>
      <c r="F91" s="3">
        <f t="shared" si="24"/>
        <v>243930.34000000003</v>
      </c>
      <c r="G91" s="3">
        <f t="shared" si="24"/>
        <v>60000</v>
      </c>
      <c r="H91" s="3">
        <f t="shared" si="24"/>
        <v>280000</v>
      </c>
      <c r="I91" s="3">
        <f t="shared" si="24"/>
        <v>0</v>
      </c>
      <c r="J91" s="3">
        <f t="shared" si="24"/>
        <v>0</v>
      </c>
      <c r="K91" s="3">
        <f t="shared" si="24"/>
        <v>388989.14999999997</v>
      </c>
      <c r="L91" s="3">
        <f>SUM(L78:L90)</f>
        <v>634689.14999999991</v>
      </c>
      <c r="N91" s="61"/>
      <c r="O91" s="61"/>
      <c r="P91" s="61"/>
    </row>
    <row r="92" spans="1:16" s="24" customFormat="1" ht="25.5" customHeight="1" thickBot="1" x14ac:dyDescent="0.3">
      <c r="A92" s="5" t="s">
        <v>39</v>
      </c>
      <c r="B92" s="36"/>
      <c r="C92" s="43"/>
      <c r="D92" s="6">
        <f t="shared" ref="D92:L92" si="25">D91+D76+D49+D41+D36</f>
        <v>378688.57</v>
      </c>
      <c r="E92" s="6">
        <f t="shared" si="25"/>
        <v>1147755.6099999999</v>
      </c>
      <c r="F92" s="6">
        <f t="shared" si="25"/>
        <v>927075.61</v>
      </c>
      <c r="G92" s="6">
        <f t="shared" si="25"/>
        <v>943758</v>
      </c>
      <c r="H92" s="6">
        <f t="shared" si="25"/>
        <v>1270316</v>
      </c>
      <c r="I92" s="6">
        <f t="shared" si="25"/>
        <v>134869</v>
      </c>
      <c r="J92" s="6">
        <f t="shared" si="25"/>
        <v>69209.5</v>
      </c>
      <c r="K92" s="6">
        <f t="shared" si="25"/>
        <v>2605071.1800000002</v>
      </c>
      <c r="L92" s="6">
        <f t="shared" si="25"/>
        <v>2645289.6800000002</v>
      </c>
    </row>
    <row r="93" spans="1:16" s="24" customFormat="1" ht="13.5" thickBot="1" x14ac:dyDescent="0.3">
      <c r="A93" s="8"/>
      <c r="B93" s="37"/>
      <c r="C93" s="44"/>
      <c r="D93" s="13"/>
      <c r="E93" s="13"/>
      <c r="F93" s="13"/>
      <c r="G93" s="13"/>
      <c r="H93" s="13"/>
      <c r="I93" s="13"/>
      <c r="J93" s="13"/>
      <c r="K93" s="13"/>
      <c r="L93" s="15"/>
    </row>
    <row r="94" spans="1:16" s="24" customFormat="1" ht="21" customHeight="1" thickBot="1" x14ac:dyDescent="0.3">
      <c r="A94" s="5" t="s">
        <v>40</v>
      </c>
      <c r="B94" s="36"/>
      <c r="C94" s="43"/>
      <c r="D94" s="6">
        <f>SUM(D20,D26,D92)+0.45</f>
        <v>387806.92845000001</v>
      </c>
      <c r="E94" s="6">
        <f t="shared" ref="E94:I94" si="26">SUM(E20,E26,E92)</f>
        <v>1424852</v>
      </c>
      <c r="F94" s="6">
        <f t="shared" si="26"/>
        <v>1163953</v>
      </c>
      <c r="G94" s="6">
        <f t="shared" si="26"/>
        <v>1052473</v>
      </c>
      <c r="H94" s="6">
        <f t="shared" si="26"/>
        <v>1379031</v>
      </c>
      <c r="I94" s="6">
        <f t="shared" si="26"/>
        <v>134869</v>
      </c>
      <c r="J94" s="6">
        <f>SUM(J20,J26,J92)</f>
        <v>69209.5</v>
      </c>
      <c r="K94" s="6">
        <f>SUM(K20,K26,K92)</f>
        <v>3000000.4784500003</v>
      </c>
      <c r="L94" s="6">
        <f>SUM(L20,L26,L92)</f>
        <v>2999999.9784500003</v>
      </c>
      <c r="N94" s="61"/>
    </row>
    <row r="97" spans="12:13" x14ac:dyDescent="0.2">
      <c r="L97" s="51"/>
      <c r="M97" s="21"/>
    </row>
  </sheetData>
  <mergeCells count="17">
    <mergeCell ref="A2:L2"/>
    <mergeCell ref="A4:A5"/>
    <mergeCell ref="D4:I4"/>
    <mergeCell ref="L4:L5"/>
    <mergeCell ref="A6:L6"/>
    <mergeCell ref="A37:L37"/>
    <mergeCell ref="A42:L42"/>
    <mergeCell ref="A50:L50"/>
    <mergeCell ref="A77:L77"/>
    <mergeCell ref="K4:K5"/>
    <mergeCell ref="A11:L11"/>
    <mergeCell ref="A17:L17"/>
    <mergeCell ref="A22:L22"/>
    <mergeCell ref="A23:L23"/>
    <mergeCell ref="A28:L28"/>
    <mergeCell ref="A29:L29"/>
    <mergeCell ref="A7:L7"/>
  </mergeCells>
  <conditionalFormatting sqref="K78 K46">
    <cfRule type="cellIs" dxfId="247" priority="393" operator="lessThan">
      <formula>#REF!</formula>
    </cfRule>
    <cfRule type="cellIs" dxfId="246" priority="394" operator="greaterThan">
      <formula>#REF!</formula>
    </cfRule>
  </conditionalFormatting>
  <conditionalFormatting sqref="E24 E8:F8 E10:F10 E35:H35 E46:K46 E64:K66 E78:H81 E68:K68 E63 G62:K63 K67 J70:K72 J69 G24:J24 E34 G34:H34 E48 E47:G47 G48 I47:K48 J34:K34 E84:K90">
    <cfRule type="cellIs" dxfId="245" priority="391" operator="lessThan">
      <formula>#REF!</formula>
    </cfRule>
    <cfRule type="cellIs" dxfId="244" priority="392" operator="greaterThan">
      <formula>#REF!</formula>
    </cfRule>
  </conditionalFormatting>
  <conditionalFormatting sqref="G8:H8 E16:L16 I18:K18 G19:K19 J35 G10:J10 G25:L25 E43:K45 D64:K66 I72 D70:I70 D68:I68 I78:K85 J68:J72 D67 D61:E61 G61 E63 G63:K63 D60:G60 D51:K58 K60:K68 K70:K75 D72:H75 I73:J75 D30:H33 K30:K35 E41:L41 D36:L36 D86:D90 K86:K90 L78:L90 K24:L24 K89:L90 F24 F87:F90 J30:J33">
    <cfRule type="cellIs" dxfId="243" priority="389" operator="lessThan">
      <formula>#REF!</formula>
    </cfRule>
    <cfRule type="cellIs" dxfId="242" priority="390" operator="greaterThan">
      <formula>#REF!</formula>
    </cfRule>
  </conditionalFormatting>
  <conditionalFormatting sqref="I8:J8">
    <cfRule type="cellIs" dxfId="241" priority="387" operator="lessThan">
      <formula>#REF!</formula>
    </cfRule>
    <cfRule type="cellIs" dxfId="240" priority="388" operator="greaterThan">
      <formula>#REF!</formula>
    </cfRule>
  </conditionalFormatting>
  <conditionalFormatting sqref="K8 K10:L10">
    <cfRule type="cellIs" dxfId="239" priority="385" operator="lessThan">
      <formula>#REF!</formula>
    </cfRule>
    <cfRule type="cellIs" dxfId="238" priority="386" operator="greaterThan">
      <formula>#REF!</formula>
    </cfRule>
  </conditionalFormatting>
  <conditionalFormatting sqref="D46 D8 D10 D76:L76">
    <cfRule type="cellIs" dxfId="237" priority="383" operator="lessThan">
      <formula>#REF!</formula>
    </cfRule>
    <cfRule type="cellIs" dxfId="236" priority="384" operator="greaterThan">
      <formula>#REF!</formula>
    </cfRule>
  </conditionalFormatting>
  <conditionalFormatting sqref="K25:L25">
    <cfRule type="cellIs" dxfId="235" priority="373" operator="lessThan">
      <formula>#REF!</formula>
    </cfRule>
    <cfRule type="cellIs" dxfId="234" priority="374" operator="greaterThan">
      <formula>#REF!</formula>
    </cfRule>
  </conditionalFormatting>
  <conditionalFormatting sqref="D35">
    <cfRule type="cellIs" dxfId="233" priority="369" operator="lessThan">
      <formula>#REF!</formula>
    </cfRule>
    <cfRule type="cellIs" dxfId="232" priority="370" operator="greaterThan">
      <formula>#REF!</formula>
    </cfRule>
  </conditionalFormatting>
  <conditionalFormatting sqref="D47:D48">
    <cfRule type="cellIs" dxfId="231" priority="353" operator="lessThan">
      <formula>#REF!</formula>
    </cfRule>
    <cfRule type="cellIs" dxfId="230" priority="354" operator="greaterThan">
      <formula>#REF!</formula>
    </cfRule>
  </conditionalFormatting>
  <conditionalFormatting sqref="K47">
    <cfRule type="cellIs" dxfId="229" priority="351" operator="lessThan">
      <formula>#REF!</formula>
    </cfRule>
    <cfRule type="cellIs" dxfId="228" priority="352" operator="greaterThan">
      <formula>#REF!</formula>
    </cfRule>
  </conditionalFormatting>
  <conditionalFormatting sqref="D24:D25">
    <cfRule type="cellIs" dxfId="227" priority="381" operator="lessThan">
      <formula>#REF!</formula>
    </cfRule>
    <cfRule type="cellIs" dxfId="226" priority="382" operator="greaterThan">
      <formula>#REF!</formula>
    </cfRule>
  </conditionalFormatting>
  <conditionalFormatting sqref="E25:F25">
    <cfRule type="cellIs" dxfId="225" priority="379" operator="lessThan">
      <formula>#REF!</formula>
    </cfRule>
    <cfRule type="cellIs" dxfId="224" priority="380" operator="greaterThan">
      <formula>#REF!</formula>
    </cfRule>
  </conditionalFormatting>
  <conditionalFormatting sqref="D34">
    <cfRule type="cellIs" dxfId="223" priority="365" operator="lessThan">
      <formula>#REF!</formula>
    </cfRule>
    <cfRule type="cellIs" dxfId="222" priority="366" operator="greaterThan">
      <formula>#REF!</formula>
    </cfRule>
  </conditionalFormatting>
  <conditionalFormatting sqref="D41">
    <cfRule type="cellIs" dxfId="221" priority="357" operator="lessThan">
      <formula>#REF!</formula>
    </cfRule>
    <cfRule type="cellIs" dxfId="220" priority="358" operator="greaterThan">
      <formula>#REF!</formula>
    </cfRule>
  </conditionalFormatting>
  <conditionalFormatting sqref="K9">
    <cfRule type="cellIs" dxfId="219" priority="315" operator="lessThan">
      <formula>#REF!</formula>
    </cfRule>
    <cfRule type="cellIs" dxfId="218" priority="316" operator="greaterThan">
      <formula>#REF!</formula>
    </cfRule>
  </conditionalFormatting>
  <conditionalFormatting sqref="K48">
    <cfRule type="cellIs" dxfId="217" priority="323" operator="lessThan">
      <formula>#REF!</formula>
    </cfRule>
    <cfRule type="cellIs" dxfId="216" priority="324" operator="greaterThan">
      <formula>#REF!</formula>
    </cfRule>
  </conditionalFormatting>
  <conditionalFormatting sqref="E9:F9">
    <cfRule type="cellIs" dxfId="215" priority="321" operator="lessThan">
      <formula>#REF!</formula>
    </cfRule>
    <cfRule type="cellIs" dxfId="214" priority="322" operator="greaterThan">
      <formula>#REF!</formula>
    </cfRule>
  </conditionalFormatting>
  <conditionalFormatting sqref="D62:D68">
    <cfRule type="cellIs" dxfId="213" priority="349" operator="lessThan">
      <formula>#REF!</formula>
    </cfRule>
    <cfRule type="cellIs" dxfId="212" priority="350" operator="greaterThan">
      <formula>#REF!</formula>
    </cfRule>
  </conditionalFormatting>
  <conditionalFormatting sqref="D85">
    <cfRule type="cellIs" dxfId="211" priority="341" operator="lessThan">
      <formula>#REF!</formula>
    </cfRule>
    <cfRule type="cellIs" dxfId="210" priority="342" operator="greaterThan">
      <formula>#REF!</formula>
    </cfRule>
  </conditionalFormatting>
  <conditionalFormatting sqref="K85">
    <cfRule type="cellIs" dxfId="209" priority="339" operator="lessThan">
      <formula>#REF!</formula>
    </cfRule>
    <cfRule type="cellIs" dxfId="208" priority="340" operator="greaterThan">
      <formula>#REF!</formula>
    </cfRule>
  </conditionalFormatting>
  <conditionalFormatting sqref="D84:D85">
    <cfRule type="cellIs" dxfId="207" priority="337" operator="lessThan">
      <formula>#REF!</formula>
    </cfRule>
    <cfRule type="cellIs" dxfId="206" priority="338" operator="greaterThan">
      <formula>#REF!</formula>
    </cfRule>
  </conditionalFormatting>
  <conditionalFormatting sqref="K84:K85">
    <cfRule type="cellIs" dxfId="205" priority="335" operator="lessThan">
      <formula>#REF!</formula>
    </cfRule>
    <cfRule type="cellIs" dxfId="204" priority="336" operator="greaterThan">
      <formula>#REF!</formula>
    </cfRule>
  </conditionalFormatting>
  <conditionalFormatting sqref="D78">
    <cfRule type="cellIs" dxfId="203" priority="333" operator="lessThan">
      <formula>#REF!</formula>
    </cfRule>
    <cfRule type="cellIs" dxfId="202" priority="334" operator="greaterThan">
      <formula>#REF!</formula>
    </cfRule>
  </conditionalFormatting>
  <conditionalFormatting sqref="K79:K81">
    <cfRule type="cellIs" dxfId="201" priority="329" operator="lessThan">
      <formula>#REF!</formula>
    </cfRule>
    <cfRule type="cellIs" dxfId="200" priority="330" operator="greaterThan">
      <formula>#REF!</formula>
    </cfRule>
  </conditionalFormatting>
  <conditionalFormatting sqref="D79:D81">
    <cfRule type="cellIs" dxfId="199" priority="327" operator="lessThan">
      <formula>#REF!</formula>
    </cfRule>
    <cfRule type="cellIs" dxfId="198" priority="328" operator="greaterThan">
      <formula>#REF!</formula>
    </cfRule>
  </conditionalFormatting>
  <conditionalFormatting sqref="K19">
    <cfRule type="cellIs" dxfId="197" priority="265" operator="lessThan">
      <formula>#REF!</formula>
    </cfRule>
    <cfRule type="cellIs" dxfId="196" priority="266" operator="greaterThan">
      <formula>#REF!</formula>
    </cfRule>
  </conditionalFormatting>
  <conditionalFormatting sqref="D19">
    <cfRule type="cellIs" dxfId="195" priority="263" operator="lessThan">
      <formula>#REF!</formula>
    </cfRule>
    <cfRule type="cellIs" dxfId="194" priority="264" operator="greaterThan">
      <formula>#REF!</formula>
    </cfRule>
  </conditionalFormatting>
  <conditionalFormatting sqref="G9:H9">
    <cfRule type="cellIs" dxfId="193" priority="319" operator="lessThan">
      <formula>#REF!</formula>
    </cfRule>
    <cfRule type="cellIs" dxfId="192" priority="320" operator="greaterThan">
      <formula>#REF!</formula>
    </cfRule>
  </conditionalFormatting>
  <conditionalFormatting sqref="D45">
    <cfRule type="cellIs" dxfId="191" priority="257" operator="lessThan">
      <formula>#REF!</formula>
    </cfRule>
    <cfRule type="cellIs" dxfId="190" priority="258" operator="greaterThan">
      <formula>#REF!</formula>
    </cfRule>
  </conditionalFormatting>
  <conditionalFormatting sqref="D43:D44">
    <cfRule type="cellIs" dxfId="189" priority="255" operator="lessThan">
      <formula>#REF!</formula>
    </cfRule>
    <cfRule type="cellIs" dxfId="188" priority="256" operator="greaterThan">
      <formula>#REF!</formula>
    </cfRule>
  </conditionalFormatting>
  <conditionalFormatting sqref="K43">
    <cfRule type="cellIs" dxfId="187" priority="253" operator="lessThan">
      <formula>#REF!</formula>
    </cfRule>
    <cfRule type="cellIs" dxfId="186" priority="254" operator="greaterThan">
      <formula>#REF!</formula>
    </cfRule>
  </conditionalFormatting>
  <conditionalFormatting sqref="K44">
    <cfRule type="cellIs" dxfId="185" priority="251" operator="lessThan">
      <formula>#REF!</formula>
    </cfRule>
    <cfRule type="cellIs" dxfId="184" priority="252" operator="greaterThan">
      <formula>#REF!</formula>
    </cfRule>
  </conditionalFormatting>
  <conditionalFormatting sqref="I9:J9">
    <cfRule type="cellIs" dxfId="183" priority="317" operator="lessThan">
      <formula>#REF!</formula>
    </cfRule>
    <cfRule type="cellIs" dxfId="182" priority="318" operator="greaterThan">
      <formula>#REF!</formula>
    </cfRule>
  </conditionalFormatting>
  <conditionalFormatting sqref="D9">
    <cfRule type="cellIs" dxfId="181" priority="313" operator="lessThan">
      <formula>#REF!</formula>
    </cfRule>
    <cfRule type="cellIs" dxfId="180" priority="314" operator="greaterThan">
      <formula>#REF!</formula>
    </cfRule>
  </conditionalFormatting>
  <conditionalFormatting sqref="E12:F13 E15:F15">
    <cfRule type="cellIs" dxfId="179" priority="311" operator="lessThan">
      <formula>#REF!</formula>
    </cfRule>
    <cfRule type="cellIs" dxfId="178" priority="312" operator="greaterThan">
      <formula>#REF!</formula>
    </cfRule>
  </conditionalFormatting>
  <conditionalFormatting sqref="G12:H13 G15:H15">
    <cfRule type="cellIs" dxfId="177" priority="309" operator="lessThan">
      <formula>#REF!</formula>
    </cfRule>
    <cfRule type="cellIs" dxfId="176" priority="310" operator="greaterThan">
      <formula>#REF!</formula>
    </cfRule>
  </conditionalFormatting>
  <conditionalFormatting sqref="I12:J13 I15:J15">
    <cfRule type="cellIs" dxfId="175" priority="307" operator="lessThan">
      <formula>#REF!</formula>
    </cfRule>
    <cfRule type="cellIs" dxfId="174" priority="308" operator="greaterThan">
      <formula>#REF!</formula>
    </cfRule>
  </conditionalFormatting>
  <conditionalFormatting sqref="K12:K13 K15">
    <cfRule type="cellIs" dxfId="173" priority="305" operator="lessThan">
      <formula>#REF!</formula>
    </cfRule>
    <cfRule type="cellIs" dxfId="172" priority="306" operator="greaterThan">
      <formula>#REF!</formula>
    </cfRule>
  </conditionalFormatting>
  <conditionalFormatting sqref="D12:D13 D15">
    <cfRule type="cellIs" dxfId="171" priority="303" operator="lessThan">
      <formula>#REF!</formula>
    </cfRule>
    <cfRule type="cellIs" dxfId="170" priority="304" operator="greaterThan">
      <formula>#REF!</formula>
    </cfRule>
  </conditionalFormatting>
  <conditionalFormatting sqref="E13:F14">
    <cfRule type="cellIs" dxfId="169" priority="301" operator="lessThan">
      <formula>#REF!</formula>
    </cfRule>
    <cfRule type="cellIs" dxfId="168" priority="302" operator="greaterThan">
      <formula>#REF!</formula>
    </cfRule>
  </conditionalFormatting>
  <conditionalFormatting sqref="G13:H14">
    <cfRule type="cellIs" dxfId="167" priority="299" operator="lessThan">
      <formula>#REF!</formula>
    </cfRule>
    <cfRule type="cellIs" dxfId="166" priority="300" operator="greaterThan">
      <formula>#REF!</formula>
    </cfRule>
  </conditionalFormatting>
  <conditionalFormatting sqref="I13:J14">
    <cfRule type="cellIs" dxfId="165" priority="297" operator="lessThan">
      <formula>#REF!</formula>
    </cfRule>
    <cfRule type="cellIs" dxfId="164" priority="298" operator="greaterThan">
      <formula>#REF!</formula>
    </cfRule>
  </conditionalFormatting>
  <conditionalFormatting sqref="K13:K14">
    <cfRule type="cellIs" dxfId="163" priority="295" operator="lessThan">
      <formula>#REF!</formula>
    </cfRule>
    <cfRule type="cellIs" dxfId="162" priority="296" operator="greaterThan">
      <formula>#REF!</formula>
    </cfRule>
  </conditionalFormatting>
  <conditionalFormatting sqref="D13:D14">
    <cfRule type="cellIs" dxfId="161" priority="293" operator="lessThan">
      <formula>#REF!</formula>
    </cfRule>
    <cfRule type="cellIs" dxfId="160" priority="294" operator="greaterThan">
      <formula>#REF!</formula>
    </cfRule>
  </conditionalFormatting>
  <conditionalFormatting sqref="D16">
    <cfRule type="cellIs" dxfId="159" priority="283" operator="lessThan">
      <formula>#REF!</formula>
    </cfRule>
    <cfRule type="cellIs" dxfId="158" priority="284" operator="greaterThan">
      <formula>#REF!</formula>
    </cfRule>
  </conditionalFormatting>
  <conditionalFormatting sqref="E18:F18">
    <cfRule type="cellIs" dxfId="157" priority="281" operator="lessThan">
      <formula>#REF!</formula>
    </cfRule>
    <cfRule type="cellIs" dxfId="156" priority="282" operator="greaterThan">
      <formula>#REF!</formula>
    </cfRule>
  </conditionalFormatting>
  <conditionalFormatting sqref="G18:H18">
    <cfRule type="cellIs" dxfId="155" priority="279" operator="lessThan">
      <formula>#REF!</formula>
    </cfRule>
    <cfRule type="cellIs" dxfId="154" priority="280" operator="greaterThan">
      <formula>#REF!</formula>
    </cfRule>
  </conditionalFormatting>
  <conditionalFormatting sqref="K18">
    <cfRule type="cellIs" dxfId="153" priority="275" operator="lessThan">
      <formula>#REF!</formula>
    </cfRule>
    <cfRule type="cellIs" dxfId="152" priority="276" operator="greaterThan">
      <formula>#REF!</formula>
    </cfRule>
  </conditionalFormatting>
  <conditionalFormatting sqref="D18">
    <cfRule type="cellIs" dxfId="151" priority="273" operator="lessThan">
      <formula>#REF!</formula>
    </cfRule>
    <cfRule type="cellIs" dxfId="150" priority="274" operator="greaterThan">
      <formula>#REF!</formula>
    </cfRule>
  </conditionalFormatting>
  <conditionalFormatting sqref="E19:F19">
    <cfRule type="cellIs" dxfId="149" priority="271" operator="lessThan">
      <formula>#REF!</formula>
    </cfRule>
    <cfRule type="cellIs" dxfId="148" priority="272" operator="greaterThan">
      <formula>#REF!</formula>
    </cfRule>
  </conditionalFormatting>
  <conditionalFormatting sqref="K45">
    <cfRule type="cellIs" dxfId="147" priority="261" operator="lessThan">
      <formula>#REF!</formula>
    </cfRule>
    <cfRule type="cellIs" dxfId="146" priority="262" operator="greaterThan">
      <formula>#REF!</formula>
    </cfRule>
  </conditionalFormatting>
  <conditionalFormatting sqref="K51:K58">
    <cfRule type="cellIs" dxfId="145" priority="249" operator="lessThan">
      <formula>#REF!</formula>
    </cfRule>
    <cfRule type="cellIs" dxfId="144" priority="250" operator="greaterThan">
      <formula>#REF!</formula>
    </cfRule>
  </conditionalFormatting>
  <conditionalFormatting sqref="K60">
    <cfRule type="cellIs" dxfId="143" priority="247" operator="lessThan">
      <formula>#REF!</formula>
    </cfRule>
    <cfRule type="cellIs" dxfId="142" priority="248" operator="greaterThan">
      <formula>#REF!</formula>
    </cfRule>
  </conditionalFormatting>
  <conditionalFormatting sqref="E69:I69">
    <cfRule type="cellIs" dxfId="141" priority="245" operator="lessThan">
      <formula>#REF!</formula>
    </cfRule>
    <cfRule type="cellIs" dxfId="140" priority="246" operator="greaterThan">
      <formula>#REF!</formula>
    </cfRule>
  </conditionalFormatting>
  <conditionalFormatting sqref="D69">
    <cfRule type="cellIs" dxfId="139" priority="243" operator="lessThan">
      <formula>#REF!</formula>
    </cfRule>
    <cfRule type="cellIs" dxfId="138" priority="244" operator="greaterThan">
      <formula>#REF!</formula>
    </cfRule>
  </conditionalFormatting>
  <conditionalFormatting sqref="K72">
    <cfRule type="cellIs" dxfId="137" priority="215" operator="lessThan">
      <formula>#REF!</formula>
    </cfRule>
    <cfRule type="cellIs" dxfId="136" priority="216" operator="greaterThan">
      <formula>#REF!</formula>
    </cfRule>
  </conditionalFormatting>
  <conditionalFormatting sqref="K52">
    <cfRule type="cellIs" dxfId="135" priority="239" operator="lessThan">
      <formula>#REF!</formula>
    </cfRule>
    <cfRule type="cellIs" dxfId="134" priority="240" operator="greaterThan">
      <formula>#REF!</formula>
    </cfRule>
  </conditionalFormatting>
  <conditionalFormatting sqref="D65:D68">
    <cfRule type="cellIs" dxfId="133" priority="235" operator="lessThan">
      <formula>#REF!</formula>
    </cfRule>
    <cfRule type="cellIs" dxfId="132" priority="236" operator="greaterThan">
      <formula>#REF!</formula>
    </cfRule>
  </conditionalFormatting>
  <conditionalFormatting sqref="K60 K54:K58">
    <cfRule type="cellIs" dxfId="131" priority="231" operator="lessThan">
      <formula>#REF!</formula>
    </cfRule>
    <cfRule type="cellIs" dxfId="130" priority="232" operator="greaterThan">
      <formula>#REF!</formula>
    </cfRule>
  </conditionalFormatting>
  <conditionalFormatting sqref="K53 K61">
    <cfRule type="cellIs" dxfId="129" priority="229" operator="lessThan">
      <formula>#REF!</formula>
    </cfRule>
    <cfRule type="cellIs" dxfId="128" priority="230" operator="greaterThan">
      <formula>#REF!</formula>
    </cfRule>
  </conditionalFormatting>
  <conditionalFormatting sqref="D63:D68">
    <cfRule type="cellIs" dxfId="127" priority="225" operator="lessThan">
      <formula>#REF!</formula>
    </cfRule>
    <cfRule type="cellIs" dxfId="126" priority="226" operator="greaterThan">
      <formula>#REF!</formula>
    </cfRule>
  </conditionalFormatting>
  <conditionalFormatting sqref="E71:I71">
    <cfRule type="cellIs" dxfId="125" priority="221" operator="lessThan">
      <formula>#REF!</formula>
    </cfRule>
    <cfRule type="cellIs" dxfId="124" priority="222" operator="greaterThan">
      <formula>#REF!</formula>
    </cfRule>
  </conditionalFormatting>
  <conditionalFormatting sqref="D71">
    <cfRule type="cellIs" dxfId="123" priority="219" operator="lessThan">
      <formula>#REF!</formula>
    </cfRule>
    <cfRule type="cellIs" dxfId="122" priority="220" operator="greaterThan">
      <formula>#REF!</formula>
    </cfRule>
  </conditionalFormatting>
  <conditionalFormatting sqref="K71">
    <cfRule type="cellIs" dxfId="121" priority="217" operator="lessThan">
      <formula>#REF!</formula>
    </cfRule>
    <cfRule type="cellIs" dxfId="120" priority="218" operator="greaterThan">
      <formula>#REF!</formula>
    </cfRule>
  </conditionalFormatting>
  <conditionalFormatting sqref="K56:K58 K73:K75">
    <cfRule type="cellIs" dxfId="119" priority="213" operator="lessThan">
      <formula>#REF!</formula>
    </cfRule>
    <cfRule type="cellIs" dxfId="118" priority="214" operator="greaterThan">
      <formula>#REF!</formula>
    </cfRule>
  </conditionalFormatting>
  <conditionalFormatting sqref="E82:H85">
    <cfRule type="cellIs" dxfId="117" priority="211" operator="lessThan">
      <formula>#REF!</formula>
    </cfRule>
    <cfRule type="cellIs" dxfId="116" priority="212" operator="greaterThan">
      <formula>#REF!</formula>
    </cfRule>
  </conditionalFormatting>
  <conditionalFormatting sqref="K82:K85">
    <cfRule type="cellIs" dxfId="115" priority="209" operator="lessThan">
      <formula>#REF!</formula>
    </cfRule>
    <cfRule type="cellIs" dxfId="114" priority="210" operator="greaterThan">
      <formula>#REF!</formula>
    </cfRule>
  </conditionalFormatting>
  <conditionalFormatting sqref="D82:D85">
    <cfRule type="cellIs" dxfId="113" priority="207" operator="lessThan">
      <formula>#REF!</formula>
    </cfRule>
    <cfRule type="cellIs" dxfId="112" priority="208" operator="greaterThan">
      <formula>#REF!</formula>
    </cfRule>
  </conditionalFormatting>
  <conditionalFormatting sqref="K70">
    <cfRule type="cellIs" dxfId="111" priority="203" operator="lessThan">
      <formula>#REF!</formula>
    </cfRule>
    <cfRule type="cellIs" dxfId="110" priority="204" operator="greaterThan">
      <formula>#REF!</formula>
    </cfRule>
  </conditionalFormatting>
  <conditionalFormatting sqref="E89:E90 G89:J90 I88:I90">
    <cfRule type="cellIs" dxfId="109" priority="201" operator="lessThan">
      <formula>#REF!</formula>
    </cfRule>
    <cfRule type="cellIs" dxfId="108" priority="202" operator="greaterThan">
      <formula>#REF!</formula>
    </cfRule>
  </conditionalFormatting>
  <conditionalFormatting sqref="L8:L9">
    <cfRule type="cellIs" dxfId="107" priority="195" operator="lessThan">
      <formula>#REF!</formula>
    </cfRule>
    <cfRule type="cellIs" dxfId="106" priority="196" operator="greaterThan">
      <formula>#REF!</formula>
    </cfRule>
  </conditionalFormatting>
  <conditionalFormatting sqref="D89:D90">
    <cfRule type="cellIs" dxfId="105" priority="199" operator="lessThan">
      <formula>#REF!</formula>
    </cfRule>
    <cfRule type="cellIs" dxfId="104" priority="200" operator="greaterThan">
      <formula>#REF!</formula>
    </cfRule>
  </conditionalFormatting>
  <conditionalFormatting sqref="L12:L15">
    <cfRule type="cellIs" dxfId="103" priority="191" operator="lessThan">
      <formula>#REF!</formula>
    </cfRule>
    <cfRule type="cellIs" dxfId="102" priority="192" operator="greaterThan">
      <formula>#REF!</formula>
    </cfRule>
  </conditionalFormatting>
  <conditionalFormatting sqref="L18:L19">
    <cfRule type="cellIs" dxfId="101" priority="183" operator="lessThan">
      <formula>#REF!</formula>
    </cfRule>
    <cfRule type="cellIs" dxfId="100" priority="184" operator="greaterThan">
      <formula>#REF!</formula>
    </cfRule>
  </conditionalFormatting>
  <conditionalFormatting sqref="L19">
    <cfRule type="cellIs" dxfId="99" priority="179" operator="lessThan">
      <formula>#REF!</formula>
    </cfRule>
    <cfRule type="cellIs" dxfId="98" priority="180" operator="greaterThan">
      <formula>#REF!</formula>
    </cfRule>
  </conditionalFormatting>
  <conditionalFormatting sqref="L18">
    <cfRule type="cellIs" dxfId="97" priority="181" operator="lessThan">
      <formula>#REF!</formula>
    </cfRule>
    <cfRule type="cellIs" dxfId="96" priority="182" operator="greaterThan">
      <formula>#REF!</formula>
    </cfRule>
  </conditionalFormatting>
  <conditionalFormatting sqref="L34">
    <cfRule type="cellIs" dxfId="95" priority="177" operator="lessThan">
      <formula>#REF!</formula>
    </cfRule>
    <cfRule type="cellIs" dxfId="94" priority="178" operator="greaterThan">
      <formula>#REF!</formula>
    </cfRule>
  </conditionalFormatting>
  <conditionalFormatting sqref="L30:L35">
    <cfRule type="cellIs" dxfId="93" priority="175" operator="lessThan">
      <formula>#REF!</formula>
    </cfRule>
    <cfRule type="cellIs" dxfId="92" priority="176" operator="greaterThan">
      <formula>#REF!</formula>
    </cfRule>
  </conditionalFormatting>
  <conditionalFormatting sqref="L43:L48">
    <cfRule type="cellIs" dxfId="91" priority="163" operator="lessThan">
      <formula>#REF!</formula>
    </cfRule>
    <cfRule type="cellIs" dxfId="90" priority="164" operator="greaterThan">
      <formula>#REF!</formula>
    </cfRule>
  </conditionalFormatting>
  <conditionalFormatting sqref="L43:L48">
    <cfRule type="cellIs" dxfId="89" priority="155" operator="lessThan">
      <formula>#REF!</formula>
    </cfRule>
    <cfRule type="cellIs" dxfId="88" priority="156" operator="greaterThan">
      <formula>#REF!</formula>
    </cfRule>
  </conditionalFormatting>
  <conditionalFormatting sqref="L51:L58 L70:L75 L60:L68">
    <cfRule type="cellIs" dxfId="87" priority="149" operator="lessThan">
      <formula>#REF!</formula>
    </cfRule>
    <cfRule type="cellIs" dxfId="86" priority="150" operator="greaterThan">
      <formula>#REF!</formula>
    </cfRule>
  </conditionalFormatting>
  <conditionalFormatting sqref="L51:L58 L70:L75 L60:L68">
    <cfRule type="cellIs" dxfId="85" priority="147" operator="lessThan">
      <formula>#REF!</formula>
    </cfRule>
    <cfRule type="cellIs" dxfId="84" priority="148" operator="greaterThan">
      <formula>#REF!</formula>
    </cfRule>
  </conditionalFormatting>
  <conditionalFormatting sqref="E62">
    <cfRule type="cellIs" dxfId="83" priority="121" operator="lessThan">
      <formula>#REF!</formula>
    </cfRule>
    <cfRule type="cellIs" dxfId="82" priority="122" operator="greaterThan">
      <formula>#REF!</formula>
    </cfRule>
  </conditionalFormatting>
  <conditionalFormatting sqref="E67:J67">
    <cfRule type="cellIs" dxfId="81" priority="103" operator="lessThan">
      <formula>#REF!</formula>
    </cfRule>
    <cfRule type="cellIs" dxfId="80" priority="104" operator="greaterThan">
      <formula>#REF!</formula>
    </cfRule>
  </conditionalFormatting>
  <conditionalFormatting sqref="E67:J67">
    <cfRule type="cellIs" dxfId="79" priority="101" operator="lessThan">
      <formula>#REF!</formula>
    </cfRule>
    <cfRule type="cellIs" dxfId="78" priority="102" operator="greaterThan">
      <formula>#REF!</formula>
    </cfRule>
  </conditionalFormatting>
  <conditionalFormatting sqref="F61:F62">
    <cfRule type="cellIs" dxfId="77" priority="99" operator="lessThan">
      <formula>#REF!</formula>
    </cfRule>
    <cfRule type="cellIs" dxfId="76" priority="100" operator="greaterThan">
      <formula>#REF!</formula>
    </cfRule>
  </conditionalFormatting>
  <conditionalFormatting sqref="F63">
    <cfRule type="cellIs" dxfId="75" priority="97" operator="lessThan">
      <formula>#REF!</formula>
    </cfRule>
    <cfRule type="cellIs" dxfId="74" priority="98" operator="greaterThan">
      <formula>#REF!</formula>
    </cfRule>
  </conditionalFormatting>
  <conditionalFormatting sqref="H60:J61">
    <cfRule type="cellIs" dxfId="73" priority="95" operator="lessThan">
      <formula>#REF!</formula>
    </cfRule>
    <cfRule type="cellIs" dxfId="72" priority="96" operator="greaterThan">
      <formula>#REF!</formula>
    </cfRule>
  </conditionalFormatting>
  <conditionalFormatting sqref="K69">
    <cfRule type="cellIs" dxfId="71" priority="93" operator="lessThan">
      <formula>#REF!</formula>
    </cfRule>
    <cfRule type="cellIs" dxfId="70" priority="94" operator="greaterThan">
      <formula>#REF!</formula>
    </cfRule>
  </conditionalFormatting>
  <conditionalFormatting sqref="K69">
    <cfRule type="cellIs" dxfId="69" priority="91" operator="lessThan">
      <formula>#REF!</formula>
    </cfRule>
    <cfRule type="cellIs" dxfId="68" priority="92" operator="greaterThan">
      <formula>#REF!</formula>
    </cfRule>
  </conditionalFormatting>
  <conditionalFormatting sqref="L69">
    <cfRule type="cellIs" dxfId="67" priority="89" operator="lessThan">
      <formula>#REF!</formula>
    </cfRule>
    <cfRule type="cellIs" dxfId="66" priority="90" operator="greaterThan">
      <formula>#REF!</formula>
    </cfRule>
  </conditionalFormatting>
  <conditionalFormatting sqref="L69">
    <cfRule type="cellIs" dxfId="65" priority="87" operator="lessThan">
      <formula>#REF!</formula>
    </cfRule>
    <cfRule type="cellIs" dxfId="64" priority="88" operator="greaterThan">
      <formula>#REF!</formula>
    </cfRule>
  </conditionalFormatting>
  <conditionalFormatting sqref="F86">
    <cfRule type="cellIs" dxfId="63" priority="83" operator="lessThan">
      <formula>#REF!</formula>
    </cfRule>
    <cfRule type="cellIs" dxfId="62" priority="84" operator="greaterThan">
      <formula>#REF!</formula>
    </cfRule>
  </conditionalFormatting>
  <conditionalFormatting sqref="F34">
    <cfRule type="cellIs" dxfId="61" priority="69" operator="lessThan">
      <formula>#REF!</formula>
    </cfRule>
    <cfRule type="cellIs" dxfId="60" priority="70" operator="greaterThan">
      <formula>#REF!</formula>
    </cfRule>
  </conditionalFormatting>
  <conditionalFormatting sqref="G39:K39">
    <cfRule type="cellIs" dxfId="59" priority="67" operator="lessThan">
      <formula>#REF!</formula>
    </cfRule>
    <cfRule type="cellIs" dxfId="58" priority="68" operator="greaterThan">
      <formula>#REF!</formula>
    </cfRule>
  </conditionalFormatting>
  <conditionalFormatting sqref="K39">
    <cfRule type="cellIs" dxfId="57" priority="65" operator="lessThan">
      <formula>#REF!</formula>
    </cfRule>
    <cfRule type="cellIs" dxfId="56" priority="66" operator="greaterThan">
      <formula>#REF!</formula>
    </cfRule>
  </conditionalFormatting>
  <conditionalFormatting sqref="D38">
    <cfRule type="cellIs" dxfId="55" priority="63" operator="lessThan">
      <formula>#REF!</formula>
    </cfRule>
    <cfRule type="cellIs" dxfId="54" priority="64" operator="greaterThan">
      <formula>#REF!</formula>
    </cfRule>
  </conditionalFormatting>
  <conditionalFormatting sqref="D39">
    <cfRule type="cellIs" dxfId="53" priority="61" operator="lessThan">
      <formula>#REF!</formula>
    </cfRule>
    <cfRule type="cellIs" dxfId="52" priority="62" operator="greaterThan">
      <formula>#REF!</formula>
    </cfRule>
  </conditionalFormatting>
  <conditionalFormatting sqref="D40">
    <cfRule type="cellIs" dxfId="51" priority="59" operator="lessThan">
      <formula>#REF!</formula>
    </cfRule>
    <cfRule type="cellIs" dxfId="50" priority="60" operator="greaterThan">
      <formula>#REF!</formula>
    </cfRule>
  </conditionalFormatting>
  <conditionalFormatting sqref="E39:F40">
    <cfRule type="cellIs" dxfId="49" priority="57" operator="lessThan">
      <formula>#REF!</formula>
    </cfRule>
    <cfRule type="cellIs" dxfId="48" priority="58" operator="greaterThan">
      <formula>#REF!</formula>
    </cfRule>
  </conditionalFormatting>
  <conditionalFormatting sqref="L39">
    <cfRule type="cellIs" dxfId="47" priority="55" operator="lessThan">
      <formula>#REF!</formula>
    </cfRule>
    <cfRule type="cellIs" dxfId="46" priority="56" operator="greaterThan">
      <formula>#REF!</formula>
    </cfRule>
  </conditionalFormatting>
  <conditionalFormatting sqref="L39">
    <cfRule type="cellIs" dxfId="45" priority="53" operator="lessThan">
      <formula>#REF!</formula>
    </cfRule>
    <cfRule type="cellIs" dxfId="44" priority="54" operator="greaterThan">
      <formula>#REF!</formula>
    </cfRule>
  </conditionalFormatting>
  <conditionalFormatting sqref="G38:J38">
    <cfRule type="cellIs" dxfId="43" priority="51" operator="lessThan">
      <formula>#REF!</formula>
    </cfRule>
    <cfRule type="cellIs" dxfId="42" priority="52" operator="greaterThan">
      <formula>#REF!</formula>
    </cfRule>
  </conditionalFormatting>
  <conditionalFormatting sqref="E38:F38">
    <cfRule type="cellIs" dxfId="41" priority="49" operator="lessThan">
      <formula>#REF!</formula>
    </cfRule>
    <cfRule type="cellIs" dxfId="40" priority="50" operator="greaterThan">
      <formula>#REF!</formula>
    </cfRule>
  </conditionalFormatting>
  <conditionalFormatting sqref="G40:J40">
    <cfRule type="cellIs" dxfId="39" priority="47" operator="lessThan">
      <formula>#REF!</formula>
    </cfRule>
    <cfRule type="cellIs" dxfId="38" priority="48" operator="greaterThan">
      <formula>#REF!</formula>
    </cfRule>
  </conditionalFormatting>
  <conditionalFormatting sqref="K38">
    <cfRule type="cellIs" dxfId="37" priority="43" operator="lessThan">
      <formula>#REF!</formula>
    </cfRule>
    <cfRule type="cellIs" dxfId="36" priority="44" operator="greaterThan">
      <formula>#REF!</formula>
    </cfRule>
  </conditionalFormatting>
  <conditionalFormatting sqref="K38">
    <cfRule type="cellIs" dxfId="35" priority="41" operator="lessThan">
      <formula>#REF!</formula>
    </cfRule>
    <cfRule type="cellIs" dxfId="34" priority="42" operator="greaterThan">
      <formula>#REF!</formula>
    </cfRule>
  </conditionalFormatting>
  <conditionalFormatting sqref="L38">
    <cfRule type="cellIs" dxfId="33" priority="39" operator="lessThan">
      <formula>#REF!</formula>
    </cfRule>
    <cfRule type="cellIs" dxfId="32" priority="40" operator="greaterThan">
      <formula>#REF!</formula>
    </cfRule>
  </conditionalFormatting>
  <conditionalFormatting sqref="L38">
    <cfRule type="cellIs" dxfId="31" priority="37" operator="lessThan">
      <formula>#REF!</formula>
    </cfRule>
    <cfRule type="cellIs" dxfId="30" priority="38" operator="greaterThan">
      <formula>#REF!</formula>
    </cfRule>
  </conditionalFormatting>
  <conditionalFormatting sqref="D59:J59">
    <cfRule type="cellIs" dxfId="29" priority="35" operator="lessThan">
      <formula>#REF!</formula>
    </cfRule>
    <cfRule type="cellIs" dxfId="28" priority="36" operator="greaterThan">
      <formula>#REF!</formula>
    </cfRule>
  </conditionalFormatting>
  <conditionalFormatting sqref="K40">
    <cfRule type="cellIs" dxfId="27" priority="27" operator="lessThan">
      <formula>#REF!</formula>
    </cfRule>
    <cfRule type="cellIs" dxfId="26" priority="28" operator="greaterThan">
      <formula>#REF!</formula>
    </cfRule>
  </conditionalFormatting>
  <conditionalFormatting sqref="K40">
    <cfRule type="cellIs" dxfId="25" priority="25" operator="lessThan">
      <formula>#REF!</formula>
    </cfRule>
    <cfRule type="cellIs" dxfId="24" priority="26" operator="greaterThan">
      <formula>#REF!</formula>
    </cfRule>
  </conditionalFormatting>
  <conditionalFormatting sqref="L40">
    <cfRule type="cellIs" dxfId="23" priority="23" operator="lessThan">
      <formula>#REF!</formula>
    </cfRule>
    <cfRule type="cellIs" dxfId="22" priority="24" operator="greaterThan">
      <formula>#REF!</formula>
    </cfRule>
  </conditionalFormatting>
  <conditionalFormatting sqref="L40">
    <cfRule type="cellIs" dxfId="21" priority="21" operator="lessThan">
      <formula>#REF!</formula>
    </cfRule>
    <cfRule type="cellIs" dxfId="20" priority="22" operator="greaterThan">
      <formula>#REF!</formula>
    </cfRule>
  </conditionalFormatting>
  <conditionalFormatting sqref="K59">
    <cfRule type="cellIs" dxfId="19" priority="19" operator="lessThan">
      <formula>#REF!</formula>
    </cfRule>
    <cfRule type="cellIs" dxfId="18" priority="20" operator="greaterThan">
      <formula>#REF!</formula>
    </cfRule>
  </conditionalFormatting>
  <conditionalFormatting sqref="K59">
    <cfRule type="cellIs" dxfId="17" priority="17" operator="lessThan">
      <formula>#REF!</formula>
    </cfRule>
    <cfRule type="cellIs" dxfId="16" priority="18" operator="greaterThan">
      <formula>#REF!</formula>
    </cfRule>
  </conditionalFormatting>
  <conditionalFormatting sqref="K59">
    <cfRule type="cellIs" dxfId="15" priority="15" operator="lessThan">
      <formula>#REF!</formula>
    </cfRule>
    <cfRule type="cellIs" dxfId="14" priority="16" operator="greaterThan">
      <formula>#REF!</formula>
    </cfRule>
  </conditionalFormatting>
  <conditionalFormatting sqref="K59">
    <cfRule type="cellIs" dxfId="13" priority="13" operator="lessThan">
      <formula>#REF!</formula>
    </cfRule>
    <cfRule type="cellIs" dxfId="12" priority="14" operator="greaterThan">
      <formula>#REF!</formula>
    </cfRule>
  </conditionalFormatting>
  <conditionalFormatting sqref="L59">
    <cfRule type="cellIs" dxfId="11" priority="11" operator="lessThan">
      <formula>#REF!</formula>
    </cfRule>
    <cfRule type="cellIs" dxfId="10" priority="12" operator="greaterThan">
      <formula>#REF!</formula>
    </cfRule>
  </conditionalFormatting>
  <conditionalFormatting sqref="L59">
    <cfRule type="cellIs" dxfId="9" priority="9" operator="lessThan">
      <formula>#REF!</formula>
    </cfRule>
    <cfRule type="cellIs" dxfId="8" priority="10" operator="greaterThan">
      <formula>#REF!</formula>
    </cfRule>
  </conditionalFormatting>
  <conditionalFormatting sqref="H47">
    <cfRule type="cellIs" dxfId="7" priority="7" operator="lessThan">
      <formula>#REF!</formula>
    </cfRule>
    <cfRule type="cellIs" dxfId="6" priority="8" operator="greaterThan">
      <formula>#REF!</formula>
    </cfRule>
  </conditionalFormatting>
  <conditionalFormatting sqref="F48">
    <cfRule type="cellIs" dxfId="5" priority="5" operator="lessThan">
      <formula>#REF!</formula>
    </cfRule>
    <cfRule type="cellIs" dxfId="4" priority="6" operator="greaterThan">
      <formula>#REF!</formula>
    </cfRule>
  </conditionalFormatting>
  <conditionalFormatting sqref="H48">
    <cfRule type="cellIs" dxfId="3" priority="3" operator="lessThan">
      <formula>#REF!</formula>
    </cfRule>
    <cfRule type="cellIs" dxfId="2" priority="4" operator="greaterThan">
      <formula>#REF!</formula>
    </cfRule>
  </conditionalFormatting>
  <conditionalFormatting sqref="I30:I35">
    <cfRule type="cellIs" dxfId="1" priority="1" operator="lessThan">
      <formula>#REF!</formula>
    </cfRule>
    <cfRule type="cellIs" dxfId="0" priority="2" operator="greater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8" scale="84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EB366695F00544AE8A4BE4650FFEDD" ma:contentTypeVersion="8" ma:contentTypeDescription="Vytvoří nový dokument" ma:contentTypeScope="" ma:versionID="cb55f832bc9a70710fa7c71b44357f4a">
  <xsd:schema xmlns:xsd="http://www.w3.org/2001/XMLSchema" xmlns:xs="http://www.w3.org/2001/XMLSchema" xmlns:p="http://schemas.microsoft.com/office/2006/metadata/properties" xmlns:ns2="a6b573eb-d43f-4213-aa9f-907c5105b009" xmlns:ns3="04fd01bd-11bc-441a-9bd4-07c699ce4e53" targetNamespace="http://schemas.microsoft.com/office/2006/metadata/properties" ma:root="true" ma:fieldsID="ece281525e0e5bd7a3e9e098e09ccf04" ns2:_="" ns3:_="">
    <xsd:import namespace="a6b573eb-d43f-4213-aa9f-907c5105b009"/>
    <xsd:import namespace="04fd01bd-11bc-441a-9bd4-07c699ce4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73eb-d43f-4213-aa9f-907c5105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d01bd-11bc-441a-9bd4-07c699ce4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2C7A7A-E8B5-40F1-ACF1-3E183AD24F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DC204E-AD15-426C-89D6-682A767764CB}">
  <ds:schemaRefs>
    <ds:schemaRef ds:uri="a6b573eb-d43f-4213-aa9f-907c5105b009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4fd01bd-11bc-441a-9bd4-07c699ce4e5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2B4641-B626-42E8-8738-B474A06D8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73eb-d43f-4213-aa9f-907c5105b009"/>
    <ds:schemaRef ds:uri="04fd01bd-11bc-441a-9bd4-07c699ce4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 úvěr změny</vt:lpstr>
      <vt:lpstr>'Příloha č. 2 úvěr změny'!Názvy_tisku</vt:lpstr>
      <vt:lpstr>'Příloha č. 2 úvěr změny'!Oblast_tisku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Metelka Tomáš</dc:creator>
  <cp:keywords/>
  <dc:description/>
  <cp:lastModifiedBy>Kubíková Renata</cp:lastModifiedBy>
  <cp:revision/>
  <cp:lastPrinted>2022-05-09T10:26:54Z</cp:lastPrinted>
  <dcterms:created xsi:type="dcterms:W3CDTF">2021-03-12T13:37:06Z</dcterms:created>
  <dcterms:modified xsi:type="dcterms:W3CDTF">2022-05-23T11:55:47Z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0x010100F5EB366695F00544AE8A4BE4650FFEDD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2021-11-08T19:20:31Z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bf148615-0d6a-4cac-9852-03156554990d</vt:lpwstr>
  </property>
  <property fmtid="{D5CDD505-2E9C-101B-9397-08002B2CF9AE}" pid="9" name="MSIP_Label_63ff9749-f68b-40ec-aa05-229831920469_ContentBits">
    <vt:lpwstr>2</vt:lpwstr>
  </property>
</Properties>
</file>