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kubikova2611\Desktop\Materiál FINAL do RK 29.8\"/>
    </mc:Choice>
  </mc:AlternateContent>
  <xr:revisionPtr revIDLastSave="0" documentId="13_ncr:1_{1DCD4069-D6A1-47DC-B6EB-819902EF91E8}" xr6:coauthVersionLast="47" xr6:coauthVersionMax="47" xr10:uidLastSave="{00000000-0000-0000-0000-000000000000}"/>
  <bookViews>
    <workbookView xWindow="-120" yWindow="-120" windowWidth="29040" windowHeight="15840" xr2:uid="{4B13063B-35A7-40D9-BA9E-A16F9789305F}"/>
  </bookViews>
  <sheets>
    <sheet name="Příloha č. 2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J92" i="1"/>
  <c r="I92" i="1"/>
  <c r="I10" i="1"/>
  <c r="J39" i="1"/>
  <c r="I39" i="1"/>
  <c r="L39" i="1"/>
  <c r="M39" i="1" s="1"/>
  <c r="K20" i="1"/>
  <c r="K92" i="1"/>
  <c r="F92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1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0" i="1"/>
  <c r="M41" i="1"/>
  <c r="M42" i="1"/>
  <c r="M43" i="1"/>
  <c r="M44" i="1"/>
  <c r="M45" i="1"/>
  <c r="M46" i="1"/>
  <c r="M47" i="1"/>
  <c r="M9" i="1"/>
  <c r="M11" i="1"/>
  <c r="M12" i="1"/>
  <c r="M13" i="1"/>
  <c r="M14" i="1"/>
  <c r="M15" i="1"/>
  <c r="M16" i="1"/>
  <c r="M17" i="1"/>
  <c r="L8" i="1" l="1"/>
  <c r="M8" i="1" s="1"/>
  <c r="L47" i="1"/>
  <c r="K47" i="1"/>
  <c r="L30" i="1" l="1"/>
  <c r="H69" i="1" l="1"/>
  <c r="H70" i="1"/>
  <c r="F68" i="1"/>
  <c r="L68" i="1" s="1"/>
  <c r="H63" i="1"/>
  <c r="L63" i="1" s="1"/>
  <c r="F63" i="1"/>
  <c r="H62" i="1"/>
  <c r="L62" i="1" s="1"/>
  <c r="F62" i="1"/>
  <c r="H87" i="1"/>
  <c r="H85" i="1"/>
  <c r="H37" i="1"/>
  <c r="H38" i="1"/>
  <c r="J89" i="1"/>
  <c r="I89" i="1"/>
  <c r="D89" i="1"/>
  <c r="L88" i="1"/>
  <c r="K88" i="1"/>
  <c r="K87" i="1"/>
  <c r="F87" i="1"/>
  <c r="L86" i="1"/>
  <c r="K86" i="1"/>
  <c r="K85" i="1"/>
  <c r="F85" i="1"/>
  <c r="L85" i="1" s="1"/>
  <c r="H84" i="1"/>
  <c r="G84" i="1"/>
  <c r="G89" i="1" s="1"/>
  <c r="F84" i="1"/>
  <c r="E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J74" i="1"/>
  <c r="I74" i="1"/>
  <c r="D74" i="1"/>
  <c r="L73" i="1"/>
  <c r="K73" i="1"/>
  <c r="L72" i="1"/>
  <c r="K72" i="1"/>
  <c r="L71" i="1"/>
  <c r="K71" i="1"/>
  <c r="K70" i="1"/>
  <c r="F70" i="1"/>
  <c r="L70" i="1" s="1"/>
  <c r="G69" i="1"/>
  <c r="F69" i="1"/>
  <c r="E69" i="1"/>
  <c r="K68" i="1"/>
  <c r="E68" i="1"/>
  <c r="H67" i="1"/>
  <c r="G67" i="1"/>
  <c r="F67" i="1"/>
  <c r="E67" i="1"/>
  <c r="L66" i="1"/>
  <c r="K66" i="1"/>
  <c r="L65" i="1"/>
  <c r="K65" i="1"/>
  <c r="L64" i="1"/>
  <c r="K64" i="1"/>
  <c r="G63" i="1"/>
  <c r="E63" i="1"/>
  <c r="K62" i="1"/>
  <c r="L61" i="1"/>
  <c r="K61" i="1"/>
  <c r="F60" i="1"/>
  <c r="L60" i="1" s="1"/>
  <c r="E60" i="1"/>
  <c r="K60" i="1" s="1"/>
  <c r="L59" i="1"/>
  <c r="K59" i="1"/>
  <c r="L58" i="1"/>
  <c r="K58" i="1"/>
  <c r="F57" i="1"/>
  <c r="L57" i="1" s="1"/>
  <c r="E57" i="1"/>
  <c r="K57" i="1" s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J47" i="1"/>
  <c r="I47" i="1"/>
  <c r="H47" i="1"/>
  <c r="G47" i="1"/>
  <c r="E47" i="1"/>
  <c r="D47" i="1"/>
  <c r="L46" i="1"/>
  <c r="K46" i="1"/>
  <c r="L45" i="1"/>
  <c r="K45" i="1"/>
  <c r="F44" i="1"/>
  <c r="L44" i="1" s="1"/>
  <c r="E44" i="1"/>
  <c r="K44" i="1" s="1"/>
  <c r="L43" i="1"/>
  <c r="K43" i="1"/>
  <c r="L42" i="1"/>
  <c r="K42" i="1"/>
  <c r="L41" i="1"/>
  <c r="K41" i="1"/>
  <c r="G39" i="1"/>
  <c r="E39" i="1"/>
  <c r="D39" i="1"/>
  <c r="K38" i="1"/>
  <c r="F38" i="1"/>
  <c r="K37" i="1"/>
  <c r="H39" i="1"/>
  <c r="F37" i="1"/>
  <c r="L37" i="1" s="1"/>
  <c r="J35" i="1"/>
  <c r="I35" i="1"/>
  <c r="D35" i="1"/>
  <c r="L34" i="1"/>
  <c r="K34" i="1"/>
  <c r="H33" i="1"/>
  <c r="H35" i="1" s="1"/>
  <c r="G33" i="1"/>
  <c r="G35" i="1" s="1"/>
  <c r="F33" i="1"/>
  <c r="L33" i="1" s="1"/>
  <c r="E33" i="1"/>
  <c r="L32" i="1"/>
  <c r="K32" i="1"/>
  <c r="L31" i="1"/>
  <c r="K31" i="1"/>
  <c r="K30" i="1"/>
  <c r="I25" i="1"/>
  <c r="I26" i="1" s="1"/>
  <c r="G25" i="1"/>
  <c r="G26" i="1" s="1"/>
  <c r="E25" i="1"/>
  <c r="E26" i="1" s="1"/>
  <c r="D25" i="1"/>
  <c r="D26" i="1" s="1"/>
  <c r="L24" i="1"/>
  <c r="L25" i="1" s="1"/>
  <c r="L26" i="1" s="1"/>
  <c r="K24" i="1"/>
  <c r="K25" i="1" s="1"/>
  <c r="K26" i="1" s="1"/>
  <c r="J19" i="1"/>
  <c r="I19" i="1"/>
  <c r="H19" i="1"/>
  <c r="G19" i="1"/>
  <c r="F19" i="1"/>
  <c r="E19" i="1"/>
  <c r="D19" i="1"/>
  <c r="L18" i="1"/>
  <c r="M18" i="1" s="1"/>
  <c r="K18" i="1"/>
  <c r="K19" i="1" s="1"/>
  <c r="J16" i="1"/>
  <c r="I16" i="1"/>
  <c r="H16" i="1"/>
  <c r="G16" i="1"/>
  <c r="F16" i="1"/>
  <c r="E16" i="1"/>
  <c r="D16" i="1"/>
  <c r="L15" i="1"/>
  <c r="K15" i="1"/>
  <c r="L14" i="1"/>
  <c r="K14" i="1"/>
  <c r="L13" i="1"/>
  <c r="K13" i="1"/>
  <c r="L12" i="1"/>
  <c r="K12" i="1"/>
  <c r="J10" i="1"/>
  <c r="I20" i="1"/>
  <c r="H10" i="1"/>
  <c r="G10" i="1"/>
  <c r="F10" i="1"/>
  <c r="E10" i="1"/>
  <c r="D10" i="1"/>
  <c r="L9" i="1"/>
  <c r="K9" i="1"/>
  <c r="K10" i="1" s="1"/>
  <c r="K8" i="1"/>
  <c r="K63" i="1" l="1"/>
  <c r="G20" i="1"/>
  <c r="L84" i="1"/>
  <c r="J20" i="1"/>
  <c r="G74" i="1"/>
  <c r="K16" i="1"/>
  <c r="D20" i="1"/>
  <c r="L67" i="1"/>
  <c r="L38" i="1"/>
  <c r="F89" i="1"/>
  <c r="L87" i="1"/>
  <c r="F39" i="1"/>
  <c r="H74" i="1"/>
  <c r="D90" i="1"/>
  <c r="D92" i="1" s="1"/>
  <c r="F74" i="1"/>
  <c r="E20" i="1"/>
  <c r="K39" i="1"/>
  <c r="I90" i="1"/>
  <c r="F20" i="1"/>
  <c r="L19" i="1"/>
  <c r="M19" i="1" s="1"/>
  <c r="L35" i="1"/>
  <c r="K84" i="1"/>
  <c r="K89" i="1" s="1"/>
  <c r="J90" i="1"/>
  <c r="L16" i="1"/>
  <c r="H20" i="1"/>
  <c r="K67" i="1"/>
  <c r="K69" i="1"/>
  <c r="L10" i="1"/>
  <c r="M10" i="1" s="1"/>
  <c r="K33" i="1"/>
  <c r="K35" i="1" s="1"/>
  <c r="L69" i="1"/>
  <c r="H89" i="1"/>
  <c r="L89" i="1"/>
  <c r="G90" i="1"/>
  <c r="G92" i="1" s="1"/>
  <c r="E35" i="1"/>
  <c r="F47" i="1"/>
  <c r="E74" i="1"/>
  <c r="F35" i="1"/>
  <c r="E89" i="1"/>
  <c r="K74" i="1" l="1"/>
  <c r="K90" i="1" s="1"/>
  <c r="H90" i="1"/>
  <c r="L20" i="1"/>
  <c r="M20" i="1" s="1"/>
  <c r="H92" i="1"/>
  <c r="L74" i="1"/>
  <c r="F90" i="1"/>
  <c r="L90" i="1"/>
  <c r="M90" i="1" s="1"/>
  <c r="E90" i="1"/>
  <c r="E92" i="1" s="1"/>
  <c r="L92" i="1" l="1"/>
  <c r="M92" i="1" s="1"/>
</calcChain>
</file>

<file path=xl/sharedStrings.xml><?xml version="1.0" encoding="utf-8"?>
<sst xmlns="http://schemas.openxmlformats.org/spreadsheetml/2006/main" count="215" uniqueCount="155">
  <si>
    <t xml:space="preserve"> </t>
  </si>
  <si>
    <t xml:space="preserve">PŘEHLED AKCÍ FINANCOVANÝCH Z ÚVĚRU ČESKÉ SPOŘITELNY, a. s. </t>
  </si>
  <si>
    <t>v tis. Kč</t>
  </si>
  <si>
    <t>Název akce</t>
  </si>
  <si>
    <t>Výdaje financované z úvěru ČS</t>
  </si>
  <si>
    <t>Celkem před revizí</t>
  </si>
  <si>
    <t>Celkem po revizi</t>
  </si>
  <si>
    <t>číslo akce</t>
  </si>
  <si>
    <t>Odbor</t>
  </si>
  <si>
    <t xml:space="preserve">2022             před revizí </t>
  </si>
  <si>
    <t>2022                po revizi</t>
  </si>
  <si>
    <t>2023            před revizí</t>
  </si>
  <si>
    <t>2023                po revizi</t>
  </si>
  <si>
    <t>2024             před revizí</t>
  </si>
  <si>
    <t>2024                  po revizi</t>
  </si>
  <si>
    <t>AKCE SPOLUFINANCOVANÉ Z EVROPSKÝCH FINANČNÍCH ZDROJŮ REALIZOVANÉ KRAJEM</t>
  </si>
  <si>
    <t>ODVĚTVÍ SOCIÁLNÍCH VĚCÍ:</t>
  </si>
  <si>
    <t>Rekonstrukce a výstavba Domova Březiny</t>
  </si>
  <si>
    <t>EP</t>
  </si>
  <si>
    <t>Zateplení a stavební úpravy správní budovy, pavilonu E a F Domova Březiny</t>
  </si>
  <si>
    <t>3425</t>
  </si>
  <si>
    <t>ODVĚTVÍ SOCIÁLNÍCH VĚCÍ CELKEM</t>
  </si>
  <si>
    <t>ODVĚTVÍ ŠKOLSTVÍ:</t>
  </si>
  <si>
    <t>Energetické úspory v ZŠ Čkalovova</t>
  </si>
  <si>
    <t>3445</t>
  </si>
  <si>
    <t>Energetické úspory v ZUŠ Klimkovice</t>
  </si>
  <si>
    <t>3450</t>
  </si>
  <si>
    <t>Energetické úspory v ZUŠ L. Janáčka Havířov</t>
  </si>
  <si>
    <t>3448</t>
  </si>
  <si>
    <t>Energetické úspory ve VOŠ zdravotnická Ostrava</t>
  </si>
  <si>
    <t>3449</t>
  </si>
  <si>
    <t>ODVĚTVÍ ŠKOLSTVÍ CELKEM</t>
  </si>
  <si>
    <t>ODVĚTVÍ ÚZEMNÍHO PLÁNOVÁNÍ A STAVEBNÍHO ŘÁDU:</t>
  </si>
  <si>
    <t>Digitálně technická mapa Moravskoslezského kraje</t>
  </si>
  <si>
    <t>3468</t>
  </si>
  <si>
    <t>ODVĚTVÍ ÚZEMNÍHO PLÁNOVÁNÍ A STAVEBNÍHO ŘÁDU CELKEM</t>
  </si>
  <si>
    <t>CELKEM ZA AKCE SPOLUFINANCOVANÉ Z EVROPSKÝCH FINANČNÍCH ZDROJŮ REALIZOVANÉ KRAJEM</t>
  </si>
  <si>
    <t>AKCE SPOLUFINANCOVANÉ Z EVROPSKÝCH FINANČNÍCH ZDROJŮ REALIZOVANÉ PŘÍSPĚVKOVÝMI ORGANIZACEMI KRAJE</t>
  </si>
  <si>
    <t>ODVĚTVÍ ZDRAVOTNICTVÍ:</t>
  </si>
  <si>
    <t>ODVĚTVÍ ZDRAVOTNICTVÍ CELKEM</t>
  </si>
  <si>
    <t>CELKEM ZA AKCE SPOLUFINANCOVANÉ Z EVROPSKÝCH FINANČNÍCH ZDROJŮ REALIZOVANÉ PŘÍSPĚVKOVÝMI ORGANIZACEMI KRAJE</t>
  </si>
  <si>
    <t>REPRODUKCE MAJETKU KRAJE VYJMA AKCÍ SPOLUFINANCOVANÝCH Z EVROPSKÝCH FINANČNÍCH ZDROJŮ</t>
  </si>
  <si>
    <t>ODVĚTVÍ DOPRAVY:</t>
  </si>
  <si>
    <t>Rekonstrukce mostů ev. č. 486-011, 012 Hukvaldy (Správa silnic Moravskoslezského kraje, příspěvková organizace, Ostrava)</t>
  </si>
  <si>
    <t>4190</t>
  </si>
  <si>
    <t>DSH</t>
  </si>
  <si>
    <t>Rekonstrukce mostu ev. č. 4804-2 Košatka (Správa silnic Moravskoslezského kraje, příspěvková organizace, Ostrava)</t>
  </si>
  <si>
    <t>4192</t>
  </si>
  <si>
    <t>Rekonstrukce silnice III/47811, II/478 Ostrava, ulice Mitrovická</t>
  </si>
  <si>
    <t>4079</t>
  </si>
  <si>
    <t>IM</t>
  </si>
  <si>
    <t>Letiště Leoše Janáčka Ostrava, výstavba odbavovací plochy APN S3</t>
  </si>
  <si>
    <t>4081</t>
  </si>
  <si>
    <t>Rekonstrukce vzletové a přistávací dráhy a navazujících provozních ploch Letiště Leoše Janáčka Ostrava</t>
  </si>
  <si>
    <t>5954</t>
  </si>
  <si>
    <t>ODVĚTVÍ DOPRAVY CELKEM</t>
  </si>
  <si>
    <t>ODVĚTVÍ KULTURY:</t>
  </si>
  <si>
    <t>Zámek Bruntál - revitalizace objektu (Muzeum v Bruntále, příspěvková organizace)</t>
  </si>
  <si>
    <t>5955</t>
  </si>
  <si>
    <t>Zámek Nová Horka - dobudování infrastruktury (Muzeum Novojičínska, příspěvková organizace)</t>
  </si>
  <si>
    <t>5748</t>
  </si>
  <si>
    <t>ODVĚTVÍ KULTURY CELKEM</t>
  </si>
  <si>
    <t xml:space="preserve">Nákup budovy a pozemků ve Skotnici (Domov NaNovo, příspěvková organizace) </t>
  </si>
  <si>
    <t>4051</t>
  </si>
  <si>
    <t>Stavební úpravy budovy na ul. Rybářská 27 (Domov Bílá Opava, příspěvková organizace)</t>
  </si>
  <si>
    <t>5851</t>
  </si>
  <si>
    <t>Dům pro volnočasové aktivity seniorů se zahradním parterem (Domov Letokruhy, příspěvková organizace, Budišov nad Budišovkou)</t>
  </si>
  <si>
    <t>5957</t>
  </si>
  <si>
    <t>Nákup budov a pozemků v Opavě (Sírius, příspěvková organizace, Opava)</t>
  </si>
  <si>
    <t>4139</t>
  </si>
  <si>
    <t>Rekonstrukce budovy a spojovací chodby Máchova (Domov Duha, příspěvková organizace, Nový Jičín)</t>
  </si>
  <si>
    <t>5758</t>
  </si>
  <si>
    <t>Výstavba domova pro seniory a domova se zvláštním režimem Kopřivnice</t>
  </si>
  <si>
    <t>5737</t>
  </si>
  <si>
    <t>Rekonstrukce elektroinstalace (Mendelovo gymnázium, Opava, příspěvková organizace)</t>
  </si>
  <si>
    <t>4013</t>
  </si>
  <si>
    <t>Demolice budov a výstavba sportoviště (Střední průmyslová škola a Obchodní akademie, Bruntál, příspěvková organizace)</t>
  </si>
  <si>
    <t>5905</t>
  </si>
  <si>
    <t>Modernizace Školního statku v Opavě (Školní statek, Opava, příspěvková organizace)</t>
  </si>
  <si>
    <t>5754</t>
  </si>
  <si>
    <t>Rekonstrukce elektroinstalace hlavní budovy školy (Slezské gymnázium, Opava, příspěvková organizace)</t>
  </si>
  <si>
    <t>5866</t>
  </si>
  <si>
    <t>Rekonstrukce cvičné kuchyně v prostorách Tyršova 34, Opava (Základní škola, Opava, Havlíčkova 1, příspěvková organizace)</t>
  </si>
  <si>
    <t>4028</t>
  </si>
  <si>
    <t>Stavební úpravy tělocvičny (Střední škola průmyslová, Krnov, příspěvková organiazce)</t>
  </si>
  <si>
    <t>4036</t>
  </si>
  <si>
    <t>Rekonstrukce prostor dílen (Střední průmyslová škola, Ostrava-Vítkovice, příspěvková organizace)</t>
  </si>
  <si>
    <t>5914</t>
  </si>
  <si>
    <t>Oprava izolačních vrstev střešního pláště (Střední škola prof. Zdeňka Matějčka, Ostrava-Poruba, příspěvková organizace)</t>
  </si>
  <si>
    <t>5947</t>
  </si>
  <si>
    <t>Sportovní areál na ul. Komenského, Opava (Mendelovo gymnázium, Opava, příspěvková organizace)</t>
  </si>
  <si>
    <t>5879</t>
  </si>
  <si>
    <t>Vybudování dílen pro praktické vyučování (Střední odborná škola, Frýdek-Místek, příspěvková organizace)</t>
  </si>
  <si>
    <t>5884</t>
  </si>
  <si>
    <t>Rekonstrukce objektu SŠ a domova mládeže (Střední škola společného stravování, Ostrava-Hrabůvka, příspěvková organizace)</t>
  </si>
  <si>
    <t>5867</t>
  </si>
  <si>
    <t>Rekonstrukce objektů Polského gymnázia (Polské gymnázium - Polskie Gimnazjum im. Juliusza Słowackiego, Český Těšín, příspěvková organizace)</t>
  </si>
  <si>
    <t>5750</t>
  </si>
  <si>
    <t>IM, ŠMS</t>
  </si>
  <si>
    <t>Vybavení rekonstruovaných objektů Polského gymnázia (Polské gymnázium - Polskie Gimnazjum im. Juliusza Słowackiego, Český Těšín, příspěvková organizace)</t>
  </si>
  <si>
    <t>4105</t>
  </si>
  <si>
    <t xml:space="preserve"> ŠMS</t>
  </si>
  <si>
    <t>Rekonstrukce budovy na ulici Praskova čp. 411 v Opavě (Základní škola, Opava, Havlíčkova 1, příspěvková organizace)</t>
  </si>
  <si>
    <t>5730</t>
  </si>
  <si>
    <t>Stavební úpravy části školy pro potřeby Vzdělávacího a výcvikového střediska a umístění sídla Správy silnic MSK v Ostravě-Zábřeh (Střední škola stavební a dřevozpracující, Ostrava, příspěvková organizace)</t>
  </si>
  <si>
    <t>4002</t>
  </si>
  <si>
    <t>Rekonstrukce školního dvora (Matiční gymnázium, Ostrava, příspěvková organizace)</t>
  </si>
  <si>
    <t>4012</t>
  </si>
  <si>
    <t>Rekonstrukce objektu na ul. B. Němcové, Opava (Střední odborné učiliště stavební, Opava, příspěvková organizace)</t>
  </si>
  <si>
    <t>5456</t>
  </si>
  <si>
    <t>Rekonstrukce školní kuchyně a výdejny (Základní škola, Ostrava - Poruba, Čkalovova 942, příspěvková organizace)</t>
  </si>
  <si>
    <t>5971</t>
  </si>
  <si>
    <t>Rekultivace vnitrobloku a zpevněné plochy (Polské gymnázium - Polskie Gimnazjum im. Juliusza Słowackiego, Český Těšín, příspěvková organizace)</t>
  </si>
  <si>
    <t>4027</t>
  </si>
  <si>
    <t>Využití objektu v Bílé (Vzdělávací a sportovní centrum, Bílá, příspěvková organizace)</t>
  </si>
  <si>
    <t>5681</t>
  </si>
  <si>
    <t>Přístavba tělocvičny (Gymnázium, Třinec, příspěvková organizace)</t>
  </si>
  <si>
    <t>5834</t>
  </si>
  <si>
    <t>Rekonstrukce střechy a zateplení fasády (Gymnázium Třinec, příspěvková organizace)</t>
  </si>
  <si>
    <t>4004</t>
  </si>
  <si>
    <t>Rekonstrukce střechy budov dílen (Střední průmyslová škola, Ostrava - Vítkovice, příspěvková organizace)</t>
  </si>
  <si>
    <t>4007</t>
  </si>
  <si>
    <t>Úpravy venkovních ploch (Mateřská školka Klíček, Karviná-Hranice, Einsteinova 2849, příspěvková organizace)</t>
  </si>
  <si>
    <t>4096</t>
  </si>
  <si>
    <t>Rekonstrukce venkovního sportovního areálu“ organizace Střední průmyslová škola, Ostrava-Vítkovice, příspěvková organizace</t>
  </si>
  <si>
    <t>4252</t>
  </si>
  <si>
    <t>Pavilon F - stavební úpravy 1.NP pro rehabilitaci (Slezská nemocnice v Opavě, příspěvková organizace)</t>
  </si>
  <si>
    <t>4301</t>
  </si>
  <si>
    <t>Výstavba operačních sálů a dospávacího pokoje (Nemocnice s poliklinikou Karviná-Ráj, příspěvková organizace)</t>
  </si>
  <si>
    <t>5988</t>
  </si>
  <si>
    <t>Pavilon H - stavební úpravy a přístavba (Slezská nemocnice v Opavě, příspěvková organizace)</t>
  </si>
  <si>
    <t>5594</t>
  </si>
  <si>
    <t>Rekonstrukce hemodialýzy v budově S (Nemocnice ve Frýdku-Místku, příspěvková organizace)</t>
  </si>
  <si>
    <t>5984</t>
  </si>
  <si>
    <t>Rekonstrukce podkroví (Odborný léčebný ústav Metylovice - Moravskoslezské sanatorium, příspěvková organizace)</t>
  </si>
  <si>
    <t>5921</t>
  </si>
  <si>
    <t>Domov sester - přístavba výtahu a stavební úpravy (Slezská nemocnice v Opavě, příspěvková organizace)</t>
  </si>
  <si>
    <t>5765</t>
  </si>
  <si>
    <t>Nemocnice Havířov - ČOV (Nemocnice Havířov, příspěvková organizace)</t>
  </si>
  <si>
    <t>5761</t>
  </si>
  <si>
    <t>Pavilon L - stavební úpravy (Slezská nemocnice v Opavě, příspěvková organizace)</t>
  </si>
  <si>
    <t>5690</t>
  </si>
  <si>
    <t>Přístavba a nástavba rehabilitace (Nemocnice Třinec, příspěvková organizace)</t>
  </si>
  <si>
    <t>4496</t>
  </si>
  <si>
    <t>Pavilon T - stavební úpravy a přístavba odd. onkologie - (Slezská nemocnice v Opavě, příspěvková organizace)</t>
  </si>
  <si>
    <t>4372</t>
  </si>
  <si>
    <t>Výstavba nadzemních koridorů  (Slezská nemocnice v Opavě, příspěvková organizace)</t>
  </si>
  <si>
    <t>5482</t>
  </si>
  <si>
    <t>Rekonstrukce dětského oddělení vč. DIP  (Nemocnice ve Frýdku Místku, příspěvková organizace)</t>
  </si>
  <si>
    <t>4408</t>
  </si>
  <si>
    <t>Šatny pro zaměstnance v 1.PP budovy PCHO  ((Nemocnice ve Frýdku Místku, příspěvková organizace)</t>
  </si>
  <si>
    <t>4410</t>
  </si>
  <si>
    <t>CELKEM ZA AKCE REPRODUKCE MAJETKU KRAJE VYJMA AKCÍ SPOLUFINANCOVANÝCH Z EVROPSKÝCH FINANČNÍCH ZDROJŮ</t>
  </si>
  <si>
    <t>CELKEM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</si>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</sst>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2"/>
      <name val="Tahoma"/>
      <family val="2"/>
      <charset val="238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indexed="8"/>
      <name val="Tahoma"/>
      <family val="2"/>
      <charset val="238"/>
    </font>
    <font>
      <sz val="8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>
      <alignment wrapText="1"/>
    </xf>
    <xf numFmtId="0" fontId="11" fillId="0" borderId="0"/>
  </cellStyleXfs>
  <cellXfs count="92">
    <xf numFmtId="0" fontId="0" fillId="0" borderId="0" xfId="0"/>
    <xf numFmtId="0" fontId="2" fillId="0" borderId="0" xfId="1" applyFont="1"/>
    <xf numFmtId="49" fontId="2" fillId="0" borderId="0" xfId="1" applyNumberFormat="1" applyFont="1"/>
    <xf numFmtId="49" fontId="2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2" fillId="0" borderId="0" xfId="1" applyNumberFormat="1" applyFont="1"/>
    <xf numFmtId="3" fontId="7" fillId="0" borderId="0" xfId="1" applyNumberFormat="1" applyFont="1" applyAlignment="1">
      <alignment horizontal="right"/>
    </xf>
    <xf numFmtId="4" fontId="2" fillId="0" borderId="0" xfId="1" applyNumberFormat="1" applyFont="1" applyAlignment="1">
      <alignment horizontal="center"/>
    </xf>
    <xf numFmtId="49" fontId="8" fillId="0" borderId="2" xfId="2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3" fontId="6" fillId="2" borderId="17" xfId="1" applyNumberFormat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3" fontId="6" fillId="0" borderId="21" xfId="1" applyNumberFormat="1" applyFont="1" applyBorder="1" applyAlignment="1">
      <alignment vertical="center" wrapText="1"/>
    </xf>
    <xf numFmtId="49" fontId="6" fillId="0" borderId="22" xfId="1" applyNumberFormat="1" applyFont="1" applyBorder="1" applyAlignment="1">
      <alignment vertical="center" wrapText="1"/>
    </xf>
    <xf numFmtId="49" fontId="6" fillId="0" borderId="22" xfId="1" applyNumberFormat="1" applyFont="1" applyBorder="1" applyAlignment="1">
      <alignment horizontal="center" vertical="center" wrapText="1"/>
    </xf>
    <xf numFmtId="3" fontId="6" fillId="0" borderId="23" xfId="1" applyNumberFormat="1" applyFont="1" applyBorder="1" applyAlignment="1">
      <alignment vertical="center"/>
    </xf>
    <xf numFmtId="0" fontId="16" fillId="0" borderId="0" xfId="1" applyFont="1" applyAlignment="1">
      <alignment vertical="center"/>
    </xf>
    <xf numFmtId="3" fontId="8" fillId="2" borderId="21" xfId="2" applyNumberFormat="1" applyFont="1" applyFill="1" applyBorder="1" applyAlignment="1">
      <alignment horizontal="left" vertical="center" wrapText="1"/>
    </xf>
    <xf numFmtId="49" fontId="8" fillId="2" borderId="22" xfId="2" applyNumberFormat="1" applyFont="1" applyFill="1" applyBorder="1" applyAlignment="1">
      <alignment horizontal="left" vertical="center" wrapText="1"/>
    </xf>
    <xf numFmtId="49" fontId="8" fillId="2" borderId="22" xfId="2" applyNumberFormat="1" applyFont="1" applyFill="1" applyBorder="1" applyAlignment="1">
      <alignment horizontal="center" vertical="center" wrapText="1"/>
    </xf>
    <xf numFmtId="3" fontId="8" fillId="2" borderId="23" xfId="2" applyNumberFormat="1" applyFont="1" applyFill="1" applyBorder="1" applyAlignment="1">
      <alignment horizontal="right" vertical="center" wrapText="1"/>
    </xf>
    <xf numFmtId="3" fontId="8" fillId="2" borderId="17" xfId="2" applyNumberFormat="1" applyFont="1" applyFill="1" applyBorder="1" applyAlignment="1">
      <alignment horizontal="right" vertical="center" wrapText="1"/>
    </xf>
    <xf numFmtId="3" fontId="6" fillId="0" borderId="26" xfId="1" applyNumberFormat="1" applyFont="1" applyBorder="1" applyAlignment="1">
      <alignment vertical="center"/>
    </xf>
    <xf numFmtId="3" fontId="8" fillId="2" borderId="27" xfId="2" applyNumberFormat="1" applyFont="1" applyFill="1" applyBorder="1" applyAlignment="1">
      <alignment horizontal="left" vertical="center" wrapText="1"/>
    </xf>
    <xf numFmtId="49" fontId="8" fillId="2" borderId="28" xfId="2" applyNumberFormat="1" applyFont="1" applyFill="1" applyBorder="1" applyAlignment="1">
      <alignment horizontal="left" vertical="center" wrapText="1"/>
    </xf>
    <xf numFmtId="49" fontId="8" fillId="2" borderId="28" xfId="2" applyNumberFormat="1" applyFont="1" applyFill="1" applyBorder="1" applyAlignment="1">
      <alignment horizontal="center" vertical="center" wrapText="1"/>
    </xf>
    <xf numFmtId="3" fontId="8" fillId="2" borderId="29" xfId="2" applyNumberFormat="1" applyFont="1" applyFill="1" applyBorder="1" applyAlignment="1">
      <alignment horizontal="right" vertical="center" wrapText="1"/>
    </xf>
    <xf numFmtId="3" fontId="8" fillId="2" borderId="30" xfId="2" applyNumberFormat="1" applyFont="1" applyFill="1" applyBorder="1" applyAlignment="1">
      <alignment horizontal="right" vertical="center" wrapText="1"/>
    </xf>
    <xf numFmtId="3" fontId="8" fillId="0" borderId="24" xfId="2" applyNumberFormat="1" applyFont="1" applyBorder="1" applyAlignment="1">
      <alignment horizontal="left" vertical="center" wrapText="1"/>
    </xf>
    <xf numFmtId="3" fontId="8" fillId="0" borderId="31" xfId="2" applyNumberFormat="1" applyFont="1" applyBorder="1" applyAlignment="1">
      <alignment horizontal="center" vertical="center" wrapText="1"/>
    </xf>
    <xf numFmtId="3" fontId="2" fillId="0" borderId="0" xfId="1" applyNumberFormat="1" applyFont="1" applyAlignment="1">
      <alignment vertical="center"/>
    </xf>
    <xf numFmtId="3" fontId="8" fillId="2" borderId="26" xfId="2" applyNumberFormat="1" applyFont="1" applyFill="1" applyBorder="1" applyAlignment="1">
      <alignment horizontal="right" vertical="center" wrapText="1"/>
    </xf>
    <xf numFmtId="3" fontId="8" fillId="2" borderId="32" xfId="2" applyNumberFormat="1" applyFont="1" applyFill="1" applyBorder="1" applyAlignment="1">
      <alignment horizontal="right" vertical="center" wrapText="1"/>
    </xf>
    <xf numFmtId="3" fontId="10" fillId="2" borderId="30" xfId="2" applyNumberFormat="1" applyFont="1" applyFill="1" applyBorder="1" applyAlignment="1">
      <alignment horizontal="right" vertical="center" wrapText="1"/>
    </xf>
    <xf numFmtId="3" fontId="14" fillId="0" borderId="0" xfId="1" applyNumberFormat="1" applyFont="1" applyAlignment="1">
      <alignment vertical="center"/>
    </xf>
    <xf numFmtId="3" fontId="17" fillId="0" borderId="23" xfId="2" applyNumberFormat="1" applyFont="1" applyBorder="1" applyAlignment="1">
      <alignment horizontal="right" vertical="center" wrapText="1"/>
    </xf>
    <xf numFmtId="3" fontId="17" fillId="3" borderId="23" xfId="2" applyNumberFormat="1" applyFont="1" applyFill="1" applyBorder="1" applyAlignment="1">
      <alignment horizontal="right" vertical="center" wrapText="1"/>
    </xf>
    <xf numFmtId="3" fontId="6" fillId="3" borderId="21" xfId="1" applyNumberFormat="1" applyFont="1" applyFill="1" applyBorder="1" applyAlignment="1">
      <alignment vertical="center" wrapText="1"/>
    </xf>
    <xf numFmtId="3" fontId="16" fillId="0" borderId="0" xfId="1" applyNumberFormat="1" applyFont="1" applyAlignment="1">
      <alignment vertical="center"/>
    </xf>
    <xf numFmtId="3" fontId="17" fillId="0" borderId="21" xfId="2" applyNumberFormat="1" applyFont="1" applyBorder="1" applyAlignment="1">
      <alignment vertical="center" wrapText="1"/>
    </xf>
    <xf numFmtId="49" fontId="17" fillId="0" borderId="22" xfId="2" applyNumberFormat="1" applyFont="1" applyBorder="1" applyAlignment="1">
      <alignment vertical="center" wrapText="1"/>
    </xf>
    <xf numFmtId="3" fontId="6" fillId="0" borderId="21" xfId="2" applyNumberFormat="1" applyFont="1" applyBorder="1" applyAlignment="1">
      <alignment vertical="center" wrapText="1"/>
    </xf>
    <xf numFmtId="49" fontId="6" fillId="0" borderId="22" xfId="2" applyNumberFormat="1" applyFont="1" applyBorder="1" applyAlignment="1">
      <alignment vertical="center" wrapText="1"/>
    </xf>
    <xf numFmtId="49" fontId="6" fillId="0" borderId="22" xfId="2" applyNumberFormat="1" applyFont="1" applyBorder="1" applyAlignment="1">
      <alignment horizontal="center" vertical="center" wrapText="1"/>
    </xf>
    <xf numFmtId="49" fontId="6" fillId="3" borderId="22" xfId="2" applyNumberFormat="1" applyFont="1" applyFill="1" applyBorder="1" applyAlignment="1">
      <alignment vertical="center" wrapText="1"/>
    </xf>
    <xf numFmtId="3" fontId="6" fillId="0" borderId="23" xfId="2" applyNumberFormat="1" applyFont="1" applyBorder="1" applyAlignment="1">
      <alignment horizontal="right" vertical="center" wrapText="1"/>
    </xf>
    <xf numFmtId="3" fontId="6" fillId="3" borderId="23" xfId="2" applyNumberFormat="1" applyFont="1" applyFill="1" applyBorder="1" applyAlignment="1">
      <alignment horizontal="right" vertical="center" wrapText="1"/>
    </xf>
    <xf numFmtId="3" fontId="18" fillId="0" borderId="23" xfId="1" applyNumberFormat="1" applyFont="1" applyBorder="1" applyAlignment="1">
      <alignment horizontal="right" vertical="center" wrapText="1"/>
    </xf>
    <xf numFmtId="3" fontId="18" fillId="3" borderId="23" xfId="1" applyNumberFormat="1" applyFont="1" applyFill="1" applyBorder="1" applyAlignment="1">
      <alignment horizontal="right" vertical="center" wrapText="1"/>
    </xf>
    <xf numFmtId="3" fontId="17" fillId="0" borderId="26" xfId="2" applyNumberFormat="1" applyFont="1" applyBorder="1" applyAlignment="1">
      <alignment horizontal="right" vertical="center" wrapText="1"/>
    </xf>
    <xf numFmtId="3" fontId="8" fillId="3" borderId="36" xfId="2" applyNumberFormat="1" applyFont="1" applyFill="1" applyBorder="1" applyAlignment="1">
      <alignment horizontal="center" vertical="center" wrapText="1"/>
    </xf>
    <xf numFmtId="3" fontId="6" fillId="3" borderId="23" xfId="1" applyNumberFormat="1" applyFont="1" applyFill="1" applyBorder="1" applyAlignment="1">
      <alignment vertical="center"/>
    </xf>
    <xf numFmtId="0" fontId="2" fillId="0" borderId="25" xfId="1" applyFont="1" applyBorder="1" applyAlignment="1">
      <alignment vertical="center"/>
    </xf>
    <xf numFmtId="49" fontId="8" fillId="0" borderId="0" xfId="2" applyNumberFormat="1" applyFont="1" applyBorder="1" applyAlignment="1">
      <alignment horizontal="left" vertical="center" wrapText="1"/>
    </xf>
    <xf numFmtId="49" fontId="8" fillId="0" borderId="0" xfId="2" applyNumberFormat="1" applyFont="1" applyBorder="1" applyAlignment="1">
      <alignment horizontal="center" vertical="center" wrapText="1"/>
    </xf>
    <xf numFmtId="3" fontId="8" fillId="0" borderId="0" xfId="2" applyNumberFormat="1" applyFont="1" applyBorder="1" applyAlignment="1">
      <alignment horizontal="center" vertical="center" wrapText="1"/>
    </xf>
    <xf numFmtId="0" fontId="14" fillId="0" borderId="25" xfId="1" applyFont="1" applyBorder="1" applyAlignment="1">
      <alignment vertical="center"/>
    </xf>
    <xf numFmtId="3" fontId="8" fillId="2" borderId="6" xfId="2" applyNumberFormat="1" applyFont="1" applyFill="1" applyBorder="1" applyAlignment="1">
      <alignment horizontal="center" vertical="center" wrapText="1"/>
    </xf>
    <xf numFmtId="3" fontId="8" fillId="2" borderId="13" xfId="2" applyNumberFormat="1" applyFont="1" applyFill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left" vertical="center" wrapText="1"/>
    </xf>
    <xf numFmtId="3" fontId="7" fillId="0" borderId="19" xfId="1" applyNumberFormat="1" applyFont="1" applyBorder="1" applyAlignment="1">
      <alignment horizontal="left" vertical="center" wrapText="1"/>
    </xf>
    <xf numFmtId="3" fontId="15" fillId="0" borderId="19" xfId="1" applyNumberFormat="1" applyFont="1" applyBorder="1" applyAlignment="1">
      <alignment horizontal="left" vertical="center" wrapText="1"/>
    </xf>
    <xf numFmtId="3" fontId="15" fillId="0" borderId="20" xfId="1" applyNumberFormat="1" applyFont="1" applyBorder="1" applyAlignment="1">
      <alignment horizontal="left" vertical="center" wrapText="1"/>
    </xf>
    <xf numFmtId="3" fontId="7" fillId="0" borderId="33" xfId="1" applyNumberFormat="1" applyFont="1" applyBorder="1" applyAlignment="1">
      <alignment horizontal="left" vertical="center" wrapText="1"/>
    </xf>
    <xf numFmtId="3" fontId="7" fillId="0" borderId="34" xfId="1" applyNumberFormat="1" applyFont="1" applyBorder="1" applyAlignment="1">
      <alignment horizontal="left" vertical="center" wrapText="1"/>
    </xf>
    <xf numFmtId="3" fontId="7" fillId="0" borderId="35" xfId="1" applyNumberFormat="1" applyFont="1" applyBorder="1" applyAlignment="1">
      <alignment horizontal="left" vertical="center" wrapText="1"/>
    </xf>
    <xf numFmtId="3" fontId="10" fillId="2" borderId="14" xfId="2" applyNumberFormat="1" applyFont="1" applyFill="1" applyBorder="1" applyAlignment="1">
      <alignment horizontal="center" vertical="center" wrapText="1"/>
    </xf>
    <xf numFmtId="3" fontId="10" fillId="2" borderId="5" xfId="2" applyNumberFormat="1" applyFont="1" applyFill="1" applyBorder="1" applyAlignment="1">
      <alignment horizontal="center" vertical="center" wrapText="1"/>
    </xf>
    <xf numFmtId="3" fontId="12" fillId="2" borderId="15" xfId="3" applyNumberFormat="1" applyFont="1" applyFill="1" applyBorder="1" applyAlignment="1">
      <alignment horizontal="center" vertical="center" wrapText="1"/>
    </xf>
    <xf numFmtId="3" fontId="12" fillId="2" borderId="3" xfId="3" applyNumberFormat="1" applyFont="1" applyFill="1" applyBorder="1" applyAlignment="1">
      <alignment horizontal="center" vertical="center" wrapText="1"/>
    </xf>
    <xf numFmtId="3" fontId="13" fillId="2" borderId="3" xfId="1" applyNumberFormat="1" applyFont="1" applyFill="1" applyBorder="1" applyAlignment="1">
      <alignment vertical="center"/>
    </xf>
    <xf numFmtId="3" fontId="13" fillId="2" borderId="16" xfId="1" applyNumberFormat="1" applyFont="1" applyFill="1" applyBorder="1" applyAlignment="1">
      <alignment vertical="center"/>
    </xf>
    <xf numFmtId="3" fontId="7" fillId="0" borderId="24" xfId="1" applyNumberFormat="1" applyFont="1" applyBorder="1" applyAlignment="1">
      <alignment horizontal="left" vertical="center" wrapText="1"/>
    </xf>
    <xf numFmtId="3" fontId="7" fillId="0" borderId="0" xfId="1" applyNumberFormat="1" applyFont="1" applyBorder="1" applyAlignment="1">
      <alignment horizontal="left" vertical="center" wrapText="1"/>
    </xf>
    <xf numFmtId="3" fontId="15" fillId="0" borderId="0" xfId="1" applyNumberFormat="1" applyFont="1" applyBorder="1" applyAlignment="1">
      <alignment horizontal="left" vertical="center" wrapText="1"/>
    </xf>
    <xf numFmtId="3" fontId="15" fillId="0" borderId="25" xfId="1" applyNumberFormat="1" applyFont="1" applyBorder="1" applyAlignment="1">
      <alignment horizontal="left" vertical="center" wrapText="1"/>
    </xf>
    <xf numFmtId="3" fontId="3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3" fontId="8" fillId="0" borderId="1" xfId="2" applyNumberFormat="1" applyFont="1" applyBorder="1" applyAlignment="1">
      <alignment horizontal="center" vertical="center" wrapText="1"/>
    </xf>
    <xf numFmtId="3" fontId="9" fillId="0" borderId="7" xfId="1" applyNumberFormat="1" applyFont="1" applyBorder="1" applyAlignment="1">
      <alignment horizontal="center" vertical="center" wrapText="1"/>
    </xf>
    <xf numFmtId="3" fontId="7" fillId="0" borderId="3" xfId="1" applyNumberFormat="1" applyFont="1" applyBorder="1" applyAlignment="1">
      <alignment horizontal="center" vertical="center" wrapText="1"/>
    </xf>
    <xf numFmtId="3" fontId="7" fillId="0" borderId="4" xfId="1" applyNumberFormat="1" applyFont="1" applyBorder="1" applyAlignment="1">
      <alignment horizontal="center" vertical="center" wrapText="1"/>
    </xf>
    <xf numFmtId="3" fontId="7" fillId="0" borderId="5" xfId="1" applyNumberFormat="1" applyFont="1" applyBorder="1" applyAlignment="1">
      <alignment horizontal="center" vertical="center" wrapText="1"/>
    </xf>
    <xf numFmtId="3" fontId="13" fillId="2" borderId="3" xfId="1" applyNumberFormat="1" applyFont="1" applyFill="1" applyBorder="1" applyAlignment="1">
      <alignment vertical="center" wrapText="1"/>
    </xf>
    <xf numFmtId="3" fontId="13" fillId="2" borderId="16" xfId="1" applyNumberFormat="1" applyFont="1" applyFill="1" applyBorder="1" applyAlignment="1">
      <alignment vertical="center" wrapText="1"/>
    </xf>
  </cellXfs>
  <cellStyles count="4">
    <cellStyle name="Normální" xfId="0" builtinId="0"/>
    <cellStyle name="Normální 11" xfId="1" xr:uid="{A6F1D496-5088-4013-AEB0-3886E724BB13}"/>
    <cellStyle name="Normální 2 2" xfId="2" xr:uid="{A0938E8D-E912-4924-9D2B-F7C22C5C404B}"/>
    <cellStyle name="Normální 3 2 2" xfId="3" xr:uid="{C615E345-320C-42FD-8934-59203F4E3FCA}"/>
  </cellStyles>
  <dxfs count="166"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52CE2-E628-428F-9B7F-AA62D345C9CE}">
  <dimension ref="A1:Q92"/>
  <sheetViews>
    <sheetView tabSelected="1" workbookViewId="0">
      <pane ySplit="5" topLeftCell="A6" activePane="bottomLeft" state="frozen"/>
      <selection pane="bottomLeft" activeCell="H9" sqref="H9"/>
    </sheetView>
  </sheetViews>
  <sheetFormatPr defaultColWidth="9.140625" defaultRowHeight="12.75" x14ac:dyDescent="0.2"/>
  <cols>
    <col min="1" max="1" width="50.7109375" style="1" customWidth="1"/>
    <col min="2" max="2" width="7.7109375" style="2" customWidth="1"/>
    <col min="3" max="3" width="7.7109375" style="3" customWidth="1"/>
    <col min="4" max="10" width="12.7109375" style="4" customWidth="1"/>
    <col min="11" max="12" width="13" style="4" customWidth="1"/>
    <col min="13" max="13" width="0" style="1" hidden="1" customWidth="1"/>
    <col min="14" max="16384" width="9.140625" style="1"/>
  </cols>
  <sheetData>
    <row r="1" spans="1:17" ht="15" customHeight="1" x14ac:dyDescent="0.2">
      <c r="A1" s="1" t="s">
        <v>154</v>
      </c>
      <c r="M1" s="1" t="s">
        <v>0</v>
      </c>
    </row>
    <row r="2" spans="1:17" s="5" customFormat="1" ht="23.25" customHeight="1" x14ac:dyDescent="0.25">
      <c r="A2" s="83" t="s">
        <v>1</v>
      </c>
      <c r="B2" s="83"/>
      <c r="C2" s="83"/>
      <c r="D2" s="84"/>
      <c r="E2" s="84"/>
      <c r="F2" s="84"/>
      <c r="G2" s="84"/>
      <c r="H2" s="84"/>
      <c r="I2" s="84"/>
      <c r="J2" s="84"/>
      <c r="K2" s="84"/>
    </row>
    <row r="3" spans="1:17" ht="13.5" thickBot="1" x14ac:dyDescent="0.25">
      <c r="A3" s="6"/>
      <c r="D3" s="6"/>
      <c r="E3" s="6"/>
      <c r="F3" s="6"/>
      <c r="G3" s="6"/>
      <c r="H3" s="6"/>
      <c r="I3" s="6"/>
      <c r="J3" s="6"/>
      <c r="K3" s="7" t="s">
        <v>2</v>
      </c>
      <c r="L3" s="7" t="s">
        <v>2</v>
      </c>
      <c r="M3" s="8"/>
    </row>
    <row r="4" spans="1:17" ht="24.6" customHeight="1" x14ac:dyDescent="0.2">
      <c r="A4" s="85" t="s">
        <v>3</v>
      </c>
      <c r="B4" s="9"/>
      <c r="C4" s="9"/>
      <c r="D4" s="87" t="s">
        <v>4</v>
      </c>
      <c r="E4" s="88"/>
      <c r="F4" s="88"/>
      <c r="G4" s="88"/>
      <c r="H4" s="88"/>
      <c r="I4" s="89"/>
      <c r="J4" s="10"/>
      <c r="K4" s="64" t="s">
        <v>5</v>
      </c>
      <c r="L4" s="64" t="s">
        <v>6</v>
      </c>
    </row>
    <row r="5" spans="1:17" ht="24.6" customHeight="1" thickBot="1" x14ac:dyDescent="0.25">
      <c r="A5" s="86"/>
      <c r="B5" s="11" t="s">
        <v>7</v>
      </c>
      <c r="C5" s="11" t="s">
        <v>8</v>
      </c>
      <c r="D5" s="12">
        <v>2021</v>
      </c>
      <c r="E5" s="13" t="s">
        <v>9</v>
      </c>
      <c r="F5" s="14" t="s">
        <v>10</v>
      </c>
      <c r="G5" s="14" t="s">
        <v>11</v>
      </c>
      <c r="H5" s="14" t="s">
        <v>12</v>
      </c>
      <c r="I5" s="12" t="s">
        <v>13</v>
      </c>
      <c r="J5" s="15" t="s">
        <v>14</v>
      </c>
      <c r="K5" s="65"/>
      <c r="L5" s="65"/>
    </row>
    <row r="6" spans="1:17" s="17" customFormat="1" ht="21" customHeight="1" x14ac:dyDescent="0.25">
      <c r="A6" s="73" t="s">
        <v>15</v>
      </c>
      <c r="B6" s="74"/>
      <c r="C6" s="74"/>
      <c r="D6" s="75"/>
      <c r="E6" s="75"/>
      <c r="F6" s="76"/>
      <c r="G6" s="76"/>
      <c r="H6" s="76"/>
      <c r="I6" s="90"/>
      <c r="J6" s="90"/>
      <c r="K6" s="91"/>
      <c r="L6" s="16"/>
    </row>
    <row r="7" spans="1:17" s="18" customFormat="1" ht="18" customHeight="1" x14ac:dyDescent="0.25">
      <c r="A7" s="66" t="s">
        <v>16</v>
      </c>
      <c r="B7" s="67"/>
      <c r="C7" s="67"/>
      <c r="D7" s="68"/>
      <c r="E7" s="68"/>
      <c r="F7" s="68"/>
      <c r="G7" s="68"/>
      <c r="H7" s="68"/>
      <c r="I7" s="68"/>
      <c r="J7" s="68"/>
      <c r="K7" s="69"/>
      <c r="L7" s="59"/>
    </row>
    <row r="8" spans="1:17" s="23" customFormat="1" ht="15" customHeight="1" x14ac:dyDescent="0.25">
      <c r="A8" s="44" t="s">
        <v>17</v>
      </c>
      <c r="B8" s="20">
        <v>3402</v>
      </c>
      <c r="C8" s="21" t="s">
        <v>18</v>
      </c>
      <c r="D8" s="22">
        <v>5576.1411900000003</v>
      </c>
      <c r="E8" s="22">
        <v>91590.16</v>
      </c>
      <c r="F8" s="22">
        <v>63440.160000000003</v>
      </c>
      <c r="G8" s="22">
        <v>60950</v>
      </c>
      <c r="H8" s="22">
        <f>90944+36910+1844</f>
        <v>129698</v>
      </c>
      <c r="I8" s="22">
        <v>0</v>
      </c>
      <c r="J8" s="22">
        <v>0</v>
      </c>
      <c r="K8" s="16">
        <f>D8+E8+G8+I8</f>
        <v>158116.30119</v>
      </c>
      <c r="L8" s="16">
        <f>D8+F8+H8+J8</f>
        <v>198714.30119</v>
      </c>
      <c r="M8" s="45">
        <f>K8-L8</f>
        <v>-40598</v>
      </c>
      <c r="O8" s="45"/>
      <c r="P8" s="45"/>
      <c r="Q8" s="45"/>
    </row>
    <row r="9" spans="1:17" s="23" customFormat="1" ht="24" customHeight="1" x14ac:dyDescent="0.25">
      <c r="A9" s="19" t="s">
        <v>19</v>
      </c>
      <c r="B9" s="20" t="s">
        <v>20</v>
      </c>
      <c r="C9" s="21" t="s">
        <v>18</v>
      </c>
      <c r="D9" s="22">
        <v>3541.7672600000001</v>
      </c>
      <c r="E9" s="22">
        <v>26967.23</v>
      </c>
      <c r="F9" s="22">
        <v>26967.23</v>
      </c>
      <c r="G9" s="22">
        <v>19995</v>
      </c>
      <c r="H9" s="22">
        <v>19995</v>
      </c>
      <c r="I9" s="22">
        <v>0</v>
      </c>
      <c r="J9" s="22">
        <v>0</v>
      </c>
      <c r="K9" s="16">
        <f>D9+E9+G9+I9</f>
        <v>50503.997260000004</v>
      </c>
      <c r="L9" s="16">
        <f>D9+F9+H9+J9</f>
        <v>50503.997260000004</v>
      </c>
      <c r="M9" s="45">
        <f t="shared" ref="M9:M72" si="0">K9-L9</f>
        <v>0</v>
      </c>
      <c r="O9" s="45"/>
      <c r="P9" s="45"/>
    </row>
    <row r="10" spans="1:17" s="17" customFormat="1" ht="15" customHeight="1" x14ac:dyDescent="0.25">
      <c r="A10" s="24" t="s">
        <v>21</v>
      </c>
      <c r="B10" s="25"/>
      <c r="C10" s="26"/>
      <c r="D10" s="27">
        <f t="shared" ref="D10:G10" si="1">SUM(D8:D9)</f>
        <v>9117.9084500000008</v>
      </c>
      <c r="E10" s="27">
        <f t="shared" si="1"/>
        <v>118557.39</v>
      </c>
      <c r="F10" s="27">
        <f t="shared" ref="F10" si="2">SUM(F8:F9)</f>
        <v>90407.39</v>
      </c>
      <c r="G10" s="27">
        <f t="shared" si="1"/>
        <v>80945</v>
      </c>
      <c r="H10" s="27">
        <f t="shared" ref="H10" si="3">SUM(H8:H9)</f>
        <v>149693</v>
      </c>
      <c r="I10" s="27">
        <f>SUM(I8:I9)</f>
        <v>0</v>
      </c>
      <c r="J10" s="27">
        <f t="shared" ref="J10" si="4">SUM(J8:J9)</f>
        <v>0</v>
      </c>
      <c r="K10" s="28">
        <f>SUM(K8:K9)</f>
        <v>208620.29845</v>
      </c>
      <c r="L10" s="28">
        <f>SUM(L8:L9)</f>
        <v>249218.29845</v>
      </c>
      <c r="M10" s="45">
        <f t="shared" si="0"/>
        <v>-40598</v>
      </c>
      <c r="O10" s="45"/>
      <c r="P10" s="45"/>
    </row>
    <row r="11" spans="1:17" s="18" customFormat="1" ht="18" customHeight="1" x14ac:dyDescent="0.25">
      <c r="A11" s="79" t="s">
        <v>22</v>
      </c>
      <c r="B11" s="80"/>
      <c r="C11" s="80"/>
      <c r="D11" s="81"/>
      <c r="E11" s="81"/>
      <c r="F11" s="81"/>
      <c r="G11" s="81"/>
      <c r="H11" s="81"/>
      <c r="I11" s="81"/>
      <c r="J11" s="81"/>
      <c r="K11" s="82"/>
      <c r="L11" s="59"/>
      <c r="M11" s="45">
        <f t="shared" si="0"/>
        <v>0</v>
      </c>
      <c r="O11" s="45"/>
      <c r="P11" s="45"/>
    </row>
    <row r="12" spans="1:17" s="23" customFormat="1" ht="15" customHeight="1" x14ac:dyDescent="0.25">
      <c r="A12" s="19" t="s">
        <v>23</v>
      </c>
      <c r="B12" s="20" t="s">
        <v>24</v>
      </c>
      <c r="C12" s="21" t="s">
        <v>18</v>
      </c>
      <c r="D12" s="22">
        <v>0</v>
      </c>
      <c r="E12" s="22">
        <v>26810</v>
      </c>
      <c r="F12" s="22">
        <v>16017</v>
      </c>
      <c r="G12" s="22">
        <v>0</v>
      </c>
      <c r="H12" s="22">
        <v>10793</v>
      </c>
      <c r="I12" s="29">
        <v>0</v>
      </c>
      <c r="J12" s="29">
        <v>0</v>
      </c>
      <c r="K12" s="16">
        <f>D12+E12+G12+I12</f>
        <v>26810</v>
      </c>
      <c r="L12" s="16">
        <f>D12+F12+H12+J12</f>
        <v>26810</v>
      </c>
      <c r="M12" s="45">
        <f t="shared" si="0"/>
        <v>0</v>
      </c>
      <c r="O12" s="45"/>
      <c r="P12" s="45"/>
      <c r="Q12" s="45"/>
    </row>
    <row r="13" spans="1:17" s="23" customFormat="1" ht="15" customHeight="1" x14ac:dyDescent="0.25">
      <c r="A13" s="19" t="s">
        <v>25</v>
      </c>
      <c r="B13" s="20" t="s">
        <v>26</v>
      </c>
      <c r="C13" s="21" t="s">
        <v>18</v>
      </c>
      <c r="D13" s="22">
        <v>0</v>
      </c>
      <c r="E13" s="22">
        <v>10963</v>
      </c>
      <c r="F13" s="22">
        <v>8963</v>
      </c>
      <c r="G13" s="22">
        <v>0</v>
      </c>
      <c r="H13" s="22">
        <v>2000</v>
      </c>
      <c r="I13" s="29">
        <v>0</v>
      </c>
      <c r="J13" s="29">
        <v>0</v>
      </c>
      <c r="K13" s="16">
        <f t="shared" ref="K13:K15" si="5">D13+E13+G13+I13</f>
        <v>10963</v>
      </c>
      <c r="L13" s="16">
        <f t="shared" ref="L13:L15" si="6">D13+F13+H13+J13</f>
        <v>10963</v>
      </c>
      <c r="M13" s="45">
        <f t="shared" si="0"/>
        <v>0</v>
      </c>
      <c r="O13" s="45"/>
      <c r="P13" s="45"/>
      <c r="Q13" s="45"/>
    </row>
    <row r="14" spans="1:17" s="23" customFormat="1" ht="15" customHeight="1" x14ac:dyDescent="0.25">
      <c r="A14" s="19" t="s">
        <v>27</v>
      </c>
      <c r="B14" s="20" t="s">
        <v>28</v>
      </c>
      <c r="C14" s="21" t="s">
        <v>18</v>
      </c>
      <c r="D14" s="22">
        <v>0</v>
      </c>
      <c r="E14" s="22">
        <v>21262</v>
      </c>
      <c r="F14" s="22">
        <v>16262</v>
      </c>
      <c r="G14" s="22">
        <v>0</v>
      </c>
      <c r="H14" s="22">
        <v>5000</v>
      </c>
      <c r="I14" s="29">
        <v>0</v>
      </c>
      <c r="J14" s="29">
        <v>0</v>
      </c>
      <c r="K14" s="16">
        <f t="shared" si="5"/>
        <v>21262</v>
      </c>
      <c r="L14" s="16">
        <f t="shared" si="6"/>
        <v>21262</v>
      </c>
      <c r="M14" s="45">
        <f t="shared" si="0"/>
        <v>0</v>
      </c>
      <c r="O14" s="45"/>
      <c r="P14" s="45"/>
      <c r="Q14" s="45"/>
    </row>
    <row r="15" spans="1:17" s="23" customFormat="1" ht="15" customHeight="1" x14ac:dyDescent="0.25">
      <c r="A15" s="19" t="s">
        <v>29</v>
      </c>
      <c r="B15" s="20" t="s">
        <v>30</v>
      </c>
      <c r="C15" s="21" t="s">
        <v>18</v>
      </c>
      <c r="D15" s="22">
        <v>0</v>
      </c>
      <c r="E15" s="22">
        <v>50842</v>
      </c>
      <c r="F15" s="22">
        <v>9282</v>
      </c>
      <c r="G15" s="22">
        <v>0</v>
      </c>
      <c r="H15" s="22">
        <v>41560</v>
      </c>
      <c r="I15" s="29">
        <v>0</v>
      </c>
      <c r="J15" s="29">
        <v>0</v>
      </c>
      <c r="K15" s="16">
        <f t="shared" si="5"/>
        <v>50842</v>
      </c>
      <c r="L15" s="16">
        <f t="shared" si="6"/>
        <v>50842</v>
      </c>
      <c r="M15" s="45">
        <f t="shared" si="0"/>
        <v>0</v>
      </c>
      <c r="O15" s="45"/>
      <c r="P15" s="45"/>
      <c r="Q15" s="45"/>
    </row>
    <row r="16" spans="1:17" s="17" customFormat="1" ht="15" customHeight="1" x14ac:dyDescent="0.25">
      <c r="A16" s="24" t="s">
        <v>31</v>
      </c>
      <c r="B16" s="25"/>
      <c r="C16" s="26"/>
      <c r="D16" s="27">
        <f>SUM(D12:D15)</f>
        <v>0</v>
      </c>
      <c r="E16" s="27">
        <f t="shared" ref="E16:J16" si="7">SUM(E12:E15)</f>
        <v>109877</v>
      </c>
      <c r="F16" s="27">
        <f t="shared" si="7"/>
        <v>50524</v>
      </c>
      <c r="G16" s="27">
        <f t="shared" si="7"/>
        <v>0</v>
      </c>
      <c r="H16" s="27">
        <f t="shared" si="7"/>
        <v>59353</v>
      </c>
      <c r="I16" s="27">
        <f t="shared" si="7"/>
        <v>0</v>
      </c>
      <c r="J16" s="27">
        <f t="shared" si="7"/>
        <v>0</v>
      </c>
      <c r="K16" s="28">
        <f>SUM(K12:K15)</f>
        <v>109877</v>
      </c>
      <c r="L16" s="28">
        <f>SUM(L12:L15)</f>
        <v>109877</v>
      </c>
      <c r="M16" s="45">
        <f t="shared" si="0"/>
        <v>0</v>
      </c>
      <c r="O16" s="45"/>
      <c r="P16" s="45"/>
    </row>
    <row r="17" spans="1:16" s="18" customFormat="1" ht="18" customHeight="1" x14ac:dyDescent="0.25">
      <c r="A17" s="66" t="s">
        <v>32</v>
      </c>
      <c r="B17" s="67"/>
      <c r="C17" s="67"/>
      <c r="D17" s="68"/>
      <c r="E17" s="68"/>
      <c r="F17" s="68"/>
      <c r="G17" s="68"/>
      <c r="H17" s="68"/>
      <c r="I17" s="68"/>
      <c r="J17" s="68"/>
      <c r="K17" s="69"/>
      <c r="L17" s="59"/>
      <c r="M17" s="45">
        <f t="shared" si="0"/>
        <v>0</v>
      </c>
      <c r="O17" s="45"/>
      <c r="P17" s="45"/>
    </row>
    <row r="18" spans="1:16" s="23" customFormat="1" ht="15" customHeight="1" x14ac:dyDescent="0.25">
      <c r="A18" s="19" t="s">
        <v>33</v>
      </c>
      <c r="B18" s="20" t="s">
        <v>34</v>
      </c>
      <c r="C18" s="21" t="s">
        <v>18</v>
      </c>
      <c r="D18" s="22">
        <v>0</v>
      </c>
      <c r="E18" s="22">
        <v>8443</v>
      </c>
      <c r="F18" s="22">
        <v>8443</v>
      </c>
      <c r="G18" s="22">
        <v>27770</v>
      </c>
      <c r="H18" s="22">
        <v>25926</v>
      </c>
      <c r="I18" s="29">
        <v>0</v>
      </c>
      <c r="J18" s="29">
        <v>0</v>
      </c>
      <c r="K18" s="16">
        <f>D18+E18+G18</f>
        <v>36213</v>
      </c>
      <c r="L18" s="16">
        <f>F18+H18+J18</f>
        <v>34369</v>
      </c>
      <c r="M18" s="45">
        <f t="shared" si="0"/>
        <v>1844</v>
      </c>
      <c r="O18" s="45"/>
      <c r="P18" s="45"/>
    </row>
    <row r="19" spans="1:16" s="17" customFormat="1" ht="23.45" customHeight="1" thickBot="1" x14ac:dyDescent="0.3">
      <c r="A19" s="24" t="s">
        <v>35</v>
      </c>
      <c r="B19" s="25"/>
      <c r="C19" s="26"/>
      <c r="D19" s="27">
        <f t="shared" ref="D19:I19" si="8">SUM(D18:D18)</f>
        <v>0</v>
      </c>
      <c r="E19" s="27">
        <f>SUM(E18:E18)</f>
        <v>8443</v>
      </c>
      <c r="F19" s="27">
        <f>SUM(F18:F18)</f>
        <v>8443</v>
      </c>
      <c r="G19" s="27">
        <f t="shared" si="8"/>
        <v>27770</v>
      </c>
      <c r="H19" s="27">
        <f t="shared" ref="H19" si="9">SUM(H18:H18)</f>
        <v>25926</v>
      </c>
      <c r="I19" s="27">
        <f t="shared" si="8"/>
        <v>0</v>
      </c>
      <c r="J19" s="27">
        <f t="shared" ref="J19" si="10">SUM(J18:J18)</f>
        <v>0</v>
      </c>
      <c r="K19" s="28">
        <f>SUM(K18:K18)</f>
        <v>36213</v>
      </c>
      <c r="L19" s="16">
        <f>F19+H19+J19</f>
        <v>34369</v>
      </c>
      <c r="M19" s="45">
        <f t="shared" si="0"/>
        <v>1844</v>
      </c>
    </row>
    <row r="20" spans="1:16" s="17" customFormat="1" ht="25.5" customHeight="1" thickBot="1" x14ac:dyDescent="0.3">
      <c r="A20" s="30" t="s">
        <v>36</v>
      </c>
      <c r="B20" s="31"/>
      <c r="C20" s="32"/>
      <c r="D20" s="33">
        <f t="shared" ref="D20" si="11">D10+D16+D19</f>
        <v>9117.9084500000008</v>
      </c>
      <c r="E20" s="33">
        <f>E10+E16+E19</f>
        <v>236877.39</v>
      </c>
      <c r="F20" s="33">
        <f t="shared" ref="F20:J20" si="12">F10+F16+F19</f>
        <v>149374.39000000001</v>
      </c>
      <c r="G20" s="33">
        <f t="shared" si="12"/>
        <v>108715</v>
      </c>
      <c r="H20" s="33">
        <f t="shared" si="12"/>
        <v>234972</v>
      </c>
      <c r="I20" s="33">
        <f t="shared" si="12"/>
        <v>0</v>
      </c>
      <c r="J20" s="33">
        <f t="shared" si="12"/>
        <v>0</v>
      </c>
      <c r="K20" s="34">
        <f>K10+K16+K19</f>
        <v>354710.29845</v>
      </c>
      <c r="L20" s="34">
        <f t="shared" ref="L20" si="13">L10+L16+L19</f>
        <v>393464.29845</v>
      </c>
      <c r="M20" s="45">
        <f t="shared" si="0"/>
        <v>-38754</v>
      </c>
      <c r="O20" s="41"/>
    </row>
    <row r="21" spans="1:16" s="17" customFormat="1" ht="12" customHeight="1" thickBot="1" x14ac:dyDescent="0.3">
      <c r="A21" s="35"/>
      <c r="B21" s="60"/>
      <c r="C21" s="61"/>
      <c r="D21" s="62"/>
      <c r="E21" s="62"/>
      <c r="F21" s="62"/>
      <c r="G21" s="62"/>
      <c r="H21" s="62"/>
      <c r="I21" s="62"/>
      <c r="J21" s="62"/>
      <c r="K21" s="36"/>
      <c r="L21" s="36"/>
      <c r="M21" s="45">
        <f t="shared" si="0"/>
        <v>0</v>
      </c>
    </row>
    <row r="22" spans="1:16" s="17" customFormat="1" ht="21" hidden="1" customHeight="1" x14ac:dyDescent="0.25">
      <c r="A22" s="73" t="s">
        <v>37</v>
      </c>
      <c r="B22" s="74"/>
      <c r="C22" s="74"/>
      <c r="D22" s="75"/>
      <c r="E22" s="75"/>
      <c r="F22" s="76"/>
      <c r="G22" s="76"/>
      <c r="H22" s="76"/>
      <c r="I22" s="90"/>
      <c r="J22" s="90"/>
      <c r="K22" s="91"/>
      <c r="L22" s="63"/>
      <c r="M22" s="45">
        <f t="shared" si="0"/>
        <v>0</v>
      </c>
    </row>
    <row r="23" spans="1:16" s="18" customFormat="1" ht="18" hidden="1" customHeight="1" x14ac:dyDescent="0.25">
      <c r="A23" s="66" t="s">
        <v>38</v>
      </c>
      <c r="B23" s="67"/>
      <c r="C23" s="67"/>
      <c r="D23" s="68"/>
      <c r="E23" s="68"/>
      <c r="F23" s="68"/>
      <c r="G23" s="68"/>
      <c r="H23" s="68"/>
      <c r="I23" s="68"/>
      <c r="J23" s="68"/>
      <c r="K23" s="69"/>
      <c r="L23" s="59"/>
      <c r="M23" s="45">
        <f t="shared" si="0"/>
        <v>0</v>
      </c>
    </row>
    <row r="24" spans="1:16" s="23" customFormat="1" ht="24" hidden="1" customHeight="1" x14ac:dyDescent="0.25">
      <c r="A24" s="19"/>
      <c r="B24" s="20"/>
      <c r="C24" s="21"/>
      <c r="D24" s="22"/>
      <c r="E24" s="22"/>
      <c r="F24" s="22"/>
      <c r="G24" s="22"/>
      <c r="H24" s="29"/>
      <c r="I24" s="29"/>
      <c r="J24" s="29"/>
      <c r="K24" s="16">
        <f>D24+E24+G24+I24</f>
        <v>0</v>
      </c>
      <c r="L24" s="16">
        <f>E24+F24+H24+J24</f>
        <v>0</v>
      </c>
      <c r="M24" s="45">
        <f t="shared" si="0"/>
        <v>0</v>
      </c>
    </row>
    <row r="25" spans="1:16" s="17" customFormat="1" ht="15" hidden="1" customHeight="1" x14ac:dyDescent="0.25">
      <c r="A25" s="24" t="s">
        <v>39</v>
      </c>
      <c r="B25" s="25"/>
      <c r="C25" s="26"/>
      <c r="D25" s="27">
        <f>SUM(D24:D24)</f>
        <v>0</v>
      </c>
      <c r="E25" s="27">
        <f>SUM(E24:E24)</f>
        <v>0</v>
      </c>
      <c r="F25" s="27"/>
      <c r="G25" s="27">
        <f t="shared" ref="G25:I25" si="14">SUM(G24:G24)</f>
        <v>0</v>
      </c>
      <c r="H25" s="27"/>
      <c r="I25" s="27">
        <f t="shared" si="14"/>
        <v>0</v>
      </c>
      <c r="J25" s="38"/>
      <c r="K25" s="28">
        <f>SUM(K24:K24)</f>
        <v>0</v>
      </c>
      <c r="L25" s="28">
        <f>SUM(L24:L24)</f>
        <v>0</v>
      </c>
      <c r="M25" s="45">
        <f t="shared" si="0"/>
        <v>0</v>
      </c>
    </row>
    <row r="26" spans="1:16" s="17" customFormat="1" ht="36" hidden="1" customHeight="1" x14ac:dyDescent="0.25">
      <c r="A26" s="30" t="s">
        <v>40</v>
      </c>
      <c r="B26" s="31"/>
      <c r="C26" s="32"/>
      <c r="D26" s="33">
        <f>D25</f>
        <v>0</v>
      </c>
      <c r="E26" s="33">
        <f>E25</f>
        <v>0</v>
      </c>
      <c r="F26" s="33"/>
      <c r="G26" s="33">
        <f t="shared" ref="G26:I26" si="15">G25</f>
        <v>0</v>
      </c>
      <c r="H26" s="33"/>
      <c r="I26" s="33">
        <f t="shared" si="15"/>
        <v>0</v>
      </c>
      <c r="J26" s="39"/>
      <c r="K26" s="40">
        <f>K25</f>
        <v>0</v>
      </c>
      <c r="L26" s="40">
        <f>L25</f>
        <v>0</v>
      </c>
      <c r="M26" s="45">
        <f t="shared" si="0"/>
        <v>0</v>
      </c>
    </row>
    <row r="27" spans="1:16" s="17" customFormat="1" ht="12" hidden="1" customHeight="1" x14ac:dyDescent="0.25">
      <c r="A27" s="35"/>
      <c r="B27" s="60"/>
      <c r="C27" s="61"/>
      <c r="D27" s="62"/>
      <c r="E27" s="62"/>
      <c r="F27" s="62"/>
      <c r="G27" s="62"/>
      <c r="H27" s="62"/>
      <c r="I27" s="62"/>
      <c r="J27" s="62"/>
      <c r="K27" s="36"/>
      <c r="L27" s="36"/>
      <c r="M27" s="45">
        <f t="shared" si="0"/>
        <v>0</v>
      </c>
    </row>
    <row r="28" spans="1:16" s="17" customFormat="1" ht="21" customHeight="1" x14ac:dyDescent="0.25">
      <c r="A28" s="73" t="s">
        <v>41</v>
      </c>
      <c r="B28" s="74"/>
      <c r="C28" s="74"/>
      <c r="D28" s="75"/>
      <c r="E28" s="75"/>
      <c r="F28" s="75"/>
      <c r="G28" s="75"/>
      <c r="H28" s="76"/>
      <c r="I28" s="77"/>
      <c r="J28" s="77"/>
      <c r="K28" s="78"/>
      <c r="L28" s="16"/>
      <c r="M28" s="45">
        <f t="shared" si="0"/>
        <v>0</v>
      </c>
    </row>
    <row r="29" spans="1:16" s="18" customFormat="1" ht="18" customHeight="1" x14ac:dyDescent="0.25">
      <c r="A29" s="79" t="s">
        <v>42</v>
      </c>
      <c r="B29" s="80"/>
      <c r="C29" s="80"/>
      <c r="D29" s="81"/>
      <c r="E29" s="81"/>
      <c r="F29" s="81"/>
      <c r="G29" s="81"/>
      <c r="H29" s="81"/>
      <c r="I29" s="81"/>
      <c r="J29" s="81"/>
      <c r="K29" s="82"/>
      <c r="L29" s="59"/>
      <c r="M29" s="45">
        <f t="shared" si="0"/>
        <v>0</v>
      </c>
    </row>
    <row r="30" spans="1:16" s="23" customFormat="1" ht="24" customHeight="1" x14ac:dyDescent="0.25">
      <c r="A30" s="19" t="s">
        <v>43</v>
      </c>
      <c r="B30" s="20" t="s">
        <v>44</v>
      </c>
      <c r="C30" s="21" t="s">
        <v>45</v>
      </c>
      <c r="D30" s="42">
        <v>0</v>
      </c>
      <c r="E30" s="43">
        <v>40000</v>
      </c>
      <c r="F30" s="43">
        <v>40000</v>
      </c>
      <c r="G30" s="43">
        <v>52000</v>
      </c>
      <c r="H30" s="43">
        <v>52000</v>
      </c>
      <c r="I30" s="42">
        <v>0</v>
      </c>
      <c r="J30" s="42">
        <v>0</v>
      </c>
      <c r="K30" s="16">
        <f>D30+E30+G30+I30</f>
        <v>92000</v>
      </c>
      <c r="L30" s="16">
        <f>D30+F30+H30+J30</f>
        <v>92000</v>
      </c>
      <c r="M30" s="45">
        <f t="shared" si="0"/>
        <v>0</v>
      </c>
    </row>
    <row r="31" spans="1:16" s="23" customFormat="1" ht="24" customHeight="1" x14ac:dyDescent="0.25">
      <c r="A31" s="19" t="s">
        <v>46</v>
      </c>
      <c r="B31" s="20" t="s">
        <v>47</v>
      </c>
      <c r="C31" s="21" t="s">
        <v>45</v>
      </c>
      <c r="D31" s="42">
        <v>0</v>
      </c>
      <c r="E31" s="43">
        <v>60000</v>
      </c>
      <c r="F31" s="43">
        <v>60000</v>
      </c>
      <c r="G31" s="43">
        <v>0</v>
      </c>
      <c r="H31" s="43">
        <v>0</v>
      </c>
      <c r="I31" s="42">
        <v>0</v>
      </c>
      <c r="J31" s="42">
        <v>0</v>
      </c>
      <c r="K31" s="16">
        <f>D31+E31+G31+I31</f>
        <v>60000</v>
      </c>
      <c r="L31" s="16">
        <f t="shared" ref="L31:L33" si="16">D31+F31+H31+J31</f>
        <v>60000</v>
      </c>
      <c r="M31" s="45">
        <f t="shared" si="0"/>
        <v>0</v>
      </c>
    </row>
    <row r="32" spans="1:16" s="23" customFormat="1" ht="15" customHeight="1" x14ac:dyDescent="0.25">
      <c r="A32" s="19" t="s">
        <v>48</v>
      </c>
      <c r="B32" s="20" t="s">
        <v>49</v>
      </c>
      <c r="C32" s="21" t="s">
        <v>50</v>
      </c>
      <c r="D32" s="42">
        <v>0</v>
      </c>
      <c r="E32" s="43">
        <v>300</v>
      </c>
      <c r="F32" s="43">
        <v>300</v>
      </c>
      <c r="G32" s="42">
        <v>75000</v>
      </c>
      <c r="H32" s="42">
        <v>75000</v>
      </c>
      <c r="I32" s="42">
        <v>15000</v>
      </c>
      <c r="J32" s="42">
        <v>15000</v>
      </c>
      <c r="K32" s="16">
        <f>D32+E32+G32+I32</f>
        <v>90300</v>
      </c>
      <c r="L32" s="16">
        <f t="shared" si="16"/>
        <v>90300</v>
      </c>
      <c r="M32" s="45">
        <f t="shared" si="0"/>
        <v>0</v>
      </c>
    </row>
    <row r="33" spans="1:17" s="23" customFormat="1" ht="15" customHeight="1" x14ac:dyDescent="0.25">
      <c r="A33" s="44" t="s">
        <v>51</v>
      </c>
      <c r="B33" s="20" t="s">
        <v>52</v>
      </c>
      <c r="C33" s="21" t="s">
        <v>50</v>
      </c>
      <c r="D33" s="42">
        <v>0</v>
      </c>
      <c r="E33" s="43">
        <f>30807-29500</f>
        <v>1307</v>
      </c>
      <c r="F33" s="43">
        <f>30807-29500</f>
        <v>1307</v>
      </c>
      <c r="G33" s="42">
        <f>277178+30993-52000</f>
        <v>256171</v>
      </c>
      <c r="H33" s="42">
        <f>277178+30993-52000</f>
        <v>256171</v>
      </c>
      <c r="I33" s="42">
        <v>0</v>
      </c>
      <c r="J33" s="42">
        <v>0</v>
      </c>
      <c r="K33" s="16">
        <f>D33+E33+G33+I33</f>
        <v>257478</v>
      </c>
      <c r="L33" s="16">
        <f t="shared" si="16"/>
        <v>257478</v>
      </c>
      <c r="M33" s="45">
        <f t="shared" si="0"/>
        <v>0</v>
      </c>
    </row>
    <row r="34" spans="1:17" s="23" customFormat="1" ht="24" customHeight="1" x14ac:dyDescent="0.25">
      <c r="A34" s="44" t="s">
        <v>53</v>
      </c>
      <c r="B34" s="20" t="s">
        <v>54</v>
      </c>
      <c r="C34" s="21" t="s">
        <v>50</v>
      </c>
      <c r="D34" s="42">
        <v>0</v>
      </c>
      <c r="E34" s="43">
        <v>31298</v>
      </c>
      <c r="F34" s="43">
        <v>31298</v>
      </c>
      <c r="G34" s="42">
        <v>29000</v>
      </c>
      <c r="H34" s="42">
        <v>29000</v>
      </c>
      <c r="I34" s="42">
        <v>2702</v>
      </c>
      <c r="J34" s="42">
        <v>2702</v>
      </c>
      <c r="K34" s="16">
        <f>D34+E34+G34+I34</f>
        <v>63000</v>
      </c>
      <c r="L34" s="16">
        <f>D34+F34+H34+J34</f>
        <v>63000</v>
      </c>
      <c r="M34" s="45">
        <f t="shared" si="0"/>
        <v>0</v>
      </c>
    </row>
    <row r="35" spans="1:17" s="17" customFormat="1" ht="15" customHeight="1" x14ac:dyDescent="0.25">
      <c r="A35" s="24" t="s">
        <v>55</v>
      </c>
      <c r="B35" s="25"/>
      <c r="C35" s="26"/>
      <c r="D35" s="27">
        <f>SUM(D30:D34)</f>
        <v>0</v>
      </c>
      <c r="E35" s="27">
        <f>SUM(E30:E34)</f>
        <v>132905</v>
      </c>
      <c r="F35" s="27">
        <f>SUM(F30:F34)</f>
        <v>132905</v>
      </c>
      <c r="G35" s="27">
        <f>SUM(G30:G34)</f>
        <v>412171</v>
      </c>
      <c r="H35" s="27">
        <f t="shared" ref="H35:J35" si="17">SUM(H30:H34)</f>
        <v>412171</v>
      </c>
      <c r="I35" s="27">
        <f t="shared" si="17"/>
        <v>17702</v>
      </c>
      <c r="J35" s="27">
        <f t="shared" si="17"/>
        <v>17702</v>
      </c>
      <c r="K35" s="28">
        <f>SUM(K30:K34)</f>
        <v>562778</v>
      </c>
      <c r="L35" s="28">
        <f>SUM(L30:L34)</f>
        <v>562778</v>
      </c>
      <c r="M35" s="45">
        <f t="shared" si="0"/>
        <v>0</v>
      </c>
      <c r="N35" s="41"/>
      <c r="O35" s="41"/>
    </row>
    <row r="36" spans="1:17" s="18" customFormat="1" ht="18" customHeight="1" x14ac:dyDescent="0.25">
      <c r="A36" s="70" t="s">
        <v>56</v>
      </c>
      <c r="B36" s="71"/>
      <c r="C36" s="71"/>
      <c r="D36" s="71"/>
      <c r="E36" s="71"/>
      <c r="F36" s="71"/>
      <c r="G36" s="71"/>
      <c r="H36" s="71"/>
      <c r="I36" s="71"/>
      <c r="J36" s="71"/>
      <c r="K36" s="72"/>
      <c r="L36" s="59"/>
      <c r="M36" s="45">
        <f t="shared" si="0"/>
        <v>0</v>
      </c>
    </row>
    <row r="37" spans="1:17" s="23" customFormat="1" ht="24" customHeight="1" x14ac:dyDescent="0.25">
      <c r="A37" s="46" t="s">
        <v>57</v>
      </c>
      <c r="B37" s="47" t="s">
        <v>58</v>
      </c>
      <c r="C37" s="21" t="s">
        <v>50</v>
      </c>
      <c r="D37" s="42">
        <v>375.1</v>
      </c>
      <c r="E37" s="43">
        <v>5000</v>
      </c>
      <c r="F37" s="43">
        <f>5000-5000</f>
        <v>0</v>
      </c>
      <c r="G37" s="42">
        <v>55000</v>
      </c>
      <c r="H37" s="43">
        <f>55000+5000</f>
        <v>60000</v>
      </c>
      <c r="I37" s="43">
        <v>39557</v>
      </c>
      <c r="J37" s="43">
        <v>39557</v>
      </c>
      <c r="K37" s="16">
        <f>D37+E37+G37+I37</f>
        <v>99932.1</v>
      </c>
      <c r="L37" s="16">
        <f>D37+F37+H37+J37</f>
        <v>99932.1</v>
      </c>
      <c r="M37" s="45">
        <f t="shared" si="0"/>
        <v>0</v>
      </c>
    </row>
    <row r="38" spans="1:17" s="23" customFormat="1" ht="24" customHeight="1" x14ac:dyDescent="0.25">
      <c r="A38" s="46" t="s">
        <v>59</v>
      </c>
      <c r="B38" s="47" t="s">
        <v>60</v>
      </c>
      <c r="C38" s="21" t="s">
        <v>50</v>
      </c>
      <c r="D38" s="42">
        <v>615</v>
      </c>
      <c r="E38" s="43">
        <v>40400</v>
      </c>
      <c r="F38" s="43">
        <f>40400-40300</f>
        <v>100</v>
      </c>
      <c r="G38" s="42">
        <v>10000</v>
      </c>
      <c r="H38" s="43">
        <f>10000+40300</f>
        <v>50300</v>
      </c>
      <c r="I38" s="43">
        <v>0</v>
      </c>
      <c r="J38" s="43">
        <v>0</v>
      </c>
      <c r="K38" s="16">
        <f>D38+E38+G38+I38</f>
        <v>51015</v>
      </c>
      <c r="L38" s="16">
        <f>D38+F38+H38+J38</f>
        <v>51015</v>
      </c>
      <c r="M38" s="45">
        <f t="shared" si="0"/>
        <v>0</v>
      </c>
    </row>
    <row r="39" spans="1:17" s="17" customFormat="1" ht="15" customHeight="1" x14ac:dyDescent="0.25">
      <c r="A39" s="24" t="s">
        <v>61</v>
      </c>
      <c r="B39" s="25"/>
      <c r="C39" s="26"/>
      <c r="D39" s="27">
        <f t="shared" ref="D39:H39" si="18">SUM(D37:D38)</f>
        <v>990.1</v>
      </c>
      <c r="E39" s="27">
        <f t="shared" si="18"/>
        <v>45400</v>
      </c>
      <c r="F39" s="27">
        <f>SUM(F37:F38)</f>
        <v>100</v>
      </c>
      <c r="G39" s="27">
        <f t="shared" si="18"/>
        <v>65000</v>
      </c>
      <c r="H39" s="27">
        <f t="shared" si="18"/>
        <v>110300</v>
      </c>
      <c r="I39" s="27">
        <f>SUM(I37:I38)</f>
        <v>39557</v>
      </c>
      <c r="J39" s="27">
        <f>SUM(J37:J38)</f>
        <v>39557</v>
      </c>
      <c r="K39" s="28">
        <f>SUM(K37:K38)</f>
        <v>150947.1</v>
      </c>
      <c r="L39" s="28">
        <f>SUM(L37:L38)</f>
        <v>150947.1</v>
      </c>
      <c r="M39" s="45">
        <f t="shared" si="0"/>
        <v>0</v>
      </c>
      <c r="N39" s="41"/>
    </row>
    <row r="40" spans="1:17" s="18" customFormat="1" ht="18" customHeight="1" x14ac:dyDescent="0.25">
      <c r="A40" s="66" t="s">
        <v>16</v>
      </c>
      <c r="B40" s="67"/>
      <c r="C40" s="67"/>
      <c r="D40" s="68"/>
      <c r="E40" s="68"/>
      <c r="F40" s="68"/>
      <c r="G40" s="68"/>
      <c r="H40" s="68"/>
      <c r="I40" s="68"/>
      <c r="J40" s="68"/>
      <c r="K40" s="69"/>
      <c r="L40" s="59"/>
      <c r="M40" s="45">
        <f t="shared" si="0"/>
        <v>0</v>
      </c>
    </row>
    <row r="41" spans="1:17" s="23" customFormat="1" ht="24" customHeight="1" x14ac:dyDescent="0.25">
      <c r="A41" s="19" t="s">
        <v>62</v>
      </c>
      <c r="B41" s="20" t="s">
        <v>63</v>
      </c>
      <c r="C41" s="21" t="s">
        <v>50</v>
      </c>
      <c r="D41" s="42">
        <v>11814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16">
        <f t="shared" ref="K41:K46" si="19">D41+E41+G41+I41</f>
        <v>11814</v>
      </c>
      <c r="L41" s="16">
        <f>D41+F41+H41+J41</f>
        <v>11814</v>
      </c>
      <c r="M41" s="45">
        <f t="shared" si="0"/>
        <v>0</v>
      </c>
    </row>
    <row r="42" spans="1:17" s="23" customFormat="1" ht="24" customHeight="1" x14ac:dyDescent="0.25">
      <c r="A42" s="48" t="s">
        <v>64</v>
      </c>
      <c r="B42" s="49" t="s">
        <v>65</v>
      </c>
      <c r="C42" s="21" t="s">
        <v>50</v>
      </c>
      <c r="D42" s="42">
        <v>6329.88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16">
        <f t="shared" si="19"/>
        <v>6329.88</v>
      </c>
      <c r="L42" s="16">
        <f t="shared" ref="L42:L46" si="20">D42+F42+H42+J42</f>
        <v>6329.88</v>
      </c>
      <c r="M42" s="45">
        <f t="shared" si="0"/>
        <v>0</v>
      </c>
    </row>
    <row r="43" spans="1:17" s="23" customFormat="1" ht="24" customHeight="1" x14ac:dyDescent="0.25">
      <c r="A43" s="48" t="s">
        <v>66</v>
      </c>
      <c r="B43" s="49" t="s">
        <v>67</v>
      </c>
      <c r="C43" s="21" t="s">
        <v>50</v>
      </c>
      <c r="D43" s="42">
        <v>12143.58</v>
      </c>
      <c r="E43" s="43">
        <v>1042.1199999999999</v>
      </c>
      <c r="F43" s="43">
        <v>1042.1199999999999</v>
      </c>
      <c r="G43" s="43">
        <v>0</v>
      </c>
      <c r="H43" s="43">
        <v>0</v>
      </c>
      <c r="I43" s="43">
        <v>0</v>
      </c>
      <c r="J43" s="43">
        <v>0</v>
      </c>
      <c r="K43" s="16">
        <f t="shared" si="19"/>
        <v>13185.7</v>
      </c>
      <c r="L43" s="16">
        <f t="shared" si="20"/>
        <v>13185.7</v>
      </c>
      <c r="M43" s="45">
        <f t="shared" si="0"/>
        <v>0</v>
      </c>
    </row>
    <row r="44" spans="1:17" s="23" customFormat="1" ht="24" customHeight="1" x14ac:dyDescent="0.25">
      <c r="A44" s="48" t="s">
        <v>68</v>
      </c>
      <c r="B44" s="49" t="s">
        <v>69</v>
      </c>
      <c r="C44" s="21" t="s">
        <v>50</v>
      </c>
      <c r="D44" s="42">
        <v>10650</v>
      </c>
      <c r="E44" s="43">
        <f>5700-2850</f>
        <v>2850</v>
      </c>
      <c r="F44" s="43">
        <f>5700-2850</f>
        <v>2850</v>
      </c>
      <c r="G44" s="43">
        <v>0</v>
      </c>
      <c r="H44" s="43">
        <v>0</v>
      </c>
      <c r="I44" s="43">
        <v>0</v>
      </c>
      <c r="J44" s="43">
        <v>0</v>
      </c>
      <c r="K44" s="16">
        <f t="shared" si="19"/>
        <v>13500</v>
      </c>
      <c r="L44" s="16">
        <f t="shared" si="20"/>
        <v>13500</v>
      </c>
      <c r="M44" s="45">
        <f t="shared" si="0"/>
        <v>0</v>
      </c>
    </row>
    <row r="45" spans="1:17" s="23" customFormat="1" ht="24" customHeight="1" x14ac:dyDescent="0.25">
      <c r="A45" s="19" t="s">
        <v>70</v>
      </c>
      <c r="B45" s="20" t="s">
        <v>71</v>
      </c>
      <c r="C45" s="21" t="s">
        <v>18</v>
      </c>
      <c r="D45" s="42">
        <v>0</v>
      </c>
      <c r="E45" s="43">
        <v>29386</v>
      </c>
      <c r="F45" s="43">
        <v>11386</v>
      </c>
      <c r="G45" s="43">
        <v>88106</v>
      </c>
      <c r="H45" s="43">
        <v>106106</v>
      </c>
      <c r="I45" s="43">
        <v>0</v>
      </c>
      <c r="J45" s="43">
        <v>0</v>
      </c>
      <c r="K45" s="16">
        <f t="shared" si="19"/>
        <v>117492</v>
      </c>
      <c r="L45" s="16">
        <f t="shared" si="20"/>
        <v>117492</v>
      </c>
      <c r="M45" s="45">
        <f t="shared" si="0"/>
        <v>0</v>
      </c>
      <c r="O45" s="45"/>
      <c r="P45" s="45"/>
      <c r="Q45" s="45"/>
    </row>
    <row r="46" spans="1:17" s="23" customFormat="1" ht="15" customHeight="1" x14ac:dyDescent="0.25">
      <c r="A46" s="48" t="s">
        <v>72</v>
      </c>
      <c r="B46" s="49" t="s">
        <v>73</v>
      </c>
      <c r="C46" s="50" t="s">
        <v>18</v>
      </c>
      <c r="D46" s="42">
        <v>1446.18</v>
      </c>
      <c r="E46" s="43">
        <v>88514.85</v>
      </c>
      <c r="F46" s="43">
        <v>85786.85</v>
      </c>
      <c r="G46" s="43">
        <v>205039</v>
      </c>
      <c r="H46" s="43">
        <v>169013</v>
      </c>
      <c r="I46" s="43">
        <v>0</v>
      </c>
      <c r="J46" s="43">
        <v>0</v>
      </c>
      <c r="K46" s="16">
        <f t="shared" si="19"/>
        <v>295000.03000000003</v>
      </c>
      <c r="L46" s="16">
        <f t="shared" si="20"/>
        <v>256246.03</v>
      </c>
      <c r="M46" s="45">
        <f t="shared" si="0"/>
        <v>38754.000000000029</v>
      </c>
      <c r="O46" s="45"/>
      <c r="P46" s="45"/>
      <c r="Q46" s="45"/>
    </row>
    <row r="47" spans="1:17" s="17" customFormat="1" ht="15" customHeight="1" x14ac:dyDescent="0.25">
      <c r="A47" s="24" t="s">
        <v>21</v>
      </c>
      <c r="B47" s="25"/>
      <c r="C47" s="26"/>
      <c r="D47" s="27">
        <f>SUM(D41:D46)</f>
        <v>42383.64</v>
      </c>
      <c r="E47" s="27">
        <f>SUM(E41:E46)</f>
        <v>121792.97</v>
      </c>
      <c r="F47" s="27">
        <f>SUM(F41:F46)</f>
        <v>101064.97</v>
      </c>
      <c r="G47" s="27">
        <f>SUM(G41:G46)</f>
        <v>293145</v>
      </c>
      <c r="H47" s="27">
        <f>SUM(H41:H46)</f>
        <v>275119</v>
      </c>
      <c r="I47" s="27">
        <f t="shared" ref="I47:J47" si="21">SUM(I41:I46)</f>
        <v>0</v>
      </c>
      <c r="J47" s="27">
        <f t="shared" si="21"/>
        <v>0</v>
      </c>
      <c r="K47" s="28">
        <f>SUM(K41:K46)</f>
        <v>457321.61000000004</v>
      </c>
      <c r="L47" s="28">
        <f>SUM(L41:L46)</f>
        <v>418567.61</v>
      </c>
      <c r="M47" s="45">
        <f t="shared" si="0"/>
        <v>38754.000000000058</v>
      </c>
    </row>
    <row r="48" spans="1:17" s="18" customFormat="1" ht="18" customHeight="1" x14ac:dyDescent="0.25">
      <c r="A48" s="66" t="s">
        <v>22</v>
      </c>
      <c r="B48" s="67"/>
      <c r="C48" s="67"/>
      <c r="D48" s="68"/>
      <c r="E48" s="68"/>
      <c r="F48" s="68"/>
      <c r="G48" s="68"/>
      <c r="H48" s="68"/>
      <c r="I48" s="68"/>
      <c r="J48" s="68"/>
      <c r="K48" s="69"/>
      <c r="L48" s="59"/>
      <c r="M48" s="45">
        <f t="shared" si="0"/>
        <v>0</v>
      </c>
      <c r="Q48" s="37"/>
    </row>
    <row r="49" spans="1:14" s="18" customFormat="1" ht="24" customHeight="1" x14ac:dyDescent="0.25">
      <c r="A49" s="19" t="s">
        <v>74</v>
      </c>
      <c r="B49" s="20" t="s">
        <v>75</v>
      </c>
      <c r="C49" s="21" t="s">
        <v>50</v>
      </c>
      <c r="D49" s="42">
        <v>95.59</v>
      </c>
      <c r="E49" s="43">
        <v>44904.41</v>
      </c>
      <c r="F49" s="43">
        <v>44904.41</v>
      </c>
      <c r="G49" s="43">
        <v>0</v>
      </c>
      <c r="H49" s="43">
        <v>0</v>
      </c>
      <c r="I49" s="43">
        <v>0</v>
      </c>
      <c r="J49" s="43">
        <v>0</v>
      </c>
      <c r="K49" s="16">
        <f t="shared" ref="K49:K73" si="22">D49+E49+G49+I49</f>
        <v>45000</v>
      </c>
      <c r="L49" s="16">
        <f>D49+F49+H49+J49</f>
        <v>45000</v>
      </c>
      <c r="M49" s="45">
        <f t="shared" si="0"/>
        <v>0</v>
      </c>
    </row>
    <row r="50" spans="1:14" s="18" customFormat="1" ht="24" customHeight="1" x14ac:dyDescent="0.25">
      <c r="A50" s="48" t="s">
        <v>76</v>
      </c>
      <c r="B50" s="49" t="s">
        <v>77</v>
      </c>
      <c r="C50" s="21" t="s">
        <v>50</v>
      </c>
      <c r="D50" s="42">
        <v>50386.47</v>
      </c>
      <c r="E50" s="43">
        <v>3269.53</v>
      </c>
      <c r="F50" s="43">
        <v>3269.53</v>
      </c>
      <c r="G50" s="43">
        <v>0</v>
      </c>
      <c r="H50" s="43">
        <v>0</v>
      </c>
      <c r="I50" s="43">
        <v>0</v>
      </c>
      <c r="J50" s="43">
        <v>0</v>
      </c>
      <c r="K50" s="16">
        <f t="shared" si="22"/>
        <v>53656</v>
      </c>
      <c r="L50" s="16">
        <f t="shared" ref="L50:L73" si="23">D50+F50+H50+J50</f>
        <v>53656</v>
      </c>
      <c r="M50" s="45">
        <f t="shared" si="0"/>
        <v>0</v>
      </c>
    </row>
    <row r="51" spans="1:14" s="18" customFormat="1" ht="24" customHeight="1" x14ac:dyDescent="0.25">
      <c r="A51" s="48" t="s">
        <v>78</v>
      </c>
      <c r="B51" s="49" t="s">
        <v>79</v>
      </c>
      <c r="C51" s="21" t="s">
        <v>50</v>
      </c>
      <c r="D51" s="42">
        <v>30678.01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16">
        <f t="shared" si="22"/>
        <v>30678.01</v>
      </c>
      <c r="L51" s="16">
        <f t="shared" si="23"/>
        <v>30678.01</v>
      </c>
      <c r="M51" s="45">
        <f t="shared" si="0"/>
        <v>0</v>
      </c>
    </row>
    <row r="52" spans="1:14" s="18" customFormat="1" ht="24" customHeight="1" x14ac:dyDescent="0.25">
      <c r="A52" s="19" t="s">
        <v>80</v>
      </c>
      <c r="B52" s="20" t="s">
        <v>81</v>
      </c>
      <c r="C52" s="21" t="s">
        <v>50</v>
      </c>
      <c r="D52" s="42">
        <v>40000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16">
        <f t="shared" si="22"/>
        <v>40000</v>
      </c>
      <c r="L52" s="16">
        <f t="shared" si="23"/>
        <v>40000</v>
      </c>
      <c r="M52" s="45">
        <f t="shared" si="0"/>
        <v>0</v>
      </c>
    </row>
    <row r="53" spans="1:14" s="18" customFormat="1" ht="24" customHeight="1" x14ac:dyDescent="0.25">
      <c r="A53" s="19" t="s">
        <v>82</v>
      </c>
      <c r="B53" s="20" t="s">
        <v>83</v>
      </c>
      <c r="C53" s="21" t="s">
        <v>50</v>
      </c>
      <c r="D53" s="42">
        <v>6200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16">
        <f t="shared" si="22"/>
        <v>6200</v>
      </c>
      <c r="L53" s="16">
        <f t="shared" si="23"/>
        <v>6200</v>
      </c>
      <c r="M53" s="45">
        <f t="shared" si="0"/>
        <v>0</v>
      </c>
    </row>
    <row r="54" spans="1:14" s="18" customFormat="1" ht="24" customHeight="1" x14ac:dyDescent="0.25">
      <c r="A54" s="48" t="s">
        <v>84</v>
      </c>
      <c r="B54" s="49" t="s">
        <v>85</v>
      </c>
      <c r="C54" s="21" t="s">
        <v>50</v>
      </c>
      <c r="D54" s="42">
        <v>7025.05</v>
      </c>
      <c r="E54" s="43">
        <v>2094.9499999999998</v>
      </c>
      <c r="F54" s="43">
        <v>2094.9499999999998</v>
      </c>
      <c r="G54" s="43">
        <v>0</v>
      </c>
      <c r="H54" s="43">
        <v>0</v>
      </c>
      <c r="I54" s="43">
        <v>0</v>
      </c>
      <c r="J54" s="43">
        <v>0</v>
      </c>
      <c r="K54" s="16">
        <f t="shared" si="22"/>
        <v>9120</v>
      </c>
      <c r="L54" s="16">
        <f t="shared" si="23"/>
        <v>9120</v>
      </c>
      <c r="M54" s="45">
        <f t="shared" si="0"/>
        <v>0</v>
      </c>
    </row>
    <row r="55" spans="1:14" s="18" customFormat="1" ht="24" customHeight="1" x14ac:dyDescent="0.25">
      <c r="A55" s="19" t="s">
        <v>86</v>
      </c>
      <c r="B55" s="20" t="s">
        <v>87</v>
      </c>
      <c r="C55" s="21" t="s">
        <v>50</v>
      </c>
      <c r="D55" s="42">
        <v>7949.67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16">
        <f t="shared" si="22"/>
        <v>7949.67</v>
      </c>
      <c r="L55" s="16">
        <f t="shared" si="23"/>
        <v>7949.67</v>
      </c>
      <c r="M55" s="45">
        <f t="shared" si="0"/>
        <v>0</v>
      </c>
    </row>
    <row r="56" spans="1:14" s="18" customFormat="1" ht="24" customHeight="1" x14ac:dyDescent="0.25">
      <c r="A56" s="19" t="s">
        <v>88</v>
      </c>
      <c r="B56" s="20" t="s">
        <v>89</v>
      </c>
      <c r="C56" s="21" t="s">
        <v>50</v>
      </c>
      <c r="D56" s="42">
        <v>0</v>
      </c>
      <c r="E56" s="43">
        <v>15000</v>
      </c>
      <c r="F56" s="43">
        <v>15000</v>
      </c>
      <c r="G56" s="43">
        <v>0</v>
      </c>
      <c r="H56" s="43">
        <v>0</v>
      </c>
      <c r="I56" s="43">
        <v>0</v>
      </c>
      <c r="J56" s="43">
        <v>0</v>
      </c>
      <c r="K56" s="16">
        <f t="shared" si="22"/>
        <v>15000</v>
      </c>
      <c r="L56" s="16">
        <f t="shared" si="23"/>
        <v>15000</v>
      </c>
      <c r="M56" s="45">
        <f t="shared" si="0"/>
        <v>0</v>
      </c>
    </row>
    <row r="57" spans="1:14" s="18" customFormat="1" ht="24" customHeight="1" x14ac:dyDescent="0.25">
      <c r="A57" s="19" t="s">
        <v>90</v>
      </c>
      <c r="B57" s="51" t="s">
        <v>91</v>
      </c>
      <c r="C57" s="21" t="s">
        <v>50</v>
      </c>
      <c r="D57" s="42">
        <v>0</v>
      </c>
      <c r="E57" s="43">
        <f>500+213</f>
        <v>713</v>
      </c>
      <c r="F57" s="43">
        <f>500+213</f>
        <v>713</v>
      </c>
      <c r="G57" s="43">
        <v>0</v>
      </c>
      <c r="H57" s="43">
        <v>0</v>
      </c>
      <c r="I57" s="43">
        <v>0</v>
      </c>
      <c r="J57" s="43">
        <v>0</v>
      </c>
      <c r="K57" s="16">
        <f t="shared" si="22"/>
        <v>713</v>
      </c>
      <c r="L57" s="16">
        <f t="shared" si="23"/>
        <v>713</v>
      </c>
      <c r="M57" s="45">
        <f t="shared" si="0"/>
        <v>0</v>
      </c>
    </row>
    <row r="58" spans="1:14" s="18" customFormat="1" ht="24" customHeight="1" x14ac:dyDescent="0.25">
      <c r="A58" s="19" t="s">
        <v>92</v>
      </c>
      <c r="B58" s="20" t="s">
        <v>93</v>
      </c>
      <c r="C58" s="21" t="s">
        <v>50</v>
      </c>
      <c r="D58" s="42">
        <v>43980.06</v>
      </c>
      <c r="E58" s="42">
        <v>13719.93</v>
      </c>
      <c r="F58" s="42">
        <v>13719.93</v>
      </c>
      <c r="G58" s="43">
        <v>0</v>
      </c>
      <c r="H58" s="43">
        <v>0</v>
      </c>
      <c r="I58" s="43">
        <v>0</v>
      </c>
      <c r="J58" s="43">
        <v>0</v>
      </c>
      <c r="K58" s="16">
        <f t="shared" si="22"/>
        <v>57699.99</v>
      </c>
      <c r="L58" s="16">
        <f t="shared" si="23"/>
        <v>57699.99</v>
      </c>
      <c r="M58" s="45">
        <f t="shared" si="0"/>
        <v>0</v>
      </c>
    </row>
    <row r="59" spans="1:14" s="18" customFormat="1" ht="24" customHeight="1" x14ac:dyDescent="0.25">
      <c r="A59" s="19" t="s">
        <v>94</v>
      </c>
      <c r="B59" s="49" t="s">
        <v>95</v>
      </c>
      <c r="C59" s="21" t="s">
        <v>50</v>
      </c>
      <c r="D59" s="42">
        <v>500</v>
      </c>
      <c r="E59" s="42">
        <v>900</v>
      </c>
      <c r="F59" s="42">
        <v>900</v>
      </c>
      <c r="G59" s="43">
        <v>60000</v>
      </c>
      <c r="H59" s="43">
        <v>60000</v>
      </c>
      <c r="I59" s="43">
        <v>11950.5</v>
      </c>
      <c r="J59" s="43">
        <v>11950.5</v>
      </c>
      <c r="K59" s="16">
        <f t="shared" si="22"/>
        <v>73350.5</v>
      </c>
      <c r="L59" s="16">
        <f t="shared" si="23"/>
        <v>73350.5</v>
      </c>
      <c r="M59" s="45">
        <f t="shared" si="0"/>
        <v>0</v>
      </c>
    </row>
    <row r="60" spans="1:14" s="18" customFormat="1" ht="33.950000000000003" customHeight="1" x14ac:dyDescent="0.25">
      <c r="A60" s="19" t="s">
        <v>96</v>
      </c>
      <c r="B60" s="49" t="s">
        <v>97</v>
      </c>
      <c r="C60" s="21" t="s">
        <v>98</v>
      </c>
      <c r="D60" s="52">
        <v>18811.419999999998</v>
      </c>
      <c r="E60" s="42">
        <f>27286.58-1000</f>
        <v>26286.58</v>
      </c>
      <c r="F60" s="42">
        <f>27286.58-1000</f>
        <v>26286.58</v>
      </c>
      <c r="G60" s="42">
        <v>0</v>
      </c>
      <c r="H60" s="42">
        <v>0</v>
      </c>
      <c r="I60" s="43">
        <v>0</v>
      </c>
      <c r="J60" s="43">
        <v>0</v>
      </c>
      <c r="K60" s="16">
        <f t="shared" si="22"/>
        <v>45098</v>
      </c>
      <c r="L60" s="16">
        <f t="shared" si="23"/>
        <v>45098</v>
      </c>
      <c r="M60" s="45">
        <f t="shared" si="0"/>
        <v>0</v>
      </c>
    </row>
    <row r="61" spans="1:14" s="18" customFormat="1" ht="33.950000000000003" customHeight="1" x14ac:dyDescent="0.25">
      <c r="A61" s="19" t="s">
        <v>99</v>
      </c>
      <c r="B61" s="49" t="s">
        <v>100</v>
      </c>
      <c r="C61" s="21" t="s">
        <v>101</v>
      </c>
      <c r="D61" s="52">
        <v>0</v>
      </c>
      <c r="E61" s="42">
        <v>6500</v>
      </c>
      <c r="F61" s="42">
        <v>6500</v>
      </c>
      <c r="G61" s="43">
        <v>0</v>
      </c>
      <c r="H61" s="43">
        <v>0</v>
      </c>
      <c r="I61" s="43">
        <v>0</v>
      </c>
      <c r="J61" s="43">
        <v>0</v>
      </c>
      <c r="K61" s="16">
        <f t="shared" si="22"/>
        <v>6500</v>
      </c>
      <c r="L61" s="16">
        <f t="shared" si="23"/>
        <v>6500</v>
      </c>
      <c r="M61" s="45">
        <f t="shared" si="0"/>
        <v>0</v>
      </c>
    </row>
    <row r="62" spans="1:14" s="18" customFormat="1" ht="24" customHeight="1" x14ac:dyDescent="0.25">
      <c r="A62" s="44" t="s">
        <v>102</v>
      </c>
      <c r="B62" s="20" t="s">
        <v>103</v>
      </c>
      <c r="C62" s="21" t="s">
        <v>50</v>
      </c>
      <c r="D62" s="42">
        <v>803.35</v>
      </c>
      <c r="E62" s="43">
        <v>128195.65</v>
      </c>
      <c r="F62" s="43">
        <f>128195.65-65000</f>
        <v>63195.649999999994</v>
      </c>
      <c r="G62" s="43">
        <v>77000</v>
      </c>
      <c r="H62" s="43">
        <f>77000+65000</f>
        <v>142000</v>
      </c>
      <c r="I62" s="43">
        <v>0</v>
      </c>
      <c r="J62" s="43">
        <v>0</v>
      </c>
      <c r="K62" s="16">
        <f t="shared" si="22"/>
        <v>205999</v>
      </c>
      <c r="L62" s="16">
        <f t="shared" si="23"/>
        <v>205999</v>
      </c>
      <c r="M62" s="45">
        <f t="shared" si="0"/>
        <v>0</v>
      </c>
      <c r="N62" s="37"/>
    </row>
    <row r="63" spans="1:14" s="18" customFormat="1" ht="33.950000000000003" customHeight="1" x14ac:dyDescent="0.25">
      <c r="A63" s="19" t="s">
        <v>104</v>
      </c>
      <c r="B63" s="49" t="s">
        <v>105</v>
      </c>
      <c r="C63" s="21" t="s">
        <v>50</v>
      </c>
      <c r="D63" s="52">
        <v>0</v>
      </c>
      <c r="E63" s="43">
        <f>20250-5250</f>
        <v>15000</v>
      </c>
      <c r="F63" s="43">
        <f>20250-5250-10000</f>
        <v>5000</v>
      </c>
      <c r="G63" s="43">
        <f>17750+5250</f>
        <v>23000</v>
      </c>
      <c r="H63" s="43">
        <f>17750+5250+10000</f>
        <v>33000</v>
      </c>
      <c r="I63" s="43">
        <v>0</v>
      </c>
      <c r="J63" s="43">
        <v>0</v>
      </c>
      <c r="K63" s="16">
        <f t="shared" si="22"/>
        <v>38000</v>
      </c>
      <c r="L63" s="16">
        <f t="shared" si="23"/>
        <v>38000</v>
      </c>
      <c r="M63" s="45">
        <f t="shared" si="0"/>
        <v>0</v>
      </c>
    </row>
    <row r="64" spans="1:14" s="18" customFormat="1" ht="24" customHeight="1" x14ac:dyDescent="0.25">
      <c r="A64" s="19" t="s">
        <v>106</v>
      </c>
      <c r="B64" s="20" t="s">
        <v>107</v>
      </c>
      <c r="C64" s="21" t="s">
        <v>50</v>
      </c>
      <c r="D64" s="42">
        <v>0</v>
      </c>
      <c r="E64" s="43">
        <v>14350</v>
      </c>
      <c r="F64" s="43">
        <v>14350</v>
      </c>
      <c r="G64" s="43">
        <v>4500</v>
      </c>
      <c r="H64" s="43">
        <v>4500</v>
      </c>
      <c r="I64" s="43">
        <v>0</v>
      </c>
      <c r="J64" s="43">
        <v>0</v>
      </c>
      <c r="K64" s="16">
        <f t="shared" si="22"/>
        <v>18850</v>
      </c>
      <c r="L64" s="16">
        <f t="shared" si="23"/>
        <v>18850</v>
      </c>
      <c r="M64" s="45">
        <f t="shared" si="0"/>
        <v>0</v>
      </c>
    </row>
    <row r="65" spans="1:15" s="18" customFormat="1" ht="24" customHeight="1" x14ac:dyDescent="0.25">
      <c r="A65" s="19" t="s">
        <v>108</v>
      </c>
      <c r="B65" s="20" t="s">
        <v>109</v>
      </c>
      <c r="C65" s="21" t="s">
        <v>50</v>
      </c>
      <c r="D65" s="42">
        <v>0</v>
      </c>
      <c r="E65" s="43">
        <v>2090</v>
      </c>
      <c r="F65" s="43">
        <v>2090</v>
      </c>
      <c r="G65" s="43">
        <v>0</v>
      </c>
      <c r="H65" s="43">
        <v>0</v>
      </c>
      <c r="I65" s="43">
        <v>0</v>
      </c>
      <c r="J65" s="43">
        <v>0</v>
      </c>
      <c r="K65" s="16">
        <f t="shared" si="22"/>
        <v>2090</v>
      </c>
      <c r="L65" s="16">
        <f t="shared" si="23"/>
        <v>2090</v>
      </c>
      <c r="M65" s="45">
        <f t="shared" si="0"/>
        <v>0</v>
      </c>
    </row>
    <row r="66" spans="1:15" s="18" customFormat="1" ht="24" customHeight="1" x14ac:dyDescent="0.25">
      <c r="A66" s="19" t="s">
        <v>110</v>
      </c>
      <c r="B66" s="20" t="s">
        <v>111</v>
      </c>
      <c r="C66" s="21" t="s">
        <v>50</v>
      </c>
      <c r="D66" s="42">
        <v>0</v>
      </c>
      <c r="E66" s="42">
        <v>25000</v>
      </c>
      <c r="F66" s="42">
        <v>25000</v>
      </c>
      <c r="G66" s="42">
        <v>0</v>
      </c>
      <c r="H66" s="42">
        <v>0</v>
      </c>
      <c r="I66" s="43">
        <v>0</v>
      </c>
      <c r="J66" s="43">
        <v>0</v>
      </c>
      <c r="K66" s="16">
        <f t="shared" si="22"/>
        <v>25000</v>
      </c>
      <c r="L66" s="16">
        <f t="shared" si="23"/>
        <v>25000</v>
      </c>
      <c r="M66" s="45">
        <f t="shared" si="0"/>
        <v>0</v>
      </c>
    </row>
    <row r="67" spans="1:15" s="18" customFormat="1" ht="33.950000000000003" customHeight="1" x14ac:dyDescent="0.25">
      <c r="A67" s="19" t="s">
        <v>112</v>
      </c>
      <c r="B67" s="49" t="s">
        <v>113</v>
      </c>
      <c r="C67" s="21" t="s">
        <v>50</v>
      </c>
      <c r="D67" s="52">
        <v>0</v>
      </c>
      <c r="E67" s="53">
        <f>5500+3600-8965</f>
        <v>135</v>
      </c>
      <c r="F67" s="53">
        <f>5500+3600-8965</f>
        <v>135</v>
      </c>
      <c r="G67" s="53">
        <f>8965+2035</f>
        <v>11000</v>
      </c>
      <c r="H67" s="53">
        <f>8965+2035</f>
        <v>11000</v>
      </c>
      <c r="I67" s="43">
        <v>0</v>
      </c>
      <c r="J67" s="43">
        <v>0</v>
      </c>
      <c r="K67" s="16">
        <f t="shared" si="22"/>
        <v>11135</v>
      </c>
      <c r="L67" s="16">
        <f t="shared" si="23"/>
        <v>11135</v>
      </c>
      <c r="M67" s="45">
        <f t="shared" si="0"/>
        <v>0</v>
      </c>
    </row>
    <row r="68" spans="1:15" s="18" customFormat="1" ht="24" customHeight="1" x14ac:dyDescent="0.25">
      <c r="A68" s="19" t="s">
        <v>114</v>
      </c>
      <c r="B68" s="49" t="s">
        <v>115</v>
      </c>
      <c r="C68" s="21" t="s">
        <v>50</v>
      </c>
      <c r="D68" s="42">
        <v>28.6</v>
      </c>
      <c r="E68" s="53">
        <f>11036-1000</f>
        <v>10036</v>
      </c>
      <c r="F68" s="53">
        <f>11036-1000-7800</f>
        <v>2236</v>
      </c>
      <c r="G68" s="42">
        <v>0</v>
      </c>
      <c r="H68" s="43">
        <v>7800</v>
      </c>
      <c r="I68" s="43">
        <v>0</v>
      </c>
      <c r="J68" s="43">
        <v>0</v>
      </c>
      <c r="K68" s="16">
        <f t="shared" si="22"/>
        <v>10064.6</v>
      </c>
      <c r="L68" s="16">
        <f>D68+F68+H68+J68</f>
        <v>10064.6</v>
      </c>
      <c r="M68" s="45">
        <f t="shared" si="0"/>
        <v>0</v>
      </c>
    </row>
    <row r="69" spans="1:15" s="23" customFormat="1" ht="15" customHeight="1" x14ac:dyDescent="0.25">
      <c r="A69" s="19" t="s">
        <v>116</v>
      </c>
      <c r="B69" s="47" t="s">
        <v>117</v>
      </c>
      <c r="C69" s="21" t="s">
        <v>50</v>
      </c>
      <c r="D69" s="54">
        <v>0</v>
      </c>
      <c r="E69" s="55">
        <f>50000-10000</f>
        <v>40000</v>
      </c>
      <c r="F69" s="55">
        <f>50000-10000-20000</f>
        <v>20000</v>
      </c>
      <c r="G69" s="55">
        <f>20500+10000</f>
        <v>30500</v>
      </c>
      <c r="H69" s="55">
        <f>20500+10000+20000</f>
        <v>50500</v>
      </c>
      <c r="I69" s="43">
        <v>0</v>
      </c>
      <c r="J69" s="43">
        <v>0</v>
      </c>
      <c r="K69" s="16">
        <f t="shared" si="22"/>
        <v>70500</v>
      </c>
      <c r="L69" s="16">
        <f t="shared" si="23"/>
        <v>70500</v>
      </c>
      <c r="M69" s="45">
        <f t="shared" si="0"/>
        <v>0</v>
      </c>
    </row>
    <row r="70" spans="1:15" s="18" customFormat="1" ht="24" customHeight="1" x14ac:dyDescent="0.25">
      <c r="A70" s="19" t="s">
        <v>118</v>
      </c>
      <c r="B70" s="20" t="s">
        <v>119</v>
      </c>
      <c r="C70" s="21" t="s">
        <v>50</v>
      </c>
      <c r="D70" s="42">
        <v>127.05</v>
      </c>
      <c r="E70" s="43">
        <v>7373</v>
      </c>
      <c r="F70" s="43">
        <f>7373-6700</f>
        <v>673</v>
      </c>
      <c r="G70" s="43">
        <v>14000</v>
      </c>
      <c r="H70" s="43">
        <f>14000+6700</f>
        <v>20700</v>
      </c>
      <c r="I70" s="43">
        <v>0</v>
      </c>
      <c r="J70" s="43">
        <v>0</v>
      </c>
      <c r="K70" s="16">
        <f t="shared" si="22"/>
        <v>21500.05</v>
      </c>
      <c r="L70" s="16">
        <f t="shared" si="23"/>
        <v>21500.05</v>
      </c>
      <c r="M70" s="45">
        <f t="shared" si="0"/>
        <v>0</v>
      </c>
    </row>
    <row r="71" spans="1:15" s="18" customFormat="1" ht="24" customHeight="1" x14ac:dyDescent="0.25">
      <c r="A71" s="19" t="s">
        <v>120</v>
      </c>
      <c r="B71" s="49" t="s">
        <v>121</v>
      </c>
      <c r="C71" s="21" t="s">
        <v>50</v>
      </c>
      <c r="D71" s="42">
        <v>17970.75</v>
      </c>
      <c r="E71" s="43">
        <v>7029.25</v>
      </c>
      <c r="F71" s="43">
        <v>7029.25</v>
      </c>
      <c r="G71" s="43">
        <v>0</v>
      </c>
      <c r="H71" s="43">
        <v>0</v>
      </c>
      <c r="I71" s="56">
        <v>0</v>
      </c>
      <c r="J71" s="56">
        <v>0</v>
      </c>
      <c r="K71" s="16">
        <f t="shared" si="22"/>
        <v>25000</v>
      </c>
      <c r="L71" s="16">
        <f t="shared" si="23"/>
        <v>25000</v>
      </c>
      <c r="M71" s="45">
        <f t="shared" si="0"/>
        <v>0</v>
      </c>
    </row>
    <row r="72" spans="1:15" s="18" customFormat="1" ht="24" customHeight="1" x14ac:dyDescent="0.25">
      <c r="A72" s="19" t="s">
        <v>122</v>
      </c>
      <c r="B72" s="49" t="s">
        <v>123</v>
      </c>
      <c r="C72" s="21" t="s">
        <v>50</v>
      </c>
      <c r="D72" s="42">
        <v>0</v>
      </c>
      <c r="E72" s="53">
        <v>11100</v>
      </c>
      <c r="F72" s="53">
        <v>11100</v>
      </c>
      <c r="G72" s="43">
        <v>0</v>
      </c>
      <c r="H72" s="43">
        <v>0</v>
      </c>
      <c r="I72" s="56">
        <v>0</v>
      </c>
      <c r="J72" s="56">
        <v>0</v>
      </c>
      <c r="K72" s="16">
        <f t="shared" si="22"/>
        <v>11100</v>
      </c>
      <c r="L72" s="16">
        <f t="shared" si="23"/>
        <v>11100</v>
      </c>
      <c r="M72" s="45">
        <f t="shared" si="0"/>
        <v>0</v>
      </c>
    </row>
    <row r="73" spans="1:15" s="18" customFormat="1" ht="24" customHeight="1" x14ac:dyDescent="0.25">
      <c r="A73" s="19" t="s">
        <v>124</v>
      </c>
      <c r="B73" s="49" t="s">
        <v>125</v>
      </c>
      <c r="C73" s="21" t="s">
        <v>50</v>
      </c>
      <c r="D73" s="42">
        <v>0</v>
      </c>
      <c r="E73" s="53">
        <v>9350</v>
      </c>
      <c r="F73" s="53">
        <v>9350</v>
      </c>
      <c r="G73" s="43">
        <v>0</v>
      </c>
      <c r="H73" s="43">
        <v>0</v>
      </c>
      <c r="I73" s="56">
        <v>0</v>
      </c>
      <c r="J73" s="56">
        <v>0</v>
      </c>
      <c r="K73" s="16">
        <f t="shared" si="22"/>
        <v>9350</v>
      </c>
      <c r="L73" s="16">
        <f t="shared" si="23"/>
        <v>9350</v>
      </c>
      <c r="M73" s="45">
        <f t="shared" ref="M73:M92" si="24">K73-L73</f>
        <v>0</v>
      </c>
    </row>
    <row r="74" spans="1:15" s="17" customFormat="1" ht="15" customHeight="1" x14ac:dyDescent="0.25">
      <c r="A74" s="24" t="s">
        <v>31</v>
      </c>
      <c r="B74" s="25"/>
      <c r="C74" s="26"/>
      <c r="D74" s="27">
        <f t="shared" ref="D74:L74" si="25">SUM(D49:D73)</f>
        <v>224556.02000000002</v>
      </c>
      <c r="E74" s="27">
        <f t="shared" si="25"/>
        <v>383047.3</v>
      </c>
      <c r="F74" s="27">
        <f>SUM(F49:F73)</f>
        <v>273547.3</v>
      </c>
      <c r="G74" s="27">
        <f t="shared" si="25"/>
        <v>220000</v>
      </c>
      <c r="H74" s="27">
        <f t="shared" ref="H74" si="26">SUM(H49:H73)</f>
        <v>329500</v>
      </c>
      <c r="I74" s="27">
        <f t="shared" si="25"/>
        <v>11950.5</v>
      </c>
      <c r="J74" s="27">
        <f t="shared" ref="J74" si="27">SUM(J49:J73)</f>
        <v>11950.5</v>
      </c>
      <c r="K74" s="28">
        <f t="shared" si="25"/>
        <v>839553.82000000007</v>
      </c>
      <c r="L74" s="28">
        <f t="shared" si="25"/>
        <v>839553.82000000007</v>
      </c>
      <c r="M74" s="45">
        <f t="shared" si="24"/>
        <v>0</v>
      </c>
      <c r="N74" s="41"/>
      <c r="O74" s="41"/>
    </row>
    <row r="75" spans="1:15" s="18" customFormat="1" ht="18" customHeight="1" x14ac:dyDescent="0.25">
      <c r="A75" s="70" t="s">
        <v>38</v>
      </c>
      <c r="B75" s="71"/>
      <c r="C75" s="71"/>
      <c r="D75" s="71"/>
      <c r="E75" s="71"/>
      <c r="F75" s="71"/>
      <c r="G75" s="71"/>
      <c r="H75" s="71"/>
      <c r="I75" s="71"/>
      <c r="J75" s="71"/>
      <c r="K75" s="72"/>
      <c r="L75" s="59"/>
      <c r="M75" s="45">
        <f t="shared" si="24"/>
        <v>0</v>
      </c>
      <c r="N75" s="37"/>
    </row>
    <row r="76" spans="1:15" s="18" customFormat="1" ht="24" customHeight="1" x14ac:dyDescent="0.25">
      <c r="A76" s="46" t="s">
        <v>126</v>
      </c>
      <c r="B76" s="47" t="s">
        <v>127</v>
      </c>
      <c r="C76" s="21" t="s">
        <v>50</v>
      </c>
      <c r="D76" s="42">
        <v>14723.48</v>
      </c>
      <c r="E76" s="43">
        <v>6976.53</v>
      </c>
      <c r="F76" s="43">
        <v>6976.53</v>
      </c>
      <c r="G76" s="43">
        <v>0</v>
      </c>
      <c r="H76" s="43">
        <v>0</v>
      </c>
      <c r="I76" s="42">
        <v>0</v>
      </c>
      <c r="J76" s="42">
        <v>0</v>
      </c>
      <c r="K76" s="16">
        <f t="shared" ref="K76:K88" si="28">D76+E76+G76+I76</f>
        <v>21700.01</v>
      </c>
      <c r="L76" s="16">
        <f>D76+F76+H76+J76</f>
        <v>21700.01</v>
      </c>
      <c r="M76" s="45">
        <f t="shared" si="24"/>
        <v>0</v>
      </c>
    </row>
    <row r="77" spans="1:15" s="18" customFormat="1" ht="24" customHeight="1" x14ac:dyDescent="0.25">
      <c r="A77" s="46" t="s">
        <v>128</v>
      </c>
      <c r="B77" s="47" t="s">
        <v>129</v>
      </c>
      <c r="C77" s="21" t="s">
        <v>50</v>
      </c>
      <c r="D77" s="52">
        <v>22241.64</v>
      </c>
      <c r="E77" s="53">
        <v>0</v>
      </c>
      <c r="F77" s="53">
        <v>0</v>
      </c>
      <c r="G77" s="53">
        <v>0</v>
      </c>
      <c r="H77" s="53">
        <v>0</v>
      </c>
      <c r="I77" s="52">
        <v>0</v>
      </c>
      <c r="J77" s="52">
        <v>0</v>
      </c>
      <c r="K77" s="16">
        <f t="shared" si="28"/>
        <v>22241.64</v>
      </c>
      <c r="L77" s="16">
        <f t="shared" ref="L77:L88" si="29">D77+F77+H77+J77</f>
        <v>22241.64</v>
      </c>
      <c r="M77" s="45">
        <f t="shared" si="24"/>
        <v>0</v>
      </c>
    </row>
    <row r="78" spans="1:15" s="18" customFormat="1" ht="24" customHeight="1" x14ac:dyDescent="0.25">
      <c r="A78" s="46" t="s">
        <v>130</v>
      </c>
      <c r="B78" s="47" t="s">
        <v>131</v>
      </c>
      <c r="C78" s="21" t="s">
        <v>50</v>
      </c>
      <c r="D78" s="42">
        <v>20898.27</v>
      </c>
      <c r="E78" s="43">
        <v>0</v>
      </c>
      <c r="F78" s="43">
        <v>0</v>
      </c>
      <c r="G78" s="43">
        <v>0</v>
      </c>
      <c r="H78" s="43">
        <v>0</v>
      </c>
      <c r="I78" s="42">
        <v>0</v>
      </c>
      <c r="J78" s="42">
        <v>0</v>
      </c>
      <c r="K78" s="16">
        <f t="shared" si="28"/>
        <v>20898.27</v>
      </c>
      <c r="L78" s="16">
        <f t="shared" si="29"/>
        <v>20898.27</v>
      </c>
      <c r="M78" s="45">
        <f t="shared" si="24"/>
        <v>0</v>
      </c>
    </row>
    <row r="79" spans="1:15" s="18" customFormat="1" ht="24" customHeight="1" x14ac:dyDescent="0.25">
      <c r="A79" s="46" t="s">
        <v>132</v>
      </c>
      <c r="B79" s="47" t="s">
        <v>133</v>
      </c>
      <c r="C79" s="21" t="s">
        <v>50</v>
      </c>
      <c r="D79" s="42">
        <v>28727.64</v>
      </c>
      <c r="E79" s="43">
        <v>0</v>
      </c>
      <c r="F79" s="43">
        <v>0</v>
      </c>
      <c r="G79" s="43">
        <v>0</v>
      </c>
      <c r="H79" s="43">
        <v>0</v>
      </c>
      <c r="I79" s="42">
        <v>0</v>
      </c>
      <c r="J79" s="42">
        <v>0</v>
      </c>
      <c r="K79" s="16">
        <f t="shared" si="28"/>
        <v>28727.64</v>
      </c>
      <c r="L79" s="16">
        <f t="shared" si="29"/>
        <v>28727.64</v>
      </c>
      <c r="M79" s="45">
        <f t="shared" si="24"/>
        <v>0</v>
      </c>
    </row>
    <row r="80" spans="1:15" s="18" customFormat="1" ht="24" customHeight="1" x14ac:dyDescent="0.25">
      <c r="A80" s="46" t="s">
        <v>134</v>
      </c>
      <c r="B80" s="47" t="s">
        <v>135</v>
      </c>
      <c r="C80" s="21" t="s">
        <v>50</v>
      </c>
      <c r="D80" s="42">
        <v>11437.7</v>
      </c>
      <c r="E80" s="43">
        <v>0</v>
      </c>
      <c r="F80" s="43">
        <v>0</v>
      </c>
      <c r="G80" s="43">
        <v>0</v>
      </c>
      <c r="H80" s="43">
        <v>0</v>
      </c>
      <c r="I80" s="42">
        <v>0</v>
      </c>
      <c r="J80" s="42">
        <v>0</v>
      </c>
      <c r="K80" s="16">
        <f t="shared" si="28"/>
        <v>11437.7</v>
      </c>
      <c r="L80" s="16">
        <f t="shared" si="29"/>
        <v>11437.7</v>
      </c>
      <c r="M80" s="45">
        <f t="shared" si="24"/>
        <v>0</v>
      </c>
    </row>
    <row r="81" spans="1:15" s="18" customFormat="1" ht="24" customHeight="1" x14ac:dyDescent="0.25">
      <c r="A81" s="46" t="s">
        <v>136</v>
      </c>
      <c r="B81" s="47" t="s">
        <v>137</v>
      </c>
      <c r="C81" s="21" t="s">
        <v>50</v>
      </c>
      <c r="D81" s="42">
        <v>11567.78</v>
      </c>
      <c r="E81" s="43">
        <v>0</v>
      </c>
      <c r="F81" s="43">
        <v>0</v>
      </c>
      <c r="G81" s="43">
        <v>0</v>
      </c>
      <c r="H81" s="43">
        <v>0</v>
      </c>
      <c r="I81" s="42">
        <v>0</v>
      </c>
      <c r="J81" s="42">
        <v>0</v>
      </c>
      <c r="K81" s="16">
        <f t="shared" si="28"/>
        <v>11567.78</v>
      </c>
      <c r="L81" s="16">
        <f t="shared" si="29"/>
        <v>11567.78</v>
      </c>
      <c r="M81" s="45">
        <f t="shared" si="24"/>
        <v>0</v>
      </c>
    </row>
    <row r="82" spans="1:15" s="18" customFormat="1" ht="15" customHeight="1" x14ac:dyDescent="0.25">
      <c r="A82" s="46" t="s">
        <v>138</v>
      </c>
      <c r="B82" s="47" t="s">
        <v>139</v>
      </c>
      <c r="C82" s="21" t="s">
        <v>50</v>
      </c>
      <c r="D82" s="42">
        <v>1099.1500000000001</v>
      </c>
      <c r="E82" s="43">
        <v>22900.85</v>
      </c>
      <c r="F82" s="43">
        <v>22900.85</v>
      </c>
      <c r="G82" s="43">
        <v>0</v>
      </c>
      <c r="H82" s="43">
        <v>0</v>
      </c>
      <c r="I82" s="42">
        <v>0</v>
      </c>
      <c r="J82" s="42">
        <v>0</v>
      </c>
      <c r="K82" s="16">
        <f t="shared" si="28"/>
        <v>24000</v>
      </c>
      <c r="L82" s="16">
        <f t="shared" si="29"/>
        <v>24000</v>
      </c>
      <c r="M82" s="45">
        <f t="shared" si="24"/>
        <v>0</v>
      </c>
    </row>
    <row r="83" spans="1:15" s="18" customFormat="1" ht="24" customHeight="1" x14ac:dyDescent="0.25">
      <c r="A83" s="46" t="s">
        <v>140</v>
      </c>
      <c r="B83" s="47" t="s">
        <v>141</v>
      </c>
      <c r="C83" s="21" t="s">
        <v>50</v>
      </c>
      <c r="D83" s="42">
        <v>34.11</v>
      </c>
      <c r="E83" s="43">
        <v>93382</v>
      </c>
      <c r="F83" s="43">
        <v>93382</v>
      </c>
      <c r="G83" s="43">
        <v>50000</v>
      </c>
      <c r="H83" s="43">
        <v>50000</v>
      </c>
      <c r="I83" s="42">
        <v>0</v>
      </c>
      <c r="J83" s="42">
        <v>0</v>
      </c>
      <c r="K83" s="16">
        <f t="shared" si="28"/>
        <v>143416.10999999999</v>
      </c>
      <c r="L83" s="16">
        <f t="shared" si="29"/>
        <v>143416.10999999999</v>
      </c>
      <c r="M83" s="45">
        <f t="shared" si="24"/>
        <v>0</v>
      </c>
    </row>
    <row r="84" spans="1:15" s="18" customFormat="1" ht="24" customHeight="1" x14ac:dyDescent="0.25">
      <c r="A84" s="48" t="s">
        <v>142</v>
      </c>
      <c r="B84" s="47" t="s">
        <v>143</v>
      </c>
      <c r="C84" s="21" t="s">
        <v>50</v>
      </c>
      <c r="D84" s="52">
        <v>29.04</v>
      </c>
      <c r="E84" s="43">
        <f>94970.96-80000</f>
        <v>14970.960000000006</v>
      </c>
      <c r="F84" s="43">
        <f>94970.96-80000</f>
        <v>14970.960000000006</v>
      </c>
      <c r="G84" s="53">
        <f>10000+80000</f>
        <v>90000</v>
      </c>
      <c r="H84" s="53">
        <f>10000+80000</f>
        <v>90000</v>
      </c>
      <c r="I84" s="52">
        <v>0</v>
      </c>
      <c r="J84" s="52">
        <v>0</v>
      </c>
      <c r="K84" s="16">
        <f t="shared" si="28"/>
        <v>105000</v>
      </c>
      <c r="L84" s="16">
        <f t="shared" si="29"/>
        <v>105000</v>
      </c>
      <c r="M84" s="45">
        <f t="shared" si="24"/>
        <v>0</v>
      </c>
    </row>
    <row r="85" spans="1:15" s="18" customFormat="1" ht="24" customHeight="1" x14ac:dyDescent="0.25">
      <c r="A85" s="48" t="s">
        <v>144</v>
      </c>
      <c r="B85" s="47" t="s">
        <v>145</v>
      </c>
      <c r="C85" s="21" t="s">
        <v>50</v>
      </c>
      <c r="D85" s="52">
        <v>0</v>
      </c>
      <c r="E85" s="43">
        <v>30200</v>
      </c>
      <c r="F85" s="43">
        <f>30200-26200</f>
        <v>4000</v>
      </c>
      <c r="G85" s="53">
        <v>0</v>
      </c>
      <c r="H85" s="53">
        <f>0+26200</f>
        <v>26200</v>
      </c>
      <c r="I85" s="52">
        <v>0</v>
      </c>
      <c r="J85" s="52">
        <v>0</v>
      </c>
      <c r="K85" s="16">
        <f t="shared" si="28"/>
        <v>30200</v>
      </c>
      <c r="L85" s="16">
        <f t="shared" si="29"/>
        <v>30200</v>
      </c>
      <c r="M85" s="45">
        <f t="shared" si="24"/>
        <v>0</v>
      </c>
    </row>
    <row r="86" spans="1:15" s="18" customFormat="1" ht="24" customHeight="1" x14ac:dyDescent="0.25">
      <c r="A86" s="48" t="s">
        <v>146</v>
      </c>
      <c r="B86" s="47" t="s">
        <v>147</v>
      </c>
      <c r="C86" s="21" t="s">
        <v>50</v>
      </c>
      <c r="D86" s="52">
        <v>0</v>
      </c>
      <c r="E86" s="43">
        <v>40000</v>
      </c>
      <c r="F86" s="43">
        <v>40000</v>
      </c>
      <c r="G86" s="53">
        <v>140000</v>
      </c>
      <c r="H86" s="53">
        <v>140000</v>
      </c>
      <c r="I86" s="52">
        <v>0</v>
      </c>
      <c r="J86" s="52">
        <v>0</v>
      </c>
      <c r="K86" s="16">
        <f t="shared" si="28"/>
        <v>180000</v>
      </c>
      <c r="L86" s="16">
        <f t="shared" si="29"/>
        <v>180000</v>
      </c>
      <c r="M86" s="45">
        <f t="shared" si="24"/>
        <v>0</v>
      </c>
    </row>
    <row r="87" spans="1:15" s="23" customFormat="1" ht="24" customHeight="1" x14ac:dyDescent="0.25">
      <c r="A87" s="19" t="s">
        <v>148</v>
      </c>
      <c r="B87" s="20" t="s">
        <v>149</v>
      </c>
      <c r="C87" s="21" t="s">
        <v>50</v>
      </c>
      <c r="D87" s="22">
        <v>0</v>
      </c>
      <c r="E87" s="22">
        <v>15500</v>
      </c>
      <c r="F87" s="58">
        <f>15500-10500</f>
        <v>5000</v>
      </c>
      <c r="G87" s="22">
        <v>0</v>
      </c>
      <c r="H87" s="58">
        <f>0+10500</f>
        <v>10500</v>
      </c>
      <c r="I87" s="29">
        <v>0</v>
      </c>
      <c r="J87" s="29">
        <v>0</v>
      </c>
      <c r="K87" s="16">
        <f t="shared" si="28"/>
        <v>15500</v>
      </c>
      <c r="L87" s="16">
        <f t="shared" si="29"/>
        <v>15500</v>
      </c>
      <c r="M87" s="45">
        <f t="shared" si="24"/>
        <v>0</v>
      </c>
    </row>
    <row r="88" spans="1:15" s="23" customFormat="1" ht="24" customHeight="1" x14ac:dyDescent="0.25">
      <c r="A88" s="19" t="s">
        <v>150</v>
      </c>
      <c r="B88" s="20" t="s">
        <v>151</v>
      </c>
      <c r="C88" s="21" t="s">
        <v>50</v>
      </c>
      <c r="D88" s="22">
        <v>0</v>
      </c>
      <c r="E88" s="22">
        <v>20000</v>
      </c>
      <c r="F88" s="22">
        <v>20000</v>
      </c>
      <c r="G88" s="22">
        <v>0</v>
      </c>
      <c r="H88" s="22">
        <v>0</v>
      </c>
      <c r="I88" s="29">
        <v>0</v>
      </c>
      <c r="J88" s="29">
        <v>0</v>
      </c>
      <c r="K88" s="16">
        <f t="shared" si="28"/>
        <v>20000</v>
      </c>
      <c r="L88" s="16">
        <f t="shared" si="29"/>
        <v>20000</v>
      </c>
      <c r="M88" s="45">
        <f t="shared" si="24"/>
        <v>0</v>
      </c>
    </row>
    <row r="89" spans="1:15" s="17" customFormat="1" ht="15" customHeight="1" thickBot="1" x14ac:dyDescent="0.3">
      <c r="A89" s="24" t="s">
        <v>39</v>
      </c>
      <c r="B89" s="25"/>
      <c r="C89" s="26"/>
      <c r="D89" s="27">
        <f t="shared" ref="D89:J89" si="30">SUM(D76:D88)</f>
        <v>110758.80999999998</v>
      </c>
      <c r="E89" s="27">
        <f t="shared" si="30"/>
        <v>243930.34000000003</v>
      </c>
      <c r="F89" s="27">
        <f>SUM(F76:F88)</f>
        <v>207230.34000000003</v>
      </c>
      <c r="G89" s="27">
        <f t="shared" si="30"/>
        <v>280000</v>
      </c>
      <c r="H89" s="27">
        <f t="shared" si="30"/>
        <v>316700</v>
      </c>
      <c r="I89" s="27">
        <f t="shared" si="30"/>
        <v>0</v>
      </c>
      <c r="J89" s="27">
        <f t="shared" si="30"/>
        <v>0</v>
      </c>
      <c r="K89" s="28">
        <f>SUM(K76:K88)</f>
        <v>634689.14999999991</v>
      </c>
      <c r="L89" s="28">
        <f>SUM(L76:L88)</f>
        <v>634689.14999999991</v>
      </c>
      <c r="M89" s="45">
        <f t="shared" si="24"/>
        <v>0</v>
      </c>
      <c r="N89" s="41"/>
      <c r="O89" s="41"/>
    </row>
    <row r="90" spans="1:15" s="17" customFormat="1" ht="25.5" customHeight="1" thickBot="1" x14ac:dyDescent="0.3">
      <c r="A90" s="30" t="s">
        <v>152</v>
      </c>
      <c r="B90" s="31"/>
      <c r="C90" s="32"/>
      <c r="D90" s="33">
        <f>D89+D74+D47+D39+D35</f>
        <v>378688.57</v>
      </c>
      <c r="E90" s="33">
        <f>E89+E74+E47+E39+E35</f>
        <v>927075.61</v>
      </c>
      <c r="F90" s="33">
        <f>F89+F74+F47+F39+F35</f>
        <v>714847.61</v>
      </c>
      <c r="G90" s="33">
        <f t="shared" ref="G90:J90" si="31">G89+G74+G47+G39+G35</f>
        <v>1270316</v>
      </c>
      <c r="H90" s="33">
        <f t="shared" si="31"/>
        <v>1443790</v>
      </c>
      <c r="I90" s="33">
        <f t="shared" si="31"/>
        <v>69209.5</v>
      </c>
      <c r="J90" s="33">
        <f t="shared" si="31"/>
        <v>69209.5</v>
      </c>
      <c r="K90" s="34">
        <f>K89+K74+K47+K39+K35</f>
        <v>2645289.6800000002</v>
      </c>
      <c r="L90" s="34">
        <f>L89+L74+L47+L39+L35</f>
        <v>2606535.6800000002</v>
      </c>
      <c r="M90" s="45">
        <f t="shared" si="24"/>
        <v>38754</v>
      </c>
    </row>
    <row r="91" spans="1:15" s="17" customFormat="1" ht="13.5" thickBot="1" x14ac:dyDescent="0.3">
      <c r="A91" s="35"/>
      <c r="B91" s="60"/>
      <c r="C91" s="61"/>
      <c r="D91" s="62"/>
      <c r="E91" s="62"/>
      <c r="F91" s="62"/>
      <c r="G91" s="62"/>
      <c r="H91" s="62"/>
      <c r="I91" s="62"/>
      <c r="J91" s="62"/>
      <c r="K91" s="57"/>
      <c r="L91" s="57"/>
      <c r="M91" s="45">
        <f t="shared" si="24"/>
        <v>0</v>
      </c>
    </row>
    <row r="92" spans="1:15" s="17" customFormat="1" ht="21" customHeight="1" thickBot="1" x14ac:dyDescent="0.3">
      <c r="A92" s="30" t="s">
        <v>153</v>
      </c>
      <c r="B92" s="31"/>
      <c r="C92" s="32"/>
      <c r="D92" s="33">
        <f>SUM(D20,D26,D90)+0.45</f>
        <v>387806.92845000001</v>
      </c>
      <c r="E92" s="33">
        <f>SUM(E20,E26,E90)</f>
        <v>1163953</v>
      </c>
      <c r="F92" s="33">
        <f>SUM(F20,F26,F90)</f>
        <v>864222</v>
      </c>
      <c r="G92" s="33">
        <f t="shared" ref="G92" si="32">SUM(G20,G26,G90)</f>
        <v>1379031</v>
      </c>
      <c r="H92" s="33">
        <f>SUM(H20,H26,H90)</f>
        <v>1678762</v>
      </c>
      <c r="I92" s="33">
        <f>SUM(I20,I26,I90)</f>
        <v>69209.5</v>
      </c>
      <c r="J92" s="33">
        <f>SUM(J20,J26,J90)</f>
        <v>69209.5</v>
      </c>
      <c r="K92" s="34">
        <f>SUM(K20,K26,K90)</f>
        <v>2999999.9784500003</v>
      </c>
      <c r="L92" s="34">
        <f>SUM(L20,L26,L90)</f>
        <v>2999999.9784500003</v>
      </c>
      <c r="M92" s="45">
        <f t="shared" si="24"/>
        <v>0</v>
      </c>
    </row>
  </sheetData>
  <mergeCells count="17">
    <mergeCell ref="A2:K2"/>
    <mergeCell ref="A4:A5"/>
    <mergeCell ref="D4:I4"/>
    <mergeCell ref="K4:K5"/>
    <mergeCell ref="A23:K23"/>
    <mergeCell ref="A6:K6"/>
    <mergeCell ref="A7:K7"/>
    <mergeCell ref="A11:K11"/>
    <mergeCell ref="A17:K17"/>
    <mergeCell ref="A22:K22"/>
    <mergeCell ref="L4:L5"/>
    <mergeCell ref="A48:K48"/>
    <mergeCell ref="A75:K75"/>
    <mergeCell ref="A28:K28"/>
    <mergeCell ref="A29:K29"/>
    <mergeCell ref="A36:K36"/>
    <mergeCell ref="A40:K40"/>
  </mergeCells>
  <conditionalFormatting sqref="E8 E10 G33 E76:E79 G24:J24 E82:E88 E34:G34 H33:H34 I33:J33 E44:F45 G44:H44 I44:J46 E66:H66 I66:J70 G82:G88 G76:G79 I82:I88 E62:F64 G60:J64">
    <cfRule type="cellIs" dxfId="165" priority="165" operator="lessThan">
      <formula>#REF!</formula>
    </cfRule>
    <cfRule type="cellIs" dxfId="164" priority="166" operator="greaterThan">
      <formula>#REF!</formula>
    </cfRule>
  </conditionalFormatting>
  <conditionalFormatting sqref="D59 D84:D88 K76:K88 E85:E88 D68 D66 E24:F25 E9 E66:E69 E80:E83 I76:I83 D62:E65 G87:G88 K24 E12:E16 D70:E74 K10 G25:K25 K30:K34 G8:J10 G12:G16 I12:I16 K16 E18:J19 I34:J34 D30:J32 D35:K35 E37:J38 E41:J43 D49:F58 G49:J59 K74:L74 G80:G83 I87:I88 F62:F74 G61:J74 E39:K39">
    <cfRule type="cellIs" dxfId="163" priority="163" operator="lessThan">
      <formula>#REF!</formula>
    </cfRule>
    <cfRule type="cellIs" dxfId="162" priority="164" operator="greaterThan">
      <formula>#REF!</formula>
    </cfRule>
  </conditionalFormatting>
  <conditionalFormatting sqref="D44 D8 D10">
    <cfRule type="cellIs" dxfId="161" priority="161" operator="lessThan">
      <formula>#REF!</formula>
    </cfRule>
    <cfRule type="cellIs" dxfId="160" priority="162" operator="greaterThan">
      <formula>#REF!</formula>
    </cfRule>
  </conditionalFormatting>
  <conditionalFormatting sqref="D34">
    <cfRule type="cellIs" dxfId="159" priority="157" operator="lessThan">
      <formula>#REF!</formula>
    </cfRule>
    <cfRule type="cellIs" dxfId="158" priority="158" operator="greaterThan">
      <formula>#REF!</formula>
    </cfRule>
  </conditionalFormatting>
  <conditionalFormatting sqref="D45:D46">
    <cfRule type="cellIs" dxfId="157" priority="151" operator="lessThan">
      <formula>#REF!</formula>
    </cfRule>
    <cfRule type="cellIs" dxfId="156" priority="152" operator="greaterThan">
      <formula>#REF!</formula>
    </cfRule>
  </conditionalFormatting>
  <conditionalFormatting sqref="D24:D25">
    <cfRule type="cellIs" dxfId="155" priority="159" operator="lessThan">
      <formula>#REF!</formula>
    </cfRule>
    <cfRule type="cellIs" dxfId="154" priority="160" operator="greaterThan">
      <formula>#REF!</formula>
    </cfRule>
  </conditionalFormatting>
  <conditionalFormatting sqref="D33">
    <cfRule type="cellIs" dxfId="153" priority="155" operator="lessThan">
      <formula>#REF!</formula>
    </cfRule>
    <cfRule type="cellIs" dxfId="152" priority="156" operator="greaterThan">
      <formula>#REF!</formula>
    </cfRule>
  </conditionalFormatting>
  <conditionalFormatting sqref="D39">
    <cfRule type="cellIs" dxfId="151" priority="153" operator="lessThan">
      <formula>#REF!</formula>
    </cfRule>
    <cfRule type="cellIs" dxfId="150" priority="154" operator="greaterThan">
      <formula>#REF!</formula>
    </cfRule>
  </conditionalFormatting>
  <conditionalFormatting sqref="D60:D66">
    <cfRule type="cellIs" dxfId="149" priority="149" operator="lessThan">
      <formula>#REF!</formula>
    </cfRule>
    <cfRule type="cellIs" dxfId="148" priority="150" operator="greaterThan">
      <formula>#REF!</formula>
    </cfRule>
  </conditionalFormatting>
  <conditionalFormatting sqref="D83">
    <cfRule type="cellIs" dxfId="147" priority="147" operator="lessThan">
      <formula>#REF!</formula>
    </cfRule>
    <cfRule type="cellIs" dxfId="146" priority="148" operator="greaterThan">
      <formula>#REF!</formula>
    </cfRule>
  </conditionalFormatting>
  <conditionalFormatting sqref="D82:D83">
    <cfRule type="cellIs" dxfId="145" priority="145" operator="lessThan">
      <formula>#REF!</formula>
    </cfRule>
    <cfRule type="cellIs" dxfId="144" priority="146" operator="greaterThan">
      <formula>#REF!</formula>
    </cfRule>
  </conditionalFormatting>
  <conditionalFormatting sqref="D76">
    <cfRule type="cellIs" dxfId="143" priority="143" operator="lessThan">
      <formula>#REF!</formula>
    </cfRule>
    <cfRule type="cellIs" dxfId="142" priority="144" operator="greaterThan">
      <formula>#REF!</formula>
    </cfRule>
  </conditionalFormatting>
  <conditionalFormatting sqref="D77:D79">
    <cfRule type="cellIs" dxfId="141" priority="141" operator="lessThan">
      <formula>#REF!</formula>
    </cfRule>
    <cfRule type="cellIs" dxfId="140" priority="142" operator="greaterThan">
      <formula>#REF!</formula>
    </cfRule>
  </conditionalFormatting>
  <conditionalFormatting sqref="D19">
    <cfRule type="cellIs" dxfId="139" priority="129" operator="lessThan">
      <formula>#REF!</formula>
    </cfRule>
    <cfRule type="cellIs" dxfId="138" priority="130" operator="greaterThan">
      <formula>#REF!</formula>
    </cfRule>
  </conditionalFormatting>
  <conditionalFormatting sqref="D43">
    <cfRule type="cellIs" dxfId="137" priority="127" operator="lessThan">
      <formula>#REF!</formula>
    </cfRule>
    <cfRule type="cellIs" dxfId="136" priority="128" operator="greaterThan">
      <formula>#REF!</formula>
    </cfRule>
  </conditionalFormatting>
  <conditionalFormatting sqref="D41:D42">
    <cfRule type="cellIs" dxfId="135" priority="125" operator="lessThan">
      <formula>#REF!</formula>
    </cfRule>
    <cfRule type="cellIs" dxfId="134" priority="126" operator="greaterThan">
      <formula>#REF!</formula>
    </cfRule>
  </conditionalFormatting>
  <conditionalFormatting sqref="D9">
    <cfRule type="cellIs" dxfId="133" priority="139" operator="lessThan">
      <formula>#REF!</formula>
    </cfRule>
    <cfRule type="cellIs" dxfId="132" priority="140" operator="greaterThan">
      <formula>#REF!</formula>
    </cfRule>
  </conditionalFormatting>
  <conditionalFormatting sqref="D12:D13 D15">
    <cfRule type="cellIs" dxfId="131" priority="137" operator="lessThan">
      <formula>#REF!</formula>
    </cfRule>
    <cfRule type="cellIs" dxfId="130" priority="138" operator="greaterThan">
      <formula>#REF!</formula>
    </cfRule>
  </conditionalFormatting>
  <conditionalFormatting sqref="D13:D14">
    <cfRule type="cellIs" dxfId="129" priority="135" operator="lessThan">
      <formula>#REF!</formula>
    </cfRule>
    <cfRule type="cellIs" dxfId="128" priority="136" operator="greaterThan">
      <formula>#REF!</formula>
    </cfRule>
  </conditionalFormatting>
  <conditionalFormatting sqref="D16">
    <cfRule type="cellIs" dxfId="127" priority="133" operator="lessThan">
      <formula>#REF!</formula>
    </cfRule>
    <cfRule type="cellIs" dxfId="126" priority="134" operator="greaterThan">
      <formula>#REF!</formula>
    </cfRule>
  </conditionalFormatting>
  <conditionalFormatting sqref="D18">
    <cfRule type="cellIs" dxfId="125" priority="131" operator="lessThan">
      <formula>#REF!</formula>
    </cfRule>
    <cfRule type="cellIs" dxfId="124" priority="132" operator="greaterThan">
      <formula>#REF!</formula>
    </cfRule>
  </conditionalFormatting>
  <conditionalFormatting sqref="D67">
    <cfRule type="cellIs" dxfId="123" priority="123" operator="lessThan">
      <formula>#REF!</formula>
    </cfRule>
    <cfRule type="cellIs" dxfId="122" priority="124" operator="greaterThan">
      <formula>#REF!</formula>
    </cfRule>
  </conditionalFormatting>
  <conditionalFormatting sqref="D63:D66">
    <cfRule type="cellIs" dxfId="121" priority="121" operator="lessThan">
      <formula>#REF!</formula>
    </cfRule>
    <cfRule type="cellIs" dxfId="120" priority="122" operator="greaterThan">
      <formula>#REF!</formula>
    </cfRule>
  </conditionalFormatting>
  <conditionalFormatting sqref="D61:D66">
    <cfRule type="cellIs" dxfId="119" priority="119" operator="lessThan">
      <formula>#REF!</formula>
    </cfRule>
    <cfRule type="cellIs" dxfId="118" priority="120" operator="greaterThan">
      <formula>#REF!</formula>
    </cfRule>
  </conditionalFormatting>
  <conditionalFormatting sqref="D69">
    <cfRule type="cellIs" dxfId="117" priority="117" operator="lessThan">
      <formula>#REF!</formula>
    </cfRule>
    <cfRule type="cellIs" dxfId="116" priority="118" operator="greaterThan">
      <formula>#REF!</formula>
    </cfRule>
  </conditionalFormatting>
  <conditionalFormatting sqref="D80:D83">
    <cfRule type="cellIs" dxfId="115" priority="115" operator="lessThan">
      <formula>#REF!</formula>
    </cfRule>
    <cfRule type="cellIs" dxfId="114" priority="116" operator="greaterThan">
      <formula>#REF!</formula>
    </cfRule>
  </conditionalFormatting>
  <conditionalFormatting sqref="K8:K9">
    <cfRule type="cellIs" dxfId="113" priority="111" operator="lessThan">
      <formula>#REF!</formula>
    </cfRule>
    <cfRule type="cellIs" dxfId="112" priority="112" operator="greaterThan">
      <formula>#REF!</formula>
    </cfRule>
  </conditionalFormatting>
  <conditionalFormatting sqref="D87:D88">
    <cfRule type="cellIs" dxfId="111" priority="113" operator="lessThan">
      <formula>#REF!</formula>
    </cfRule>
    <cfRule type="cellIs" dxfId="110" priority="114" operator="greaterThan">
      <formula>#REF!</formula>
    </cfRule>
  </conditionalFormatting>
  <conditionalFormatting sqref="K12:K15">
    <cfRule type="cellIs" dxfId="109" priority="109" operator="lessThan">
      <formula>#REF!</formula>
    </cfRule>
    <cfRule type="cellIs" dxfId="108" priority="110" operator="greaterThan">
      <formula>#REF!</formula>
    </cfRule>
  </conditionalFormatting>
  <conditionalFormatting sqref="K18:K19">
    <cfRule type="cellIs" dxfId="107" priority="107" operator="lessThan">
      <formula>#REF!</formula>
    </cfRule>
    <cfRule type="cellIs" dxfId="106" priority="108" operator="greaterThan">
      <formula>#REF!</formula>
    </cfRule>
  </conditionalFormatting>
  <conditionalFormatting sqref="K19">
    <cfRule type="cellIs" dxfId="105" priority="103" operator="lessThan">
      <formula>#REF!</formula>
    </cfRule>
    <cfRule type="cellIs" dxfId="104" priority="104" operator="greaterThan">
      <formula>#REF!</formula>
    </cfRule>
  </conditionalFormatting>
  <conditionalFormatting sqref="K18">
    <cfRule type="cellIs" dxfId="103" priority="105" operator="lessThan">
      <formula>#REF!</formula>
    </cfRule>
    <cfRule type="cellIs" dxfId="102" priority="106" operator="greaterThan">
      <formula>#REF!</formula>
    </cfRule>
  </conditionalFormatting>
  <conditionalFormatting sqref="K33">
    <cfRule type="cellIs" dxfId="101" priority="101" operator="lessThan">
      <formula>#REF!</formula>
    </cfRule>
    <cfRule type="cellIs" dxfId="100" priority="102" operator="greaterThan">
      <formula>#REF!</formula>
    </cfRule>
  </conditionalFormatting>
  <conditionalFormatting sqref="K41:K46">
    <cfRule type="cellIs" dxfId="99" priority="99" operator="lessThan">
      <formula>#REF!</formula>
    </cfRule>
    <cfRule type="cellIs" dxfId="98" priority="100" operator="greaterThan">
      <formula>#REF!</formula>
    </cfRule>
  </conditionalFormatting>
  <conditionalFormatting sqref="K41:K46">
    <cfRule type="cellIs" dxfId="97" priority="97" operator="lessThan">
      <formula>#REF!</formula>
    </cfRule>
    <cfRule type="cellIs" dxfId="96" priority="98" operator="greaterThan">
      <formula>#REF!</formula>
    </cfRule>
  </conditionalFormatting>
  <conditionalFormatting sqref="K49:K56 K68:K73 K58:K66">
    <cfRule type="cellIs" dxfId="95" priority="95" operator="lessThan">
      <formula>#REF!</formula>
    </cfRule>
    <cfRule type="cellIs" dxfId="94" priority="96" operator="greaterThan">
      <formula>#REF!</formula>
    </cfRule>
  </conditionalFormatting>
  <conditionalFormatting sqref="K49:K56 K68:K73 K58:K66">
    <cfRule type="cellIs" dxfId="93" priority="93" operator="lessThan">
      <formula>#REF!</formula>
    </cfRule>
    <cfRule type="cellIs" dxfId="92" priority="94" operator="greaterThan">
      <formula>#REF!</formula>
    </cfRule>
  </conditionalFormatting>
  <conditionalFormatting sqref="E59:F60">
    <cfRule type="cellIs" dxfId="91" priority="91" operator="lessThan">
      <formula>#REF!</formula>
    </cfRule>
    <cfRule type="cellIs" dxfId="90" priority="92" operator="greaterThan">
      <formula>#REF!</formula>
    </cfRule>
  </conditionalFormatting>
  <conditionalFormatting sqref="E61:F61">
    <cfRule type="cellIs" dxfId="89" priority="89" operator="lessThan">
      <formula>#REF!</formula>
    </cfRule>
    <cfRule type="cellIs" dxfId="88" priority="90" operator="greaterThan">
      <formula>#REF!</formula>
    </cfRule>
  </conditionalFormatting>
  <conditionalFormatting sqref="K67">
    <cfRule type="cellIs" dxfId="87" priority="87" operator="lessThan">
      <formula>#REF!</formula>
    </cfRule>
    <cfRule type="cellIs" dxfId="86" priority="88" operator="greaterThan">
      <formula>#REF!</formula>
    </cfRule>
  </conditionalFormatting>
  <conditionalFormatting sqref="K67">
    <cfRule type="cellIs" dxfId="85" priority="85" operator="lessThan">
      <formula>#REF!</formula>
    </cfRule>
    <cfRule type="cellIs" dxfId="84" priority="86" operator="greaterThan">
      <formula>#REF!</formula>
    </cfRule>
  </conditionalFormatting>
  <conditionalFormatting sqref="E84">
    <cfRule type="cellIs" dxfId="83" priority="83" operator="lessThan">
      <formula>#REF!</formula>
    </cfRule>
    <cfRule type="cellIs" dxfId="82" priority="84" operator="greaterThan">
      <formula>#REF!</formula>
    </cfRule>
  </conditionalFormatting>
  <conditionalFormatting sqref="E33:F33">
    <cfRule type="cellIs" dxfId="81" priority="81" operator="lessThan">
      <formula>#REF!</formula>
    </cfRule>
    <cfRule type="cellIs" dxfId="80" priority="82" operator="greaterThan">
      <formula>#REF!</formula>
    </cfRule>
  </conditionalFormatting>
  <conditionalFormatting sqref="D37">
    <cfRule type="cellIs" dxfId="79" priority="79" operator="lessThan">
      <formula>#REF!</formula>
    </cfRule>
    <cfRule type="cellIs" dxfId="78" priority="80" operator="greaterThan">
      <formula>#REF!</formula>
    </cfRule>
  </conditionalFormatting>
  <conditionalFormatting sqref="D38">
    <cfRule type="cellIs" dxfId="77" priority="77" operator="lessThan">
      <formula>#REF!</formula>
    </cfRule>
    <cfRule type="cellIs" dxfId="76" priority="78" operator="greaterThan">
      <formula>#REF!</formula>
    </cfRule>
  </conditionalFormatting>
  <conditionalFormatting sqref="K38">
    <cfRule type="cellIs" dxfId="75" priority="75" operator="lessThan">
      <formula>#REF!</formula>
    </cfRule>
    <cfRule type="cellIs" dxfId="74" priority="76" operator="greaterThan">
      <formula>#REF!</formula>
    </cfRule>
  </conditionalFormatting>
  <conditionalFormatting sqref="K38">
    <cfRule type="cellIs" dxfId="73" priority="73" operator="lessThan">
      <formula>#REF!</formula>
    </cfRule>
    <cfRule type="cellIs" dxfId="72" priority="74" operator="greaterThan">
      <formula>#REF!</formula>
    </cfRule>
  </conditionalFormatting>
  <conditionalFormatting sqref="K37">
    <cfRule type="cellIs" dxfId="71" priority="71" operator="lessThan">
      <formula>#REF!</formula>
    </cfRule>
    <cfRule type="cellIs" dxfId="70" priority="72" operator="greaterThan">
      <formula>#REF!</formula>
    </cfRule>
  </conditionalFormatting>
  <conditionalFormatting sqref="K37">
    <cfRule type="cellIs" dxfId="69" priority="69" operator="lessThan">
      <formula>#REF!</formula>
    </cfRule>
    <cfRule type="cellIs" dxfId="68" priority="70" operator="greaterThan">
      <formula>#REF!</formula>
    </cfRule>
  </conditionalFormatting>
  <conditionalFormatting sqref="K57">
    <cfRule type="cellIs" dxfId="67" priority="67" operator="lessThan">
      <formula>#REF!</formula>
    </cfRule>
    <cfRule type="cellIs" dxfId="66" priority="68" operator="greaterThan">
      <formula>#REF!</formula>
    </cfRule>
  </conditionalFormatting>
  <conditionalFormatting sqref="K57">
    <cfRule type="cellIs" dxfId="65" priority="65" operator="lessThan">
      <formula>#REF!</formula>
    </cfRule>
    <cfRule type="cellIs" dxfId="64" priority="66" operator="greaterThan">
      <formula>#REF!</formula>
    </cfRule>
  </conditionalFormatting>
  <conditionalFormatting sqref="G45:H45">
    <cfRule type="cellIs" dxfId="63" priority="63" operator="lessThan">
      <formula>#REF!</formula>
    </cfRule>
    <cfRule type="cellIs" dxfId="62" priority="64" operator="greaterThan">
      <formula>#REF!</formula>
    </cfRule>
  </conditionalFormatting>
  <conditionalFormatting sqref="E46:F46">
    <cfRule type="cellIs" dxfId="61" priority="61" operator="lessThan">
      <formula>#REF!</formula>
    </cfRule>
    <cfRule type="cellIs" dxfId="60" priority="62" operator="greaterThan">
      <formula>#REF!</formula>
    </cfRule>
  </conditionalFormatting>
  <conditionalFormatting sqref="G46:H46">
    <cfRule type="cellIs" dxfId="59" priority="59" operator="lessThan">
      <formula>#REF!</formula>
    </cfRule>
    <cfRule type="cellIs" dxfId="58" priority="60" operator="greaterThan">
      <formula>#REF!</formula>
    </cfRule>
  </conditionalFormatting>
  <conditionalFormatting sqref="L16 L39 L10 L24:L25 L30:L35 L76:L88">
    <cfRule type="cellIs" dxfId="57" priority="57" operator="lessThan">
      <formula>#REF!</formula>
    </cfRule>
    <cfRule type="cellIs" dxfId="56" priority="58" operator="greaterThan">
      <formula>#REF!</formula>
    </cfRule>
  </conditionalFormatting>
  <conditionalFormatting sqref="L8:L9">
    <cfRule type="cellIs" dxfId="55" priority="55" operator="lessThan">
      <formula>#REF!</formula>
    </cfRule>
    <cfRule type="cellIs" dxfId="54" priority="56" operator="greaterThan">
      <formula>#REF!</formula>
    </cfRule>
  </conditionalFormatting>
  <conditionalFormatting sqref="L12:L15">
    <cfRule type="cellIs" dxfId="53" priority="53" operator="lessThan">
      <formula>#REF!</formula>
    </cfRule>
    <cfRule type="cellIs" dxfId="52" priority="54" operator="greaterThan">
      <formula>#REF!</formula>
    </cfRule>
  </conditionalFormatting>
  <conditionalFormatting sqref="L19">
    <cfRule type="cellIs" dxfId="51" priority="51" operator="lessThan">
      <formula>#REF!</formula>
    </cfRule>
    <cfRule type="cellIs" dxfId="50" priority="52" operator="greaterThan">
      <formula>#REF!</formula>
    </cfRule>
  </conditionalFormatting>
  <conditionalFormatting sqref="L19">
    <cfRule type="cellIs" dxfId="49" priority="47" operator="lessThan">
      <formula>#REF!</formula>
    </cfRule>
    <cfRule type="cellIs" dxfId="48" priority="48" operator="greaterThan">
      <formula>#REF!</formula>
    </cfRule>
  </conditionalFormatting>
  <conditionalFormatting sqref="L19">
    <cfRule type="cellIs" dxfId="47" priority="49" operator="lessThan">
      <formula>#REF!</formula>
    </cfRule>
    <cfRule type="cellIs" dxfId="46" priority="50" operator="greaterThan">
      <formula>#REF!</formula>
    </cfRule>
  </conditionalFormatting>
  <conditionalFormatting sqref="L33">
    <cfRule type="cellIs" dxfId="45" priority="45" operator="lessThan">
      <formula>#REF!</formula>
    </cfRule>
    <cfRule type="cellIs" dxfId="44" priority="46" operator="greaterThan">
      <formula>#REF!</formula>
    </cfRule>
  </conditionalFormatting>
  <conditionalFormatting sqref="L41:L46">
    <cfRule type="cellIs" dxfId="43" priority="43" operator="lessThan">
      <formula>#REF!</formula>
    </cfRule>
    <cfRule type="cellIs" dxfId="42" priority="44" operator="greaterThan">
      <formula>#REF!</formula>
    </cfRule>
  </conditionalFormatting>
  <conditionalFormatting sqref="L41:L46">
    <cfRule type="cellIs" dxfId="41" priority="41" operator="lessThan">
      <formula>#REF!</formula>
    </cfRule>
    <cfRule type="cellIs" dxfId="40" priority="42" operator="greaterThan">
      <formula>#REF!</formula>
    </cfRule>
  </conditionalFormatting>
  <conditionalFormatting sqref="L49:L73">
    <cfRule type="cellIs" dxfId="39" priority="39" operator="lessThan">
      <formula>#REF!</formula>
    </cfRule>
    <cfRule type="cellIs" dxfId="38" priority="40" operator="greaterThan">
      <formula>#REF!</formula>
    </cfRule>
  </conditionalFormatting>
  <conditionalFormatting sqref="L49:L73">
    <cfRule type="cellIs" dxfId="37" priority="37" operator="lessThan">
      <formula>#REF!</formula>
    </cfRule>
    <cfRule type="cellIs" dxfId="36" priority="38" operator="greaterThan">
      <formula>#REF!</formula>
    </cfRule>
  </conditionalFormatting>
  <conditionalFormatting sqref="L37:L38">
    <cfRule type="cellIs" dxfId="35" priority="35" operator="lessThan">
      <formula>#REF!</formula>
    </cfRule>
    <cfRule type="cellIs" dxfId="34" priority="36" operator="greaterThan">
      <formula>#REF!</formula>
    </cfRule>
  </conditionalFormatting>
  <conditionalFormatting sqref="L37:L38">
    <cfRule type="cellIs" dxfId="33" priority="33" operator="lessThan">
      <formula>#REF!</formula>
    </cfRule>
    <cfRule type="cellIs" dxfId="32" priority="34" operator="greaterThan">
      <formula>#REF!</formula>
    </cfRule>
  </conditionalFormatting>
  <conditionalFormatting sqref="F8 F10">
    <cfRule type="cellIs" dxfId="31" priority="31" operator="lessThan">
      <formula>#REF!</formula>
    </cfRule>
    <cfRule type="cellIs" dxfId="30" priority="32" operator="greaterThan">
      <formula>#REF!</formula>
    </cfRule>
  </conditionalFormatting>
  <conditionalFormatting sqref="F9">
    <cfRule type="cellIs" dxfId="29" priority="29" operator="lessThan">
      <formula>#REF!</formula>
    </cfRule>
    <cfRule type="cellIs" dxfId="28" priority="30" operator="greaterThan">
      <formula>#REF!</formula>
    </cfRule>
  </conditionalFormatting>
  <conditionalFormatting sqref="F12:F16">
    <cfRule type="cellIs" dxfId="27" priority="27" operator="lessThan">
      <formula>#REF!</formula>
    </cfRule>
    <cfRule type="cellIs" dxfId="26" priority="28" operator="greaterThan">
      <formula>#REF!</formula>
    </cfRule>
  </conditionalFormatting>
  <conditionalFormatting sqref="H12:H16">
    <cfRule type="cellIs" dxfId="25" priority="25" operator="lessThan">
      <formula>#REF!</formula>
    </cfRule>
    <cfRule type="cellIs" dxfId="24" priority="26" operator="greaterThan">
      <formula>#REF!</formula>
    </cfRule>
  </conditionalFormatting>
  <conditionalFormatting sqref="J12:J16">
    <cfRule type="cellIs" dxfId="23" priority="23" operator="lessThan">
      <formula>#REF!</formula>
    </cfRule>
    <cfRule type="cellIs" dxfId="22" priority="24" operator="greaterThan">
      <formula>#REF!</formula>
    </cfRule>
  </conditionalFormatting>
  <conditionalFormatting sqref="L6">
    <cfRule type="cellIs" dxfId="21" priority="21" operator="lessThan">
      <formula>#REF!</formula>
    </cfRule>
    <cfRule type="cellIs" dxfId="20" priority="22" operator="greaterThan">
      <formula>#REF!</formula>
    </cfRule>
  </conditionalFormatting>
  <conditionalFormatting sqref="L18">
    <cfRule type="cellIs" dxfId="19" priority="19" operator="lessThan">
      <formula>#REF!</formula>
    </cfRule>
    <cfRule type="cellIs" dxfId="18" priority="20" operator="greaterThan">
      <formula>#REF!</formula>
    </cfRule>
  </conditionalFormatting>
  <conditionalFormatting sqref="L18">
    <cfRule type="cellIs" dxfId="17" priority="17" operator="lessThan">
      <formula>#REF!</formula>
    </cfRule>
    <cfRule type="cellIs" dxfId="16" priority="18" operator="greaterThan">
      <formula>#REF!</formula>
    </cfRule>
  </conditionalFormatting>
  <conditionalFormatting sqref="L28">
    <cfRule type="cellIs" dxfId="15" priority="15" operator="lessThan">
      <formula>#REF!</formula>
    </cfRule>
    <cfRule type="cellIs" dxfId="14" priority="16" operator="greaterThan">
      <formula>#REF!</formula>
    </cfRule>
  </conditionalFormatting>
  <conditionalFormatting sqref="F76:F79 F82:F88">
    <cfRule type="cellIs" dxfId="13" priority="13" operator="lessThan">
      <formula>#REF!</formula>
    </cfRule>
    <cfRule type="cellIs" dxfId="12" priority="14" operator="greaterThan">
      <formula>#REF!</formula>
    </cfRule>
  </conditionalFormatting>
  <conditionalFormatting sqref="F85:F88 F80:F83">
    <cfRule type="cellIs" dxfId="11" priority="11" operator="lessThan">
      <formula>#REF!</formula>
    </cfRule>
    <cfRule type="cellIs" dxfId="10" priority="12" operator="greaterThan">
      <formula>#REF!</formula>
    </cfRule>
  </conditionalFormatting>
  <conditionalFormatting sqref="F84">
    <cfRule type="cellIs" dxfId="9" priority="9" operator="lessThan">
      <formula>#REF!</formula>
    </cfRule>
    <cfRule type="cellIs" dxfId="8" priority="10" operator="greaterThan">
      <formula>#REF!</formula>
    </cfRule>
  </conditionalFormatting>
  <conditionalFormatting sqref="H82:H88 H76:H79">
    <cfRule type="cellIs" dxfId="7" priority="7" operator="lessThan">
      <formula>#REF!</formula>
    </cfRule>
    <cfRule type="cellIs" dxfId="6" priority="8" operator="greaterThan">
      <formula>#REF!</formula>
    </cfRule>
  </conditionalFormatting>
  <conditionalFormatting sqref="H87:H88 H80:H83">
    <cfRule type="cellIs" dxfId="5" priority="5" operator="lessThan">
      <formula>#REF!</formula>
    </cfRule>
    <cfRule type="cellIs" dxfId="4" priority="6" operator="greaterThan">
      <formula>#REF!</formula>
    </cfRule>
  </conditionalFormatting>
  <conditionalFormatting sqref="J82:J88">
    <cfRule type="cellIs" dxfId="3" priority="3" operator="lessThan">
      <formula>#REF!</formula>
    </cfRule>
    <cfRule type="cellIs" dxfId="2" priority="4" operator="greaterThan">
      <formula>#REF!</formula>
    </cfRule>
  </conditionalFormatting>
  <conditionalFormatting sqref="J76:J83 J87:J88">
    <cfRule type="cellIs" dxfId="1" priority="1" operator="lessThan">
      <formula>#REF!</formula>
    </cfRule>
    <cfRule type="cellIs" dxfId="0" priority="2" operator="greaterThan">
      <formula>#REF!</formula>
    </cfRule>
  </conditionalFormatting>
  <pageMargins left="0.7" right="0.7" top="0.78740157499999996" bottom="0.78740157499999996" header="0.3" footer="0.3"/>
  <pageSetup orientation="portrait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c2c3af2a9e16f114ff881236cee97ff8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9eb6d1c247fb9c2a2cefa13562d044a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584C86-DFCA-4CB5-80C5-96FCF074FD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E9E9BF-CA8C-4E12-8C48-420313057838}">
  <ds:schemaRefs>
    <ds:schemaRef ds:uri="332bf68d-6f68-4e32-bbd9-660cee6f1f29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41d627bf-a106-4fea-95e5-243811067a0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9A6A98A-D5BC-4269-8802-DE04A9B17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Kubíková Renata</dc:creator>
  <cp:lastModifiedBy>Kubíková Renata</cp:lastModifiedBy>
  <dcterms:created xsi:type="dcterms:W3CDTF">2022-08-10T12:05:08Z</dcterms:created>
  <dcterms:modified xsi:type="dcterms:W3CDTF">2022-08-22T14:41:28Z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2022-08-22T14:41:28Z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5ac9c732-331d-4d1d-8cec-d38225a846fc</vt:lpwstr>
  </property>
  <property fmtid="{D5CDD505-2E9C-101B-9397-08002B2CF9AE}" pid="9" name="MSIP_Label_215ad6d0-798b-44f9-b3fd-112ad6275fb4_ContentBits">
    <vt:lpwstr>2</vt:lpwstr>
  </property>
</Properties>
</file>