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1237" documentId="13_ncr:1_{EAADF69B-7579-4137-9CEC-CF072C93B1C1}" xr6:coauthVersionLast="47" xr6:coauthVersionMax="47" xr10:uidLastSave="{0CF923A7-B034-4B5D-9FDD-DE92C0FF7B84}"/>
  <bookViews>
    <workbookView xWindow="28680" yWindow="-120" windowWidth="29040" windowHeight="15840" tabRatio="903" xr2:uid="{00000000-000D-0000-FFFF-FFFF00000000}"/>
  </bookViews>
  <sheets>
    <sheet name="OBSAH" sheetId="2" r:id="rId1"/>
    <sheet name="Dotační programy" sheetId="25" r:id="rId2"/>
    <sheet name="Akce spolufin. z evr.fin.zdrojů" sheetId="36" r:id="rId3"/>
    <sheet name="Akce fin. z úvěrových zdrojů" sheetId="38" r:id="rId4"/>
    <sheet name="Přehled příjmů 2023" sheetId="37" r:id="rId5"/>
    <sheet name="Graf 1. Rozpočet 2019-2023" sheetId="9" r:id="rId6"/>
    <sheet name="Zdrojová data I.s" sheetId="10" state="hidden" r:id="rId7"/>
    <sheet name="Graf 2. Příjmy 2019-2023" sheetId="11" r:id="rId8"/>
    <sheet name="Graf 3. Výdaje B+K 2019-2023" sheetId="12" r:id="rId9"/>
    <sheet name="Zdrojová data II. a III. s" sheetId="13" state="hidden" r:id="rId10"/>
    <sheet name="Graf 4. Příjmy 2023" sheetId="14" r:id="rId11"/>
    <sheet name="Zdrojová data IV." sheetId="15" state="hidden" r:id="rId12"/>
    <sheet name="Graf 5. Výdaje 2023" sheetId="16" r:id="rId13"/>
    <sheet name="Graf 6. Výdaje EU 2023" sheetId="17" r:id="rId14"/>
    <sheet name="Zdrojová data V.a VI." sheetId="18" state="hidden" r:id="rId15"/>
  </sheets>
  <externalReferences>
    <externalReference r:id="rId16"/>
    <externalReference r:id="rId17"/>
    <externalReference r:id="rId18"/>
  </externalReferences>
  <definedNames>
    <definedName name="_xlnm._FilterDatabase" localSheetId="3" hidden="1">'Akce fin. z úvěrových zdrojů'!$A$4:$K$4</definedName>
    <definedName name="_xlnm._FilterDatabase" localSheetId="4" hidden="1">'Přehled příjmů 2023'!$A$18:$D$51</definedName>
    <definedName name="DF_GRID_1" localSheetId="3">#REF!</definedName>
    <definedName name="DF_GRID_1" localSheetId="2">#REF!</definedName>
    <definedName name="DF_GRID_1" localSheetId="4">#REF!</definedName>
    <definedName name="DF_GRID_1">#REF!</definedName>
    <definedName name="kurz" localSheetId="3">[1]rozhodnutí!$N$31</definedName>
    <definedName name="kurz" localSheetId="2">[2]rozhodnutí!$N$31</definedName>
    <definedName name="kurz" localSheetId="4">[2]rozhodnutí!$N$31</definedName>
    <definedName name="kurz">[3]rozhodnutí!$N$31</definedName>
    <definedName name="_xlnm.Print_Titles" localSheetId="3">'Akce fin. z úvěrových zdrojů'!$2:$4</definedName>
    <definedName name="_xlnm.Print_Titles" localSheetId="2">'Akce spolufin. z evr.fin.zdrojů'!$2:$4</definedName>
    <definedName name="_xlnm.Print_Titles" localSheetId="1">'Dotační programy'!$2:$2</definedName>
    <definedName name="_xlnm.Print_Titles" localSheetId="4">'Přehled příjmů 2023'!$4:$4</definedName>
    <definedName name="_xlnm.Print_Area" localSheetId="2">'Akce spolufin. z evr.fin.zdrojů'!$A$1:$M$122</definedName>
    <definedName name="_xlnm.Print_Area" localSheetId="1">'Dotační programy'!$A$1:$G$83</definedName>
    <definedName name="_xlnm.Print_Area" localSheetId="4">'Přehled příjmů 2023'!$A$1:$D$129</definedName>
    <definedName name="SAPBEXhrIndnt" hidden="1">"Wide"</definedName>
    <definedName name="SAPsysID" hidden="1">"708C5W7SBKP804JT78WJ0JNKI"</definedName>
    <definedName name="SAPwbID" hidden="1">"ARS"</definedName>
    <definedName name="Z_14FC9820_EF8C_4D55_8881_D5E51DC559B3_.wvu.Cols" localSheetId="1" hidden="1">'Dotační programy'!#REF!</definedName>
    <definedName name="Z_632980EE_AB4F_49FA_B8D9_C4F0628108CE_.wvu.Cols" localSheetId="6" hidden="1">'Zdrojová data I.s'!$B:$E</definedName>
    <definedName name="Z_632980EE_AB4F_49FA_B8D9_C4F0628108CE_.wvu.Cols" localSheetId="9" hidden="1">'Zdrojová data II. a III. s'!$B:$E</definedName>
    <definedName name="Z_632980EE_AB4F_49FA_B8D9_C4F0628108CE_.wvu.Cols" localSheetId="11" hidden="1">'Zdrojová data IV.'!$B:$I</definedName>
    <definedName name="Z_632980EE_AB4F_49FA_B8D9_C4F0628108CE_.wvu.Cols" localSheetId="14" hidden="1">'Zdrojová data V.a VI.'!$B:$I</definedName>
    <definedName name="Z_632980EE_AB4F_49FA_B8D9_C4F0628108CE_.wvu.Rows" localSheetId="6" hidden="1">'Zdrojová data I.s'!$16:$30</definedName>
    <definedName name="Z_632980EE_AB4F_49FA_B8D9_C4F0628108CE_.wvu.Rows" localSheetId="14" hidden="1">'Zdrojová data V.a VI.'!$10:$10,'Zdrojová data V.a VI.'!$28:$28</definedName>
    <definedName name="Z_6667F704_353F_485F_A09F_F23ECB85BB95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6667F704_353F_485F_A09F_F23ECB85BB95_.wvu.PrintArea" localSheetId="2" hidden="1">'Akce spolufin. z evr.fin.zdrojů'!$A$1:$M$122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programy'!$A$1:$G$83</definedName>
    <definedName name="Z_816DCA7E_FC41_44AE_85AF_FE12F0BC4BE0_.wvu.PrintArea" localSheetId="1" hidden="1">'Dotační programy'!$A$1:$G$83</definedName>
    <definedName name="Z_8DF5934D_271D_4996_8FBD_8BBE47175559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8DF5934D_271D_4996_8FBD_8BBE47175559_.wvu.Cols" localSheetId="6" hidden="1">'Zdrojová data I.s'!$B:$E</definedName>
    <definedName name="Z_8DF5934D_271D_4996_8FBD_8BBE47175559_.wvu.Cols" localSheetId="9" hidden="1">'Zdrojová data II. a III. s'!$B:$E</definedName>
    <definedName name="Z_8DF5934D_271D_4996_8FBD_8BBE47175559_.wvu.Cols" localSheetId="11" hidden="1">'Zdrojová data IV.'!$B:$M</definedName>
    <definedName name="Z_8DF5934D_271D_4996_8FBD_8BBE47175559_.wvu.Cols" localSheetId="14" hidden="1">'Zdrojová data V.a VI.'!$B:$M</definedName>
    <definedName name="Z_8DF5934D_271D_4996_8FBD_8BBE47175559_.wvu.PrintArea" localSheetId="2" hidden="1">'Akce spolufin. z evr.fin.zdrojů'!$A$1:$M$122</definedName>
    <definedName name="Z_8DF5934D_271D_4996_8FBD_8BBE47175559_.wvu.PrintArea" localSheetId="1" hidden="1">'Dotační programy'!$A$1:$G$83</definedName>
    <definedName name="Z_8DF5934D_271D_4996_8FBD_8BBE47175559_.wvu.PrintTitles" localSheetId="2" hidden="1">'Akce spolufin. z evr.fin.zdrojů'!$2:$4</definedName>
    <definedName name="Z_8DF5934D_271D_4996_8FBD_8BBE47175559_.wvu.Rows" localSheetId="6" hidden="1">'Zdrojová data I.s'!$16:$30</definedName>
    <definedName name="Z_8DF5934D_271D_4996_8FBD_8BBE47175559_.wvu.Rows" localSheetId="14" hidden="1">'Zdrojová data V.a VI.'!$10:$10,'Zdrojová data V.a VI.'!$28:$28</definedName>
    <definedName name="Z_AE6F0D81_F630_472F_8BD4_EE2E1E40DF28_.wvu.PrintArea" localSheetId="1" hidden="1">'Dotační programy'!$A$1:$G$83</definedName>
    <definedName name="Z_AF65B0D2_A89B_4D75_B4AE_5BFEE1615BA9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AF65B0D2_A89B_4D75_B4AE_5BFEE1615BA9_.wvu.PrintArea" localSheetId="1" hidden="1">'Dotační programy'!$A$1:$G$83</definedName>
    <definedName name="Z_AF65B0D2_A89B_4D75_B4AE_5BFEE1615BA9_.wvu.PrintTitles" localSheetId="2" hidden="1">'Akce spolufin. z evr.fin.zdrojů'!$2:$4</definedName>
    <definedName name="Z_C49FCFC9_CF51_484E_9F6E_E5FACC7A48A4_.wvu.Cols" localSheetId="1" hidden="1">'Dotační programy'!#REF!</definedName>
    <definedName name="Z_EFAD90BE_EFFB_4F0D_9A95_6915124B8751_.wvu.Cols" localSheetId="6" hidden="1">'Zdrojová data I.s'!$B:$E</definedName>
    <definedName name="Z_EFAD90BE_EFFB_4F0D_9A95_6915124B8751_.wvu.Cols" localSheetId="9" hidden="1">'Zdrojová data II. a III. s'!$B:$E</definedName>
    <definedName name="Z_EFAD90BE_EFFB_4F0D_9A95_6915124B8751_.wvu.Cols" localSheetId="11" hidden="1">'Zdrojová data IV.'!$B:$M</definedName>
    <definedName name="Z_EFAD90BE_EFFB_4F0D_9A95_6915124B8751_.wvu.Cols" localSheetId="14" hidden="1">'Zdrojová data V.a VI.'!$B:$M</definedName>
    <definedName name="Z_EFAD90BE_EFFB_4F0D_9A95_6915124B8751_.wvu.Rows" localSheetId="6" hidden="1">'Zdrojová data I.s'!$16:$30</definedName>
    <definedName name="Z_EFAD90BE_EFFB_4F0D_9A95_6915124B8751_.wvu.Rows" localSheetId="14" hidden="1">'Zdrojová data V.a VI.'!$10:$10,'Zdrojová data V.a VI.'!$28:$28</definedName>
    <definedName name="Z_F55F3396_F003_4C77_BF1B_160F1F658C4B_.wvu.Cols" localSheetId="1" hidden="1">'Dotační programy'!#REF!</definedName>
    <definedName name="Z_F55F3396_F003_4C77_BF1B_160F1F658C4B_.wvu.PrintArea" localSheetId="1" hidden="1">'Dotační programy'!$B$1:$H$83</definedName>
    <definedName name="Z_FE857634_B83D_4669_BE72_6E5297B7F9FE_.wvu.Rows" localSheetId="6" hidden="1">'Zdrojová data I.s'!$16:$30</definedName>
    <definedName name="Z_FFF09864_B75B_45CC_8A23_7ED56E2D3858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FFF09864_B75B_45CC_8A23_7ED56E2D3858_.wvu.PrintArea" localSheetId="1" hidden="1">'Dotační programy'!$A$1:$G$83</definedName>
    <definedName name="Z_FFF09864_B75B_45CC_8A23_7ED56E2D3858_.wvu.PrintTitles" localSheetId="2" hidden="1">'Akce spolufin. z evr.fin.zdrojů'!$2:$4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0" i="36" l="1"/>
  <c r="G110" i="36"/>
  <c r="H110" i="36"/>
  <c r="I110" i="36"/>
  <c r="J110" i="36"/>
  <c r="K110" i="36"/>
  <c r="L110" i="36"/>
  <c r="E110" i="36"/>
  <c r="A78" i="36"/>
  <c r="A79" i="36" s="1"/>
  <c r="A80" i="36" s="1"/>
  <c r="A81" i="36" s="1"/>
  <c r="A82" i="36" s="1"/>
  <c r="A83" i="36" s="1"/>
  <c r="A84" i="36" s="1"/>
  <c r="A85" i="36" s="1"/>
  <c r="A86" i="36" s="1"/>
  <c r="A87" i="36" s="1"/>
  <c r="A77" i="36"/>
  <c r="F110" i="38"/>
  <c r="G110" i="38"/>
  <c r="H110" i="38"/>
  <c r="J110" i="38"/>
  <c r="E110" i="38"/>
  <c r="E58" i="38" l="1"/>
  <c r="G58" i="38"/>
  <c r="I58" i="38"/>
  <c r="K58" i="38"/>
  <c r="E22" i="38"/>
  <c r="F22" i="38"/>
  <c r="G22" i="38"/>
  <c r="I22" i="38"/>
  <c r="J22" i="38"/>
  <c r="K22" i="38"/>
  <c r="I110" i="38"/>
  <c r="L104" i="38"/>
  <c r="K102" i="38"/>
  <c r="J102" i="38"/>
  <c r="I102" i="38"/>
  <c r="H102" i="38"/>
  <c r="G102" i="38"/>
  <c r="F102" i="38"/>
  <c r="E102" i="38"/>
  <c r="L101" i="38"/>
  <c r="L100" i="38"/>
  <c r="L99" i="38"/>
  <c r="L98" i="38"/>
  <c r="L97" i="38"/>
  <c r="L96" i="38"/>
  <c r="K95" i="38"/>
  <c r="J95" i="38"/>
  <c r="I95" i="38"/>
  <c r="H95" i="38"/>
  <c r="G95" i="38"/>
  <c r="F95" i="38"/>
  <c r="E95" i="38"/>
  <c r="L94" i="38"/>
  <c r="L93" i="38"/>
  <c r="L92" i="38"/>
  <c r="L91" i="38"/>
  <c r="L90" i="38"/>
  <c r="L89" i="38"/>
  <c r="L88" i="38"/>
  <c r="L87" i="38"/>
  <c r="L86" i="38"/>
  <c r="K85" i="38"/>
  <c r="J85" i="38"/>
  <c r="I85" i="38"/>
  <c r="H85" i="38"/>
  <c r="G85" i="38"/>
  <c r="E85" i="38"/>
  <c r="L84" i="38"/>
  <c r="F83" i="38"/>
  <c r="L83" i="38" s="1"/>
  <c r="L82" i="38"/>
  <c r="K81" i="38"/>
  <c r="J81" i="38"/>
  <c r="I81" i="38"/>
  <c r="H81" i="38"/>
  <c r="G81" i="38"/>
  <c r="F81" i="38"/>
  <c r="E81" i="38"/>
  <c r="L80" i="38"/>
  <c r="L79" i="38"/>
  <c r="K78" i="38"/>
  <c r="J78" i="38"/>
  <c r="I78" i="38"/>
  <c r="H78" i="38"/>
  <c r="G78" i="38"/>
  <c r="F78" i="38"/>
  <c r="E78" i="38"/>
  <c r="L77" i="38"/>
  <c r="L76" i="38"/>
  <c r="L75" i="38"/>
  <c r="L74" i="38"/>
  <c r="L73" i="38"/>
  <c r="L72" i="38"/>
  <c r="L71" i="38"/>
  <c r="K69" i="38"/>
  <c r="J69" i="38"/>
  <c r="I69" i="38"/>
  <c r="H69" i="38"/>
  <c r="G69" i="38"/>
  <c r="F69" i="38"/>
  <c r="E69" i="38"/>
  <c r="D69" i="38"/>
  <c r="L68" i="38"/>
  <c r="L67" i="38"/>
  <c r="K66" i="38"/>
  <c r="J66" i="38"/>
  <c r="I66" i="38"/>
  <c r="H66" i="38"/>
  <c r="G66" i="38"/>
  <c r="F66" i="38"/>
  <c r="E66" i="38"/>
  <c r="L65" i="38"/>
  <c r="L64" i="38"/>
  <c r="L63" i="38"/>
  <c r="L62" i="38"/>
  <c r="K25" i="38"/>
  <c r="J25" i="38"/>
  <c r="I25" i="38"/>
  <c r="G25" i="38"/>
  <c r="F25" i="38"/>
  <c r="E25" i="38"/>
  <c r="H24" i="38"/>
  <c r="L24" i="38" s="1"/>
  <c r="L23" i="38"/>
  <c r="K61" i="38"/>
  <c r="J61" i="38"/>
  <c r="I61" i="38"/>
  <c r="G61" i="38"/>
  <c r="F61" i="38"/>
  <c r="E61" i="38"/>
  <c r="H60" i="38"/>
  <c r="H61" i="38" s="1"/>
  <c r="L59" i="38"/>
  <c r="H51" i="38"/>
  <c r="L51" i="38" s="1"/>
  <c r="H50" i="38"/>
  <c r="L50" i="38" s="1"/>
  <c r="H49" i="38"/>
  <c r="L49" i="38" s="1"/>
  <c r="H48" i="38"/>
  <c r="L48" i="38" s="1"/>
  <c r="L57" i="38"/>
  <c r="H47" i="38"/>
  <c r="L47" i="38" s="1"/>
  <c r="L46" i="38"/>
  <c r="L45" i="38"/>
  <c r="L44" i="38"/>
  <c r="L56" i="38"/>
  <c r="F43" i="38"/>
  <c r="F58" i="38" s="1"/>
  <c r="L42" i="38"/>
  <c r="L55" i="38"/>
  <c r="L41" i="38"/>
  <c r="L54" i="38"/>
  <c r="H40" i="38"/>
  <c r="L40" i="38" s="1"/>
  <c r="L39" i="38"/>
  <c r="L53" i="38"/>
  <c r="L52" i="38"/>
  <c r="J52" i="38"/>
  <c r="J58" i="38" s="1"/>
  <c r="L38" i="38"/>
  <c r="L37" i="38"/>
  <c r="K36" i="38"/>
  <c r="J36" i="38"/>
  <c r="I36" i="38"/>
  <c r="H36" i="38"/>
  <c r="G36" i="38"/>
  <c r="E36" i="38"/>
  <c r="L35" i="38"/>
  <c r="L34" i="38"/>
  <c r="F33" i="38"/>
  <c r="F36" i="38" s="1"/>
  <c r="L32" i="38"/>
  <c r="L31" i="38"/>
  <c r="K30" i="38"/>
  <c r="J30" i="38"/>
  <c r="I30" i="38"/>
  <c r="G30" i="38"/>
  <c r="F30" i="38"/>
  <c r="E30" i="38"/>
  <c r="H29" i="38"/>
  <c r="L29" i="38" s="1"/>
  <c r="H28" i="38"/>
  <c r="H27" i="38"/>
  <c r="L27" i="38" s="1"/>
  <c r="L26" i="38"/>
  <c r="K8" i="38"/>
  <c r="J8" i="38"/>
  <c r="I8" i="38"/>
  <c r="G8" i="38"/>
  <c r="F8" i="38"/>
  <c r="E8" i="38"/>
  <c r="H7" i="38"/>
  <c r="L7" i="38" s="1"/>
  <c r="L6" i="38"/>
  <c r="H17" i="38"/>
  <c r="L17" i="38" s="1"/>
  <c r="H16" i="38"/>
  <c r="L16" i="38" s="1"/>
  <c r="H15" i="38"/>
  <c r="L15" i="38" s="1"/>
  <c r="H14" i="38"/>
  <c r="L13" i="38"/>
  <c r="L12" i="38"/>
  <c r="L11" i="38"/>
  <c r="L21" i="38"/>
  <c r="L20" i="38"/>
  <c r="L19" i="38"/>
  <c r="L18" i="38"/>
  <c r="L10" i="38"/>
  <c r="K110" i="38" l="1"/>
  <c r="H58" i="38"/>
  <c r="L102" i="38"/>
  <c r="L69" i="38"/>
  <c r="L60" i="38"/>
  <c r="L78" i="38"/>
  <c r="I70" i="38"/>
  <c r="I103" i="38"/>
  <c r="H22" i="38"/>
  <c r="L22" i="38" s="1"/>
  <c r="L95" i="38"/>
  <c r="H8" i="38"/>
  <c r="L8" i="38" s="1"/>
  <c r="H30" i="38"/>
  <c r="L30" i="38" s="1"/>
  <c r="L43" i="38"/>
  <c r="L33" i="38"/>
  <c r="G70" i="38"/>
  <c r="J103" i="38"/>
  <c r="L14" i="38"/>
  <c r="L66" i="38"/>
  <c r="K103" i="38"/>
  <c r="F85" i="38"/>
  <c r="L85" i="38" s="1"/>
  <c r="L28" i="38"/>
  <c r="K70" i="38"/>
  <c r="L61" i="38"/>
  <c r="J70" i="38"/>
  <c r="G103" i="38"/>
  <c r="L81" i="38"/>
  <c r="E70" i="38"/>
  <c r="F70" i="38"/>
  <c r="H103" i="38"/>
  <c r="L36" i="38"/>
  <c r="H25" i="38"/>
  <c r="L25" i="38" s="1"/>
  <c r="E103" i="38"/>
  <c r="J112" i="38" l="1"/>
  <c r="I112" i="38"/>
  <c r="H70" i="38"/>
  <c r="H112" i="38" s="1"/>
  <c r="K112" i="38"/>
  <c r="E112" i="38"/>
  <c r="G112" i="38"/>
  <c r="F103" i="38"/>
  <c r="L103" i="38" s="1"/>
  <c r="L58" i="38"/>
  <c r="L70" i="38" l="1"/>
  <c r="F112" i="38"/>
  <c r="C127" i="37"/>
  <c r="C129" i="37" s="1"/>
  <c r="C59" i="37"/>
  <c r="C51" i="37"/>
  <c r="C14" i="37"/>
  <c r="W14" i="10" l="1"/>
  <c r="X14" i="13" l="1"/>
  <c r="X5" i="13"/>
  <c r="AH13" i="15"/>
  <c r="AH10" i="15"/>
  <c r="AI3" i="15" s="1"/>
  <c r="AH19" i="18"/>
  <c r="AI22" i="18" s="1"/>
  <c r="AH13" i="18"/>
  <c r="AI9" i="18" s="1"/>
  <c r="F29" i="36"/>
  <c r="G29" i="36"/>
  <c r="H29" i="36"/>
  <c r="I29" i="36"/>
  <c r="J29" i="36"/>
  <c r="K29" i="36"/>
  <c r="L29" i="36"/>
  <c r="E29" i="36"/>
  <c r="F120" i="36"/>
  <c r="G120" i="36"/>
  <c r="H120" i="36"/>
  <c r="I120" i="36"/>
  <c r="J120" i="36"/>
  <c r="K120" i="36"/>
  <c r="L120" i="36"/>
  <c r="E120" i="36"/>
  <c r="F54" i="36"/>
  <c r="G54" i="36"/>
  <c r="H54" i="36"/>
  <c r="I54" i="36"/>
  <c r="J54" i="36"/>
  <c r="K54" i="36"/>
  <c r="L54" i="36"/>
  <c r="E54" i="36"/>
  <c r="C120" i="36"/>
  <c r="D117" i="36"/>
  <c r="D116" i="36"/>
  <c r="D115" i="36"/>
  <c r="D119" i="36"/>
  <c r="D118" i="36"/>
  <c r="D114" i="36"/>
  <c r="D113" i="36"/>
  <c r="D112" i="36"/>
  <c r="C110" i="36"/>
  <c r="D108" i="36"/>
  <c r="D107" i="36"/>
  <c r="D106" i="36"/>
  <c r="D109" i="36"/>
  <c r="D105" i="36"/>
  <c r="L103" i="36"/>
  <c r="K103" i="36"/>
  <c r="J103" i="36"/>
  <c r="I103" i="36"/>
  <c r="H103" i="36"/>
  <c r="G103" i="36"/>
  <c r="F103" i="36"/>
  <c r="E103" i="36"/>
  <c r="C103" i="36"/>
  <c r="D102" i="36"/>
  <c r="L100" i="36"/>
  <c r="K100" i="36"/>
  <c r="J100" i="36"/>
  <c r="I100" i="36"/>
  <c r="H100" i="36"/>
  <c r="G100" i="36"/>
  <c r="F100" i="36"/>
  <c r="E100" i="36"/>
  <c r="C100" i="36"/>
  <c r="D99" i="36"/>
  <c r="D98" i="36"/>
  <c r="D97" i="36"/>
  <c r="D96" i="36"/>
  <c r="D95" i="36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L74" i="36"/>
  <c r="K74" i="36"/>
  <c r="J74" i="36"/>
  <c r="I74" i="36"/>
  <c r="H74" i="36"/>
  <c r="G74" i="36"/>
  <c r="F74" i="36"/>
  <c r="E74" i="36"/>
  <c r="C74" i="36"/>
  <c r="D73" i="36"/>
  <c r="D72" i="36"/>
  <c r="D71" i="36"/>
  <c r="D70" i="36"/>
  <c r="D69" i="36"/>
  <c r="D68" i="36"/>
  <c r="D67" i="36"/>
  <c r="D66" i="36"/>
  <c r="D65" i="36"/>
  <c r="D64" i="36"/>
  <c r="D63" i="36"/>
  <c r="D61" i="36"/>
  <c r="D60" i="36"/>
  <c r="D59" i="36"/>
  <c r="D62" i="36"/>
  <c r="D58" i="36"/>
  <c r="D57" i="36"/>
  <c r="D56" i="36"/>
  <c r="C54" i="36"/>
  <c r="D50" i="36"/>
  <c r="D49" i="36"/>
  <c r="D53" i="36"/>
  <c r="D52" i="36"/>
  <c r="D51" i="36"/>
  <c r="L47" i="36"/>
  <c r="K47" i="36"/>
  <c r="J47" i="36"/>
  <c r="I47" i="36"/>
  <c r="H47" i="36"/>
  <c r="G47" i="36"/>
  <c r="F47" i="36"/>
  <c r="E47" i="36"/>
  <c r="C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L32" i="36"/>
  <c r="K32" i="36"/>
  <c r="J32" i="36"/>
  <c r="I32" i="36"/>
  <c r="H32" i="36"/>
  <c r="G32" i="36"/>
  <c r="F32" i="36"/>
  <c r="E32" i="36"/>
  <c r="C32" i="36"/>
  <c r="D31" i="36"/>
  <c r="C29" i="36"/>
  <c r="D27" i="36"/>
  <c r="D28" i="36"/>
  <c r="L25" i="36"/>
  <c r="K25" i="36"/>
  <c r="J25" i="36"/>
  <c r="I25" i="36"/>
  <c r="H25" i="36"/>
  <c r="G25" i="36"/>
  <c r="F25" i="36"/>
  <c r="C25" i="36"/>
  <c r="E24" i="36"/>
  <c r="E25" i="36" s="1"/>
  <c r="D24" i="36"/>
  <c r="D23" i="36"/>
  <c r="D22" i="36"/>
  <c r="D21" i="36"/>
  <c r="D20" i="36"/>
  <c r="D19" i="36"/>
  <c r="D18" i="36"/>
  <c r="D17" i="36"/>
  <c r="D16" i="36"/>
  <c r="D15" i="36"/>
  <c r="D14" i="36"/>
  <c r="D13" i="36"/>
  <c r="L11" i="36"/>
  <c r="K11" i="36"/>
  <c r="J11" i="36"/>
  <c r="I11" i="36"/>
  <c r="H11" i="36"/>
  <c r="G11" i="36"/>
  <c r="F11" i="36"/>
  <c r="E11" i="36"/>
  <c r="C11" i="36"/>
  <c r="D10" i="36"/>
  <c r="D9" i="36"/>
  <c r="D8" i="36"/>
  <c r="D7" i="36"/>
  <c r="D6" i="36"/>
  <c r="D42" i="25"/>
  <c r="AI29" i="18" l="1"/>
  <c r="AI26" i="18"/>
  <c r="AI25" i="18"/>
  <c r="AI21" i="18"/>
  <c r="AI34" i="18"/>
  <c r="AI33" i="18"/>
  <c r="AI7" i="18"/>
  <c r="AI6" i="18"/>
  <c r="AI8" i="18"/>
  <c r="AI5" i="18"/>
  <c r="AI2" i="18"/>
  <c r="AI4" i="18"/>
  <c r="AI11" i="18"/>
  <c r="AI3" i="18"/>
  <c r="AI10" i="18"/>
  <c r="AI2" i="15"/>
  <c r="AI8" i="15"/>
  <c r="AI7" i="15"/>
  <c r="AI6" i="15"/>
  <c r="AI5" i="15"/>
  <c r="AI4" i="15"/>
  <c r="AI28" i="18"/>
  <c r="AI20" i="18"/>
  <c r="AI27" i="18"/>
  <c r="AI32" i="18"/>
  <c r="AI24" i="18"/>
  <c r="AI31" i="18"/>
  <c r="AI23" i="18"/>
  <c r="AI30" i="18"/>
  <c r="F122" i="36"/>
  <c r="I122" i="36"/>
  <c r="J122" i="36"/>
  <c r="D25" i="36"/>
  <c r="K122" i="36"/>
  <c r="C122" i="36"/>
  <c r="L122" i="36"/>
  <c r="G122" i="36"/>
  <c r="H122" i="36"/>
  <c r="E122" i="36"/>
  <c r="F53" i="25"/>
  <c r="E53" i="25"/>
  <c r="D53" i="25"/>
  <c r="C53" i="25"/>
  <c r="G52" i="25"/>
  <c r="G12" i="25" l="1"/>
  <c r="G67" i="25"/>
  <c r="G57" i="25"/>
  <c r="G56" i="25"/>
  <c r="G55" i="25"/>
  <c r="G41" i="25"/>
  <c r="G37" i="25"/>
  <c r="G35" i="25"/>
  <c r="G31" i="25"/>
  <c r="G23" i="25"/>
  <c r="G21" i="25"/>
  <c r="G17" i="25"/>
  <c r="G15" i="25"/>
  <c r="G5" i="25"/>
  <c r="C71" i="25"/>
  <c r="C63" i="25"/>
  <c r="C58" i="25"/>
  <c r="C42" i="25"/>
  <c r="C30" i="25"/>
  <c r="C10" i="25"/>
  <c r="C4" i="25"/>
  <c r="C72" i="25" l="1"/>
  <c r="AF19" i="18" l="1"/>
  <c r="AF13" i="18"/>
  <c r="AG25" i="18" l="1"/>
  <c r="AG8" i="18"/>
  <c r="AG21" i="18"/>
  <c r="AG32" i="18"/>
  <c r="AG24" i="18"/>
  <c r="AG28" i="18"/>
  <c r="AG22" i="18"/>
  <c r="AG27" i="18"/>
  <c r="AG34" i="18"/>
  <c r="AG26" i="18"/>
  <c r="AG31" i="18"/>
  <c r="AG23" i="18"/>
  <c r="AG30" i="18"/>
  <c r="AG29" i="18"/>
  <c r="AG20" i="18"/>
  <c r="AG33" i="18"/>
  <c r="AG7" i="18"/>
  <c r="AG6" i="18"/>
  <c r="AG2" i="18"/>
  <c r="AG4" i="18"/>
  <c r="AG11" i="18"/>
  <c r="AG3" i="18"/>
  <c r="AG9" i="18"/>
  <c r="AG5" i="18"/>
  <c r="AG10" i="18"/>
  <c r="AI19" i="18" l="1"/>
  <c r="AI13" i="18"/>
  <c r="AG19" i="18"/>
  <c r="AG13" i="18"/>
  <c r="AF13" i="15" l="1"/>
  <c r="AF10" i="15"/>
  <c r="AG7" i="15" l="1"/>
  <c r="AG5" i="15"/>
  <c r="AG6" i="15"/>
  <c r="AG4" i="15"/>
  <c r="AG3" i="15"/>
  <c r="AG2" i="15"/>
  <c r="AG8" i="15"/>
  <c r="W14" i="13"/>
  <c r="W5" i="13"/>
  <c r="AI10" i="15" l="1"/>
  <c r="AG10" i="15"/>
  <c r="E63" i="25" l="1"/>
  <c r="D63" i="25"/>
  <c r="G16" i="25"/>
  <c r="G28" i="25"/>
  <c r="G29" i="25"/>
  <c r="G70" i="25" l="1"/>
  <c r="F63" i="25" l="1"/>
  <c r="G62" i="25"/>
  <c r="G38" i="25" l="1"/>
  <c r="G36" i="25"/>
  <c r="G34" i="25"/>
  <c r="G33" i="25"/>
  <c r="AD19" i="18" l="1"/>
  <c r="AE22" i="18" s="1"/>
  <c r="AD13" i="18"/>
  <c r="AE5" i="18" s="1"/>
  <c r="AD13" i="15"/>
  <c r="AD10" i="15"/>
  <c r="AE8" i="15" s="1"/>
  <c r="AE7" i="15" l="1"/>
  <c r="AE6" i="15"/>
  <c r="AE5" i="15"/>
  <c r="AE4" i="15"/>
  <c r="AE3" i="15"/>
  <c r="AE2" i="15"/>
  <c r="AE20" i="18"/>
  <c r="AE29" i="18"/>
  <c r="AE28" i="18"/>
  <c r="AE26" i="18"/>
  <c r="AE27" i="18"/>
  <c r="AE33" i="18"/>
  <c r="AE25" i="18"/>
  <c r="AE34" i="18"/>
  <c r="AE32" i="18"/>
  <c r="AE24" i="18"/>
  <c r="AE31" i="18"/>
  <c r="AE23" i="18"/>
  <c r="AE30" i="18"/>
  <c r="AE4" i="18"/>
  <c r="AE6" i="18"/>
  <c r="AE2" i="18"/>
  <c r="AE11" i="18"/>
  <c r="AE3" i="18"/>
  <c r="AE10" i="18"/>
  <c r="AE9" i="18"/>
  <c r="AE8" i="18"/>
  <c r="AE7" i="18"/>
  <c r="AE10" i="15" l="1"/>
  <c r="AE19" i="18"/>
  <c r="AE13" i="18"/>
  <c r="V14" i="13"/>
  <c r="V5" i="13"/>
  <c r="F71" i="25" l="1"/>
  <c r="D71" i="25"/>
  <c r="E71" i="25"/>
  <c r="F58" i="25" l="1"/>
  <c r="E58" i="25"/>
  <c r="D58" i="25"/>
  <c r="G69" i="25" l="1"/>
  <c r="F10" i="25" l="1"/>
  <c r="D10" i="25"/>
  <c r="E10" i="25"/>
  <c r="G9" i="25" l="1"/>
  <c r="G32" i="25"/>
  <c r="AB19" i="18" l="1"/>
  <c r="AB13" i="18"/>
  <c r="AC6" i="18" s="1"/>
  <c r="AC24" i="18" l="1"/>
  <c r="AC28" i="18"/>
  <c r="AC29" i="18"/>
  <c r="AC30" i="18"/>
  <c r="AC32" i="18"/>
  <c r="AC27" i="18"/>
  <c r="AC23" i="18"/>
  <c r="AC20" i="18"/>
  <c r="AC31" i="18"/>
  <c r="AC26" i="18"/>
  <c r="AC22" i="18"/>
  <c r="AC34" i="18"/>
  <c r="AC25" i="18"/>
  <c r="AC33" i="18"/>
  <c r="AC5" i="18"/>
  <c r="AC2" i="18"/>
  <c r="AC9" i="18"/>
  <c r="AC8" i="18"/>
  <c r="AC4" i="18"/>
  <c r="AC11" i="18"/>
  <c r="AC7" i="18"/>
  <c r="AC3" i="18"/>
  <c r="AC10" i="18"/>
  <c r="AC19" i="18" l="1"/>
  <c r="AC13" i="18"/>
  <c r="C78" i="25" l="1"/>
  <c r="F82" i="25"/>
  <c r="G65" i="25"/>
  <c r="G66" i="25"/>
  <c r="G64" i="25"/>
  <c r="C81" i="25"/>
  <c r="G61" i="25"/>
  <c r="G60" i="25"/>
  <c r="G59" i="25"/>
  <c r="F80" i="25"/>
  <c r="E80" i="25"/>
  <c r="D80" i="25"/>
  <c r="G54" i="25"/>
  <c r="G53" i="25"/>
  <c r="E79" i="25"/>
  <c r="D79" i="25"/>
  <c r="C79" i="25"/>
  <c r="G51" i="25"/>
  <c r="G50" i="25"/>
  <c r="G49" i="25"/>
  <c r="G48" i="25"/>
  <c r="G47" i="25"/>
  <c r="G46" i="25"/>
  <c r="G45" i="25"/>
  <c r="G44" i="25"/>
  <c r="G43" i="25"/>
  <c r="F42" i="25"/>
  <c r="F78" i="25" s="1"/>
  <c r="E42" i="25"/>
  <c r="E78" i="25" s="1"/>
  <c r="D78" i="25"/>
  <c r="F30" i="25"/>
  <c r="F77" i="25" s="1"/>
  <c r="C77" i="25"/>
  <c r="E30" i="25"/>
  <c r="E77" i="25" s="1"/>
  <c r="D30" i="25"/>
  <c r="D77" i="25" s="1"/>
  <c r="F76" i="25"/>
  <c r="E76" i="25"/>
  <c r="D76" i="25"/>
  <c r="G8" i="25"/>
  <c r="G7" i="25"/>
  <c r="G6" i="25"/>
  <c r="F4" i="25"/>
  <c r="F75" i="25" s="1"/>
  <c r="E4" i="25"/>
  <c r="E75" i="25" s="1"/>
  <c r="D4" i="25"/>
  <c r="D75" i="25" s="1"/>
  <c r="G3" i="25"/>
  <c r="E81" i="25" l="1"/>
  <c r="E72" i="25"/>
  <c r="D81" i="25"/>
  <c r="D72" i="25"/>
  <c r="F81" i="25"/>
  <c r="G81" i="25" s="1"/>
  <c r="F72" i="25"/>
  <c r="G72" i="25" s="1"/>
  <c r="G42" i="25"/>
  <c r="G10" i="25"/>
  <c r="G4" i="25"/>
  <c r="G58" i="25"/>
  <c r="G77" i="25"/>
  <c r="G78" i="25"/>
  <c r="G71" i="25"/>
  <c r="F79" i="25"/>
  <c r="G79" i="25" s="1"/>
  <c r="G30" i="25"/>
  <c r="D82" i="25"/>
  <c r="C75" i="25"/>
  <c r="G75" i="25" s="1"/>
  <c r="C76" i="25"/>
  <c r="G76" i="25" s="1"/>
  <c r="C80" i="25"/>
  <c r="G80" i="25" s="1"/>
  <c r="E82" i="25"/>
  <c r="C82" i="25"/>
  <c r="G82" i="25" s="1"/>
  <c r="G63" i="25"/>
  <c r="D83" i="25" l="1"/>
  <c r="E83" i="25"/>
  <c r="F83" i="25"/>
  <c r="C83" i="25"/>
  <c r="G83" i="25" l="1"/>
  <c r="AB13" i="15"/>
  <c r="AB10" i="15"/>
  <c r="U14" i="13"/>
  <c r="U5" i="13"/>
  <c r="AC3" i="15" l="1"/>
  <c r="AC7" i="15"/>
  <c r="AC8" i="15"/>
  <c r="AC5" i="15"/>
  <c r="AC6" i="15"/>
  <c r="AC4" i="15"/>
  <c r="AC2" i="15"/>
  <c r="AC10" i="15" l="1"/>
  <c r="Z19" i="18"/>
  <c r="AA26" i="18" s="1"/>
  <c r="Z13" i="18"/>
  <c r="AA4" i="18" s="1"/>
  <c r="Z13" i="15"/>
  <c r="X13" i="15"/>
  <c r="V13" i="15"/>
  <c r="T13" i="15"/>
  <c r="R13" i="15"/>
  <c r="AA22" i="18" l="1"/>
  <c r="AA32" i="18"/>
  <c r="AA24" i="18"/>
  <c r="AA28" i="18"/>
  <c r="AA34" i="18"/>
  <c r="AA25" i="18"/>
  <c r="AA20" i="18"/>
  <c r="AA23" i="18"/>
  <c r="AA27" i="18"/>
  <c r="AA33" i="18"/>
  <c r="AA31" i="18"/>
  <c r="AA11" i="18"/>
  <c r="AA7" i="18"/>
  <c r="AA3" i="18"/>
  <c r="AA10" i="18"/>
  <c r="AA6" i="18"/>
  <c r="AA9" i="18"/>
  <c r="AA5" i="18"/>
  <c r="AA2" i="18"/>
  <c r="AA8" i="18"/>
  <c r="AA19" i="18" l="1"/>
  <c r="AA13" i="18"/>
  <c r="Z10" i="15" l="1"/>
  <c r="T14" i="13"/>
  <c r="T5" i="13"/>
  <c r="AA5" i="15" l="1"/>
  <c r="AA2" i="15"/>
  <c r="AA7" i="15"/>
  <c r="AA4" i="15"/>
  <c r="AA8" i="15"/>
  <c r="AA6" i="15"/>
  <c r="AA3" i="15"/>
  <c r="AA10" i="15" l="1"/>
  <c r="T3" i="18"/>
  <c r="P4" i="18"/>
  <c r="D5" i="18"/>
  <c r="F5" i="18"/>
  <c r="P5" i="18"/>
  <c r="P13" i="18" s="1"/>
  <c r="Q7" i="18" s="1"/>
  <c r="R5" i="18"/>
  <c r="R13" i="18" s="1"/>
  <c r="S2" i="18" s="1"/>
  <c r="T5" i="18"/>
  <c r="D6" i="18"/>
  <c r="F6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T13" i="18"/>
  <c r="U2" i="18" s="1"/>
  <c r="V13" i="18"/>
  <c r="W5" i="18" s="1"/>
  <c r="X13" i="18"/>
  <c r="Y3" i="18" s="1"/>
  <c r="D19" i="18"/>
  <c r="F19" i="18"/>
  <c r="G20" i="18" s="1"/>
  <c r="J19" i="18"/>
  <c r="K22" i="18" s="1"/>
  <c r="L19" i="18"/>
  <c r="N19" i="18"/>
  <c r="O32" i="18" s="1"/>
  <c r="P19" i="18"/>
  <c r="Q20" i="18" s="1"/>
  <c r="R19" i="18"/>
  <c r="S22" i="18" s="1"/>
  <c r="T19" i="18"/>
  <c r="U27" i="18" s="1"/>
  <c r="V19" i="18"/>
  <c r="W25" i="18" s="1"/>
  <c r="X19" i="18"/>
  <c r="Y20" i="18" s="1"/>
  <c r="M20" i="18"/>
  <c r="M22" i="18"/>
  <c r="M23" i="18"/>
  <c r="S23" i="18"/>
  <c r="B24" i="18"/>
  <c r="M24" i="18"/>
  <c r="M25" i="18"/>
  <c r="H26" i="18"/>
  <c r="M26" i="18"/>
  <c r="B27" i="18"/>
  <c r="H27" i="18"/>
  <c r="M27" i="18"/>
  <c r="M28" i="18"/>
  <c r="S28" i="18"/>
  <c r="M31" i="18"/>
  <c r="M32" i="18"/>
  <c r="B33" i="18"/>
  <c r="M33" i="18"/>
  <c r="J5" i="15"/>
  <c r="L5" i="15"/>
  <c r="L10" i="15" s="1"/>
  <c r="N5" i="15"/>
  <c r="P5" i="15"/>
  <c r="I6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Y6" i="15" s="1"/>
  <c r="D13" i="15"/>
  <c r="H13" i="15"/>
  <c r="J13" i="15"/>
  <c r="N13" i="15"/>
  <c r="B5" i="13"/>
  <c r="C5" i="13"/>
  <c r="D5" i="13"/>
  <c r="E5" i="13"/>
  <c r="F5" i="13"/>
  <c r="F17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E10" i="10"/>
  <c r="H14" i="10"/>
  <c r="I14" i="10"/>
  <c r="C20" i="10"/>
  <c r="D20" i="10"/>
  <c r="B25" i="10"/>
  <c r="C25" i="10"/>
  <c r="D25" i="10"/>
  <c r="L13" i="15" l="1"/>
  <c r="K32" i="18"/>
  <c r="K31" i="18"/>
  <c r="K5" i="18"/>
  <c r="K26" i="18"/>
  <c r="K33" i="18"/>
  <c r="K28" i="18"/>
  <c r="K24" i="18"/>
  <c r="K23" i="18"/>
  <c r="K19" i="18" s="1"/>
  <c r="S32" i="18"/>
  <c r="K25" i="18"/>
  <c r="S20" i="18"/>
  <c r="K20" i="18"/>
  <c r="K27" i="18"/>
  <c r="U32" i="18"/>
  <c r="W8" i="18"/>
  <c r="O8" i="18"/>
  <c r="I4" i="15"/>
  <c r="S33" i="18"/>
  <c r="S31" i="18"/>
  <c r="S26" i="18"/>
  <c r="W28" i="18"/>
  <c r="W23" i="18"/>
  <c r="U22" i="18"/>
  <c r="W33" i="18"/>
  <c r="U25" i="18"/>
  <c r="U33" i="18"/>
  <c r="U23" i="18"/>
  <c r="U20" i="18"/>
  <c r="W22" i="18"/>
  <c r="W31" i="18"/>
  <c r="W26" i="18"/>
  <c r="U31" i="18"/>
  <c r="U26" i="18"/>
  <c r="U24" i="18"/>
  <c r="O23" i="18"/>
  <c r="S24" i="18"/>
  <c r="U28" i="18"/>
  <c r="S27" i="18"/>
  <c r="Y8" i="15"/>
  <c r="P10" i="15"/>
  <c r="Q6" i="15" s="1"/>
  <c r="P13" i="15"/>
  <c r="G4" i="15"/>
  <c r="W11" i="18"/>
  <c r="W7" i="18"/>
  <c r="G2" i="15"/>
  <c r="Y5" i="15"/>
  <c r="O26" i="18"/>
  <c r="O20" i="18"/>
  <c r="K8" i="15"/>
  <c r="O5" i="15"/>
  <c r="Y3" i="15"/>
  <c r="O11" i="18"/>
  <c r="O7" i="18"/>
  <c r="I8" i="15"/>
  <c r="I3" i="15"/>
  <c r="O33" i="18"/>
  <c r="B19" i="18"/>
  <c r="C20" i="18" s="1"/>
  <c r="W10" i="18"/>
  <c r="G6" i="18"/>
  <c r="W4" i="18"/>
  <c r="Y7" i="15"/>
  <c r="K5" i="15"/>
  <c r="G3" i="15"/>
  <c r="O28" i="18"/>
  <c r="O22" i="18"/>
  <c r="O10" i="18"/>
  <c r="E6" i="18"/>
  <c r="Q4" i="18"/>
  <c r="C17" i="13"/>
  <c r="E17" i="13"/>
  <c r="I7" i="15"/>
  <c r="I5" i="15"/>
  <c r="Y2" i="15"/>
  <c r="W9" i="18"/>
  <c r="W3" i="18"/>
  <c r="Y4" i="15"/>
  <c r="B17" i="13"/>
  <c r="B12" i="15"/>
  <c r="G5" i="15"/>
  <c r="I2" i="15"/>
  <c r="C33" i="18"/>
  <c r="O31" i="18"/>
  <c r="O9" i="18"/>
  <c r="U3" i="18"/>
  <c r="Y22" i="18"/>
  <c r="Y26" i="18"/>
  <c r="Q26" i="18"/>
  <c r="W20" i="18"/>
  <c r="Y33" i="18"/>
  <c r="Q33" i="18"/>
  <c r="G33" i="18"/>
  <c r="Y28" i="18"/>
  <c r="Q28" i="18"/>
  <c r="G28" i="18"/>
  <c r="Y27" i="18"/>
  <c r="Q27" i="18"/>
  <c r="G26" i="18"/>
  <c r="Q25" i="18"/>
  <c r="Q24" i="18"/>
  <c r="G24" i="18"/>
  <c r="M19" i="18"/>
  <c r="Y32" i="18"/>
  <c r="Q32" i="18"/>
  <c r="G32" i="18"/>
  <c r="W27" i="18"/>
  <c r="O27" i="18"/>
  <c r="G27" i="18"/>
  <c r="Y25" i="18"/>
  <c r="O25" i="18"/>
  <c r="W24" i="18"/>
  <c r="O24" i="18"/>
  <c r="G22" i="18"/>
  <c r="Y24" i="18"/>
  <c r="Y34" i="18"/>
  <c r="W32" i="18"/>
  <c r="Y31" i="18"/>
  <c r="Q31" i="18"/>
  <c r="G31" i="18"/>
  <c r="Y23" i="18"/>
  <c r="Q23" i="18"/>
  <c r="G23" i="18"/>
  <c r="Q22" i="18"/>
  <c r="C32" i="18"/>
  <c r="C27" i="18"/>
  <c r="C28" i="18"/>
  <c r="C23" i="18"/>
  <c r="C26" i="18"/>
  <c r="C31" i="18"/>
  <c r="C22" i="18"/>
  <c r="I6" i="18"/>
  <c r="Q5" i="18"/>
  <c r="E5" i="18"/>
  <c r="Q3" i="18"/>
  <c r="I3" i="18"/>
  <c r="Y2" i="18"/>
  <c r="Q2" i="18"/>
  <c r="I2" i="18"/>
  <c r="S25" i="18"/>
  <c r="C24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O4" i="18"/>
  <c r="G4" i="18"/>
  <c r="O3" i="18"/>
  <c r="G3" i="18"/>
  <c r="W2" i="18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K3" i="18"/>
  <c r="C3" i="18"/>
  <c r="Q4" i="15"/>
  <c r="Q5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Q3" i="15" l="1"/>
  <c r="Q2" i="15"/>
  <c r="Q10" i="15" s="1"/>
  <c r="Q7" i="15"/>
  <c r="Q8" i="15"/>
  <c r="C13" i="18"/>
  <c r="S19" i="18"/>
  <c r="U19" i="18"/>
  <c r="C10" i="15"/>
  <c r="K10" i="15"/>
  <c r="E10" i="15"/>
  <c r="G10" i="15"/>
  <c r="W10" i="15"/>
  <c r="S10" i="15"/>
  <c r="O10" i="15"/>
  <c r="E13" i="18"/>
  <c r="Y10" i="15"/>
  <c r="I10" i="15"/>
  <c r="W13" i="18"/>
  <c r="O19" i="18"/>
  <c r="W19" i="18"/>
  <c r="G19" i="18"/>
  <c r="Q19" i="18"/>
  <c r="Y19" i="18"/>
  <c r="U13" i="18"/>
  <c r="S13" i="18"/>
  <c r="K13" i="18"/>
  <c r="G13" i="18"/>
  <c r="M13" i="18"/>
  <c r="O13" i="18"/>
  <c r="I13" i="18"/>
  <c r="C19" i="18"/>
  <c r="I23" i="18"/>
  <c r="I24" i="18"/>
  <c r="I31" i="18"/>
  <c r="I32" i="18"/>
  <c r="I33" i="18"/>
  <c r="I22" i="18"/>
  <c r="I25" i="18"/>
  <c r="I28" i="18"/>
  <c r="I20" i="18"/>
  <c r="Q13" i="18"/>
  <c r="I26" i="18"/>
  <c r="I27" i="18"/>
  <c r="Y13" i="18"/>
  <c r="M10" i="15"/>
  <c r="U10" i="15"/>
  <c r="I19" i="18" l="1"/>
</calcChain>
</file>

<file path=xl/sharedStrings.xml><?xml version="1.0" encoding="utf-8"?>
<sst xmlns="http://schemas.openxmlformats.org/spreadsheetml/2006/main" count="820" uniqueCount="501">
  <si>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</si>
  <si>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</si>
  <si>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</si>
  <si>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</si>
  <si>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</si>
  <si>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</si>
  <si>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Odvětví regionálního rozvoje celkem</t>
  </si>
  <si>
    <t>Odvětví cestovního ruchu celkem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</si>
  <si>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</si>
  <si>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</si>
  <si>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</si>
  <si>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</si>
  <si>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</si>
  <si>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</si>
  <si>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</si>
  <si>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</si>
  <si>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</si>
  <si>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</si>
  <si>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</si>
  <si>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</si>
  <si>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</si>
  <si>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</si>
  <si>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</si>
  <si>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</si>
  <si>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</si>
  <si>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</si>
  <si>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</si>
  <si>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</si>
  <si>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</si>
  <si>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</si>
  <si>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</si>
  <si>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</si>
  <si>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</si>
  <si>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Podpora dobrovolných aktivit v oblasti udržitelného rozvoje a místní Agendy 21</t>
  </si>
  <si>
    <t>Program na podporu zdravého stárnutí v Moravskoslezském kraji</t>
  </si>
  <si>
    <t>Podpora návrhu řešení nakládání s vodami na území, příp. části území, obce</t>
  </si>
  <si>
    <t>Podpora vzdělávání a poradenství v oblasti životního prostředí</t>
  </si>
  <si>
    <t>Název akce</t>
  </si>
  <si>
    <t>Poznámka</t>
  </si>
  <si>
    <t>2019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</si>
  <si>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</si>
  <si>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</si>
  <si>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</si>
  <si>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</si>
  <si>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</si>
  <si>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</si>
  <si>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</si>
  <si>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</si>
  <si>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</si>
  <si>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</si>
  <si>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</si>
  <si>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</si>
  <si>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</si>
  <si>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ODVĚTVÍ REGIONÁLNÍHO ROZVOJE:</t>
  </si>
  <si>
    <t>Prostředky na přípravu projektů</t>
  </si>
  <si>
    <t>ODVĚTVÍ REGIONÁLNÍHO ROZVOJE CELKEM</t>
  </si>
  <si>
    <t>Domov pro osoby se zdravotním postižením Harmonie, p. o.</t>
  </si>
  <si>
    <t>Sociální služby pro osoby s duševním onemocněním v Suchdolu nad Odrou</t>
  </si>
  <si>
    <t>ODVĚTVÍ ŽIVOTNÍHO PROSTŘEDÍ:</t>
  </si>
  <si>
    <t>EVL Paskov, tvorba biotopu páchníka hnědého</t>
  </si>
  <si>
    <t>EVL Šilheřovice, tvorba biotopu páchníka hnědého</t>
  </si>
  <si>
    <t>Revitalizace EVL Děhylovský potok - Štěpán</t>
  </si>
  <si>
    <t>ODVĚTVÍ ŽIVOTNÍHO PROSTŘEDÍ CELKEM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</si>
  <si>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</si>
  <si>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</si>
  <si>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</si>
  <si>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</si>
  <si>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</si>
  <si>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celkem</t>
  </si>
  <si>
    <t>AKCE SPOLUFINANCOVANÉ Z EVROPSKÝCH FINANČNÍCH ZDROJŮ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</si>
  <si>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</si>
  <si>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</si>
  <si>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</si>
  <si>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</si>
  <si>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</si>
  <si>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</si>
  <si>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</si>
  <si>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</si>
  <si>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</si>
  <si>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</si>
  <si>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</si>
  <si>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</si>
  <si>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</si>
  <si>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</si>
  <si>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</si>
  <si>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</si>
  <si>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</si>
  <si>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</si>
  <si>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</si>
  <si>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</si>
  <si>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</si>
  <si>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</si>
  <si>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</si>
  <si>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</si>
  <si>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</si>
  <si>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</si>
  <si>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</si>
  <si>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</si>
  <si>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</si>
  <si>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</si>
  <si>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</si>
  <si>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</si>
  <si>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</si>
  <si>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</si>
  <si>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</si>
  <si>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</si>
  <si>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</si>
  <si>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</si>
  <si>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</si>
  <si>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</si>
  <si>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</si>
  <si>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</si>
  <si>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</si>
  <si>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</si>
  <si>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</si>
  <si>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</si>
  <si>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</si>
  <si>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</si>
  <si>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</si>
  <si>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</si>
  <si>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</si>
  <si>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</si>
  <si>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</si>
  <si>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</si>
  <si>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</si>
  <si>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</si>
  <si>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</si>
  <si>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</si>
  <si>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</si>
  <si>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</si>
  <si>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</si>
  <si>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</si>
  <si>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</si>
  <si>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</si>
  <si>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</si>
  <si>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</si>
  <si>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</si>
  <si>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</si>
  <si>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Samosprávné činnosti celkem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</si>
  <si>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</si>
  <si>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</si>
  <si>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</si>
  <si>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</si>
  <si>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</si>
  <si>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Program na podporu dobrovolných hasičů</t>
  </si>
  <si>
    <t>Program podpory aktivit v oblasti kultury v Moravskoslezském kraji</t>
  </si>
  <si>
    <t>Zvýšení přístupnosti a bezpečnosti ke kulturním památkám v česko-slovenském pohraničí</t>
  </si>
  <si>
    <t>Rekonstrukce a výstavba Domova Březiny</t>
  </si>
  <si>
    <t>Moderní metody pěstování rostlin</t>
  </si>
  <si>
    <t>Kotlíkové dotace v Moravskoslezském kraji – 3. grantové schéma</t>
  </si>
  <si>
    <t>Podpora technických a řemeslných oborů v MSK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</si>
  <si>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</si>
  <si>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</si>
  <si>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</si>
  <si>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</si>
  <si>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</si>
  <si>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</si>
  <si>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 (ze závislé činnosti a funkčních požitků) - na základě zákona č. 243/2000 Sb., o rozpočtovém určení daní.</t>
  </si>
  <si>
    <t>Daň z příjmů fyzických osob placená poplatníky (ze samostatné výdělečné činnosti) - na základě zákona č. 243/2000 Sb., o rozpočtovém určení daní.</t>
  </si>
  <si>
    <t>Daň z příjmů fyzických osob vybíraná srážkou - na základě zákona č. 243/2000 Sb., o rozpočtovém určení daní.</t>
  </si>
  <si>
    <t>Daň z příjmů právnických osob - na základě zákona č. 243/2000 Sb., o rozpočtovém určení daní.</t>
  </si>
  <si>
    <t>Daň z příjmů právnických osob za kraj - na základě zákona č. 243/2000 Sb., o rozpočtovém určení daní.</t>
  </si>
  <si>
    <t>Daň z přidané hodnoty -  na základě zákona č. 243/2000 Sb., o rozpočtovém určení daní.</t>
  </si>
  <si>
    <t>Daňové příjmy celkem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</si>
  <si>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</si>
  <si>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</si>
  <si>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</si>
  <si>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</si>
  <si>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Úroky - přijaté úroky z bankovních účtů zřízených Moravskoslezským krajem.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</si>
  <si>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</si>
  <si>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</si>
  <si>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Ostatní nedaňové příjmy jinde nezařazené</t>
  </si>
  <si>
    <t>Splátky půjčených prostředků na základě operačních smluv s Fondy rozvoje měst.</t>
  </si>
  <si>
    <t>2420</t>
  </si>
  <si>
    <t>Splátky půjčených prostředků od obcí</t>
  </si>
  <si>
    <t>Splátky půjčených prostředků od příspěvkových organizací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</si>
  <si>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</si>
  <si>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</si>
  <si>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Prodej pozemků - v souladu s požadavky Moravskoslezského kraje a § 36 zákona č. 129/2000 Sb., o krajích.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</si>
  <si>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</si>
  <si>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</si>
  <si>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</si>
  <si>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</si>
  <si>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</si>
  <si>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</si>
  <si>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</si>
  <si>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</si>
  <si>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Ostatní investiční přijaté transfery ze státního rozpočtu</t>
  </si>
  <si>
    <t>Investiční přijaté transfery od obcí</t>
  </si>
  <si>
    <t>Přijaté dotace celkem</t>
  </si>
  <si>
    <t>PŘÍJMY CELKEM</t>
  </si>
  <si>
    <t>Neinvestiční přijaté transfery od krajů</t>
  </si>
  <si>
    <t>Zateplení a stavební úpravy správní budovy, pavilonu E a F Domova Březiny</t>
  </si>
  <si>
    <t>Rozpočet 2020</t>
  </si>
  <si>
    <t>Program podpory činností v oblasti rodinné politiky, sociálně právní ochrany dětí a navazujících činností v sociálních službách</t>
  </si>
  <si>
    <t>Program na podporu komunitní práce a na zmírňování následků sociálního vyloučení v Moravskoslezském kraji</t>
  </si>
  <si>
    <t>Program na podporu aktivit sociálního podnikání v Moravskoslezském kraji</t>
  </si>
  <si>
    <t>Podpora včelařství v Moravskoslezském kraji</t>
  </si>
  <si>
    <t>2023</t>
  </si>
  <si>
    <t>Vstřícný a kompetentní KÚ MSK</t>
  </si>
  <si>
    <t>Energetické úspory SSMSK - CM Rýmařov</t>
  </si>
  <si>
    <t>Rekonstrukce silnice II/462 Jelenice – Lesní Albrechtice</t>
  </si>
  <si>
    <t>Výuka pro Průmysl 4.0 II</t>
  </si>
  <si>
    <t>ODVĚTVÍ ÚZEMNÍHO PLÁNOVÁNÍ A STAVEBNÍHO ŘÁDU:</t>
  </si>
  <si>
    <t>ODVĚTVÍ ÚZEMNÍHO PLÁNOVÁNÍ A STAVEBNÍHO ŘÁDU CELKEM</t>
  </si>
  <si>
    <t>Příjmy z prodeje příkazových bloků a příjmy z poplatků za kopírování.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</si>
  <si>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</si>
  <si>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</si>
  <si>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Podpora rozvoje cykloturistiky v Moravskoslezském kraji 2021+</t>
  </si>
  <si>
    <t>Doprava</t>
  </si>
  <si>
    <t>Program na podporu přípravy projektové dokumentace 2019</t>
  </si>
  <si>
    <t>Podpora natáčení audiovizuálních děl v Moravskoslezském kraji</t>
  </si>
  <si>
    <t>Podpora turistických informačních center v Moravskoslezském kraji</t>
  </si>
  <si>
    <t>Program na podporu technických atraktivit</t>
  </si>
  <si>
    <t>Finanční prostředky jsou určeny na kofinancování projektu. Žadatelem o podporu u poskytovatele dotace je příspěvková organizace.</t>
  </si>
  <si>
    <t>Modernizace výuky informačních technologií II</t>
  </si>
  <si>
    <t>ODVĚTVÍ DOPRAVY CELKEM</t>
  </si>
  <si>
    <t>Silnice II/479 Ostrava, ulice Opavská, mosty 479-004 přes vodní tok Odra</t>
  </si>
  <si>
    <t>Modernizace silnice II/473 Šenov - Frýdek-Místek</t>
  </si>
  <si>
    <t>ODVĚTVÍ DOPRAVY:</t>
  </si>
  <si>
    <t>2024</t>
  </si>
  <si>
    <t>Pavilon L - stavební úpravy (Slezská nemocnice v Opavě, příspěvková organizace)</t>
  </si>
  <si>
    <t>Přístavba a nástavba rehabilitace (Nemocnice Třinec, příspěvková organizace)</t>
  </si>
  <si>
    <t>Rekonstrukce objektu SŠ a domova mládeže (Střední škola společného stravování, Ostrava-Hrabůvka,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</si>
  <si>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</si>
  <si>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budovy na ulici Praskova čp. 411 v Opavě (Základní škola, Opava, Havlíčkova 1, příspěvková organizace)</t>
  </si>
  <si>
    <t>Rekultivace vnitrobloku a zpevněné plochy (Polské gymnázium - Polskie Gimnazjum im. Juliusza Słowackiego, Český Těšín, příspěvková organizace)</t>
  </si>
  <si>
    <t>Výstavba domova pro seniory a domova se zvláštním režimem Kopřivnice</t>
  </si>
  <si>
    <t>Rekonstrukce budovy a spojovací chodby Máchova (Domov Duha, příspěvková organizace, Nový Jičín)</t>
  </si>
  <si>
    <t>Zámek Bruntál - revitalizace objektu (Muzeum v Bruntále, příspěvková organizace)</t>
  </si>
  <si>
    <t>Zámek Nová Horka - dobudování infrastruktury (Muzeum Novojičínska, příspěvková organizace)</t>
  </si>
  <si>
    <t>Letiště Leoše Janáčka Ostrava, výstavba odbavovací plochy APN S3</t>
  </si>
  <si>
    <t>z toho
na splátku
za akce financované z úvěru UCB</t>
  </si>
  <si>
    <t>z toho financováno z úvěru UCB</t>
  </si>
  <si>
    <t>z toho financováno z úvěru ČS</t>
  </si>
  <si>
    <t>RESOLVE – Sustainable mobility and the transition to a low-carbon retailing economy – RESOLVE - Udržitelná mobilita a přechod k nízkouhlíkové ekonomice služeb (obchodu)</t>
  </si>
  <si>
    <t>Podpora aktivit v rámci Programu Interreg V-A ČR – PL III</t>
  </si>
  <si>
    <t>Splátky jistin půjčených prostředků od obcí v rámci Jessica II.</t>
  </si>
  <si>
    <t>Příjmy z inkasovaných dobropisů, náhrady poštovného za ztracené nebo nedoručené zásilky.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</si>
  <si>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</si>
  <si>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</si>
  <si>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REPRODUKCE MAJETKU KRAJE VYJMA AKCÍ SPOLUFINANCOVANÝCH Z EVROPSKÝCH FINANČNÍCH ZDROJŮ</t>
  </si>
  <si>
    <t>NÁVRATNÁ FINANČNÍ VÝPOMOC PŘÍSPĚVKOVÝM ORGANIZACÍM NA PROFINANCOVÁNÍ PODÍLŮ STÁTNÍHO ROZPOČTU A EVROPSKÉ UNIE CELKEM</t>
  </si>
  <si>
    <t>CELKEM ZA AKCE SPOLUFINANCOVANÉ Z EVROPSKÝCH FINANČNÍCH ZDROJŮ</t>
  </si>
  <si>
    <t>CELKEM ZA AKCE REPRODUKCE MAJETKU KRAJE VYJMA AKCÍ SPOLUFINANCOVANÝCH Z EVROPSKÝCH FINANČNÍCH ZDROJŮ</t>
  </si>
  <si>
    <t>Vratky návratných finančních výpomocí poskytnutých příspěvkovým organizacím v odvětví sociálních věcí na zajištění běžného chodu organizací.</t>
  </si>
  <si>
    <t>2021</t>
  </si>
  <si>
    <t>Rozpočet 2021</t>
  </si>
  <si>
    <t>Přijaté sankční platby - pokuty podle zákona č. 117/2001 Sb., o veřejných sbírkách.</t>
  </si>
  <si>
    <t>Program obnovy památek nadregionálního významu v Moravskoslezském kraji</t>
  </si>
  <si>
    <t>Podpora obnovy a rozvoje venkova Moravskoslezského kraje 2022</t>
  </si>
  <si>
    <t>Program na podporu přípravy projektové dokumentace 2018</t>
  </si>
  <si>
    <t>Podpora podnikání v Moravskoslezském kraji 2022</t>
  </si>
  <si>
    <t>Program na podporu stáží žáků a studentů ve firmách 2022</t>
  </si>
  <si>
    <t>Program na podporu přípravy projektové dokumentace 2020</t>
  </si>
  <si>
    <t>Úprava lyžařských běžeckých tras v Moravskoslezském kraji 2022/2023, 2023/2024 a 2024/2025</t>
  </si>
  <si>
    <t>Podpora rozvoje cykloturistiky v Moravskoslezském kraji 2022+</t>
  </si>
  <si>
    <t>Podpora významných sportovních akcí v Moravskoslezském kraji</t>
  </si>
  <si>
    <t>Podpora volnočasových aktivit pro mládež</t>
  </si>
  <si>
    <t>Podpora projektů ve zdravotnictví</t>
  </si>
  <si>
    <t>Podpora odpadového hospodářství</t>
  </si>
  <si>
    <t>ČÍSLO AKCE</t>
  </si>
  <si>
    <t>2025</t>
  </si>
  <si>
    <t>Silnice II/445 hranice Olomouckého kraje - Stránské</t>
  </si>
  <si>
    <t>ODVĚTVÍ CHYTRÉHO REGIONU:</t>
  </si>
  <si>
    <t>Centrum veřejných energetiků (Moravskoslezské energetické centrum, příspěvková organizace, Ostrava)</t>
  </si>
  <si>
    <t>ODVĚTVÍ CHYTRÉHO REGIONU CELKEM</t>
  </si>
  <si>
    <t>Černá kostka - Centrum digitalizace, vědy a inovací</t>
  </si>
  <si>
    <t>Žerotínský zámek – centrum relaxace a poznání</t>
  </si>
  <si>
    <t>Chráněné bydlení Okrajová</t>
  </si>
  <si>
    <t>Podpora procesu plánování sociálních služeb na území MSK</t>
  </si>
  <si>
    <t>Energetické úspory v Dětském domově Úsměv</t>
  </si>
  <si>
    <t>Energetické úspory v MSŠZe a VOŠ Opava - tělocvična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</si>
  <si>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</si>
  <si>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</si>
  <si>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</si>
  <si>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</si>
  <si>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</si>
  <si>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ve SŠ služeb a podnikání Ostrava-Poruba (tělocvična)</t>
  </si>
  <si>
    <t>Krajský akční plán rozvoje vzdělávání Moravskoslezského kraje III</t>
  </si>
  <si>
    <t>Supporting attractivness of health and social care professions in regions</t>
  </si>
  <si>
    <t>Celkem Územní plánování</t>
  </si>
  <si>
    <t>Vozidla a technika proti covidu</t>
  </si>
  <si>
    <t>Vzdělávání a nácvik proti covidu</t>
  </si>
  <si>
    <t>Záchranný komunikační systém</t>
  </si>
  <si>
    <t>Krajský akční plán pro oblast ochrany ovzduší</t>
  </si>
  <si>
    <t>River Continuum</t>
  </si>
  <si>
    <t>Modernizace silnice II/477, II/647 Ostrava, ul. Bohumínská - III. etapa</t>
  </si>
  <si>
    <t>Příjmy z pronájmu budov nebo prostor v budovách ve vlastnictví kraje.</t>
  </si>
  <si>
    <t>Příjmy za odebrané stravovací služby poskytnuté zaměstnancům v jídelně a bufetu krajského úřadu, příjmy z inkasovaných dobropisů, vratky přeplatků záloh, náhrady za náklady soudního nebo správního řízení, náhrady za škody způsobené zaměstnanci.</t>
  </si>
  <si>
    <t>Prodej budov a staveb - v souladu s požadavky Moravskoslezského kraje a § 36 zákona č. 129/2000 Sb., o krajích.</t>
  </si>
  <si>
    <t>Neinvestiční přijaté transfery ze státních fondů</t>
  </si>
  <si>
    <t>Odborné, kariérové a polytechnické vzdělávání II</t>
  </si>
  <si>
    <t>Dotační program - Kotlíkové dotace v Moravskoslezském kraji 3. grantové schéma (AMO)</t>
  </si>
  <si>
    <t>Poplatky za znečišťování ovzduší - poplatky vybírané na základě zákona č. 201/2012 Sb., o ochraně ovzduší, ve znění pozdějších předpisů. Výnos z poplatků za znečišťování ve výši 25 % je příjmem kraje, na jehož území se stacionární zdroj nachází.</t>
  </si>
  <si>
    <t>Příjmy z prezentace partnera při realizaci projektů realizovaných krajem na základě smlouvy o spolupráci č. 00880/2021/KH.</t>
  </si>
  <si>
    <t>Rozpočet 2022</t>
  </si>
  <si>
    <t>2022</t>
  </si>
  <si>
    <t>Chytrý region</t>
  </si>
  <si>
    <t>Rekonstrukce mostů ev. č. 486-011, 012 Hukvaldy (Správa silnic Moravskoslezského kraje, příspěvková organizace, Ostrava)</t>
  </si>
  <si>
    <t>Využití objektu v Bílé (Vzdělávací a sportovní centrum, Bílá, příspěvková organizace)</t>
  </si>
  <si>
    <t>Rekonstrukce školního dvora (Matiční gymnázium, Ostrava, příspěvková organizace)</t>
  </si>
  <si>
    <t>Přístavba tělocvičny (Gymnázium, Třinec, příspěvková organizace)</t>
  </si>
  <si>
    <t>Rekonstrukce střechy a zateplení fasády (Gymnázium Třinec, příspěvková organizace)</t>
  </si>
  <si>
    <t>Návratná finanční výpomoc příspěvkovým organizacím v odvětví školství</t>
  </si>
  <si>
    <t>ODVĚTVÍ ÚZEMNÍ PLÁNOVÁNÍ A STAVEBNÍHO ŘÁDU:</t>
  </si>
  <si>
    <t>ODVĚTVÍ ÚZEMNÍ PLÁNOVÁNÍ A STAVEBNÍHO ŘÁDU CELKEM</t>
  </si>
  <si>
    <t>Kotlíkové dotace v Moravskoslezském kraji 3. grantové schéma (AMO)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</si>
  <si>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</si>
  <si>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</si>
  <si>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</si>
  <si>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</si>
  <si>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</si>
  <si>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</si>
  <si>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</si>
  <si>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</si>
  <si>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</si>
  <si>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Příjem z poskytování služeb, výrobků, prací, výkonů a práv</t>
  </si>
  <si>
    <t>Příjem z pronájmu nebo pachtu pozemků</t>
  </si>
  <si>
    <t>Příjem z pronájmu nebo pachtu ostatních nemovitých věcí a jejich částí</t>
  </si>
  <si>
    <t>Ostatní příjmy z pronájmu nebo pachtu majetku</t>
  </si>
  <si>
    <t>Příjem z úroků</t>
  </si>
  <si>
    <t>Příjem sankčních plateb přijatých od státu, obcí a krajů</t>
  </si>
  <si>
    <t>Příjem sankčních plateb přijatých od jiných subjektů</t>
  </si>
  <si>
    <t>Přijaté neinvestiční příspěvky a náhrady</t>
  </si>
  <si>
    <t>Splátky půjčených prostředků od nefinančních podnikatelů - právnických osob</t>
  </si>
  <si>
    <t>Splátky půjčených prostředků od obecně prospěšných společností a obdobných osob</t>
  </si>
  <si>
    <t>Příjem z prodeje pozemků</t>
  </si>
  <si>
    <t>Příjem z prodeje ostatních nemovitých věcí a jejich částí</t>
  </si>
  <si>
    <t>Ostatní kapitálové příjmy jinde nezařazené</t>
  </si>
  <si>
    <t>Neinvestiční přijaté transfery od mezinárodních organizací a některých zahraničních orgánů a právnických osob</t>
  </si>
  <si>
    <t>Schválený rozpočet 2022</t>
  </si>
  <si>
    <t>Upravený rozpočet 9/2022</t>
  </si>
  <si>
    <t>Čerpání
k 9/2022</t>
  </si>
  <si>
    <t>Rok 2023</t>
  </si>
  <si>
    <t>% 2023/
SR 2022</t>
  </si>
  <si>
    <t>Dotační programy nezařazené do rozpočtu na rok 2023 (odvětví regionálního rozvoje)</t>
  </si>
  <si>
    <t>Dotační programy nezařazené do rozpočtu na rok 2023 (odvětví cestovního ruchu)</t>
  </si>
  <si>
    <t>PŘEHLED DOTAČNÍCH PROGRAMŮ V NÁVRHU ROZPOČTU KRAJE NA ROK 2023 (v tis. Kč)</t>
  </si>
  <si>
    <t>Rozborové tabulky a grafy k návrhu rozpočtu kraje
na rok 2023</t>
  </si>
  <si>
    <t>Přehled dotačních programů v návrhu rozpočtu kraje na rok 2023</t>
  </si>
  <si>
    <t>Přehled akcí spolufinancovaných z evropských finančních zdrojů v návrhu rozpočtu kraje na rok 2023 včetně závazků kraje vyvolaných pro rok 2024 a další léta</t>
  </si>
  <si>
    <t>Přehled akcí financovaných z úvěrových zdrojů v návrhu rozpočtu kraje na rok 2023</t>
  </si>
  <si>
    <t>Přehled příjmů zařazených v návrhu rozpočtu kraje na rok 2023</t>
  </si>
  <si>
    <t>Graf č. 1 - Rozpočet Moravskoslezského kraje v letech 2019 až 2022, návrh rozpočtu Moravskoslezského kraje na rok 2023</t>
  </si>
  <si>
    <t>Graf č. 2 - Schválený rozpočet příjmů Moravskoslezského kraje v letech 2019 až 2022, návrh rozpočtu příjmů Moravskoslezského kraje na rok 2023 v členění na přijaté dotace, daňové, nedaňové a kapitálové příjmy</t>
  </si>
  <si>
    <t>Graf č. 3 - Schválený rozpočet výdajů Moravskoslezského kraje v letech 2019 až 2022, návrh rozpočtu výdajů Moravskoslezského kraje na rok 2023 v členění na běžné a kapitálové výdaje</t>
  </si>
  <si>
    <t>Graf č. 4 - Struktura návrhu rozpočtu Moravskoslezského kraje na rok 2023 - PŘÍJMY</t>
  </si>
  <si>
    <t>Graf č. 5 - Struktura návrhu rozpočtu Moravskoslezského kraje na rok 2023 - VÝDAJE</t>
  </si>
  <si>
    <t>Graf č. 6 - Struktura návrhu rozpočtu Moravskoslezského kraje na rok 2023 - Objemy výdajů na akce spolufinancované z evropských finančních zdrojů pro rok 2023 v členění dle odvětví</t>
  </si>
  <si>
    <t>Podpora obnovy a rozvoje venkova Moravskoslezského kraje 2023</t>
  </si>
  <si>
    <t>Program na podporu přípravy projektové dokumentace 2021</t>
  </si>
  <si>
    <t>Program na podporu přípravy projektové dokumentace 2023</t>
  </si>
  <si>
    <t>Podpora vědy a výzkumu v Moravskoslezském kraji 2023</t>
  </si>
  <si>
    <t>Podpora vědy a výzkumu v Moravskoslezském kraji 2020</t>
  </si>
  <si>
    <t>Program na podporu stáží žáků a studentů ve firmách 2023</t>
  </si>
  <si>
    <t>Podpora znevýhodněných oblastí Moravskoslezského kraje 2023</t>
  </si>
  <si>
    <t>Podpora znevýhodněných oblastí Moravskoslezského kraje 2022</t>
  </si>
  <si>
    <t>Podpora znevýhodněných oblastí Moravskoslezského kraje 2020</t>
  </si>
  <si>
    <t>Podpora provozu venkovských prodejen v Moravskoslezském kraji</t>
  </si>
  <si>
    <t>Podpora podnikání v Moravskoslezském kraji 2023</t>
  </si>
  <si>
    <t>Podpora infrastruktury a propagace cestovního ruchu v Moravskoslezském kraji</t>
  </si>
  <si>
    <t>Podpora natáčení audiovizuálních děl v Moravskoslezském kraji 2019-2021</t>
  </si>
  <si>
    <t>Podpora kempování v Moravskoslezském kraji</t>
  </si>
  <si>
    <t xml:space="preserve">Program na podporu neinvestičních aktivit z oblasti prevence kriminality </t>
  </si>
  <si>
    <t>Podpora primární péče</t>
  </si>
  <si>
    <t>Podpora péče o duševní zdraví</t>
  </si>
  <si>
    <t>×</t>
  </si>
  <si>
    <t>Podpora chovatelů ovcí nebo koz v oblastech MSK s výskytem vlka obecného</t>
  </si>
  <si>
    <t>Dotační programy nezařazené do rozpočtu na rok 2023 (odvětví sociálních věcí)</t>
  </si>
  <si>
    <t>Podpora aktivit v oblasti prevence rizikového chování</t>
  </si>
  <si>
    <t xml:space="preserve"> PŘEHLED AKCÍ SPOLUFINANCOVANÝCH Z EVROPSKÝCH FINANČNÍCH ZDROJŮ V NÁVRHU ROZPOČTU KRAJE NA ROK 2023
VČETNĚ ZÁVAZKŮ KRAJE VYVOLANÝCH PRO ROK 2024 A DALŠÍ LÉTA (v tis. Kč)             </t>
  </si>
  <si>
    <t>Skutečné výdaje
před r. 2022</t>
  </si>
  <si>
    <t>Předpokl. výdaje
r. 2022</t>
  </si>
  <si>
    <t>Návrh
na rok 2023</t>
  </si>
  <si>
    <t>2026</t>
  </si>
  <si>
    <t>po r. 2026</t>
  </si>
  <si>
    <t>Automatizace procesů ve spisovnách úřadu</t>
  </si>
  <si>
    <t>Ochrana zálohovaných dat krajské korporace proti škodlivému kódu</t>
  </si>
  <si>
    <t>Otevřený úřad – otevřené rozhraní pro přístup k datům</t>
  </si>
  <si>
    <t>Realizace bezpečnostních opatření podle zákona o kybernetické bezpečnosti II</t>
  </si>
  <si>
    <t xml:space="preserve">MOTUS-Integrating spatial planning with new green mobility solutions to enhance connectivity in rural and peripheral regions of Central Europe“ – „MOTUS- Integrace prostorového plánování s novými řešeními zelené mobility pro lepší propojení venkovských a okrajových oblastí střední Evropy“ </t>
  </si>
  <si>
    <t>Rekonstrukce a modernizace silnice II/442 VD Kružberk – Svatoňovice – Čermná ve Slezsku</t>
  </si>
  <si>
    <t>Rekonstrukce a modernizace silnice II/470H Severní spoj (Ostrava)</t>
  </si>
  <si>
    <t>Rekonstrukce a modernizace silnice II/475 v Karviné, ul. Rudé Armády</t>
  </si>
  <si>
    <t>Rekonstrukce a modernizace silnice II/648 Český Těšín, ul. Frýdecká</t>
  </si>
  <si>
    <t>Silnice II/483 průtah Frenštát p. R. – hr. okresu FM</t>
  </si>
  <si>
    <t>Silnice III/0578 hraniční most ev. č. 0578-2 Vávrovice - Wiechowice</t>
  </si>
  <si>
    <t>Silnice III/4593 hraniční most ev. č. 4593-3 Úvalno - Branice</t>
  </si>
  <si>
    <t>Příprava staveb a příprava vypořádání pozemků (Správa silnic Moravskoslezského kraje, příspěvková organizace, Ostrava)</t>
  </si>
  <si>
    <t>Celkové výdaje uvedeny jen pro rok 2023.</t>
  </si>
  <si>
    <t>POHO Park Gabriela</t>
  </si>
  <si>
    <t>Městečko bezpečí</t>
  </si>
  <si>
    <t>Černá kostka – Centrum digitalizace, vědy a inovací</t>
  </si>
  <si>
    <t>Digitalizace kulturního dědictví Moravskoslezského kraje</t>
  </si>
  <si>
    <t>Digitální transformace kultury Moravskoslezského kraje</t>
  </si>
  <si>
    <t>Nová Horka - centrum tradic a zážitků</t>
  </si>
  <si>
    <t>Novostavba depozitáře Muzeum v Bruntále</t>
  </si>
  <si>
    <t>Rekonstrukce depozitáře Muzea Beskyd Frýdek-Místek</t>
  </si>
  <si>
    <t>Revitalizace Těšínského divadla</t>
  </si>
  <si>
    <t>Vlastní zdroje příspěvkové organizace ve výši 894 tis. Kč.</t>
  </si>
  <si>
    <t>Remeslá a priemysel v múzeu (Muzeum Beskyd Frýdek-Místek, příspěvková organizace)</t>
  </si>
  <si>
    <t>Digitalizace kulturního dědictví Moravskoslezského kraje - Galerie výtvarného umění v Ostravě (Galerie výtvarného umění v Ostravě, příspěvková organizace)</t>
  </si>
  <si>
    <t>Digitalizace kulturního dědictví Moravskoslezského kraje – Muzeum v Bruntále (Muzeum v Bruntále, příspěvková organizace)</t>
  </si>
  <si>
    <t>Digitalizace kulturního dědictví Moravskoslezského kraje - Muzeum Novojičínska (Muzeum Novojičínska, příspěvková organizace)</t>
  </si>
  <si>
    <t>Podpora činnosti sekretariátu Regionální stálé konference Moravskoslezského kraje IV</t>
  </si>
  <si>
    <t>Smart akcelerátor MSK</t>
  </si>
  <si>
    <t>Gastro vybavení Domova Březiny v Petřvaldě</t>
  </si>
  <si>
    <t>Podpora (Ne)formální péče v Moravskoslezském kraji</t>
  </si>
  <si>
    <t>Podpora duše III</t>
  </si>
  <si>
    <t>Podpora komunitní práce v MSK III</t>
  </si>
  <si>
    <t>Podpora návazných aktivit sociálních služeb v MSK</t>
  </si>
  <si>
    <t>Podpora procesu transformace zařízení pro děti a posílení kvality péče o děti se specifickými potřebami</t>
  </si>
  <si>
    <t>Podpora služeb sociální prevence 2022+</t>
  </si>
  <si>
    <t>Profesionalizace systému péče o ohrožené děti v Moravskoslezském kraji</t>
  </si>
  <si>
    <t>Rekonstrukce objektu organizace Zámek Dolní Životice, středisko Čtyřlístek v Opavě</t>
  </si>
  <si>
    <t>Rozvoj služeb v Ostravě – ul. Dr. Malého</t>
  </si>
  <si>
    <t>Transformace Zámku Dolní Životice</t>
  </si>
  <si>
    <t>Žít normálně II</t>
  </si>
  <si>
    <t>Energetické úspory - Gymnázium Havířov-Podlesí</t>
  </si>
  <si>
    <t>Energetické úspory - Gymnázium Ostrava-Zábřeh (Volgogradská 6a)</t>
  </si>
  <si>
    <t>Energetické úspory - Matiční gymnázium Ostrava</t>
  </si>
  <si>
    <t>Energetické úspory - Sportovní Gymnázium Dany a Emila Zátopkových, Ostrava</t>
  </si>
  <si>
    <t>Energetické úspory ve VOŠ zdravotnické Ostrava</t>
  </si>
  <si>
    <t>Implementace standardu konektivity, infrastruktury a kyberbezpečnosti ve středních školách v MSK</t>
  </si>
  <si>
    <t>Modernizace výuky informačních technologii III</t>
  </si>
  <si>
    <t>Modernizace výuky přírodovědných předmětů III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</si>
  <si>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</si>
  <si>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</si>
  <si>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</si>
  <si>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Rozšíření a modernizace výukových prostor na JG PT Ostrava-Poruba</t>
  </si>
  <si>
    <t>TPA – Inovační centrum pro transformaci vzdělávání</t>
  </si>
  <si>
    <t>Digitálně technická mapa Moravskoslezského kraje</t>
  </si>
  <si>
    <t>Obnova vozového parku sanitních vozidel ZZS MSK</t>
  </si>
  <si>
    <t>Výstavba výjezdového stanoviště Nový Jičín</t>
  </si>
  <si>
    <t>Kotlíkové dotace v Moravskoslezském kraji – 4. grantové schéma</t>
  </si>
  <si>
    <t>Rozpočet 2023</t>
  </si>
  <si>
    <t>PŘEHLED PŘÍJMŮ ZAŘAZENÝCH V NÁVRHU ROZPOČTU KRAJE NA ROK 2023 (v tis. Kč)</t>
  </si>
  <si>
    <t>Příjem z pronájmu pozemku na základě smlouvy  00499/2021/IM.</t>
  </si>
  <si>
    <t>Příjem z pachtového Průmyslové zóny Nošovice na základě smlouvy 04105/2016/RRC a 08180/2019/IM.</t>
  </si>
  <si>
    <t>Příjmy z pronájmu nebytových prostor v budovách krajského úřadu na základě smluv uzavřených Ministerstvem pro místní rozvoj ČR, Českou poštou s.p.</t>
  </si>
  <si>
    <t>Příjmy z umístění bankomatu České spořitelny, a.s. a nápojového automatu společnosti Automaty Kavamat Vending, s.r.o. a v budově krajského úřadu.</t>
  </si>
  <si>
    <t>Příjem z finančního vypořádání mezi kraji, obcemi a dobrovolnými svazky obcí</t>
  </si>
  <si>
    <t>Příjem od obce Hrčava, která vrací nečerpanou dotaci na realizaci projektu "Zlepšení dopravní dostupnosti v oblasti přírodních a kulturních aktivit „Trojmezí"" dle splátkového kalendáře.</t>
  </si>
  <si>
    <t>Ostatní přijaté vratky transferů a podobné příjmy</t>
  </si>
  <si>
    <t>Zúčtování poskytnutých zálohových palivových příplatků dopravcům zajišťující dopravní obslužnost dle Smluv o poskytnutí veřejných služeb v přepravě cestujících veřejnou linkovou osobní dopravou k zajištění dopravní obslužnosti Moravskoslezského kraje.</t>
  </si>
  <si>
    <t>Příspěvek společnosti Hyundai Motor Manufacturing Czech s.r.o. na zabezpečení úkolů JPO IV - Hasičského záchranného sboru podniku Hyundai Motor Manufacturing Czech s.r.o. na základě smlouvy č. 01865/2008/KH.</t>
  </si>
  <si>
    <t>Splátka jistiny půjčených prostředků z Fondu finančních zdrojů Jessica.</t>
  </si>
  <si>
    <t>Individuální návratná finanční výpomoc v odvětví sociálních věcí - KAFIRA o.p.s.</t>
  </si>
  <si>
    <t>Ostatní splátky půjčených prostředků od rozpočtů územní úrovně</t>
  </si>
  <si>
    <t>Plán pro zvládání sucha a nedostatku vody</t>
  </si>
  <si>
    <t>Dotační program - Podpora provozu venkovských prodejen v Moravskoslezském kraji</t>
  </si>
  <si>
    <t>Investiční přijaté transfery ze státních fondů</t>
  </si>
  <si>
    <t>Investiční přijaté transfery od jiných států</t>
  </si>
  <si>
    <t>Návratné finanční výpomoci v odvětví sociálních věcí poskytnuté z Fondu sociálních služeb.</t>
  </si>
  <si>
    <t>PŘEHLED AKCÍ FINANCOVANÝCH Z ÚVĚROVÝCH ZDROJŮ V NÁVRHU ROZPOČTU KRAJE NA ROK 2023</t>
  </si>
  <si>
    <t>Návrh výdajů
na rok 2023 celkem</t>
  </si>
  <si>
    <t>Návrh příjmů
na rok 2023</t>
  </si>
  <si>
    <t>Akce</t>
  </si>
  <si>
    <t>ORJ</t>
  </si>
  <si>
    <t>Rekonstrukce a modernizace sil. II/479 ul. Těšínská II. etapa</t>
  </si>
  <si>
    <t>Modernizace silnice II/477, II/647 Ostrava, ul. Bohumínská - III. Etapa</t>
  </si>
  <si>
    <t>3371</t>
  </si>
  <si>
    <t>3402</t>
  </si>
  <si>
    <t>3425</t>
  </si>
  <si>
    <t>3372</t>
  </si>
  <si>
    <t>Modernizace výuky informačních technologií III</t>
  </si>
  <si>
    <t>3440</t>
  </si>
  <si>
    <t>3442</t>
  </si>
  <si>
    <t>3443</t>
  </si>
  <si>
    <t>3444</t>
  </si>
  <si>
    <t>3445</t>
  </si>
  <si>
    <t>3446</t>
  </si>
  <si>
    <t>3448</t>
  </si>
  <si>
    <t>3449</t>
  </si>
  <si>
    <t>3450</t>
  </si>
  <si>
    <t>3490</t>
  </si>
  <si>
    <t>Energetické úspory - Gymnázium Ostrava-Hrabůvka</t>
  </si>
  <si>
    <t>3491</t>
  </si>
  <si>
    <t>3492</t>
  </si>
  <si>
    <t>3493</t>
  </si>
  <si>
    <t>3494</t>
  </si>
  <si>
    <t>3502</t>
  </si>
  <si>
    <t>POHO park Gabriela</t>
  </si>
  <si>
    <t>Rekonstrukce JIP neoperačních oborů (Nemocnice ve Frýdku-Místku, příspěvková organizace )</t>
  </si>
  <si>
    <t>Návratná finanční výpomoc příspěvkovým organizacím v odvětví chytrého regionu</t>
  </si>
  <si>
    <t>Rekonstrukce a modernizace silnice II/478, III/47811 Ostrava, ul. Mitrovická</t>
  </si>
  <si>
    <t>Výstavba domova pro seniory a domova se zvláštním režimem Kopřivnice (Domov pod Bílou horou, příspěvková organizace, Kopřivnice)</t>
  </si>
  <si>
    <t>Pavilon T - stavební úpravy a přístavba odd. onkologie (Slezská nemocnice v Opavě, příspěvková organizace)</t>
  </si>
  <si>
    <t>Výstavba nadzemních koridorů (Slezská nemocnice v Opavě, příspěvková organizace)</t>
  </si>
  <si>
    <t>Rekonstrukce vzletové a přistávací dráhy a navazujících provozních ploch Letiště Leoše Janáčka Ostrava</t>
  </si>
  <si>
    <t>Vratky návratných finančních výpomocí poskytnutých příspěvkovým organizacím v odvětví školství na zajištění běžného chodu organizací a na předfinancování podílů státu a EU při realizaci projektů spolufinancovaných z evropských finančních zdrojů.</t>
  </si>
  <si>
    <t>Podpora systému destinačního managementu turistických oblastí 2022-2023</t>
  </si>
  <si>
    <t>Podpora systému destinačního managementu turistických oblastí 2021-2022</t>
  </si>
  <si>
    <t>Projekt technické pomoci - Operační program Spravedlivá transformace</t>
  </si>
  <si>
    <t>Supporting mental health of young people in the era of coronavirus</t>
  </si>
  <si>
    <t>Digitální technická mapa Moravskoslezského kraje</t>
  </si>
  <si>
    <t>Snížení energetické náročnosti budov v areálu Slezské nemocnice v Opavě (Slezská nemocnice v Opavě, příspěvková organizace)</t>
  </si>
  <si>
    <t>IP LIFE for Coal Mining Landscape Adaptation</t>
  </si>
  <si>
    <t>-</t>
  </si>
  <si>
    <t>Splátky půjčených prostředků od ostatních zřízených a podobných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</si>
</sst>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2"/>
      <color rgb="FFFF0000"/>
      <name val="Times New Roman CE"/>
      <charset val="238"/>
    </font>
    <font>
      <sz val="12"/>
      <color rgb="FFFF0000"/>
      <name val="Tahoma"/>
      <family val="2"/>
      <charset val="238"/>
    </font>
    <font>
      <b/>
      <sz val="8"/>
      <color rgb="FF0070C0"/>
      <name val="Tahoma"/>
      <family val="2"/>
      <charset val="238"/>
    </font>
    <font>
      <sz val="8"/>
      <color rgb="FF0070C0"/>
      <name val="Tahoma"/>
      <family val="2"/>
      <charset val="238"/>
    </font>
    <font>
      <sz val="10"/>
      <color rgb="FF0070C0"/>
      <name val="Tahoma"/>
      <family val="2"/>
      <charset val="238"/>
    </font>
    <font>
      <sz val="11"/>
      <color rgb="FF0070C0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8"/>
      <color theme="4"/>
      <name val="Tahoma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8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indexed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1" fillId="0" borderId="0"/>
    <xf numFmtId="0" fontId="22" fillId="0" borderId="0"/>
    <xf numFmtId="0" fontId="26" fillId="0" borderId="0"/>
    <xf numFmtId="0" fontId="26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6" fillId="0" borderId="0"/>
    <xf numFmtId="0" fontId="43" fillId="0" borderId="0"/>
    <xf numFmtId="0" fontId="1" fillId="0" borderId="0">
      <alignment wrapText="1"/>
    </xf>
  </cellStyleXfs>
  <cellXfs count="498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1" fillId="0" borderId="0" xfId="1" applyFont="1"/>
    <xf numFmtId="0" fontId="15" fillId="0" borderId="0" xfId="1" applyFont="1" applyFill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16" xfId="3" applyNumberFormat="1" applyFont="1" applyFill="1" applyBorder="1" applyAlignment="1">
      <alignment vertical="center" wrapText="1"/>
    </xf>
    <xf numFmtId="49" fontId="4" fillId="2" borderId="17" xfId="3" applyNumberFormat="1" applyFont="1" applyFill="1" applyBorder="1" applyAlignment="1">
      <alignment horizontal="justify" vertical="center"/>
    </xf>
    <xf numFmtId="0" fontId="18" fillId="0" borderId="0" xfId="0" applyFont="1"/>
    <xf numFmtId="3" fontId="4" fillId="4" borderId="6" xfId="0" applyNumberFormat="1" applyFont="1" applyFill="1" applyBorder="1" applyAlignment="1">
      <alignment vertical="center"/>
    </xf>
    <xf numFmtId="3" fontId="26" fillId="0" borderId="0" xfId="9" applyNumberFormat="1"/>
    <xf numFmtId="3" fontId="26" fillId="0" borderId="0" xfId="9" applyNumberFormat="1" applyAlignment="1">
      <alignment horizontal="center"/>
    </xf>
    <xf numFmtId="3" fontId="27" fillId="0" borderId="0" xfId="9" applyNumberFormat="1" applyFont="1" applyAlignment="1">
      <alignment horizontal="center"/>
    </xf>
    <xf numFmtId="3" fontId="28" fillId="0" borderId="0" xfId="9" applyNumberFormat="1" applyFont="1"/>
    <xf numFmtId="3" fontId="27" fillId="0" borderId="6" xfId="9" applyNumberFormat="1" applyFont="1" applyBorder="1" applyAlignment="1">
      <alignment horizontal="center"/>
    </xf>
    <xf numFmtId="3" fontId="28" fillId="0" borderId="6" xfId="9" applyNumberFormat="1" applyFont="1" applyBorder="1"/>
    <xf numFmtId="49" fontId="28" fillId="0" borderId="6" xfId="9" applyNumberFormat="1" applyFont="1" applyBorder="1" applyAlignment="1">
      <alignment horizontal="center"/>
    </xf>
    <xf numFmtId="3" fontId="27" fillId="0" borderId="0" xfId="9" applyNumberFormat="1" applyFont="1"/>
    <xf numFmtId="49" fontId="28" fillId="0" borderId="6" xfId="9" applyNumberFormat="1" applyFont="1" applyBorder="1"/>
    <xf numFmtId="3" fontId="26" fillId="0" borderId="0" xfId="9" applyNumberFormat="1" applyFill="1"/>
    <xf numFmtId="3" fontId="26" fillId="0" borderId="0" xfId="9" applyNumberFormat="1" applyFill="1" applyAlignment="1">
      <alignment horizontal="center"/>
    </xf>
    <xf numFmtId="3" fontId="26" fillId="0" borderId="0" xfId="9" applyNumberFormat="1" applyFont="1"/>
    <xf numFmtId="3" fontId="26" fillId="0" borderId="0" xfId="9" applyNumberFormat="1" applyAlignment="1">
      <alignment horizontal="right"/>
    </xf>
    <xf numFmtId="3" fontId="29" fillId="0" borderId="0" xfId="9" applyNumberFormat="1" applyFont="1"/>
    <xf numFmtId="3" fontId="29" fillId="0" borderId="0" xfId="9" applyNumberFormat="1" applyFont="1" applyAlignment="1">
      <alignment horizontal="center"/>
    </xf>
    <xf numFmtId="3" fontId="26" fillId="0" borderId="0" xfId="9" applyNumberFormat="1" applyFill="1" applyBorder="1"/>
    <xf numFmtId="3" fontId="30" fillId="0" borderId="0" xfId="9" applyNumberFormat="1" applyFont="1" applyBorder="1"/>
    <xf numFmtId="3" fontId="26" fillId="0" borderId="6" xfId="9" applyNumberFormat="1" applyFont="1" applyFill="1" applyBorder="1"/>
    <xf numFmtId="3" fontId="26" fillId="0" borderId="6" xfId="9" applyNumberFormat="1" applyFill="1" applyBorder="1"/>
    <xf numFmtId="3" fontId="29" fillId="0" borderId="6" xfId="9" applyNumberFormat="1" applyFont="1" applyBorder="1" applyAlignment="1">
      <alignment horizontal="center"/>
    </xf>
    <xf numFmtId="3" fontId="26" fillId="0" borderId="6" xfId="9" applyNumberFormat="1" applyBorder="1" applyAlignment="1">
      <alignment horizontal="center"/>
    </xf>
    <xf numFmtId="3" fontId="30" fillId="5" borderId="6" xfId="9" applyNumberFormat="1" applyFont="1" applyFill="1" applyBorder="1"/>
    <xf numFmtId="3" fontId="26" fillId="0" borderId="6" xfId="9" applyNumberFormat="1" applyFill="1" applyBorder="1" applyAlignment="1">
      <alignment horizontal="center"/>
    </xf>
    <xf numFmtId="3" fontId="26" fillId="0" borderId="6" xfId="9" applyNumberFormat="1" applyFont="1" applyBorder="1" applyAlignment="1">
      <alignment horizontal="center"/>
    </xf>
    <xf numFmtId="3" fontId="30" fillId="0" borderId="6" xfId="9" applyNumberFormat="1" applyFont="1" applyBorder="1"/>
    <xf numFmtId="3" fontId="26" fillId="6" borderId="6" xfId="9" applyNumberFormat="1" applyFill="1" applyBorder="1"/>
    <xf numFmtId="49" fontId="30" fillId="0" borderId="6" xfId="9" applyNumberFormat="1" applyFont="1" applyBorder="1" applyAlignment="1">
      <alignment horizontal="center"/>
    </xf>
    <xf numFmtId="3" fontId="26" fillId="0" borderId="0" xfId="9" applyNumberFormat="1" applyBorder="1"/>
    <xf numFmtId="3" fontId="26" fillId="0" borderId="6" xfId="9" applyNumberFormat="1" applyBorder="1"/>
    <xf numFmtId="3" fontId="30" fillId="0" borderId="0" xfId="9" applyNumberFormat="1" applyFont="1"/>
    <xf numFmtId="0" fontId="26" fillId="0" borderId="0" xfId="9"/>
    <xf numFmtId="3" fontId="31" fillId="6" borderId="6" xfId="9" applyNumberFormat="1" applyFont="1" applyFill="1" applyBorder="1"/>
    <xf numFmtId="3" fontId="31" fillId="0" borderId="6" xfId="9" applyNumberFormat="1" applyFont="1" applyFill="1" applyBorder="1"/>
    <xf numFmtId="3" fontId="30" fillId="0" borderId="6" xfId="10" applyNumberFormat="1" applyFont="1" applyFill="1" applyBorder="1" applyAlignment="1">
      <alignment horizontal="right" vertical="center"/>
    </xf>
    <xf numFmtId="0" fontId="30" fillId="0" borderId="6" xfId="10" applyFont="1" applyFill="1" applyBorder="1" applyAlignment="1">
      <alignment vertical="center"/>
    </xf>
    <xf numFmtId="3" fontId="26" fillId="0" borderId="6" xfId="9" applyNumberFormat="1" applyFont="1" applyBorder="1"/>
    <xf numFmtId="3" fontId="11" fillId="0" borderId="6" xfId="9" applyNumberFormat="1" applyFont="1" applyBorder="1" applyAlignment="1">
      <alignment horizontal="right"/>
    </xf>
    <xf numFmtId="3" fontId="32" fillId="0" borderId="6" xfId="10" applyNumberFormat="1" applyFont="1" applyFill="1" applyBorder="1" applyAlignment="1">
      <alignment horizontal="right"/>
    </xf>
    <xf numFmtId="3" fontId="32" fillId="0" borderId="6" xfId="10" applyNumberFormat="1" applyFont="1" applyFill="1" applyBorder="1"/>
    <xf numFmtId="0" fontId="32" fillId="0" borderId="6" xfId="10" applyFont="1" applyFill="1" applyBorder="1"/>
    <xf numFmtId="0" fontId="32" fillId="0" borderId="6" xfId="10" applyFont="1" applyFill="1" applyBorder="1" applyAlignment="1">
      <alignment horizontal="right"/>
    </xf>
    <xf numFmtId="3" fontId="26" fillId="6" borderId="6" xfId="9" applyNumberFormat="1" applyFont="1" applyFill="1" applyBorder="1"/>
    <xf numFmtId="0" fontId="31" fillId="6" borderId="6" xfId="9" applyFont="1" applyFill="1" applyBorder="1" applyAlignment="1">
      <alignment horizontal="center"/>
    </xf>
    <xf numFmtId="0" fontId="31" fillId="0" borderId="6" xfId="9" applyFont="1" applyFill="1" applyBorder="1" applyAlignment="1">
      <alignment horizontal="center"/>
    </xf>
    <xf numFmtId="0" fontId="30" fillId="0" borderId="22" xfId="9" applyFont="1" applyBorder="1" applyAlignment="1">
      <alignment horizontal="center"/>
    </xf>
    <xf numFmtId="0" fontId="26" fillId="0" borderId="22" xfId="9" applyFont="1" applyBorder="1"/>
    <xf numFmtId="3" fontId="33" fillId="0" borderId="6" xfId="9" applyNumberFormat="1" applyFont="1" applyFill="1" applyBorder="1" applyAlignment="1">
      <alignment vertical="center"/>
    </xf>
    <xf numFmtId="0" fontId="33" fillId="0" borderId="6" xfId="9" applyFont="1" applyFill="1" applyBorder="1" applyAlignment="1">
      <alignment vertical="center"/>
    </xf>
    <xf numFmtId="3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/>
    <xf numFmtId="0" fontId="32" fillId="0" borderId="6" xfId="9" applyFont="1" applyFill="1" applyBorder="1"/>
    <xf numFmtId="0" fontId="30" fillId="0" borderId="6" xfId="9" applyFont="1" applyBorder="1" applyAlignment="1">
      <alignment horizontal="center"/>
    </xf>
    <xf numFmtId="0" fontId="26" fillId="0" borderId="6" xfId="9" applyBorder="1"/>
    <xf numFmtId="0" fontId="26" fillId="0" borderId="0" xfId="9" applyFill="1"/>
    <xf numFmtId="4" fontId="30" fillId="6" borderId="6" xfId="9" applyNumberFormat="1" applyFont="1" applyFill="1" applyBorder="1" applyAlignment="1">
      <alignment horizontal="right"/>
    </xf>
    <xf numFmtId="3" fontId="34" fillId="6" borderId="6" xfId="9" applyNumberFormat="1" applyFont="1" applyFill="1" applyBorder="1" applyAlignment="1">
      <alignment wrapText="1"/>
    </xf>
    <xf numFmtId="4" fontId="30" fillId="0" borderId="6" xfId="9" applyNumberFormat="1" applyFont="1" applyFill="1" applyBorder="1" applyAlignment="1">
      <alignment horizontal="right"/>
    </xf>
    <xf numFmtId="3" fontId="34" fillId="0" borderId="6" xfId="9" applyNumberFormat="1" applyFont="1" applyFill="1" applyBorder="1" applyAlignment="1">
      <alignment wrapText="1"/>
    </xf>
    <xf numFmtId="4" fontId="30" fillId="0" borderId="6" xfId="9" applyNumberFormat="1" applyFont="1" applyBorder="1" applyAlignment="1">
      <alignment horizontal="right"/>
    </xf>
    <xf numFmtId="3" fontId="34" fillId="0" borderId="6" xfId="9" applyNumberFormat="1" applyFont="1" applyBorder="1" applyAlignment="1">
      <alignment wrapText="1"/>
    </xf>
    <xf numFmtId="0" fontId="30" fillId="0" borderId="6" xfId="9" applyFont="1" applyBorder="1" applyAlignment="1">
      <alignment wrapText="1"/>
    </xf>
    <xf numFmtId="3" fontId="35" fillId="0" borderId="0" xfId="9" applyNumberFormat="1" applyFont="1"/>
    <xf numFmtId="3" fontId="35" fillId="0" borderId="0" xfId="9" applyNumberFormat="1" applyFont="1" applyFill="1"/>
    <xf numFmtId="4" fontId="32" fillId="6" borderId="6" xfId="9" applyNumberFormat="1" applyFont="1" applyFill="1" applyBorder="1" applyAlignment="1">
      <alignment horizontal="right"/>
    </xf>
    <xf numFmtId="3" fontId="32" fillId="6" borderId="6" xfId="9" applyNumberFormat="1" applyFont="1" applyFill="1" applyBorder="1" applyAlignment="1">
      <alignment wrapText="1"/>
    </xf>
    <xf numFmtId="4" fontId="32" fillId="0" borderId="6" xfId="9" applyNumberFormat="1" applyFont="1" applyFill="1" applyBorder="1" applyAlignment="1">
      <alignment horizontal="right"/>
    </xf>
    <xf numFmtId="3" fontId="32" fillId="0" borderId="6" xfId="9" applyNumberFormat="1" applyFont="1" applyFill="1" applyBorder="1" applyAlignment="1">
      <alignment wrapText="1"/>
    </xf>
    <xf numFmtId="4" fontId="32" fillId="0" borderId="6" xfId="9" applyNumberFormat="1" applyFont="1" applyBorder="1" applyAlignment="1">
      <alignment horizontal="right"/>
    </xf>
    <xf numFmtId="3" fontId="32" fillId="0" borderId="6" xfId="9" applyNumberFormat="1" applyFont="1" applyBorder="1" applyAlignment="1">
      <alignment wrapText="1"/>
    </xf>
    <xf numFmtId="0" fontId="32" fillId="0" borderId="6" xfId="9" applyFont="1" applyBorder="1" applyAlignment="1">
      <alignment wrapText="1"/>
    </xf>
    <xf numFmtId="3" fontId="32" fillId="3" borderId="6" xfId="9" applyNumberFormat="1" applyFont="1" applyFill="1" applyBorder="1" applyAlignment="1">
      <alignment wrapText="1"/>
    </xf>
    <xf numFmtId="0" fontId="32" fillId="0" borderId="6" xfId="9" applyFont="1" applyFill="1" applyBorder="1" applyAlignment="1">
      <alignment wrapText="1"/>
    </xf>
    <xf numFmtId="3" fontId="32" fillId="6" borderId="6" xfId="9" applyNumberFormat="1" applyFont="1" applyFill="1" applyBorder="1" applyAlignment="1"/>
    <xf numFmtId="3" fontId="32" fillId="0" borderId="6" xfId="9" applyNumberFormat="1" applyFont="1" applyFill="1" applyBorder="1" applyAlignment="1"/>
    <xf numFmtId="3" fontId="32" fillId="3" borderId="6" xfId="9" applyNumberFormat="1" applyFont="1" applyFill="1" applyBorder="1" applyAlignment="1"/>
    <xf numFmtId="0" fontId="32" fillId="0" borderId="6" xfId="9" applyFont="1" applyBorder="1" applyAlignment="1"/>
    <xf numFmtId="4" fontId="32" fillId="0" borderId="6" xfId="9" applyNumberFormat="1" applyFont="1" applyBorder="1" applyAlignment="1">
      <alignment wrapText="1"/>
    </xf>
    <xf numFmtId="4" fontId="30" fillId="6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Fill="1" applyBorder="1" applyAlignment="1">
      <alignment horizontal="center" vertical="center" wrapText="1"/>
    </xf>
    <xf numFmtId="4" fontId="30" fillId="0" borderId="6" xfId="9" applyNumberFormat="1" applyFont="1" applyBorder="1" applyAlignment="1">
      <alignment horizontal="center" vertical="center" wrapText="1"/>
    </xf>
    <xf numFmtId="0" fontId="30" fillId="0" borderId="6" xfId="9" applyFont="1" applyBorder="1" applyAlignment="1">
      <alignment horizontal="center" vertical="center" wrapText="1"/>
    </xf>
    <xf numFmtId="4" fontId="36" fillId="0" borderId="0" xfId="9" applyNumberFormat="1" applyFont="1"/>
    <xf numFmtId="4" fontId="36" fillId="0" borderId="0" xfId="9" applyNumberFormat="1" applyFont="1" applyFill="1"/>
    <xf numFmtId="3" fontId="15" fillId="6" borderId="33" xfId="11" applyNumberFormat="1" applyFont="1" applyFill="1" applyBorder="1"/>
    <xf numFmtId="4" fontId="36" fillId="6" borderId="38" xfId="11" applyNumberFormat="1" applyFont="1" applyFill="1" applyBorder="1"/>
    <xf numFmtId="4" fontId="36" fillId="0" borderId="38" xfId="11" applyNumberFormat="1" applyFont="1" applyFill="1" applyBorder="1"/>
    <xf numFmtId="4" fontId="11" fillId="0" borderId="6" xfId="12" applyNumberFormat="1" applyFont="1" applyFill="1" applyBorder="1"/>
    <xf numFmtId="0" fontId="11" fillId="0" borderId="4" xfId="12" applyFont="1" applyFill="1" applyBorder="1" applyAlignment="1">
      <alignment horizontal="left"/>
    </xf>
    <xf numFmtId="4" fontId="36" fillId="6" borderId="33" xfId="11" applyNumberFormat="1" applyFont="1" applyFill="1" applyBorder="1"/>
    <xf numFmtId="4" fontId="36" fillId="0" borderId="33" xfId="11" applyNumberFormat="1" applyFont="1" applyFill="1" applyBorder="1"/>
    <xf numFmtId="3" fontId="15" fillId="6" borderId="39" xfId="11" applyNumberFormat="1" applyFont="1" applyFill="1" applyBorder="1"/>
    <xf numFmtId="4" fontId="36" fillId="6" borderId="6" xfId="12" applyNumberFormat="1" applyFont="1" applyFill="1" applyBorder="1"/>
    <xf numFmtId="4" fontId="36" fillId="0" borderId="6" xfId="12" applyNumberFormat="1" applyFont="1" applyFill="1" applyBorder="1"/>
    <xf numFmtId="4" fontId="37" fillId="6" borderId="6" xfId="12" applyNumberFormat="1" applyFont="1" applyFill="1" applyBorder="1"/>
    <xf numFmtId="4" fontId="37" fillId="0" borderId="6" xfId="12" applyNumberFormat="1" applyFont="1" applyFill="1" applyBorder="1"/>
    <xf numFmtId="4" fontId="38" fillId="0" borderId="6" xfId="12" applyNumberFormat="1" applyFont="1" applyFill="1" applyBorder="1"/>
    <xf numFmtId="0" fontId="38" fillId="0" borderId="4" xfId="12" applyFont="1" applyFill="1" applyBorder="1" applyAlignment="1">
      <alignment horizontal="left"/>
    </xf>
    <xf numFmtId="49" fontId="37" fillId="0" borderId="0" xfId="9" applyNumberFormat="1" applyFont="1" applyAlignment="1">
      <alignment horizontal="right"/>
    </xf>
    <xf numFmtId="49" fontId="37" fillId="0" borderId="0" xfId="9" applyNumberFormat="1" applyFont="1" applyFill="1" applyAlignment="1">
      <alignment horizontal="right"/>
    </xf>
    <xf numFmtId="0" fontId="31" fillId="0" borderId="0" xfId="9" applyFont="1" applyFill="1"/>
    <xf numFmtId="0" fontId="31" fillId="0" borderId="0" xfId="9" applyFont="1"/>
    <xf numFmtId="3" fontId="37" fillId="6" borderId="6" xfId="9" applyNumberFormat="1" applyFont="1" applyFill="1" applyBorder="1" applyAlignment="1">
      <alignment wrapText="1"/>
    </xf>
    <xf numFmtId="3" fontId="37" fillId="0" borderId="6" xfId="9" applyNumberFormat="1" applyFont="1" applyFill="1" applyBorder="1" applyAlignment="1">
      <alignment wrapText="1"/>
    </xf>
    <xf numFmtId="3" fontId="30" fillId="0" borderId="6" xfId="9" applyNumberFormat="1" applyFont="1" applyFill="1" applyBorder="1" applyAlignment="1">
      <alignment wrapText="1"/>
    </xf>
    <xf numFmtId="3" fontId="30" fillId="0" borderId="6" xfId="9" applyNumberFormat="1" applyFont="1" applyBorder="1" applyAlignment="1">
      <alignment wrapText="1"/>
    </xf>
    <xf numFmtId="3" fontId="36" fillId="0" borderId="0" xfId="9" applyNumberFormat="1" applyFont="1" applyFill="1"/>
    <xf numFmtId="3" fontId="36" fillId="6" borderId="6" xfId="9" applyNumberFormat="1" applyFont="1" applyFill="1" applyBorder="1" applyAlignment="1">
      <alignment wrapText="1"/>
    </xf>
    <xf numFmtId="3" fontId="36" fillId="0" borderId="6" xfId="9" applyNumberFormat="1" applyFont="1" applyFill="1" applyBorder="1" applyAlignment="1">
      <alignment wrapText="1"/>
    </xf>
    <xf numFmtId="3" fontId="36" fillId="6" borderId="6" xfId="9" applyNumberFormat="1" applyFont="1" applyFill="1" applyBorder="1" applyAlignment="1"/>
    <xf numFmtId="3" fontId="36" fillId="0" borderId="6" xfId="9" applyNumberFormat="1" applyFont="1" applyFill="1" applyBorder="1" applyAlignment="1"/>
    <xf numFmtId="3" fontId="32" fillId="0" borderId="6" xfId="9" applyNumberFormat="1" applyFont="1" applyBorder="1" applyAlignment="1"/>
    <xf numFmtId="4" fontId="37" fillId="6" borderId="6" xfId="9" applyNumberFormat="1" applyFont="1" applyFill="1" applyBorder="1" applyAlignment="1">
      <alignment horizontal="center" vertical="center" wrapText="1"/>
    </xf>
    <xf numFmtId="4" fontId="37" fillId="0" borderId="6" xfId="9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Fill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39" fillId="0" borderId="0" xfId="14" applyFont="1"/>
    <xf numFmtId="0" fontId="40" fillId="0" borderId="0" xfId="14" applyFont="1" applyAlignment="1">
      <alignment horizontal="center"/>
    </xf>
    <xf numFmtId="0" fontId="5" fillId="0" borderId="0" xfId="14" applyFont="1" applyAlignment="1">
      <alignment horizontal="left"/>
    </xf>
    <xf numFmtId="3" fontId="41" fillId="0" borderId="0" xfId="14" applyNumberFormat="1" applyFont="1"/>
    <xf numFmtId="0" fontId="41" fillId="0" borderId="0" xfId="1" applyFont="1" applyAlignment="1">
      <alignment wrapText="1"/>
    </xf>
    <xf numFmtId="0" fontId="41" fillId="0" borderId="0" xfId="14" applyFont="1"/>
    <xf numFmtId="0" fontId="5" fillId="0" borderId="40" xfId="14" applyFont="1" applyBorder="1" applyAlignment="1">
      <alignment horizontal="center" vertical="center" wrapText="1"/>
    </xf>
    <xf numFmtId="0" fontId="5" fillId="0" borderId="41" xfId="14" applyFont="1" applyBorder="1" applyAlignment="1">
      <alignment horizontal="center" vertical="center" wrapText="1"/>
    </xf>
    <xf numFmtId="3" fontId="5" fillId="0" borderId="42" xfId="14" applyNumberFormat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3" fontId="5" fillId="0" borderId="41" xfId="14" applyNumberFormat="1" applyFont="1" applyBorder="1" applyAlignment="1">
      <alignment horizontal="center" vertical="center" wrapText="1"/>
    </xf>
    <xf numFmtId="0" fontId="42" fillId="0" borderId="0" xfId="14" applyFont="1"/>
    <xf numFmtId="0" fontId="5" fillId="0" borderId="61" xfId="14" applyFont="1" applyBorder="1" applyAlignment="1">
      <alignment horizontal="center" vertical="center" wrapText="1"/>
    </xf>
    <xf numFmtId="0" fontId="5" fillId="0" borderId="62" xfId="14" applyFont="1" applyBorder="1" applyAlignment="1">
      <alignment horizontal="center" vertical="center" wrapText="1"/>
    </xf>
    <xf numFmtId="3" fontId="5" fillId="0" borderId="62" xfId="14" applyNumberFormat="1" applyFont="1" applyBorder="1" applyAlignment="1">
      <alignment horizontal="center" vertical="center" wrapText="1"/>
    </xf>
    <xf numFmtId="0" fontId="41" fillId="0" borderId="0" xfId="14" applyFont="1" applyAlignment="1">
      <alignment horizontal="center"/>
    </xf>
    <xf numFmtId="0" fontId="4" fillId="0" borderId="5" xfId="1" applyFont="1" applyFill="1" applyBorder="1" applyAlignment="1">
      <alignment horizontal="left" vertical="center" wrapText="1"/>
    </xf>
    <xf numFmtId="3" fontId="26" fillId="8" borderId="6" xfId="9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2" xfId="4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5" fillId="0" borderId="0" xfId="1" applyFont="1" applyAlignment="1">
      <alignment vertical="center"/>
    </xf>
    <xf numFmtId="0" fontId="2" fillId="0" borderId="0" xfId="14" applyFont="1" applyAlignment="1">
      <alignment horizontal="center"/>
    </xf>
    <xf numFmtId="0" fontId="45" fillId="0" borderId="0" xfId="1" applyFont="1" applyFill="1" applyAlignment="1">
      <alignment vertical="center"/>
    </xf>
    <xf numFmtId="0" fontId="4" fillId="0" borderId="7" xfId="3" applyFont="1" applyBorder="1" applyAlignment="1">
      <alignment horizontal="justify" vertical="center"/>
    </xf>
    <xf numFmtId="3" fontId="4" fillId="0" borderId="33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1" xfId="3" applyFont="1" applyBorder="1" applyAlignment="1">
      <alignment vertical="center"/>
    </xf>
    <xf numFmtId="0" fontId="5" fillId="0" borderId="32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4" fillId="0" borderId="5" xfId="3" applyFont="1" applyBorder="1" applyAlignment="1">
      <alignment horizontal="center" vertical="center" wrapText="1"/>
    </xf>
    <xf numFmtId="49" fontId="4" fillId="0" borderId="7" xfId="3" applyNumberFormat="1" applyFont="1" applyBorder="1" applyAlignment="1">
      <alignment horizontal="justify" vertical="center"/>
    </xf>
    <xf numFmtId="4" fontId="18" fillId="0" borderId="0" xfId="0" applyNumberFormat="1" applyFont="1"/>
    <xf numFmtId="3" fontId="18" fillId="0" borderId="0" xfId="0" applyNumberFormat="1" applyFont="1"/>
    <xf numFmtId="0" fontId="4" fillId="0" borderId="0" xfId="17" applyFont="1" applyAlignment="1">
      <alignment vertical="center"/>
    </xf>
    <xf numFmtId="0" fontId="41" fillId="0" borderId="0" xfId="1" applyFont="1"/>
    <xf numFmtId="0" fontId="42" fillId="0" borderId="0" xfId="1" applyFont="1"/>
    <xf numFmtId="0" fontId="42" fillId="0" borderId="0" xfId="1" applyFont="1" applyAlignment="1">
      <alignment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2" fillId="0" borderId="17" xfId="1" applyFont="1" applyBorder="1" applyAlignment="1">
      <alignment wrapText="1"/>
    </xf>
    <xf numFmtId="3" fontId="5" fillId="0" borderId="16" xfId="1" applyNumberFormat="1" applyFont="1" applyBorder="1" applyAlignment="1">
      <alignment wrapText="1"/>
    </xf>
    <xf numFmtId="0" fontId="39" fillId="0" borderId="0" xfId="1" applyFont="1" applyAlignment="1">
      <alignment horizontal="left"/>
    </xf>
    <xf numFmtId="0" fontId="42" fillId="0" borderId="0" xfId="14" applyFont="1" applyAlignment="1">
      <alignment horizontal="left"/>
    </xf>
    <xf numFmtId="3" fontId="5" fillId="0" borderId="36" xfId="14" applyNumberFormat="1" applyFont="1" applyBorder="1"/>
    <xf numFmtId="0" fontId="5" fillId="0" borderId="35" xfId="14" applyFont="1" applyBorder="1" applyAlignment="1">
      <alignment horizontal="left"/>
    </xf>
    <xf numFmtId="3" fontId="4" fillId="0" borderId="45" xfId="14" applyNumberFormat="1" applyFont="1" applyBorder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3" fontId="4" fillId="0" borderId="6" xfId="14" applyNumberFormat="1" applyFont="1" applyBorder="1" applyAlignment="1">
      <alignment vertical="center"/>
    </xf>
    <xf numFmtId="0" fontId="4" fillId="0" borderId="54" xfId="1" applyFont="1" applyBorder="1" applyAlignment="1">
      <alignment horizontal="justify" vertical="center" wrapText="1"/>
    </xf>
    <xf numFmtId="3" fontId="4" fillId="0" borderId="19" xfId="14" applyNumberFormat="1" applyFont="1" applyBorder="1" applyAlignment="1">
      <alignment vertical="center"/>
    </xf>
    <xf numFmtId="0" fontId="5" fillId="0" borderId="0" xfId="14" applyFont="1"/>
    <xf numFmtId="0" fontId="24" fillId="0" borderId="0" xfId="1" applyFont="1" applyAlignment="1">
      <alignment horizontal="center" vertical="center" wrapText="1"/>
    </xf>
    <xf numFmtId="0" fontId="4" fillId="0" borderId="45" xfId="15" applyFont="1" applyBorder="1" applyAlignment="1">
      <alignment horizontal="left" vertical="center" wrapText="1"/>
    </xf>
    <xf numFmtId="0" fontId="4" fillId="0" borderId="44" xfId="14" applyFont="1" applyBorder="1" applyAlignment="1">
      <alignment horizontal="center" vertical="center"/>
    </xf>
    <xf numFmtId="0" fontId="4" fillId="0" borderId="52" xfId="1" applyFont="1" applyBorder="1" applyAlignment="1">
      <alignment horizontal="justify" vertical="center" wrapText="1"/>
    </xf>
    <xf numFmtId="3" fontId="5" fillId="0" borderId="59" xfId="14" applyNumberFormat="1" applyFont="1" applyBorder="1"/>
    <xf numFmtId="0" fontId="5" fillId="0" borderId="59" xfId="14" applyFont="1" applyBorder="1"/>
    <xf numFmtId="0" fontId="5" fillId="0" borderId="59" xfId="14" applyFont="1" applyBorder="1" applyAlignment="1">
      <alignment horizontal="left"/>
    </xf>
    <xf numFmtId="3" fontId="4" fillId="0" borderId="22" xfId="14" applyNumberFormat="1" applyFont="1" applyBorder="1" applyAlignment="1">
      <alignment vertical="center"/>
    </xf>
    <xf numFmtId="3" fontId="4" fillId="0" borderId="51" xfId="14" applyNumberFormat="1" applyFont="1" applyBorder="1" applyAlignment="1">
      <alignment vertical="center"/>
    </xf>
    <xf numFmtId="0" fontId="5" fillId="0" borderId="0" xfId="1" applyFont="1" applyAlignment="1">
      <alignment wrapText="1"/>
    </xf>
    <xf numFmtId="3" fontId="5" fillId="0" borderId="0" xfId="14" applyNumberFormat="1" applyFont="1"/>
    <xf numFmtId="0" fontId="4" fillId="0" borderId="21" xfId="1" applyFont="1" applyBorder="1" applyAlignment="1">
      <alignment horizontal="justify" vertical="center" wrapText="1"/>
    </xf>
    <xf numFmtId="0" fontId="45" fillId="0" borderId="0" xfId="1" applyFont="1" applyAlignment="1">
      <alignment horizontal="justify" vertical="center"/>
    </xf>
    <xf numFmtId="0" fontId="45" fillId="0" borderId="0" xfId="1" applyFont="1" applyAlignment="1">
      <alignment horizontal="justify" vertical="center" wrapText="1"/>
    </xf>
    <xf numFmtId="0" fontId="24" fillId="0" borderId="0" xfId="1" applyFont="1" applyAlignment="1">
      <alignment horizontal="center" vertical="center"/>
    </xf>
    <xf numFmtId="0" fontId="4" fillId="0" borderId="66" xfId="14" applyFont="1" applyBorder="1" applyAlignment="1">
      <alignment horizontal="center" vertical="center"/>
    </xf>
    <xf numFmtId="0" fontId="4" fillId="0" borderId="51" xfId="15" applyFont="1" applyBorder="1" applyAlignment="1">
      <alignment horizontal="left" vertical="center" wrapText="1"/>
    </xf>
    <xf numFmtId="3" fontId="50" fillId="0" borderId="64" xfId="17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right"/>
    </xf>
    <xf numFmtId="3" fontId="50" fillId="4" borderId="12" xfId="17" applyNumberFormat="1" applyFont="1" applyFill="1" applyBorder="1" applyAlignment="1">
      <alignment horizontal="center" vertical="center" wrapText="1"/>
    </xf>
    <xf numFmtId="3" fontId="23" fillId="0" borderId="6" xfId="17" applyNumberFormat="1" applyFont="1" applyBorder="1" applyAlignment="1">
      <alignment horizontal="right" vertical="center" wrapText="1"/>
    </xf>
    <xf numFmtId="3" fontId="50" fillId="0" borderId="11" xfId="17" applyNumberFormat="1" applyFont="1" applyBorder="1" applyAlignment="1">
      <alignment horizontal="center" vertical="center" wrapText="1"/>
    </xf>
    <xf numFmtId="3" fontId="50" fillId="4" borderId="11" xfId="17" applyNumberFormat="1" applyFont="1" applyFill="1" applyBorder="1" applyAlignment="1">
      <alignment horizontal="center" vertical="center" wrapText="1"/>
    </xf>
    <xf numFmtId="3" fontId="23" fillId="4" borderId="6" xfId="17" applyNumberFormat="1" applyFont="1" applyFill="1" applyBorder="1" applyAlignment="1">
      <alignment horizontal="right" vertical="center" wrapText="1"/>
    </xf>
    <xf numFmtId="3" fontId="50" fillId="4" borderId="6" xfId="17" applyNumberFormat="1" applyFont="1" applyFill="1" applyBorder="1" applyAlignment="1">
      <alignment horizontal="right" vertical="center" wrapText="1"/>
    </xf>
    <xf numFmtId="3" fontId="4" fillId="4" borderId="6" xfId="17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" fontId="50" fillId="4" borderId="34" xfId="17" applyNumberFormat="1" applyFont="1" applyFill="1" applyBorder="1" applyAlignment="1">
      <alignment horizontal="left" vertical="center" wrapText="1"/>
    </xf>
    <xf numFmtId="3" fontId="50" fillId="4" borderId="16" xfId="17" applyNumberFormat="1" applyFont="1" applyFill="1" applyBorder="1" applyAlignment="1">
      <alignment horizontal="right" vertical="center" wrapText="1"/>
    </xf>
    <xf numFmtId="3" fontId="50" fillId="4" borderId="17" xfId="17" applyNumberFormat="1" applyFont="1" applyFill="1" applyBorder="1" applyAlignment="1">
      <alignment horizontal="right" vertical="center" wrapText="1"/>
    </xf>
    <xf numFmtId="3" fontId="4" fillId="4" borderId="7" xfId="0" applyNumberFormat="1" applyFont="1" applyFill="1" applyBorder="1" applyAlignment="1">
      <alignment vertical="center"/>
    </xf>
    <xf numFmtId="3" fontId="23" fillId="4" borderId="7" xfId="17" applyNumberFormat="1" applyFont="1" applyFill="1" applyBorder="1" applyAlignment="1">
      <alignment horizontal="right" vertical="center" wrapText="1"/>
    </xf>
    <xf numFmtId="3" fontId="50" fillId="4" borderId="4" xfId="17" applyNumberFormat="1" applyFont="1" applyFill="1" applyBorder="1" applyAlignment="1">
      <alignment horizontal="left" vertical="center" wrapText="1"/>
    </xf>
    <xf numFmtId="3" fontId="50" fillId="4" borderId="7" xfId="17" applyNumberFormat="1" applyFont="1" applyFill="1" applyBorder="1" applyAlignment="1">
      <alignment horizontal="right" vertical="center" wrapText="1"/>
    </xf>
    <xf numFmtId="3" fontId="53" fillId="4" borderId="7" xfId="0" applyNumberFormat="1" applyFont="1" applyFill="1" applyBorder="1" applyAlignment="1">
      <alignment horizontal="right" vertical="center" wrapText="1"/>
    </xf>
    <xf numFmtId="3" fontId="4" fillId="4" borderId="7" xfId="17" applyNumberFormat="1" applyFont="1" applyFill="1" applyBorder="1" applyAlignment="1">
      <alignment horizontal="right" vertical="center" wrapText="1"/>
    </xf>
    <xf numFmtId="3" fontId="50" fillId="0" borderId="67" xfId="17" applyNumberFormat="1" applyFont="1" applyBorder="1" applyAlignment="1">
      <alignment horizontal="left" vertical="center" wrapText="1"/>
    </xf>
    <xf numFmtId="3" fontId="54" fillId="7" borderId="0" xfId="9" applyNumberFormat="1" applyFont="1" applyFill="1"/>
    <xf numFmtId="3" fontId="26" fillId="7" borderId="0" xfId="9" applyNumberFormat="1" applyFont="1" applyFill="1"/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3" fontId="4" fillId="0" borderId="6" xfId="3" applyNumberFormat="1" applyFont="1" applyBorder="1" applyAlignment="1">
      <alignment horizontal="center" vertical="center" wrapText="1"/>
    </xf>
    <xf numFmtId="0" fontId="5" fillId="2" borderId="16" xfId="3" applyFont="1" applyFill="1" applyBorder="1" applyAlignment="1">
      <alignment vertical="center" wrapText="1"/>
    </xf>
    <xf numFmtId="0" fontId="4" fillId="0" borderId="23" xfId="1" applyFont="1" applyBorder="1" applyAlignment="1">
      <alignment horizontal="justify" vertical="center" wrapText="1"/>
    </xf>
    <xf numFmtId="0" fontId="4" fillId="0" borderId="57" xfId="1" applyFont="1" applyBorder="1" applyAlignment="1">
      <alignment horizontal="justify" vertical="center" wrapText="1"/>
    </xf>
    <xf numFmtId="0" fontId="4" fillId="0" borderId="59" xfId="1" applyFont="1" applyBorder="1" applyAlignment="1">
      <alignment wrapText="1"/>
    </xf>
    <xf numFmtId="0" fontId="4" fillId="0" borderId="7" xfId="1" applyFont="1" applyBorder="1" applyAlignment="1">
      <alignment horizontal="left" vertical="center" wrapText="1"/>
    </xf>
    <xf numFmtId="4" fontId="0" fillId="0" borderId="0" xfId="0" applyNumberFormat="1"/>
    <xf numFmtId="0" fontId="4" fillId="0" borderId="23" xfId="1" applyFont="1" applyBorder="1" applyAlignment="1">
      <alignment horizontal="left" vertical="center" wrapText="1"/>
    </xf>
    <xf numFmtId="4" fontId="36" fillId="0" borderId="33" xfId="12" applyNumberFormat="1" applyFont="1" applyFill="1" applyBorder="1"/>
    <xf numFmtId="4" fontId="36" fillId="6" borderId="33" xfId="12" applyNumberFormat="1" applyFont="1" applyFill="1" applyBorder="1"/>
    <xf numFmtId="3" fontId="4" fillId="0" borderId="4" xfId="0" applyNumberFormat="1" applyFont="1" applyBorder="1" applyAlignment="1">
      <alignment vertical="center"/>
    </xf>
    <xf numFmtId="3" fontId="4" fillId="0" borderId="6" xfId="17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0" borderId="0" xfId="1" applyFont="1" applyFill="1"/>
    <xf numFmtId="0" fontId="36" fillId="0" borderId="0" xfId="1" applyFont="1"/>
    <xf numFmtId="0" fontId="3" fillId="0" borderId="0" xfId="1" applyFont="1" applyFill="1" applyAlignment="1">
      <alignment horizontal="left"/>
    </xf>
    <xf numFmtId="0" fontId="36" fillId="0" borderId="0" xfId="1" applyFont="1" applyFill="1"/>
    <xf numFmtId="3" fontId="50" fillId="0" borderId="0" xfId="17" applyNumberFormat="1" applyFont="1" applyBorder="1" applyAlignment="1">
      <alignment horizontal="right" vertical="center" wrapText="1"/>
    </xf>
    <xf numFmtId="0" fontId="55" fillId="0" borderId="0" xfId="1" applyFont="1" applyFill="1" applyAlignment="1"/>
    <xf numFmtId="164" fontId="4" fillId="0" borderId="7" xfId="1" applyNumberFormat="1" applyFont="1" applyBorder="1" applyAlignment="1">
      <alignment horizontal="right" vertical="center"/>
    </xf>
    <xf numFmtId="3" fontId="5" fillId="4" borderId="6" xfId="1" applyNumberFormat="1" applyFont="1" applyFill="1" applyBorder="1" applyAlignment="1">
      <alignment vertical="center" wrapText="1"/>
    </xf>
    <xf numFmtId="3" fontId="4" fillId="4" borderId="6" xfId="1" applyNumberFormat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5" fillId="0" borderId="6" xfId="1" applyNumberFormat="1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3" fontId="5" fillId="2" borderId="5" xfId="3" applyNumberFormat="1" applyFont="1" applyFill="1" applyBorder="1" applyAlignment="1">
      <alignment vertical="center" wrapText="1"/>
    </xf>
    <xf numFmtId="3" fontId="4" fillId="0" borderId="5" xfId="3" applyNumberFormat="1" applyFont="1" applyBorder="1" applyAlignment="1">
      <alignment horizontal="center" vertical="center" wrapText="1"/>
    </xf>
    <xf numFmtId="0" fontId="56" fillId="0" borderId="21" xfId="3" applyFont="1" applyBorder="1" applyAlignment="1">
      <alignment vertical="center"/>
    </xf>
    <xf numFmtId="0" fontId="57" fillId="0" borderId="0" xfId="3" applyFont="1" applyAlignment="1">
      <alignment vertical="center"/>
    </xf>
    <xf numFmtId="0" fontId="57" fillId="0" borderId="15" xfId="3" applyFont="1" applyBorder="1" applyAlignment="1">
      <alignment vertical="center"/>
    </xf>
    <xf numFmtId="0" fontId="57" fillId="0" borderId="30" xfId="3" applyFont="1" applyBorder="1" applyAlignment="1">
      <alignment vertical="center" wrapText="1"/>
    </xf>
    <xf numFmtId="3" fontId="57" fillId="0" borderId="30" xfId="3" applyNumberFormat="1" applyFont="1" applyBorder="1" applyAlignment="1">
      <alignment vertical="center" wrapText="1"/>
    </xf>
    <xf numFmtId="49" fontId="57" fillId="0" borderId="18" xfId="3" applyNumberFormat="1" applyFont="1" applyBorder="1" applyAlignment="1">
      <alignment horizontal="justify" vertical="center"/>
    </xf>
    <xf numFmtId="0" fontId="58" fillId="0" borderId="0" xfId="3" applyFont="1" applyAlignment="1">
      <alignment vertical="center"/>
    </xf>
    <xf numFmtId="3" fontId="58" fillId="0" borderId="0" xfId="3" applyNumberFormat="1" applyFont="1" applyAlignment="1">
      <alignment vertical="center"/>
    </xf>
    <xf numFmtId="0" fontId="57" fillId="0" borderId="0" xfId="5" applyFont="1" applyAlignment="1">
      <alignment vertical="center"/>
    </xf>
    <xf numFmtId="4" fontId="57" fillId="0" borderId="0" xfId="3" applyNumberFormat="1" applyFont="1" applyAlignment="1">
      <alignment vertical="center"/>
    </xf>
    <xf numFmtId="4" fontId="56" fillId="0" borderId="0" xfId="3" applyNumberFormat="1" applyFont="1" applyAlignment="1">
      <alignment horizontal="right" vertical="center"/>
    </xf>
    <xf numFmtId="4" fontId="58" fillId="0" borderId="0" xfId="3" applyNumberFormat="1" applyFont="1" applyAlignment="1">
      <alignment vertical="center"/>
    </xf>
    <xf numFmtId="0" fontId="59" fillId="0" borderId="0" xfId="6" applyFont="1"/>
    <xf numFmtId="3" fontId="54" fillId="0" borderId="6" xfId="9" applyNumberFormat="1" applyFont="1" applyFill="1" applyBorder="1"/>
    <xf numFmtId="3" fontId="60" fillId="6" borderId="6" xfId="9" applyNumberFormat="1" applyFont="1" applyFill="1" applyBorder="1" applyAlignment="1">
      <alignment wrapText="1"/>
    </xf>
    <xf numFmtId="0" fontId="4" fillId="0" borderId="56" xfId="1" applyFont="1" applyBorder="1" applyAlignment="1">
      <alignment horizontal="center" vertical="center"/>
    </xf>
    <xf numFmtId="0" fontId="4" fillId="0" borderId="53" xfId="1" applyFont="1" applyBorder="1" applyAlignment="1">
      <alignment vertical="center" wrapText="1"/>
    </xf>
    <xf numFmtId="0" fontId="5" fillId="0" borderId="68" xfId="14" applyFont="1" applyBorder="1" applyAlignment="1">
      <alignment horizontal="left"/>
    </xf>
    <xf numFmtId="0" fontId="5" fillId="0" borderId="48" xfId="14" applyFont="1" applyBorder="1"/>
    <xf numFmtId="3" fontId="5" fillId="0" borderId="48" xfId="14" applyNumberFormat="1" applyFont="1" applyBorder="1"/>
    <xf numFmtId="0" fontId="5" fillId="0" borderId="69" xfId="1" applyFont="1" applyBorder="1" applyAlignment="1">
      <alignment wrapText="1"/>
    </xf>
    <xf numFmtId="0" fontId="61" fillId="0" borderId="0" xfId="14" applyFont="1" applyAlignment="1">
      <alignment horizontal="left"/>
    </xf>
    <xf numFmtId="0" fontId="61" fillId="0" borderId="0" xfId="14" applyFont="1"/>
    <xf numFmtId="3" fontId="61" fillId="0" borderId="0" xfId="14" applyNumberFormat="1" applyFont="1"/>
    <xf numFmtId="0" fontId="61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62" fillId="0" borderId="0" xfId="0" applyFont="1"/>
    <xf numFmtId="0" fontId="44" fillId="0" borderId="0" xfId="0" applyFont="1"/>
    <xf numFmtId="4" fontId="44" fillId="0" borderId="0" xfId="0" applyNumberFormat="1" applyFont="1"/>
    <xf numFmtId="0" fontId="63" fillId="0" borderId="0" xfId="0" applyFont="1"/>
    <xf numFmtId="0" fontId="25" fillId="0" borderId="0" xfId="0" applyFont="1"/>
    <xf numFmtId="4" fontId="25" fillId="0" borderId="0" xfId="0" applyNumberFormat="1" applyFont="1"/>
    <xf numFmtId="0" fontId="5" fillId="0" borderId="36" xfId="14" applyFont="1" applyBorder="1"/>
    <xf numFmtId="3" fontId="5" fillId="0" borderId="58" xfId="14" applyNumberFormat="1" applyFont="1" applyBorder="1"/>
    <xf numFmtId="0" fontId="5" fillId="0" borderId="58" xfId="1" applyFont="1" applyBorder="1" applyAlignment="1">
      <alignment wrapText="1"/>
    </xf>
    <xf numFmtId="0" fontId="61" fillId="0" borderId="0" xfId="14" applyFont="1" applyAlignment="1">
      <alignment horizontal="center"/>
    </xf>
    <xf numFmtId="0" fontId="64" fillId="0" borderId="0" xfId="1" applyFont="1" applyAlignment="1">
      <alignment wrapText="1"/>
    </xf>
    <xf numFmtId="0" fontId="5" fillId="0" borderId="60" xfId="1" applyFont="1" applyBorder="1" applyAlignment="1">
      <alignment wrapText="1"/>
    </xf>
    <xf numFmtId="0" fontId="4" fillId="0" borderId="0" xfId="1" applyFont="1" applyAlignment="1">
      <alignment wrapText="1"/>
    </xf>
    <xf numFmtId="0" fontId="4" fillId="0" borderId="0" xfId="14" applyFont="1"/>
    <xf numFmtId="0" fontId="5" fillId="0" borderId="0" xfId="1" applyFont="1"/>
    <xf numFmtId="0" fontId="42" fillId="0" borderId="48" xfId="14" applyFont="1" applyBorder="1"/>
    <xf numFmtId="0" fontId="4" fillId="0" borderId="29" xfId="14" applyFont="1" applyBorder="1" applyAlignment="1">
      <alignment horizontal="center" vertical="center" wrapText="1"/>
    </xf>
    <xf numFmtId="0" fontId="4" fillId="0" borderId="37" xfId="14" applyFont="1" applyBorder="1" applyAlignment="1">
      <alignment horizontal="center" vertical="center" wrapText="1"/>
    </xf>
    <xf numFmtId="0" fontId="4" fillId="0" borderId="22" xfId="15" applyFont="1" applyBorder="1" applyAlignment="1">
      <alignment horizontal="left" vertical="center" wrapText="1"/>
    </xf>
    <xf numFmtId="0" fontId="4" fillId="0" borderId="53" xfId="15" applyFont="1" applyBorder="1" applyAlignment="1">
      <alignment horizontal="left" vertical="center" wrapText="1"/>
    </xf>
    <xf numFmtId="0" fontId="4" fillId="0" borderId="19" xfId="15" applyFont="1" applyBorder="1" applyAlignment="1">
      <alignment horizontal="left" vertical="center" wrapText="1"/>
    </xf>
    <xf numFmtId="0" fontId="4" fillId="0" borderId="29" xfId="14" applyFont="1" applyBorder="1" applyAlignment="1">
      <alignment horizontal="center" vertical="center"/>
    </xf>
    <xf numFmtId="0" fontId="4" fillId="0" borderId="37" xfId="14" applyFont="1" applyBorder="1" applyAlignment="1">
      <alignment horizontal="center" vertical="center"/>
    </xf>
    <xf numFmtId="0" fontId="4" fillId="0" borderId="55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3" fontId="6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66" fillId="0" borderId="58" xfId="17" applyNumberFormat="1" applyFont="1" applyBorder="1" applyAlignment="1">
      <alignment horizontal="center" vertical="center" wrapText="1"/>
    </xf>
    <xf numFmtId="3" fontId="50" fillId="0" borderId="58" xfId="17" applyNumberFormat="1" applyFont="1" applyBorder="1" applyAlignment="1">
      <alignment horizontal="center" vertical="center" wrapText="1"/>
    </xf>
    <xf numFmtId="3" fontId="65" fillId="0" borderId="59" xfId="0" applyNumberFormat="1" applyFont="1" applyBorder="1" applyAlignment="1">
      <alignment horizontal="center" vertical="center" wrapText="1"/>
    </xf>
    <xf numFmtId="3" fontId="19" fillId="0" borderId="5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8" fillId="0" borderId="0" xfId="0" applyNumberFormat="1" applyFont="1" applyAlignment="1">
      <alignment vertical="center"/>
    </xf>
    <xf numFmtId="3" fontId="50" fillId="4" borderId="5" xfId="17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66" fillId="4" borderId="70" xfId="17" applyNumberFormat="1" applyFont="1" applyFill="1" applyBorder="1" applyAlignment="1">
      <alignment horizontal="center" vertical="center" wrapText="1"/>
    </xf>
    <xf numFmtId="3" fontId="50" fillId="4" borderId="70" xfId="17" applyNumberFormat="1" applyFont="1" applyFill="1" applyBorder="1" applyAlignment="1">
      <alignment horizontal="center" vertical="center" wrapText="1"/>
    </xf>
    <xf numFmtId="3" fontId="23" fillId="0" borderId="5" xfId="17" applyNumberFormat="1" applyFont="1" applyBorder="1" applyAlignment="1">
      <alignment horizontal="center" vertical="center" wrapText="1"/>
    </xf>
    <xf numFmtId="3" fontId="4" fillId="0" borderId="5" xfId="17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4" fillId="0" borderId="6" xfId="17" applyFont="1" applyBorder="1" applyAlignment="1">
      <alignment horizontal="center" vertical="center" wrapText="1"/>
    </xf>
    <xf numFmtId="0" fontId="23" fillId="9" borderId="5" xfId="17" applyFont="1" applyFill="1" applyBorder="1" applyAlignment="1">
      <alignment horizontal="center" vertical="center" wrapText="1"/>
    </xf>
    <xf numFmtId="3" fontId="5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71" xfId="17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19" fillId="0" borderId="8" xfId="0" applyNumberFormat="1" applyFont="1" applyBorder="1" applyAlignment="1">
      <alignment vertical="center" wrapText="1"/>
    </xf>
    <xf numFmtId="0" fontId="19" fillId="0" borderId="4" xfId="17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/>
    </xf>
    <xf numFmtId="0" fontId="19" fillId="0" borderId="8" xfId="17" applyFont="1" applyBorder="1" applyAlignment="1">
      <alignment horizontal="left" vertical="center" wrapText="1"/>
    </xf>
    <xf numFmtId="3" fontId="50" fillId="0" borderId="0" xfId="17" applyNumberFormat="1" applyFont="1" applyBorder="1" applyAlignment="1">
      <alignment horizontal="center" vertical="center" wrapText="1"/>
    </xf>
    <xf numFmtId="0" fontId="23" fillId="0" borderId="71" xfId="17" applyFont="1" applyBorder="1" applyAlignment="1">
      <alignment vertical="center" wrapText="1"/>
    </xf>
    <xf numFmtId="0" fontId="23" fillId="0" borderId="71" xfId="17" applyFont="1" applyFill="1" applyBorder="1" applyAlignment="1">
      <alignment vertical="center" wrapText="1"/>
    </xf>
    <xf numFmtId="0" fontId="4" fillId="0" borderId="71" xfId="17" applyFont="1" applyFill="1" applyBorder="1" applyAlignment="1">
      <alignment vertical="center" wrapText="1"/>
    </xf>
    <xf numFmtId="0" fontId="4" fillId="0" borderId="71" xfId="17" applyFont="1" applyBorder="1" applyAlignment="1">
      <alignment vertical="center" wrapText="1"/>
    </xf>
    <xf numFmtId="3" fontId="66" fillId="0" borderId="0" xfId="17" applyNumberFormat="1" applyFont="1" applyBorder="1" applyAlignment="1">
      <alignment horizontal="center" vertical="center" wrapText="1"/>
    </xf>
    <xf numFmtId="0" fontId="4" fillId="0" borderId="4" xfId="17" applyFont="1" applyBorder="1" applyAlignment="1">
      <alignment vertical="center" wrapText="1"/>
    </xf>
    <xf numFmtId="3" fontId="50" fillId="0" borderId="63" xfId="17" applyNumberFormat="1" applyFont="1" applyBorder="1" applyAlignment="1">
      <alignment horizontal="right" vertical="center" wrapText="1"/>
    </xf>
    <xf numFmtId="3" fontId="50" fillId="4" borderId="29" xfId="17" applyNumberFormat="1" applyFont="1" applyFill="1" applyBorder="1" applyAlignment="1">
      <alignment horizontal="left" vertical="center" wrapText="1"/>
    </xf>
    <xf numFmtId="3" fontId="50" fillId="4" borderId="72" xfId="17" applyNumberFormat="1" applyFont="1" applyFill="1" applyBorder="1" applyAlignment="1">
      <alignment horizontal="center" vertical="center" wrapText="1"/>
    </xf>
    <xf numFmtId="3" fontId="50" fillId="4" borderId="22" xfId="17" applyNumberFormat="1" applyFont="1" applyFill="1" applyBorder="1" applyAlignment="1">
      <alignment horizontal="right" vertical="center" wrapText="1"/>
    </xf>
    <xf numFmtId="3" fontId="50" fillId="4" borderId="23" xfId="17" applyNumberFormat="1" applyFont="1" applyFill="1" applyBorder="1" applyAlignment="1">
      <alignment horizontal="right" vertical="center" wrapText="1"/>
    </xf>
    <xf numFmtId="3" fontId="50" fillId="0" borderId="59" xfId="17" applyNumberFormat="1" applyFont="1" applyBorder="1" applyAlignment="1">
      <alignment horizontal="right" vertical="center" wrapText="1"/>
    </xf>
    <xf numFmtId="3" fontId="66" fillId="4" borderId="72" xfId="17" applyNumberFormat="1" applyFont="1" applyFill="1" applyBorder="1" applyAlignment="1">
      <alignment horizontal="center" vertical="center" wrapText="1"/>
    </xf>
    <xf numFmtId="3" fontId="50" fillId="0" borderId="73" xfId="17" applyNumberFormat="1" applyFont="1" applyBorder="1" applyAlignment="1">
      <alignment horizontal="right" vertical="center" wrapText="1"/>
    </xf>
    <xf numFmtId="0" fontId="4" fillId="0" borderId="29" xfId="17" applyFont="1" applyBorder="1" applyAlignment="1">
      <alignment vertical="center" wrapText="1"/>
    </xf>
    <xf numFmtId="3" fontId="4" fillId="0" borderId="72" xfId="17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vertical="center"/>
    </xf>
    <xf numFmtId="3" fontId="4" fillId="4" borderId="22" xfId="0" applyNumberFormat="1" applyFont="1" applyFill="1" applyBorder="1" applyAlignment="1">
      <alignment vertical="center"/>
    </xf>
    <xf numFmtId="3" fontId="4" fillId="4" borderId="23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0" fontId="3" fillId="0" borderId="0" xfId="1" applyFont="1" applyFill="1" applyAlignment="1"/>
    <xf numFmtId="3" fontId="5" fillId="0" borderId="60" xfId="14" applyNumberFormat="1" applyFont="1" applyBorder="1"/>
    <xf numFmtId="0" fontId="42" fillId="0" borderId="74" xfId="14" applyFont="1" applyBorder="1"/>
    <xf numFmtId="0" fontId="36" fillId="0" borderId="0" xfId="1" applyFont="1" applyFill="1" applyAlignment="1"/>
    <xf numFmtId="49" fontId="4" fillId="0" borderId="4" xfId="3" applyNumberFormat="1" applyFont="1" applyBorder="1" applyAlignment="1">
      <alignment horizontal="left" vertical="center" wrapText="1"/>
    </xf>
    <xf numFmtId="3" fontId="26" fillId="7" borderId="6" xfId="9" applyNumberFormat="1" applyFont="1" applyFill="1" applyBorder="1"/>
    <xf numFmtId="0" fontId="4" fillId="0" borderId="56" xfId="14" applyFont="1" applyBorder="1" applyAlignment="1">
      <alignment horizontal="center" vertical="center" wrapText="1"/>
    </xf>
    <xf numFmtId="0" fontId="4" fillId="0" borderId="46" xfId="15" applyFont="1" applyBorder="1" applyAlignment="1">
      <alignment horizontal="left" vertical="center" wrapText="1"/>
    </xf>
    <xf numFmtId="3" fontId="4" fillId="0" borderId="46" xfId="14" applyNumberFormat="1" applyFont="1" applyBorder="1" applyAlignment="1">
      <alignment vertical="center"/>
    </xf>
    <xf numFmtId="0" fontId="4" fillId="0" borderId="75" xfId="1" applyFont="1" applyBorder="1" applyAlignment="1">
      <alignment horizontal="justify" vertical="center" wrapText="1"/>
    </xf>
    <xf numFmtId="0" fontId="3" fillId="0" borderId="0" xfId="1" applyFont="1" applyFill="1" applyAlignment="1">
      <alignment horizontal="left" wrapText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5" fillId="2" borderId="34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4" xfId="3" applyNumberFormat="1" applyFont="1" applyFill="1" applyBorder="1" applyAlignment="1">
      <alignment horizontal="center" vertical="center" wrapText="1"/>
    </xf>
    <xf numFmtId="4" fontId="5" fillId="2" borderId="19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1" xfId="1" applyNumberFormat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44" fillId="0" borderId="25" xfId="16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/>
    </xf>
    <xf numFmtId="3" fontId="50" fillId="0" borderId="65" xfId="17" applyNumberFormat="1" applyFont="1" applyBorder="1" applyAlignment="1">
      <alignment horizontal="center" vertical="center" wrapText="1"/>
    </xf>
    <xf numFmtId="3" fontId="19" fillId="0" borderId="47" xfId="0" applyNumberFormat="1" applyFont="1" applyBorder="1" applyAlignment="1">
      <alignment horizontal="center" vertical="center" wrapText="1"/>
    </xf>
    <xf numFmtId="3" fontId="50" fillId="0" borderId="24" xfId="17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center" vertical="center" wrapText="1"/>
    </xf>
    <xf numFmtId="3" fontId="51" fillId="0" borderId="14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3" fontId="51" fillId="0" borderId="2" xfId="0" applyNumberFormat="1" applyFont="1" applyBorder="1" applyAlignment="1">
      <alignment horizontal="center" vertical="center" wrapText="1"/>
    </xf>
    <xf numFmtId="3" fontId="20" fillId="0" borderId="25" xfId="0" applyNumberFormat="1" applyFont="1" applyBorder="1" applyAlignment="1">
      <alignment horizontal="center" vertical="center" wrapText="1"/>
    </xf>
    <xf numFmtId="3" fontId="51" fillId="0" borderId="26" xfId="0" applyNumberFormat="1" applyFont="1" applyBorder="1" applyAlignment="1">
      <alignment horizontal="center" vertical="center" wrapText="1"/>
    </xf>
    <xf numFmtId="3" fontId="20" fillId="0" borderId="67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left" vertical="center" wrapText="1"/>
    </xf>
    <xf numFmtId="3" fontId="52" fillId="0" borderId="0" xfId="0" applyNumberFormat="1" applyFont="1" applyBorder="1" applyAlignment="1">
      <alignment horizontal="left" vertical="center" wrapText="1"/>
    </xf>
    <xf numFmtId="3" fontId="52" fillId="0" borderId="63" xfId="0" applyNumberFormat="1" applyFont="1" applyBorder="1" applyAlignment="1">
      <alignment horizontal="left" vertical="center" wrapText="1"/>
    </xf>
    <xf numFmtId="3" fontId="5" fillId="4" borderId="13" xfId="17" applyNumberFormat="1" applyFont="1" applyFill="1" applyBorder="1" applyAlignment="1">
      <alignment horizontal="center" vertical="center" wrapText="1"/>
    </xf>
    <xf numFmtId="3" fontId="5" fillId="4" borderId="25" xfId="17" applyNumberFormat="1" applyFont="1" applyFill="1" applyBorder="1" applyAlignment="1">
      <alignment horizontal="center" vertical="center" wrapText="1"/>
    </xf>
    <xf numFmtId="3" fontId="5" fillId="4" borderId="26" xfId="17" applyNumberFormat="1" applyFont="1" applyFill="1" applyBorder="1" applyAlignment="1">
      <alignment horizontal="center" vertical="center" wrapText="1"/>
    </xf>
    <xf numFmtId="3" fontId="20" fillId="0" borderId="27" xfId="0" applyNumberFormat="1" applyFont="1" applyBorder="1" applyAlignment="1">
      <alignment horizontal="left" vertical="center" wrapText="1"/>
    </xf>
    <xf numFmtId="3" fontId="20" fillId="0" borderId="28" xfId="0" applyNumberFormat="1" applyFont="1" applyBorder="1" applyAlignment="1">
      <alignment horizontal="left" vertical="center" wrapText="1"/>
    </xf>
    <xf numFmtId="3" fontId="52" fillId="0" borderId="28" xfId="0" applyNumberFormat="1" applyFont="1" applyBorder="1" applyAlignment="1">
      <alignment horizontal="left" vertical="center" wrapText="1"/>
    </xf>
    <xf numFmtId="3" fontId="52" fillId="0" borderId="20" xfId="0" applyNumberFormat="1" applyFont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left" vertical="center" wrapText="1"/>
    </xf>
    <xf numFmtId="3" fontId="20" fillId="0" borderId="32" xfId="0" applyNumberFormat="1" applyFont="1" applyBorder="1" applyAlignment="1">
      <alignment horizontal="left" vertical="center" wrapText="1"/>
    </xf>
    <xf numFmtId="3" fontId="20" fillId="0" borderId="21" xfId="0" applyNumberFormat="1" applyFont="1" applyBorder="1" applyAlignment="1">
      <alignment horizontal="left" vertical="center" wrapText="1"/>
    </xf>
    <xf numFmtId="0" fontId="5" fillId="0" borderId="34" xfId="14" applyFont="1" applyBorder="1" applyAlignment="1">
      <alignment horizontal="left"/>
    </xf>
    <xf numFmtId="0" fontId="5" fillId="0" borderId="16" xfId="14" applyFont="1" applyBorder="1" applyAlignment="1">
      <alignment horizontal="left"/>
    </xf>
    <xf numFmtId="0" fontId="4" fillId="0" borderId="29" xfId="14" applyFont="1" applyBorder="1" applyAlignment="1">
      <alignment horizontal="center" vertical="center" wrapText="1"/>
    </xf>
    <xf numFmtId="0" fontId="4" fillId="0" borderId="37" xfId="14" applyFont="1" applyBorder="1" applyAlignment="1">
      <alignment horizontal="center" vertical="center" wrapText="1"/>
    </xf>
    <xf numFmtId="0" fontId="4" fillId="0" borderId="55" xfId="14" applyFont="1" applyBorder="1" applyAlignment="1">
      <alignment horizontal="center" vertical="center" wrapText="1"/>
    </xf>
    <xf numFmtId="0" fontId="4" fillId="0" borderId="22" xfId="15" applyFont="1" applyBorder="1" applyAlignment="1">
      <alignment horizontal="left" vertical="center" wrapText="1"/>
    </xf>
    <xf numFmtId="0" fontId="4" fillId="0" borderId="53" xfId="15" applyFont="1" applyBorder="1" applyAlignment="1">
      <alignment horizontal="left" vertical="center" wrapText="1"/>
    </xf>
    <xf numFmtId="0" fontId="4" fillId="0" borderId="19" xfId="15" applyFont="1" applyBorder="1" applyAlignment="1">
      <alignment horizontal="left" vertical="center" wrapText="1"/>
    </xf>
    <xf numFmtId="0" fontId="4" fillId="0" borderId="29" xfId="14" applyFont="1" applyBorder="1" applyAlignment="1">
      <alignment horizontal="center" vertical="center"/>
    </xf>
    <xf numFmtId="0" fontId="4" fillId="0" borderId="37" xfId="14" applyFont="1" applyBorder="1" applyAlignment="1">
      <alignment horizontal="center" vertical="center"/>
    </xf>
    <xf numFmtId="0" fontId="4" fillId="0" borderId="55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6" xfId="15" applyFont="1" applyBorder="1" applyAlignment="1">
      <alignment horizontal="left" vertical="center" wrapText="1"/>
    </xf>
    <xf numFmtId="0" fontId="2" fillId="0" borderId="0" xfId="14" applyFont="1" applyAlignment="1">
      <alignment horizontal="center" vertical="center"/>
    </xf>
    <xf numFmtId="0" fontId="4" fillId="0" borderId="49" xfId="14" applyFont="1" applyBorder="1" applyAlignment="1">
      <alignment horizontal="center" vertical="center" wrapText="1"/>
    </xf>
    <xf numFmtId="0" fontId="4" fillId="0" borderId="50" xfId="15" applyFont="1" applyBorder="1" applyAlignment="1">
      <alignment horizontal="left" vertical="center" wrapText="1"/>
    </xf>
    <xf numFmtId="0" fontId="30" fillId="0" borderId="28" xfId="9" applyFont="1" applyBorder="1" applyAlignment="1">
      <alignment horizontal="center"/>
    </xf>
  </cellXfs>
  <cellStyles count="18">
    <cellStyle name="Normální" xfId="0" builtinId="0"/>
    <cellStyle name="Normální 2" xfId="1" xr:uid="{00000000-0005-0000-0000-000001000000}"/>
    <cellStyle name="Normální 2 2" xfId="17" xr:uid="{BDA3D37D-CB00-4239-AFEC-DFC7951A1F86}"/>
    <cellStyle name="Normální 3" xfId="2" xr:uid="{00000000-0005-0000-0000-000002000000}"/>
    <cellStyle name="Normální 3 2" xfId="7" xr:uid="{00000000-0005-0000-0000-000003000000}"/>
    <cellStyle name="Normální 3 2 2" xfId="16" xr:uid="{00000000-0005-0000-0000-000004000000}"/>
    <cellStyle name="Normální 4" xfId="8" xr:uid="{00000000-0005-0000-0000-000005000000}"/>
    <cellStyle name="Normální 4 2" xfId="12" xr:uid="{00000000-0005-0000-0000-000006000000}"/>
    <cellStyle name="Normální 4 3" xfId="13" xr:uid="{00000000-0005-0000-0000-000007000000}"/>
    <cellStyle name="normální_10_BILANCEE" xfId="11" xr:uid="{00000000-0005-0000-0000-000008000000}"/>
    <cellStyle name="normální_Akce EU - tabulka" xfId="5" xr:uid="{00000000-0005-0000-0000-000009000000}"/>
    <cellStyle name="normální_Akce EU - tabulka(tom)-final" xfId="6" xr:uid="{00000000-0005-0000-0000-00000A000000}"/>
    <cellStyle name="normální_EU akce-upr 2" xfId="3" xr:uid="{00000000-0005-0000-0000-00000B000000}"/>
    <cellStyle name="normální_Metodika k RS od 1.5.2005" xfId="15" xr:uid="{00000000-0005-0000-0000-00000C000000}"/>
    <cellStyle name="normální_Rozborová tab. příjmů" xfId="14" xr:uid="{00000000-0005-0000-0000-00000D000000}"/>
    <cellStyle name="normální_Rozpočet 12-2005 - Grafy" xfId="9" xr:uid="{00000000-0005-0000-0000-00000E000000}"/>
    <cellStyle name="normální_Výroční zpráva 2002" xfId="10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5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4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9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7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2019 až 2022, 
návrh rozpočtu Moravskoslezského kraje na rok 2023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597339478434378E-2"/>
                  <c:y val="-1.778613710660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4597339478434378E-2"/>
                  <c:y val="-2.667920565991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460043663353019E-2"/>
                  <c:y val="-6.670984421938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62227073705891E-2"/>
                  <c:y val="-3.5578583583670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6232357376692558E-2"/>
                  <c:y val="-3.779472753922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A-462F-8689-4CBDEA923019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I.s'!$T$8:$X$8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'Zdrojová data I.s'!$T$9:$X$9</c:f>
              <c:numCache>
                <c:formatCode>#,##0</c:formatCode>
                <c:ptCount val="5"/>
                <c:pt idx="0">
                  <c:v>10284570</c:v>
                </c:pt>
                <c:pt idx="1">
                  <c:v>10787896</c:v>
                </c:pt>
                <c:pt idx="2">
                  <c:v>9863084</c:v>
                </c:pt>
                <c:pt idx="3">
                  <c:v>11993157</c:v>
                </c:pt>
                <c:pt idx="4">
                  <c:v>14892238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1926608714919E-2"/>
                  <c:y val="-2.2232671383260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9-45D2-8A5A-1F72D2BEC06E}"/>
                </c:ext>
              </c:extLst>
            </c:dLbl>
            <c:dLbl>
              <c:idx val="1"/>
              <c:layout>
                <c:manualLayout>
                  <c:x val="1.6216956833142455E-2"/>
                  <c:y val="-8.14581908774179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89-45D2-8A5A-1F72D2BEC06E}"/>
                </c:ext>
              </c:extLst>
            </c:dLbl>
            <c:dLbl>
              <c:idx val="2"/>
              <c:layout>
                <c:manualLayout>
                  <c:x val="1.2978165896471281E-2"/>
                  <c:y val="-8.8946458959175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89-45D2-8A5A-1F72D2BEC06E}"/>
                </c:ext>
              </c:extLst>
            </c:dLbl>
            <c:dLbl>
              <c:idx val="3"/>
              <c:layout>
                <c:manualLayout>
                  <c:x val="9.7394144260154157E-3"/>
                  <c:y val="-8.15170980980165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89-45D2-8A5A-1F72D2BEC06E}"/>
                </c:ext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9-45D2-8A5A-1F72D2BEC06E}"/>
                </c:ext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I.s'!$T$8:$X$8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'Zdrojová data I.s'!$T$10:$X$10</c:f>
              <c:numCache>
                <c:formatCode>#,##0</c:formatCode>
                <c:ptCount val="5"/>
                <c:pt idx="0">
                  <c:v>19321422</c:v>
                </c:pt>
                <c:pt idx="1">
                  <c:v>21851874</c:v>
                </c:pt>
                <c:pt idx="2">
                  <c:v>25796612</c:v>
                </c:pt>
                <c:pt idx="3">
                  <c:v>26057006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19266087149308E-2"/>
                  <c:y val="-2.00094042449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D9-468F-B22A-244A55F59BC7}"/>
                </c:ext>
              </c:extLst>
            </c:dLbl>
            <c:dLbl>
              <c:idx val="1"/>
              <c:layout>
                <c:manualLayout>
                  <c:x val="1.784119269586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1.7844978107648009E-2"/>
                  <c:y val="-4.4473229479587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1.7844978107648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4"/>
              <c:layout>
                <c:manualLayout>
                  <c:x val="1.9478828852031071E-2"/>
                  <c:y val="-1.778575413610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A-462F-8689-4CBDEA923019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I.s'!$T$8:$X$8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'Zdrojová data I.s'!$T$11:$X$11</c:f>
              <c:numCache>
                <c:formatCode>#,##0</c:formatCode>
                <c:ptCount val="5"/>
                <c:pt idx="4">
                  <c:v>27293058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  <c:max val="4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67168651248E-3"/>
              <c:y val="0.521587196497746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2023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1146838532777733E-2"/>
                  <c:y val="-2.1241830885254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8.36012889958332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957-8B63-E3CB59512482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s'!$T$10:$X$10</c:f>
              <c:numCache>
                <c:formatCode>#,##0</c:formatCode>
                <c:ptCount val="5"/>
                <c:pt idx="0">
                  <c:v>7030550</c:v>
                </c:pt>
                <c:pt idx="1">
                  <c:v>7340300</c:v>
                </c:pt>
                <c:pt idx="2">
                  <c:v>6307200</c:v>
                </c:pt>
                <c:pt idx="3">
                  <c:v>7283700</c:v>
                </c:pt>
                <c:pt idx="4">
                  <c:v>8580950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6.9667740829860185E-3"/>
                  <c:y val="-6.3725492655762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2.7867096331944076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5.573419266388815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B-4957-8B63-E3CB59512482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s'!$T$11:$X$11</c:f>
              <c:numCache>
                <c:formatCode>#,##0</c:formatCode>
                <c:ptCount val="5"/>
                <c:pt idx="0">
                  <c:v>563161</c:v>
                </c:pt>
                <c:pt idx="1">
                  <c:v>585252</c:v>
                </c:pt>
                <c:pt idx="2">
                  <c:v>581497</c:v>
                </c:pt>
                <c:pt idx="3">
                  <c:v>597999</c:v>
                </c:pt>
                <c:pt idx="4">
                  <c:v>755536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1.5326902982569241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1.3933548165972037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B-4957-8B63-E3CB59512482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s'!$T$12:$X$12</c:f>
              <c:numCache>
                <c:formatCode>#,##0</c:formatCode>
                <c:ptCount val="5"/>
                <c:pt idx="0">
                  <c:v>41450</c:v>
                </c:pt>
                <c:pt idx="1">
                  <c:v>36450</c:v>
                </c:pt>
                <c:pt idx="2">
                  <c:v>65658</c:v>
                </c:pt>
                <c:pt idx="3">
                  <c:v>74079</c:v>
                </c:pt>
                <c:pt idx="4">
                  <c:v>52476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8.3601288995832218E-3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B-4957-8B63-E3CB59512482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s'!$T$13:$X$13</c:f>
              <c:numCache>
                <c:formatCode>#,##0</c:formatCode>
                <c:ptCount val="5"/>
                <c:pt idx="0">
                  <c:v>1809816</c:v>
                </c:pt>
                <c:pt idx="1">
                  <c:v>2233393</c:v>
                </c:pt>
                <c:pt idx="2">
                  <c:v>1615456</c:v>
                </c:pt>
                <c:pt idx="3">
                  <c:v>1342985</c:v>
                </c:pt>
                <c:pt idx="4">
                  <c:v>2454033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  <c:max val="1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2023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8.3601288995832218E-3"/>
                  <c:y val="-4.2483661770509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2.6473741515346871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1.3933548165971935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2-4E56-A06C-9D7A4684994F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s'!$T$3:$X$3</c:f>
              <c:numCache>
                <c:formatCode>#,##0</c:formatCode>
                <c:ptCount val="5"/>
                <c:pt idx="0">
                  <c:v>6996283</c:v>
                </c:pt>
                <c:pt idx="1">
                  <c:v>7490726</c:v>
                </c:pt>
                <c:pt idx="2">
                  <c:v>7002032</c:v>
                </c:pt>
                <c:pt idx="3">
                  <c:v>7846903</c:v>
                </c:pt>
                <c:pt idx="4">
                  <c:v>9973858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782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1.2540193349374833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2.229367706555526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1.8113612615763598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2-4E56-A06C-9D7A4684994F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s'!$T$4:$X$4</c:f>
              <c:numCache>
                <c:formatCode>#,##0</c:formatCode>
                <c:ptCount val="5"/>
                <c:pt idx="0">
                  <c:v>3288287</c:v>
                </c:pt>
                <c:pt idx="1">
                  <c:v>3297170</c:v>
                </c:pt>
                <c:pt idx="2">
                  <c:v>2861052</c:v>
                </c:pt>
                <c:pt idx="3">
                  <c:v>4146254</c:v>
                </c:pt>
                <c:pt idx="4">
                  <c:v>4918380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120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s'!$B$10:$K$10</c:f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s'!$B$11:$K$11</c:f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s'!$B$12:$K$12</c:f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s'!$B$13:$K$13</c:f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s'!$B$3:$K$3</c:f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s'!$B$4:$K$4</c:f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2023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37"/>
          <c:dLbls>
            <c:dLbl>
              <c:idx val="1"/>
              <c:layout>
                <c:manualLayout>
                  <c:x val="2.754508874243913E-2"/>
                  <c:y val="-2.3539795566612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IV.'!$AH$2:$AH$8</c:f>
              <c:numCache>
                <c:formatCode>#,##0</c:formatCode>
                <c:ptCount val="7"/>
                <c:pt idx="0">
                  <c:v>755536</c:v>
                </c:pt>
                <c:pt idx="1">
                  <c:v>8580950</c:v>
                </c:pt>
                <c:pt idx="2">
                  <c:v>52476</c:v>
                </c:pt>
                <c:pt idx="3">
                  <c:v>1713522</c:v>
                </c:pt>
                <c:pt idx="4">
                  <c:v>344090</c:v>
                </c:pt>
                <c:pt idx="5">
                  <c:v>195368</c:v>
                </c:pt>
                <c:pt idx="6">
                  <c:v>201053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IV.'!$AI$2:$AI$8</c:f>
              <c:numCache>
                <c:formatCode>#,##0.00</c:formatCode>
                <c:ptCount val="7"/>
                <c:pt idx="0">
                  <c:v>6.3796024569798435</c:v>
                </c:pt>
                <c:pt idx="1">
                  <c:v>72.455911701389724</c:v>
                </c:pt>
                <c:pt idx="2">
                  <c:v>0.44309737528387033</c:v>
                </c:pt>
                <c:pt idx="3">
                  <c:v>14.4686542551103</c:v>
                </c:pt>
                <c:pt idx="4">
                  <c:v>2.9054305942035779</c:v>
                </c:pt>
                <c:pt idx="5">
                  <c:v>1.6496502784979643</c:v>
                </c:pt>
                <c:pt idx="6">
                  <c:v>1.6976533385347203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2023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-7.5832513045970176E-2"/>
                  <c:y val="-1.59047790607063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1B-4DE0-BA15-CB387F60BED6}"/>
                </c:ext>
              </c:extLst>
            </c:dLbl>
            <c:dLbl>
              <c:idx val="1"/>
              <c:layout>
                <c:manualLayout>
                  <c:x val="1.1380417462268609E-2"/>
                  <c:y val="-6.4167055124558251E-3"/>
                </c:manualLayout>
              </c:layout>
              <c:tx>
                <c:rich>
                  <a:bodyPr/>
                  <a:lstStyle/>
                  <a:p>
                    <a:fld id="{73CADD5E-CFEF-447C-952C-2272653EE54D}" type="CATEGORYNAME">
                      <a:rPr lang="en-US" b="0"/>
                      <a:pPr/>
                      <a:t>[NÁZEV KATEGORIE]</a:t>
                    </a:fld>
                    <a:r>
                      <a:rPr lang="en-US" baseline="0"/>
                      <a:t>
</a:t>
                    </a:r>
                    <a:fld id="{251F2444-1882-4E92-AC82-1912D22149A0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1B-4DE0-BA15-CB387F60BED6}"/>
                </c:ext>
              </c:extLst>
            </c:dLbl>
            <c:dLbl>
              <c:idx val="2"/>
              <c:layout>
                <c:manualLayout>
                  <c:x val="-1.2096843206550479E-2"/>
                  <c:y val="-0.151813023717758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F0-4929-BDBF-E914DE64D395}"/>
                </c:ext>
              </c:extLst>
            </c:dLbl>
            <c:dLbl>
              <c:idx val="3"/>
              <c:layout>
                <c:manualLayout>
                  <c:x val="-2.1035927489376494E-2"/>
                  <c:y val="-3.134759011428606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F0-4929-BDBF-E914DE64D395}"/>
                </c:ext>
              </c:extLst>
            </c:dLbl>
            <c:dLbl>
              <c:idx val="4"/>
              <c:layout>
                <c:manualLayout>
                  <c:x val="2.7266966344008112E-3"/>
                  <c:y val="3.37201520915091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1B-4DE0-BA15-CB387F60BED6}"/>
                </c:ext>
              </c:extLst>
            </c:dLbl>
            <c:dLbl>
              <c:idx val="5"/>
              <c:layout>
                <c:manualLayout>
                  <c:x val="1.929796420987127E-2"/>
                  <c:y val="-0.107700264051011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F0-4929-BDBF-E914DE64D395}"/>
                </c:ext>
              </c:extLst>
            </c:dLbl>
            <c:dLbl>
              <c:idx val="6"/>
              <c:layout>
                <c:manualLayout>
                  <c:x val="3.5510196065868159E-2"/>
                  <c:y val="-3.524471341843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F0-4929-BDBF-E914DE64D3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VI.'!$AH$3:$AH$9</c:f>
              <c:numCache>
                <c:formatCode>#,##0</c:formatCode>
                <c:ptCount val="7"/>
                <c:pt idx="0">
                  <c:v>771435</c:v>
                </c:pt>
                <c:pt idx="1">
                  <c:v>510742</c:v>
                </c:pt>
                <c:pt idx="2">
                  <c:v>4672832</c:v>
                </c:pt>
                <c:pt idx="3">
                  <c:v>3634192</c:v>
                </c:pt>
                <c:pt idx="4">
                  <c:v>232505</c:v>
                </c:pt>
                <c:pt idx="5">
                  <c:v>2775440</c:v>
                </c:pt>
                <c:pt idx="6">
                  <c:v>2295092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Příspěvek na provoz příspěvkovým organizacím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VI.'!$AI$3:$AI$9</c:f>
              <c:numCache>
                <c:formatCode>#,##0.00</c:formatCode>
                <c:ptCount val="7"/>
                <c:pt idx="0">
                  <c:v>5.1801146342141458</c:v>
                </c:pt>
                <c:pt idx="1">
                  <c:v>3.4295852644847606</c:v>
                </c:pt>
                <c:pt idx="2">
                  <c:v>31.377634442855403</c:v>
                </c:pt>
                <c:pt idx="3">
                  <c:v>24.403262961550844</c:v>
                </c:pt>
                <c:pt idx="4">
                  <c:v>1.5612495583269621</c:v>
                </c:pt>
                <c:pt idx="5">
                  <c:v>18.636822752899867</c:v>
                </c:pt>
                <c:pt idx="6">
                  <c:v>15.411330385668023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2023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2023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2.079590884069767E-2"/>
                  <c:y val="-2.8827148200004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1"/>
              <c:layout>
                <c:manualLayout>
                  <c:x val="9.8810734715996801E-2"/>
                  <c:y val="-1.02360528837990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4-42F6-A875-3D5D3D36E4EE}"/>
                </c:ext>
              </c:extLst>
            </c:dLbl>
            <c:dLbl>
              <c:idx val="2"/>
              <c:layout>
                <c:manualLayout>
                  <c:x val="1.7400370137699399E-2"/>
                  <c:y val="4.04591553684275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04-42F6-A875-3D5D3D36E4EE}"/>
                </c:ext>
              </c:extLst>
            </c:dLbl>
            <c:dLbl>
              <c:idx val="3"/>
              <c:layout>
                <c:manualLayout>
                  <c:x val="-0.11612328447768284"/>
                  <c:y val="2.935924213810356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4-42F6-A875-3D5D3D36E4EE}"/>
                </c:ext>
              </c:extLst>
            </c:dLbl>
            <c:dLbl>
              <c:idx val="4"/>
              <c:layout>
                <c:manualLayout>
                  <c:x val="-0.24077795712942129"/>
                  <c:y val="9.291461043217704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4-42F6-A875-3D5D3D36E4EE}"/>
                </c:ext>
              </c:extLst>
            </c:dLbl>
            <c:dLbl>
              <c:idx val="5"/>
              <c:layout>
                <c:manualLayout>
                  <c:x val="-2.9713181060977475E-2"/>
                  <c:y val="-1.00233821091669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3.4186545151882713E-2"/>
                  <c:y val="-7.923162299326355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7"/>
              <c:layout>
                <c:manualLayout>
                  <c:x val="-8.3947300328275198E-3"/>
                  <c:y val="-5.49793150566572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04-42F6-A875-3D5D3D36E4EE}"/>
                </c:ext>
              </c:extLst>
            </c:dLbl>
            <c:dLbl>
              <c:idx val="8"/>
              <c:layout>
                <c:manualLayout>
                  <c:x val="8.0539278429684072E-2"/>
                  <c:y val="-4.60136155999934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layout>
                <c:manualLayout>
                  <c:x val="2.1382400030133851E-3"/>
                  <c:y val="-7.06809234481955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4-42F6-A875-3D5D3D36E4EE}"/>
                </c:ext>
              </c:extLst>
            </c:dLbl>
            <c:dLbl>
              <c:idx val="10"/>
              <c:layout>
                <c:manualLayout>
                  <c:x val="-6.0525978351292815E-3"/>
                  <c:y val="-5.56675343634271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04-42F6-A875-3D5D3D36E4E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VI.'!$A$20:$A$33</c:f>
              <c:strCache>
                <c:ptCount val="11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VI.'!$AH$20:$AH$33</c:f>
              <c:numCache>
                <c:formatCode>#,##0</c:formatCode>
                <c:ptCount val="11"/>
                <c:pt idx="0">
                  <c:v>520700</c:v>
                </c:pt>
                <c:pt idx="1">
                  <c:v>18575</c:v>
                </c:pt>
                <c:pt idx="2">
                  <c:v>1000</c:v>
                </c:pt>
                <c:pt idx="3">
                  <c:v>101565</c:v>
                </c:pt>
                <c:pt idx="4">
                  <c:v>59948</c:v>
                </c:pt>
                <c:pt idx="5">
                  <c:v>535969</c:v>
                </c:pt>
                <c:pt idx="6">
                  <c:v>344705</c:v>
                </c:pt>
                <c:pt idx="7">
                  <c:v>167095</c:v>
                </c:pt>
                <c:pt idx="8">
                  <c:v>82389</c:v>
                </c:pt>
                <c:pt idx="9">
                  <c:v>446505</c:v>
                </c:pt>
                <c:pt idx="10">
                  <c:v>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VI.'!$A$20:$A$33</c:f>
              <c:strCache>
                <c:ptCount val="11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  <c:pt idx="10">
                  <c:v>Krajský úřad</c:v>
                </c:pt>
              </c:strCache>
            </c:strRef>
          </c:cat>
          <c:val>
            <c:numRef>
              <c:f>'Zdrojová data V.a VI.'!$AI$20:$AI$33</c:f>
              <c:numCache>
                <c:formatCode>#,##0.00</c:formatCode>
                <c:ptCount val="11"/>
                <c:pt idx="0">
                  <c:v>22.687543680166197</c:v>
                </c:pt>
                <c:pt idx="1">
                  <c:v>0.80933574776087414</c:v>
                </c:pt>
                <c:pt idx="2">
                  <c:v>4.3571238102873437E-2</c:v>
                </c:pt>
                <c:pt idx="3">
                  <c:v>4.4253127979183402</c:v>
                </c:pt>
                <c:pt idx="4">
                  <c:v>2.6120085817910565</c:v>
                </c:pt>
                <c:pt idx="5">
                  <c:v>23.352832914758974</c:v>
                </c:pt>
                <c:pt idx="6">
                  <c:v>15.019223630250988</c:v>
                </c:pt>
                <c:pt idx="7">
                  <c:v>7.2805360307996363</c:v>
                </c:pt>
                <c:pt idx="8">
                  <c:v>3.5897907360576395</c:v>
                </c:pt>
                <c:pt idx="9">
                  <c:v>19.454775669123503</c:v>
                </c:pt>
                <c:pt idx="10">
                  <c:v>0.72506897326991682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8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18" orientation="landscape" useFirstPageNumber="1" r:id="rId1"/>
  <headerFooter alignWithMargins="0">
    <oddHeader>&amp;L&amp;"Tahoma,Kurzíva"&amp;9Návrh rozpočtu na rok 2023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2023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2023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1" orientation="landscape" useFirstPageNumber="1" r:id="rId1"/>
  <headerFooter alignWithMargins="0">
    <oddHeader>&amp;L&amp;"Tahoma,Kurzíva"&amp;9Návrh rozpočtu na rok 2023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2" orientation="landscape" useFirstPageNumber="1" r:id="rId1"/>
  <headerFooter alignWithMargins="0">
    <oddHeader>&amp;L&amp;"Tahoma,Kurzíva"&amp;9Návrh rozpočtu na rok 2023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3" orientation="landscape" useFirstPageNumber="1" r:id="rId1"/>
  <headerFooter alignWithMargins="0">
    <oddHeader>&amp;L&amp;"Tahoma,Kurzíva"&amp;9Návrh rozpočtu na rok 2023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1398" cy="598944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selection activeCell="H15" sqref="H15"/>
    </sheetView>
  </sheetViews>
  <sheetFormatPr defaultRowHeight="15.75" x14ac:dyDescent="0.25"/>
  <cols>
    <col min="1" max="4" width="9.140625" style="38"/>
    <col min="5" max="5" width="38.5703125" style="38" customWidth="1"/>
    <col min="6" max="16384" width="9.140625" style="38"/>
  </cols>
  <sheetData>
    <row r="1" spans="1:10" s="31" customFormat="1" ht="15.75" customHeight="1" x14ac:dyDescent="0.2">
      <c r="A1" s="39" t="s">
        <v>143</v>
      </c>
      <c r="C1" s="30"/>
    </row>
    <row r="2" spans="1:10" s="32" customFormat="1" ht="18" customHeight="1" x14ac:dyDescent="0.25"/>
    <row r="3" spans="1:10" s="34" customFormat="1" ht="42" customHeight="1" x14ac:dyDescent="0.25">
      <c r="A3" s="413" t="s">
        <v>339</v>
      </c>
      <c r="B3" s="414"/>
      <c r="C3" s="414"/>
      <c r="D3" s="414"/>
      <c r="E3" s="414"/>
      <c r="F3" s="414"/>
      <c r="G3" s="33"/>
      <c r="H3" s="33"/>
      <c r="I3" s="33"/>
      <c r="J3" s="33"/>
    </row>
    <row r="4" spans="1:10" s="35" customFormat="1" ht="36" customHeight="1" x14ac:dyDescent="0.2"/>
    <row r="5" spans="1:10" s="35" customFormat="1" ht="15.75" customHeight="1" x14ac:dyDescent="0.2">
      <c r="A5" s="36" t="s">
        <v>28</v>
      </c>
      <c r="F5" s="37" t="s">
        <v>29</v>
      </c>
    </row>
    <row r="6" spans="1:10" s="35" customFormat="1" ht="15" x14ac:dyDescent="0.2"/>
    <row r="7" spans="1:10" s="35" customFormat="1" ht="15" x14ac:dyDescent="0.2">
      <c r="A7" s="415" t="s">
        <v>340</v>
      </c>
      <c r="B7" s="415"/>
      <c r="C7" s="415"/>
      <c r="D7" s="415"/>
      <c r="E7" s="415"/>
      <c r="F7" s="402">
        <v>2</v>
      </c>
    </row>
    <row r="8" spans="1:10" s="35" customFormat="1" ht="15" x14ac:dyDescent="0.2">
      <c r="A8" s="282"/>
      <c r="B8" s="282"/>
      <c r="C8" s="282"/>
      <c r="D8" s="282"/>
      <c r="E8" s="282"/>
      <c r="F8" s="402"/>
    </row>
    <row r="9" spans="1:10" s="35" customFormat="1" ht="48" customHeight="1" x14ac:dyDescent="0.2">
      <c r="A9" s="412" t="s">
        <v>341</v>
      </c>
      <c r="B9" s="412"/>
      <c r="C9" s="412"/>
      <c r="D9" s="412"/>
      <c r="E9" s="412"/>
      <c r="F9" s="402">
        <v>4</v>
      </c>
    </row>
    <row r="10" spans="1:10" s="35" customFormat="1" ht="15" x14ac:dyDescent="0.2">
      <c r="A10" s="282"/>
      <c r="B10" s="282"/>
      <c r="C10" s="282"/>
      <c r="D10" s="282"/>
      <c r="E10" s="282"/>
      <c r="F10" s="402"/>
    </row>
    <row r="11" spans="1:10" s="35" customFormat="1" ht="31.5" customHeight="1" x14ac:dyDescent="0.2">
      <c r="A11" s="412" t="s">
        <v>342</v>
      </c>
      <c r="B11" s="412"/>
      <c r="C11" s="412"/>
      <c r="D11" s="412"/>
      <c r="E11" s="412"/>
      <c r="F11" s="402">
        <v>9</v>
      </c>
    </row>
    <row r="12" spans="1:10" s="35" customFormat="1" ht="15" x14ac:dyDescent="0.2">
      <c r="A12" s="282"/>
      <c r="B12" s="282"/>
      <c r="C12" s="282"/>
      <c r="D12" s="282"/>
      <c r="E12" s="282"/>
      <c r="F12" s="402"/>
    </row>
    <row r="13" spans="1:10" s="35" customFormat="1" ht="15" x14ac:dyDescent="0.2">
      <c r="A13" s="412" t="s">
        <v>343</v>
      </c>
      <c r="B13" s="412"/>
      <c r="C13" s="412"/>
      <c r="D13" s="412"/>
      <c r="E13" s="412"/>
      <c r="F13" s="402">
        <v>13</v>
      </c>
    </row>
    <row r="14" spans="1:10" s="35" customFormat="1" ht="24" customHeight="1" x14ac:dyDescent="0.2">
      <c r="A14" s="283"/>
      <c r="B14" s="283"/>
      <c r="C14" s="283"/>
      <c r="D14" s="283"/>
      <c r="E14" s="283"/>
      <c r="F14" s="288"/>
    </row>
    <row r="15" spans="1:10" ht="31.5" customHeight="1" x14ac:dyDescent="0.25">
      <c r="A15" s="412" t="s">
        <v>344</v>
      </c>
      <c r="B15" s="412"/>
      <c r="C15" s="412"/>
      <c r="D15" s="412"/>
      <c r="E15" s="412"/>
      <c r="F15" s="402">
        <v>18</v>
      </c>
      <c r="G15" s="284"/>
    </row>
    <row r="16" spans="1:10" ht="15" customHeight="1" x14ac:dyDescent="0.25">
      <c r="A16" s="283"/>
      <c r="B16" s="283"/>
      <c r="C16" s="285"/>
      <c r="D16" s="283"/>
      <c r="E16" s="283"/>
      <c r="F16" s="405"/>
      <c r="G16" s="284"/>
    </row>
    <row r="17" spans="1:7" ht="46.5" customHeight="1" x14ac:dyDescent="0.25">
      <c r="A17" s="412" t="s">
        <v>345</v>
      </c>
      <c r="B17" s="412"/>
      <c r="C17" s="412"/>
      <c r="D17" s="412"/>
      <c r="E17" s="412"/>
      <c r="F17" s="402">
        <v>19</v>
      </c>
      <c r="G17" s="284"/>
    </row>
    <row r="18" spans="1:7" ht="15" customHeight="1" x14ac:dyDescent="0.25">
      <c r="A18" s="283"/>
      <c r="B18" s="283"/>
      <c r="C18" s="283"/>
      <c r="D18" s="283"/>
      <c r="E18" s="283"/>
      <c r="F18" s="405"/>
      <c r="G18" s="284"/>
    </row>
    <row r="19" spans="1:7" ht="46.5" customHeight="1" x14ac:dyDescent="0.25">
      <c r="A19" s="412" t="s">
        <v>346</v>
      </c>
      <c r="B19" s="412"/>
      <c r="C19" s="412"/>
      <c r="D19" s="412"/>
      <c r="E19" s="412"/>
      <c r="F19" s="402">
        <v>20</v>
      </c>
      <c r="G19" s="284"/>
    </row>
    <row r="20" spans="1:7" ht="15" customHeight="1" x14ac:dyDescent="0.25">
      <c r="A20" s="283"/>
      <c r="B20" s="283"/>
      <c r="C20" s="283"/>
      <c r="D20" s="283"/>
      <c r="E20" s="283"/>
      <c r="F20" s="405"/>
      <c r="G20" s="284"/>
    </row>
    <row r="21" spans="1:7" ht="31.5" customHeight="1" x14ac:dyDescent="0.25">
      <c r="A21" s="412" t="s">
        <v>347</v>
      </c>
      <c r="B21" s="412"/>
      <c r="C21" s="412"/>
      <c r="D21" s="412"/>
      <c r="E21" s="412"/>
      <c r="F21" s="402">
        <v>21</v>
      </c>
      <c r="G21" s="284"/>
    </row>
    <row r="22" spans="1:7" ht="15" customHeight="1" x14ac:dyDescent="0.25">
      <c r="A22" s="283"/>
      <c r="B22" s="283"/>
      <c r="C22" s="283"/>
      <c r="D22" s="283"/>
      <c r="E22" s="283"/>
      <c r="F22" s="405"/>
      <c r="G22" s="284"/>
    </row>
    <row r="23" spans="1:7" ht="31.5" customHeight="1" x14ac:dyDescent="0.25">
      <c r="A23" s="412" t="s">
        <v>348</v>
      </c>
      <c r="B23" s="412"/>
      <c r="C23" s="412"/>
      <c r="D23" s="412"/>
      <c r="E23" s="412"/>
      <c r="F23" s="402">
        <v>22</v>
      </c>
      <c r="G23" s="284"/>
    </row>
    <row r="24" spans="1:7" ht="15" customHeight="1" x14ac:dyDescent="0.25">
      <c r="A24" s="283"/>
      <c r="B24" s="283"/>
      <c r="C24" s="283"/>
      <c r="D24" s="283"/>
      <c r="E24" s="283"/>
      <c r="F24" s="405"/>
      <c r="G24" s="284"/>
    </row>
    <row r="25" spans="1:7" ht="46.5" customHeight="1" x14ac:dyDescent="0.25">
      <c r="A25" s="412" t="s">
        <v>349</v>
      </c>
      <c r="B25" s="412"/>
      <c r="C25" s="412"/>
      <c r="D25" s="412"/>
      <c r="E25" s="412"/>
      <c r="F25" s="402">
        <v>23</v>
      </c>
      <c r="G25" s="284"/>
    </row>
    <row r="26" spans="1:7" x14ac:dyDescent="0.25">
      <c r="A26" s="286"/>
      <c r="B26" s="286"/>
      <c r="C26" s="286"/>
      <c r="D26" s="286"/>
      <c r="E26" s="286"/>
      <c r="F26" s="284"/>
      <c r="G26" s="284"/>
    </row>
    <row r="27" spans="1:7" x14ac:dyDescent="0.25">
      <c r="A27" s="32"/>
      <c r="B27" s="32"/>
      <c r="C27" s="32"/>
      <c r="D27" s="32"/>
      <c r="E27" s="32"/>
    </row>
  </sheetData>
  <mergeCells count="11">
    <mergeCell ref="A3:F3"/>
    <mergeCell ref="A7:E7"/>
    <mergeCell ref="A9:E9"/>
    <mergeCell ref="A21:E21"/>
    <mergeCell ref="A23:E23"/>
    <mergeCell ref="A25:E25"/>
    <mergeCell ref="A11:E11"/>
    <mergeCell ref="A13:E13"/>
    <mergeCell ref="A15:E15"/>
    <mergeCell ref="A17:E17"/>
    <mergeCell ref="A19:E1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zoomScaleNormal="100" zoomScaleSheetLayoutView="100" workbookViewId="0">
      <pane ySplit="2" topLeftCell="A3" activePane="bottomLeft" state="frozen"/>
      <selection activeCell="H15" sqref="H15"/>
      <selection pane="bottomLeft" activeCell="B7" sqref="B7"/>
    </sheetView>
  </sheetViews>
  <sheetFormatPr defaultColWidth="9.140625" defaultRowHeight="10.5" x14ac:dyDescent="0.15"/>
  <cols>
    <col min="1" max="1" width="6.42578125" style="19" customWidth="1"/>
    <col min="2" max="2" width="55.7109375" style="9" customWidth="1"/>
    <col min="3" max="3" width="10.7109375" style="9" customWidth="1"/>
    <col min="4" max="5" width="10.7109375" style="26" customWidth="1"/>
    <col min="6" max="6" width="10.7109375" style="9" customWidth="1"/>
    <col min="7" max="7" width="8" style="9" customWidth="1"/>
    <col min="8" max="16384" width="9.140625" style="1"/>
  </cols>
  <sheetData>
    <row r="1" spans="1:8" ht="36" customHeight="1" thickBot="1" x14ac:dyDescent="0.25">
      <c r="A1" s="418" t="s">
        <v>338</v>
      </c>
      <c r="B1" s="419"/>
      <c r="C1" s="419"/>
      <c r="D1" s="419"/>
      <c r="E1" s="419"/>
      <c r="F1" s="419"/>
      <c r="G1" s="419"/>
    </row>
    <row r="2" spans="1:8" ht="36" customHeight="1" x14ac:dyDescent="0.15">
      <c r="A2" s="2" t="s">
        <v>0</v>
      </c>
      <c r="B2" s="3" t="s">
        <v>1</v>
      </c>
      <c r="C2" s="3" t="s">
        <v>331</v>
      </c>
      <c r="D2" s="3" t="s">
        <v>332</v>
      </c>
      <c r="E2" s="3" t="s">
        <v>333</v>
      </c>
      <c r="F2" s="3" t="s">
        <v>334</v>
      </c>
      <c r="G2" s="4" t="s">
        <v>335</v>
      </c>
      <c r="H2" s="5"/>
    </row>
    <row r="3" spans="1:8" s="9" customFormat="1" ht="15" customHeight="1" x14ac:dyDescent="0.25">
      <c r="A3" s="189">
        <v>169</v>
      </c>
      <c r="B3" s="165" t="s">
        <v>144</v>
      </c>
      <c r="C3" s="7">
        <v>4000</v>
      </c>
      <c r="D3" s="292">
        <v>8263.9500000000007</v>
      </c>
      <c r="E3" s="292">
        <v>8052.9500000000007</v>
      </c>
      <c r="F3" s="7">
        <v>4000</v>
      </c>
      <c r="G3" s="8">
        <f t="shared" ref="G3:G41" si="0">F3/C3*100</f>
        <v>100</v>
      </c>
    </row>
    <row r="4" spans="1:8" s="9" customFormat="1" ht="15.75" customHeight="1" x14ac:dyDescent="0.25">
      <c r="A4" s="420" t="s">
        <v>2</v>
      </c>
      <c r="B4" s="421"/>
      <c r="C4" s="10">
        <f>SUM(C3)</f>
        <v>4000</v>
      </c>
      <c r="D4" s="293">
        <f>SUM(D3)</f>
        <v>8263.9500000000007</v>
      </c>
      <c r="E4" s="293">
        <f>SUM(E3)</f>
        <v>8052.9500000000007</v>
      </c>
      <c r="F4" s="290">
        <f>SUM(F3)</f>
        <v>4000</v>
      </c>
      <c r="G4" s="11">
        <f t="shared" si="0"/>
        <v>100</v>
      </c>
    </row>
    <row r="5" spans="1:8" s="9" customFormat="1" ht="13.5" customHeight="1" x14ac:dyDescent="0.25">
      <c r="A5" s="190">
        <v>202</v>
      </c>
      <c r="B5" s="6" t="s">
        <v>249</v>
      </c>
      <c r="C5" s="7">
        <v>30000</v>
      </c>
      <c r="D5" s="292">
        <v>10314</v>
      </c>
      <c r="E5" s="292">
        <v>2000</v>
      </c>
      <c r="F5" s="291">
        <v>44686</v>
      </c>
      <c r="G5" s="8">
        <f t="shared" si="0"/>
        <v>148.95333333333335</v>
      </c>
    </row>
    <row r="6" spans="1:8" s="9" customFormat="1" ht="24" customHeight="1" x14ac:dyDescent="0.25">
      <c r="A6" s="190">
        <v>204</v>
      </c>
      <c r="B6" s="6" t="s">
        <v>3</v>
      </c>
      <c r="C6" s="7">
        <v>12000</v>
      </c>
      <c r="D6" s="292">
        <v>13779.8</v>
      </c>
      <c r="E6" s="292">
        <v>2898.1</v>
      </c>
      <c r="F6" s="291">
        <v>12000</v>
      </c>
      <c r="G6" s="8">
        <f>F6/C6*100</f>
        <v>100</v>
      </c>
    </row>
    <row r="7" spans="1:8" s="9" customFormat="1" ht="13.5" customHeight="1" x14ac:dyDescent="0.25">
      <c r="A7" s="190">
        <v>205</v>
      </c>
      <c r="B7" s="6" t="s">
        <v>145</v>
      </c>
      <c r="C7" s="7">
        <v>11000</v>
      </c>
      <c r="D7" s="292">
        <v>11967.5</v>
      </c>
      <c r="E7" s="292">
        <v>11585.91712</v>
      </c>
      <c r="F7" s="291">
        <v>11000</v>
      </c>
      <c r="G7" s="8">
        <f t="shared" si="0"/>
        <v>100</v>
      </c>
    </row>
    <row r="8" spans="1:8" s="9" customFormat="1" ht="24" customHeight="1" x14ac:dyDescent="0.25">
      <c r="A8" s="190">
        <v>206</v>
      </c>
      <c r="B8" s="6" t="s">
        <v>4</v>
      </c>
      <c r="C8" s="7">
        <v>1650</v>
      </c>
      <c r="D8" s="292">
        <v>1158.5</v>
      </c>
      <c r="E8" s="292">
        <v>1158.5</v>
      </c>
      <c r="F8" s="291">
        <v>1500</v>
      </c>
      <c r="G8" s="8">
        <f t="shared" si="0"/>
        <v>90.909090909090907</v>
      </c>
    </row>
    <row r="9" spans="1:8" s="9" customFormat="1" ht="13.5" customHeight="1" x14ac:dyDescent="0.25">
      <c r="A9" s="190">
        <v>207</v>
      </c>
      <c r="B9" s="16" t="s">
        <v>211</v>
      </c>
      <c r="C9" s="7">
        <v>7500</v>
      </c>
      <c r="D9" s="292">
        <v>3025</v>
      </c>
      <c r="E9" s="292">
        <v>1925</v>
      </c>
      <c r="F9" s="7">
        <v>825</v>
      </c>
      <c r="G9" s="8">
        <f>F9/C9*100</f>
        <v>11</v>
      </c>
    </row>
    <row r="10" spans="1:8" s="9" customFormat="1" ht="15.75" customHeight="1" x14ac:dyDescent="0.25">
      <c r="A10" s="420" t="s">
        <v>5</v>
      </c>
      <c r="B10" s="421"/>
      <c r="C10" s="10">
        <f>SUM(C5:C9)</f>
        <v>62150</v>
      </c>
      <c r="D10" s="293">
        <f>SUM(D5:D9)</f>
        <v>40244.800000000003</v>
      </c>
      <c r="E10" s="293">
        <f>SUM(E5:E9)</f>
        <v>19567.51712</v>
      </c>
      <c r="F10" s="10">
        <f>SUM(F5:F9)</f>
        <v>70011</v>
      </c>
      <c r="G10" s="11">
        <f t="shared" si="0"/>
        <v>112.6484312148029</v>
      </c>
    </row>
    <row r="11" spans="1:8" s="9" customFormat="1" ht="15" customHeight="1" x14ac:dyDescent="0.25">
      <c r="A11" s="190">
        <v>282</v>
      </c>
      <c r="B11" s="6" t="s">
        <v>350</v>
      </c>
      <c r="C11" s="7">
        <v>0</v>
      </c>
      <c r="D11" s="292">
        <v>0</v>
      </c>
      <c r="E11" s="292">
        <v>0</v>
      </c>
      <c r="F11" s="291">
        <v>18000</v>
      </c>
      <c r="G11" s="289" t="s">
        <v>367</v>
      </c>
      <c r="H11" s="191"/>
    </row>
    <row r="12" spans="1:8" s="9" customFormat="1" ht="15" customHeight="1" x14ac:dyDescent="0.25">
      <c r="A12" s="190">
        <v>283</v>
      </c>
      <c r="B12" s="6" t="s">
        <v>250</v>
      </c>
      <c r="C12" s="7">
        <v>20800</v>
      </c>
      <c r="D12" s="292">
        <v>25301.559999999998</v>
      </c>
      <c r="E12" s="292">
        <v>23708.273420000001</v>
      </c>
      <c r="F12" s="7">
        <v>6072</v>
      </c>
      <c r="G12" s="8">
        <f t="shared" ref="G12" si="1">F12/C12*100</f>
        <v>29.19230769230769</v>
      </c>
      <c r="H12" s="191"/>
    </row>
    <row r="13" spans="1:8" s="9" customFormat="1" ht="15" customHeight="1" x14ac:dyDescent="0.25">
      <c r="A13" s="190">
        <v>284</v>
      </c>
      <c r="B13" s="6" t="s">
        <v>352</v>
      </c>
      <c r="C13" s="7">
        <v>0</v>
      </c>
      <c r="D13" s="292">
        <v>0</v>
      </c>
      <c r="E13" s="292">
        <v>0</v>
      </c>
      <c r="F13" s="7">
        <v>15000</v>
      </c>
      <c r="G13" s="289" t="s">
        <v>367</v>
      </c>
      <c r="H13" s="191"/>
    </row>
    <row r="14" spans="1:8" s="9" customFormat="1" ht="15" customHeight="1" x14ac:dyDescent="0.25">
      <c r="A14" s="190">
        <v>285</v>
      </c>
      <c r="B14" s="6" t="s">
        <v>351</v>
      </c>
      <c r="C14" s="7">
        <v>0</v>
      </c>
      <c r="D14" s="292">
        <v>285.77000000000004</v>
      </c>
      <c r="E14" s="292">
        <v>263.32657999999998</v>
      </c>
      <c r="F14" s="7">
        <v>2663</v>
      </c>
      <c r="G14" s="289" t="s">
        <v>367</v>
      </c>
    </row>
    <row r="15" spans="1:8" s="9" customFormat="1" ht="15" customHeight="1" x14ac:dyDescent="0.25">
      <c r="A15" s="190">
        <v>286</v>
      </c>
      <c r="B15" s="6" t="s">
        <v>254</v>
      </c>
      <c r="C15" s="7">
        <v>2218</v>
      </c>
      <c r="D15" s="292">
        <v>1762.3799999999997</v>
      </c>
      <c r="E15" s="292">
        <v>1208.5794999999996</v>
      </c>
      <c r="F15" s="7">
        <v>225</v>
      </c>
      <c r="G15" s="8">
        <f t="shared" si="0"/>
        <v>10.144274120829575</v>
      </c>
    </row>
    <row r="16" spans="1:8" s="9" customFormat="1" ht="15" customHeight="1" x14ac:dyDescent="0.25">
      <c r="A16" s="190">
        <v>288</v>
      </c>
      <c r="B16" s="6" t="s">
        <v>210</v>
      </c>
      <c r="C16" s="7">
        <v>318</v>
      </c>
      <c r="D16" s="292">
        <v>455.88</v>
      </c>
      <c r="E16" s="292">
        <v>343.16800000000001</v>
      </c>
      <c r="F16" s="7">
        <v>98</v>
      </c>
      <c r="G16" s="8">
        <f t="shared" ref="G16:G29" si="2">F16/C16*100</f>
        <v>30.817610062893081</v>
      </c>
    </row>
    <row r="17" spans="1:8" s="9" customFormat="1" ht="15" customHeight="1" x14ac:dyDescent="0.25">
      <c r="A17" s="190">
        <v>289</v>
      </c>
      <c r="B17" s="6" t="s">
        <v>251</v>
      </c>
      <c r="C17" s="7">
        <v>96</v>
      </c>
      <c r="D17" s="292">
        <v>56.49</v>
      </c>
      <c r="E17" s="292">
        <v>56.49</v>
      </c>
      <c r="F17" s="7">
        <v>96</v>
      </c>
      <c r="G17" s="8">
        <f t="shared" si="0"/>
        <v>100</v>
      </c>
    </row>
    <row r="18" spans="1:8" s="9" customFormat="1" ht="15" customHeight="1" x14ac:dyDescent="0.25">
      <c r="A18" s="190">
        <v>291</v>
      </c>
      <c r="B18" s="16" t="s">
        <v>353</v>
      </c>
      <c r="C18" s="7">
        <v>0</v>
      </c>
      <c r="D18" s="292">
        <v>0</v>
      </c>
      <c r="E18" s="292">
        <v>0</v>
      </c>
      <c r="F18" s="7">
        <v>3000</v>
      </c>
      <c r="G18" s="289" t="s">
        <v>367</v>
      </c>
    </row>
    <row r="19" spans="1:8" s="9" customFormat="1" ht="15" customHeight="1" x14ac:dyDescent="0.25">
      <c r="A19" s="190">
        <v>292</v>
      </c>
      <c r="B19" s="16" t="s">
        <v>354</v>
      </c>
      <c r="C19" s="7">
        <v>0</v>
      </c>
      <c r="D19" s="292">
        <v>0</v>
      </c>
      <c r="E19" s="292">
        <v>0</v>
      </c>
      <c r="F19" s="7">
        <v>3915</v>
      </c>
      <c r="G19" s="289" t="s">
        <v>367</v>
      </c>
    </row>
    <row r="20" spans="1:8" s="9" customFormat="1" ht="15" customHeight="1" x14ac:dyDescent="0.25">
      <c r="A20" s="190">
        <v>293</v>
      </c>
      <c r="B20" s="12" t="s">
        <v>360</v>
      </c>
      <c r="C20" s="7">
        <v>0</v>
      </c>
      <c r="D20" s="292">
        <v>0</v>
      </c>
      <c r="E20" s="292">
        <v>0</v>
      </c>
      <c r="F20" s="291">
        <v>8000</v>
      </c>
      <c r="G20" s="289" t="s">
        <v>367</v>
      </c>
    </row>
    <row r="21" spans="1:8" s="9" customFormat="1" ht="15" customHeight="1" x14ac:dyDescent="0.25">
      <c r="A21" s="190">
        <v>294</v>
      </c>
      <c r="B21" s="12" t="s">
        <v>252</v>
      </c>
      <c r="C21" s="7">
        <v>8000</v>
      </c>
      <c r="D21" s="292">
        <v>7903.2</v>
      </c>
      <c r="E21" s="292">
        <v>7903.2</v>
      </c>
      <c r="F21" s="7">
        <v>1977</v>
      </c>
      <c r="G21" s="8">
        <f t="shared" si="0"/>
        <v>24.712500000000002</v>
      </c>
    </row>
    <row r="22" spans="1:8" s="9" customFormat="1" ht="15" customHeight="1" x14ac:dyDescent="0.25">
      <c r="A22" s="190">
        <v>295</v>
      </c>
      <c r="B22" s="13" t="s">
        <v>355</v>
      </c>
      <c r="C22" s="7">
        <v>0</v>
      </c>
      <c r="D22" s="292">
        <v>0</v>
      </c>
      <c r="E22" s="292">
        <v>0</v>
      </c>
      <c r="F22" s="7">
        <v>1500</v>
      </c>
      <c r="G22" s="289" t="s">
        <v>367</v>
      </c>
    </row>
    <row r="23" spans="1:8" s="9" customFormat="1" ht="15" customHeight="1" x14ac:dyDescent="0.25">
      <c r="A23" s="190">
        <v>296</v>
      </c>
      <c r="B23" s="13" t="s">
        <v>253</v>
      </c>
      <c r="C23" s="7">
        <v>2500</v>
      </c>
      <c r="D23" s="292">
        <v>2523.3999999999996</v>
      </c>
      <c r="E23" s="292">
        <v>0</v>
      </c>
      <c r="F23" s="7">
        <v>2525</v>
      </c>
      <c r="G23" s="8">
        <f t="shared" si="0"/>
        <v>101</v>
      </c>
    </row>
    <row r="24" spans="1:8" s="9" customFormat="1" ht="15" customHeight="1" x14ac:dyDescent="0.25">
      <c r="A24" s="190">
        <v>297</v>
      </c>
      <c r="B24" s="13" t="s">
        <v>356</v>
      </c>
      <c r="C24" s="7">
        <v>0</v>
      </c>
      <c r="D24" s="292">
        <v>0</v>
      </c>
      <c r="E24" s="292">
        <v>0</v>
      </c>
      <c r="F24" s="291">
        <v>16000</v>
      </c>
      <c r="G24" s="289" t="s">
        <v>367</v>
      </c>
    </row>
    <row r="25" spans="1:8" s="9" customFormat="1" ht="15" customHeight="1" x14ac:dyDescent="0.25">
      <c r="A25" s="190">
        <v>298</v>
      </c>
      <c r="B25" s="13" t="s">
        <v>357</v>
      </c>
      <c r="C25" s="7">
        <v>0</v>
      </c>
      <c r="D25" s="292">
        <v>18598.559999999998</v>
      </c>
      <c r="E25" s="292">
        <v>18598.559999999998</v>
      </c>
      <c r="F25" s="7">
        <v>4650</v>
      </c>
      <c r="G25" s="289" t="s">
        <v>367</v>
      </c>
    </row>
    <row r="26" spans="1:8" s="9" customFormat="1" ht="15" customHeight="1" x14ac:dyDescent="0.25">
      <c r="A26" s="190">
        <v>299</v>
      </c>
      <c r="B26" s="13" t="s">
        <v>358</v>
      </c>
      <c r="C26" s="7">
        <v>0</v>
      </c>
      <c r="D26" s="292">
        <v>3600</v>
      </c>
      <c r="E26" s="292">
        <v>977.96100000000001</v>
      </c>
      <c r="F26" s="7">
        <v>1200</v>
      </c>
      <c r="G26" s="289" t="s">
        <v>367</v>
      </c>
    </row>
    <row r="27" spans="1:8" s="9" customFormat="1" ht="15" customHeight="1" x14ac:dyDescent="0.25">
      <c r="A27" s="190">
        <v>301</v>
      </c>
      <c r="B27" s="13" t="s">
        <v>359</v>
      </c>
      <c r="C27" s="7">
        <v>0</v>
      </c>
      <c r="D27" s="292">
        <v>7573.9</v>
      </c>
      <c r="E27" s="292">
        <v>3573.8855399999993</v>
      </c>
      <c r="F27" s="7">
        <v>4000</v>
      </c>
      <c r="G27" s="289" t="s">
        <v>367</v>
      </c>
    </row>
    <row r="28" spans="1:8" s="9" customFormat="1" ht="15" customHeight="1" x14ac:dyDescent="0.25">
      <c r="A28" s="190">
        <v>302</v>
      </c>
      <c r="B28" s="13" t="s">
        <v>33</v>
      </c>
      <c r="C28" s="7">
        <v>1000</v>
      </c>
      <c r="D28" s="292">
        <v>954.1</v>
      </c>
      <c r="E28" s="292">
        <v>954.1</v>
      </c>
      <c r="F28" s="7">
        <v>800</v>
      </c>
      <c r="G28" s="8">
        <f t="shared" si="2"/>
        <v>80</v>
      </c>
    </row>
    <row r="29" spans="1:8" s="9" customFormat="1" ht="15" customHeight="1" x14ac:dyDescent="0.25">
      <c r="A29" s="416" t="s">
        <v>336</v>
      </c>
      <c r="B29" s="417"/>
      <c r="C29" s="7">
        <v>38970</v>
      </c>
      <c r="D29" s="292">
        <v>49866.38</v>
      </c>
      <c r="E29" s="292">
        <v>25510.07</v>
      </c>
      <c r="F29" s="7">
        <v>0</v>
      </c>
      <c r="G29" s="8">
        <f t="shared" si="2"/>
        <v>0</v>
      </c>
    </row>
    <row r="30" spans="1:8" s="9" customFormat="1" ht="15.75" customHeight="1" x14ac:dyDescent="0.25">
      <c r="A30" s="420" t="s">
        <v>6</v>
      </c>
      <c r="B30" s="421"/>
      <c r="C30" s="10">
        <f>SUM(C11:C29)</f>
        <v>73902</v>
      </c>
      <c r="D30" s="293">
        <f>SUM(D11:D29)</f>
        <v>118881.62</v>
      </c>
      <c r="E30" s="293">
        <f>SUM(E11:E29)</f>
        <v>83097.61404</v>
      </c>
      <c r="F30" s="10">
        <f>SUM(F11:F29)</f>
        <v>89721</v>
      </c>
      <c r="G30" s="11">
        <f>F30/C30*100</f>
        <v>121.40537468539416</v>
      </c>
      <c r="H30" s="166"/>
    </row>
    <row r="31" spans="1:8" s="9" customFormat="1" ht="24" customHeight="1" x14ac:dyDescent="0.25">
      <c r="A31" s="190">
        <v>327</v>
      </c>
      <c r="B31" s="6" t="s">
        <v>255</v>
      </c>
      <c r="C31" s="7">
        <v>1750</v>
      </c>
      <c r="D31" s="292">
        <v>1333.14</v>
      </c>
      <c r="E31" s="292">
        <v>840.66300000000001</v>
      </c>
      <c r="F31" s="7">
        <v>2668</v>
      </c>
      <c r="G31" s="8">
        <f t="shared" si="0"/>
        <v>152.45714285714286</v>
      </c>
      <c r="H31" s="193"/>
    </row>
    <row r="32" spans="1:8" s="9" customFormat="1" ht="15" customHeight="1" x14ac:dyDescent="0.25">
      <c r="A32" s="190">
        <v>328</v>
      </c>
      <c r="B32" s="6" t="s">
        <v>212</v>
      </c>
      <c r="C32" s="7">
        <v>2000</v>
      </c>
      <c r="D32" s="292">
        <v>2135.9</v>
      </c>
      <c r="E32" s="292">
        <v>1066.0740000000001</v>
      </c>
      <c r="F32" s="7">
        <v>2000</v>
      </c>
      <c r="G32" s="8">
        <f t="shared" si="0"/>
        <v>100</v>
      </c>
      <c r="H32" s="166"/>
    </row>
    <row r="33" spans="1:8" s="9" customFormat="1" ht="15" customHeight="1" x14ac:dyDescent="0.25">
      <c r="A33" s="190">
        <v>330</v>
      </c>
      <c r="B33" s="12" t="s">
        <v>361</v>
      </c>
      <c r="C33" s="7">
        <v>5500</v>
      </c>
      <c r="D33" s="292">
        <v>5622.94</v>
      </c>
      <c r="E33" s="292">
        <v>2425.4</v>
      </c>
      <c r="F33" s="7">
        <v>2625</v>
      </c>
      <c r="G33" s="8">
        <f t="shared" si="0"/>
        <v>47.727272727272727</v>
      </c>
      <c r="H33" s="166"/>
    </row>
    <row r="34" spans="1:8" s="9" customFormat="1" ht="15" customHeight="1" x14ac:dyDescent="0.25">
      <c r="A34" s="190">
        <v>331</v>
      </c>
      <c r="B34" s="12" t="s">
        <v>213</v>
      </c>
      <c r="C34" s="7">
        <v>3000</v>
      </c>
      <c r="D34" s="292">
        <v>2390</v>
      </c>
      <c r="E34" s="292">
        <v>1193.1500000000001</v>
      </c>
      <c r="F34" s="7">
        <v>3000</v>
      </c>
      <c r="G34" s="8">
        <f t="shared" si="0"/>
        <v>100</v>
      </c>
      <c r="H34" s="166"/>
    </row>
    <row r="35" spans="1:8" s="9" customFormat="1" ht="15" customHeight="1" x14ac:dyDescent="0.25">
      <c r="A35" s="190">
        <v>332</v>
      </c>
      <c r="B35" s="12" t="s">
        <v>492</v>
      </c>
      <c r="C35" s="7">
        <v>3576</v>
      </c>
      <c r="D35" s="292">
        <v>3370.7200000000003</v>
      </c>
      <c r="E35" s="292">
        <v>2320.7199999999998</v>
      </c>
      <c r="F35" s="7">
        <v>2628</v>
      </c>
      <c r="G35" s="8">
        <f t="shared" si="0"/>
        <v>73.489932885906043</v>
      </c>
      <c r="H35" s="166"/>
    </row>
    <row r="36" spans="1:8" s="9" customFormat="1" ht="15" customHeight="1" x14ac:dyDescent="0.25">
      <c r="A36" s="190">
        <v>334</v>
      </c>
      <c r="B36" s="12" t="s">
        <v>493</v>
      </c>
      <c r="C36" s="7">
        <v>1703</v>
      </c>
      <c r="D36" s="292">
        <v>1599.02</v>
      </c>
      <c r="E36" s="292">
        <v>1287.94</v>
      </c>
      <c r="F36" s="7">
        <v>104</v>
      </c>
      <c r="G36" s="8">
        <f t="shared" si="0"/>
        <v>6.1068702290076331</v>
      </c>
      <c r="H36" s="166"/>
    </row>
    <row r="37" spans="1:8" s="9" customFormat="1" ht="15" customHeight="1" x14ac:dyDescent="0.25">
      <c r="A37" s="190">
        <v>336</v>
      </c>
      <c r="B37" s="16" t="s">
        <v>256</v>
      </c>
      <c r="C37" s="7">
        <v>15000</v>
      </c>
      <c r="D37" s="292">
        <v>12674.68</v>
      </c>
      <c r="E37" s="292">
        <v>3711.12</v>
      </c>
      <c r="F37" s="291">
        <v>16123</v>
      </c>
      <c r="G37" s="8">
        <f t="shared" si="0"/>
        <v>107.48666666666666</v>
      </c>
      <c r="H37" s="166"/>
    </row>
    <row r="38" spans="1:8" s="9" customFormat="1" ht="15" customHeight="1" x14ac:dyDescent="0.25">
      <c r="A38" s="190">
        <v>338</v>
      </c>
      <c r="B38" s="16" t="s">
        <v>208</v>
      </c>
      <c r="C38" s="7">
        <v>1421</v>
      </c>
      <c r="D38" s="292">
        <v>5153.3900000000003</v>
      </c>
      <c r="E38" s="292">
        <v>3826.0737799999997</v>
      </c>
      <c r="F38" s="291">
        <v>202</v>
      </c>
      <c r="G38" s="8">
        <f t="shared" si="0"/>
        <v>14.215341308937369</v>
      </c>
      <c r="H38" s="166"/>
    </row>
    <row r="39" spans="1:8" s="9" customFormat="1" ht="15" customHeight="1" x14ac:dyDescent="0.25">
      <c r="A39" s="268">
        <v>340</v>
      </c>
      <c r="B39" s="16" t="s">
        <v>362</v>
      </c>
      <c r="C39" s="7">
        <v>0</v>
      </c>
      <c r="D39" s="292">
        <v>1125</v>
      </c>
      <c r="E39" s="292">
        <v>225</v>
      </c>
      <c r="F39" s="291">
        <v>950</v>
      </c>
      <c r="G39" s="289" t="s">
        <v>367</v>
      </c>
      <c r="H39" s="166"/>
    </row>
    <row r="40" spans="1:8" s="9" customFormat="1" ht="15" customHeight="1" x14ac:dyDescent="0.25">
      <c r="A40" s="268">
        <v>342</v>
      </c>
      <c r="B40" s="16" t="s">
        <v>363</v>
      </c>
      <c r="C40" s="7">
        <v>0</v>
      </c>
      <c r="D40" s="292">
        <v>0</v>
      </c>
      <c r="E40" s="292">
        <v>0</v>
      </c>
      <c r="F40" s="291">
        <v>4750</v>
      </c>
      <c r="G40" s="289" t="s">
        <v>367</v>
      </c>
      <c r="H40" s="166"/>
    </row>
    <row r="41" spans="1:8" s="9" customFormat="1" ht="15" customHeight="1" x14ac:dyDescent="0.25">
      <c r="A41" s="416" t="s">
        <v>337</v>
      </c>
      <c r="B41" s="417"/>
      <c r="C41" s="7">
        <v>1283</v>
      </c>
      <c r="D41" s="292">
        <v>1913.5</v>
      </c>
      <c r="E41" s="292">
        <v>1370.64</v>
      </c>
      <c r="F41" s="291">
        <v>0</v>
      </c>
      <c r="G41" s="8">
        <f t="shared" si="0"/>
        <v>0</v>
      </c>
      <c r="H41" s="166"/>
    </row>
    <row r="42" spans="1:8" s="9" customFormat="1" ht="15.75" customHeight="1" x14ac:dyDescent="0.25">
      <c r="A42" s="420" t="s">
        <v>7</v>
      </c>
      <c r="B42" s="421"/>
      <c r="C42" s="10">
        <f>SUM(C31:C41)</f>
        <v>35233</v>
      </c>
      <c r="D42" s="293">
        <f>SUM(D31:D41)</f>
        <v>37318.29</v>
      </c>
      <c r="E42" s="293">
        <f>SUM(E31:E41)</f>
        <v>18266.780779999997</v>
      </c>
      <c r="F42" s="290">
        <f>SUM(F31:F41)</f>
        <v>35050</v>
      </c>
      <c r="G42" s="11">
        <f t="shared" ref="G42:G64" si="3">F42/C42*100</f>
        <v>99.480600573326143</v>
      </c>
      <c r="H42" s="166"/>
    </row>
    <row r="43" spans="1:8" s="166" customFormat="1" ht="15" customHeight="1" x14ac:dyDescent="0.25">
      <c r="A43" s="190">
        <v>357</v>
      </c>
      <c r="B43" s="6" t="s">
        <v>34</v>
      </c>
      <c r="C43" s="7">
        <v>3000</v>
      </c>
      <c r="D43" s="292">
        <v>3029.2</v>
      </c>
      <c r="E43" s="292">
        <v>2999.0642400000002</v>
      </c>
      <c r="F43" s="291">
        <v>3000</v>
      </c>
      <c r="G43" s="14">
        <f t="shared" si="3"/>
        <v>100</v>
      </c>
    </row>
    <row r="44" spans="1:8" s="166" customFormat="1" ht="15" customHeight="1" x14ac:dyDescent="0.25">
      <c r="A44" s="190">
        <v>358</v>
      </c>
      <c r="B44" s="6" t="s">
        <v>364</v>
      </c>
      <c r="C44" s="7">
        <v>700</v>
      </c>
      <c r="D44" s="292">
        <v>700</v>
      </c>
      <c r="E44" s="292">
        <v>700</v>
      </c>
      <c r="F44" s="291">
        <v>700</v>
      </c>
      <c r="G44" s="14">
        <f t="shared" si="3"/>
        <v>100</v>
      </c>
    </row>
    <row r="45" spans="1:8" s="166" customFormat="1" ht="24" customHeight="1" x14ac:dyDescent="0.25">
      <c r="A45" s="190">
        <v>359</v>
      </c>
      <c r="B45" s="6" t="s">
        <v>8</v>
      </c>
      <c r="C45" s="7">
        <v>6000</v>
      </c>
      <c r="D45" s="292">
        <v>6085.4</v>
      </c>
      <c r="E45" s="292">
        <v>6085.4</v>
      </c>
      <c r="F45" s="291">
        <v>5000</v>
      </c>
      <c r="G45" s="14">
        <f t="shared" si="3"/>
        <v>83.333333333333343</v>
      </c>
    </row>
    <row r="46" spans="1:8" s="166" customFormat="1" ht="24" customHeight="1" x14ac:dyDescent="0.25">
      <c r="A46" s="190">
        <v>360</v>
      </c>
      <c r="B46" s="6" t="s">
        <v>9</v>
      </c>
      <c r="C46" s="7">
        <v>40000</v>
      </c>
      <c r="D46" s="292">
        <v>38037.1</v>
      </c>
      <c r="E46" s="292">
        <v>35797.599999999999</v>
      </c>
      <c r="F46" s="291">
        <v>40000</v>
      </c>
      <c r="G46" s="14">
        <f t="shared" si="3"/>
        <v>100</v>
      </c>
    </row>
    <row r="47" spans="1:8" s="166" customFormat="1" ht="24" customHeight="1" x14ac:dyDescent="0.25">
      <c r="A47" s="190">
        <v>362</v>
      </c>
      <c r="B47" s="6" t="s">
        <v>194</v>
      </c>
      <c r="C47" s="7">
        <v>5500</v>
      </c>
      <c r="D47" s="292">
        <v>5500</v>
      </c>
      <c r="E47" s="292">
        <v>5295.5</v>
      </c>
      <c r="F47" s="291">
        <v>4500</v>
      </c>
      <c r="G47" s="14">
        <f t="shared" si="3"/>
        <v>81.818181818181827</v>
      </c>
    </row>
    <row r="48" spans="1:8" s="166" customFormat="1" ht="24" customHeight="1" x14ac:dyDescent="0.25">
      <c r="A48" s="190">
        <v>363</v>
      </c>
      <c r="B48" s="6" t="s">
        <v>10</v>
      </c>
      <c r="C48" s="7">
        <v>80000</v>
      </c>
      <c r="D48" s="292">
        <v>91898</v>
      </c>
      <c r="E48" s="292">
        <v>0</v>
      </c>
      <c r="F48" s="291">
        <v>80000</v>
      </c>
      <c r="G48" s="14">
        <f t="shared" si="3"/>
        <v>100</v>
      </c>
    </row>
    <row r="49" spans="1:8" s="166" customFormat="1" ht="24" customHeight="1" x14ac:dyDescent="0.25">
      <c r="A49" s="190">
        <v>365</v>
      </c>
      <c r="B49" s="6" t="s">
        <v>195</v>
      </c>
      <c r="C49" s="7">
        <v>500</v>
      </c>
      <c r="D49" s="292">
        <v>490</v>
      </c>
      <c r="E49" s="292">
        <v>490</v>
      </c>
      <c r="F49" s="291">
        <v>500</v>
      </c>
      <c r="G49" s="14">
        <f t="shared" si="3"/>
        <v>100</v>
      </c>
    </row>
    <row r="50" spans="1:8" s="166" customFormat="1" ht="15" customHeight="1" x14ac:dyDescent="0.25">
      <c r="A50" s="190">
        <v>366</v>
      </c>
      <c r="B50" s="6" t="s">
        <v>196</v>
      </c>
      <c r="C50" s="7">
        <v>3000</v>
      </c>
      <c r="D50" s="292">
        <v>2992.7</v>
      </c>
      <c r="E50" s="292">
        <v>2992.7</v>
      </c>
      <c r="F50" s="7">
        <v>3000</v>
      </c>
      <c r="G50" s="14">
        <f t="shared" si="3"/>
        <v>100</v>
      </c>
    </row>
    <row r="51" spans="1:8" s="166" customFormat="1" ht="24" customHeight="1" x14ac:dyDescent="0.25">
      <c r="A51" s="190">
        <v>367</v>
      </c>
      <c r="B51" s="6" t="s">
        <v>11</v>
      </c>
      <c r="C51" s="7">
        <v>199861</v>
      </c>
      <c r="D51" s="292">
        <v>199861</v>
      </c>
      <c r="E51" s="292">
        <v>199861</v>
      </c>
      <c r="F51" s="7">
        <v>197448</v>
      </c>
      <c r="G51" s="14">
        <f t="shared" si="3"/>
        <v>98.792660899325028</v>
      </c>
    </row>
    <row r="52" spans="1:8" s="9" customFormat="1" ht="15" customHeight="1" x14ac:dyDescent="0.25">
      <c r="A52" s="416" t="s">
        <v>369</v>
      </c>
      <c r="B52" s="417"/>
      <c r="C52" s="7">
        <v>10000</v>
      </c>
      <c r="D52" s="292">
        <v>0</v>
      </c>
      <c r="E52" s="292">
        <v>0</v>
      </c>
      <c r="F52" s="291">
        <v>0</v>
      </c>
      <c r="G52" s="8">
        <f t="shared" si="3"/>
        <v>0</v>
      </c>
      <c r="H52" s="166"/>
    </row>
    <row r="53" spans="1:8" s="9" customFormat="1" ht="15.75" customHeight="1" x14ac:dyDescent="0.25">
      <c r="A53" s="420" t="s">
        <v>12</v>
      </c>
      <c r="B53" s="421"/>
      <c r="C53" s="10">
        <f>SUM(C43:C52)</f>
        <v>348561</v>
      </c>
      <c r="D53" s="293">
        <f>SUM(D43:D52)</f>
        <v>348593.4</v>
      </c>
      <c r="E53" s="293">
        <f>SUM(E43:E52)</f>
        <v>254221.26423999999</v>
      </c>
      <c r="F53" s="290">
        <f>SUM(F43:F52)</f>
        <v>334148</v>
      </c>
      <c r="G53" s="11">
        <f t="shared" si="3"/>
        <v>95.864999239731347</v>
      </c>
    </row>
    <row r="54" spans="1:8" s="9" customFormat="1" ht="15" customHeight="1" x14ac:dyDescent="0.25">
      <c r="A54" s="190">
        <v>421</v>
      </c>
      <c r="B54" s="184" t="s">
        <v>13</v>
      </c>
      <c r="C54" s="7">
        <v>38000</v>
      </c>
      <c r="D54" s="292">
        <v>38392.800000000003</v>
      </c>
      <c r="E54" s="292">
        <v>38392.800000000003</v>
      </c>
      <c r="F54" s="291">
        <v>35300</v>
      </c>
      <c r="G54" s="8">
        <f t="shared" si="3"/>
        <v>92.89473684210526</v>
      </c>
    </row>
    <row r="55" spans="1:8" s="9" customFormat="1" ht="15" customHeight="1" x14ac:dyDescent="0.25">
      <c r="A55" s="268">
        <v>422</v>
      </c>
      <c r="B55" s="269" t="s">
        <v>257</v>
      </c>
      <c r="C55" s="7">
        <v>7600</v>
      </c>
      <c r="D55" s="292">
        <v>4449.3999999999996</v>
      </c>
      <c r="E55" s="292">
        <v>3572.2979999999998</v>
      </c>
      <c r="F55" s="291">
        <v>7600</v>
      </c>
      <c r="G55" s="8">
        <f t="shared" si="3"/>
        <v>100</v>
      </c>
    </row>
    <row r="56" spans="1:8" s="9" customFormat="1" ht="15" customHeight="1" x14ac:dyDescent="0.25">
      <c r="A56" s="268">
        <v>423</v>
      </c>
      <c r="B56" s="269" t="s">
        <v>370</v>
      </c>
      <c r="C56" s="7">
        <v>2000</v>
      </c>
      <c r="D56" s="292">
        <v>3000</v>
      </c>
      <c r="E56" s="292">
        <v>3000</v>
      </c>
      <c r="F56" s="291">
        <v>3000</v>
      </c>
      <c r="G56" s="8">
        <f t="shared" si="3"/>
        <v>150</v>
      </c>
    </row>
    <row r="57" spans="1:8" s="9" customFormat="1" ht="15" customHeight="1" x14ac:dyDescent="0.25">
      <c r="A57" s="268">
        <v>424</v>
      </c>
      <c r="B57" s="269" t="s">
        <v>258</v>
      </c>
      <c r="C57" s="7">
        <v>2200</v>
      </c>
      <c r="D57" s="292">
        <v>3269.95</v>
      </c>
      <c r="E57" s="292">
        <v>3269.95</v>
      </c>
      <c r="F57" s="291">
        <v>3000</v>
      </c>
      <c r="G57" s="8">
        <f t="shared" si="3"/>
        <v>136.36363636363635</v>
      </c>
    </row>
    <row r="58" spans="1:8" s="9" customFormat="1" ht="15.75" customHeight="1" x14ac:dyDescent="0.25">
      <c r="A58" s="424" t="s">
        <v>14</v>
      </c>
      <c r="B58" s="425"/>
      <c r="C58" s="10">
        <f>SUM(C54:C57)</f>
        <v>49800</v>
      </c>
      <c r="D58" s="293">
        <f>SUM(D54:D57)</f>
        <v>49112.15</v>
      </c>
      <c r="E58" s="293">
        <f>SUM(E54:E57)</f>
        <v>48235.048000000003</v>
      </c>
      <c r="F58" s="290">
        <f>SUM(F54:F57)</f>
        <v>48900</v>
      </c>
      <c r="G58" s="11">
        <f t="shared" si="3"/>
        <v>98.192771084337352</v>
      </c>
    </row>
    <row r="59" spans="1:8" s="9" customFormat="1" ht="15" customHeight="1" x14ac:dyDescent="0.25">
      <c r="A59" s="190">
        <v>609</v>
      </c>
      <c r="B59" s="6" t="s">
        <v>259</v>
      </c>
      <c r="C59" s="7">
        <v>1000</v>
      </c>
      <c r="D59" s="292">
        <v>1555.1</v>
      </c>
      <c r="E59" s="292">
        <v>1555.1</v>
      </c>
      <c r="F59" s="291">
        <v>1000</v>
      </c>
      <c r="G59" s="8">
        <f t="shared" si="3"/>
        <v>100</v>
      </c>
    </row>
    <row r="60" spans="1:8" s="9" customFormat="1" ht="15" customHeight="1" x14ac:dyDescent="0.25">
      <c r="A60" s="268">
        <v>610</v>
      </c>
      <c r="B60" s="13" t="s">
        <v>365</v>
      </c>
      <c r="C60" s="7">
        <v>1000</v>
      </c>
      <c r="D60" s="292">
        <v>90</v>
      </c>
      <c r="E60" s="292">
        <v>20</v>
      </c>
      <c r="F60" s="291">
        <v>1000</v>
      </c>
      <c r="G60" s="8">
        <f t="shared" si="3"/>
        <v>100</v>
      </c>
    </row>
    <row r="61" spans="1:8" s="9" customFormat="1" ht="15" customHeight="1" x14ac:dyDescent="0.25">
      <c r="A61" s="268">
        <v>611</v>
      </c>
      <c r="B61" s="13" t="s">
        <v>30</v>
      </c>
      <c r="C61" s="7">
        <v>3000</v>
      </c>
      <c r="D61" s="292">
        <v>3735.8</v>
      </c>
      <c r="E61" s="292">
        <v>3735.8</v>
      </c>
      <c r="F61" s="291">
        <v>3000</v>
      </c>
      <c r="G61" s="8">
        <f t="shared" si="3"/>
        <v>100</v>
      </c>
    </row>
    <row r="62" spans="1:8" s="9" customFormat="1" ht="15" customHeight="1" x14ac:dyDescent="0.25">
      <c r="A62" s="268">
        <v>612</v>
      </c>
      <c r="B62" s="13" t="s">
        <v>366</v>
      </c>
      <c r="C62" s="7">
        <v>3000</v>
      </c>
      <c r="D62" s="292">
        <v>2968.5</v>
      </c>
      <c r="E62" s="292">
        <v>2968.5</v>
      </c>
      <c r="F62" s="291">
        <v>3000</v>
      </c>
      <c r="G62" s="8">
        <f t="shared" ref="G62" si="4">F62/C62*100</f>
        <v>100</v>
      </c>
    </row>
    <row r="63" spans="1:8" s="9" customFormat="1" ht="15.75" customHeight="1" x14ac:dyDescent="0.25">
      <c r="A63" s="420" t="s">
        <v>15</v>
      </c>
      <c r="B63" s="421"/>
      <c r="C63" s="10">
        <f>SUM(C59:C62)</f>
        <v>8000</v>
      </c>
      <c r="D63" s="293">
        <f>SUM(D59:D62)</f>
        <v>8349.4</v>
      </c>
      <c r="E63" s="293">
        <f>SUM(E59:E62)</f>
        <v>8279.4</v>
      </c>
      <c r="F63" s="290">
        <f>SUM(F59:F62)</f>
        <v>8000</v>
      </c>
      <c r="G63" s="11">
        <f t="shared" si="3"/>
        <v>100</v>
      </c>
    </row>
    <row r="64" spans="1:8" s="9" customFormat="1" ht="15" customHeight="1" x14ac:dyDescent="0.25">
      <c r="A64" s="190">
        <v>701</v>
      </c>
      <c r="B64" s="6" t="s">
        <v>16</v>
      </c>
      <c r="C64" s="7">
        <v>15000</v>
      </c>
      <c r="D64" s="292">
        <v>36935.94</v>
      </c>
      <c r="E64" s="292">
        <v>5790.3169799999996</v>
      </c>
      <c r="F64" s="291">
        <v>15000</v>
      </c>
      <c r="G64" s="8">
        <f t="shared" si="3"/>
        <v>100</v>
      </c>
    </row>
    <row r="65" spans="1:7" s="9" customFormat="1" ht="15" customHeight="1" x14ac:dyDescent="0.25">
      <c r="A65" s="190">
        <v>702</v>
      </c>
      <c r="B65" s="6" t="s">
        <v>35</v>
      </c>
      <c r="C65" s="7">
        <v>2000</v>
      </c>
      <c r="D65" s="292">
        <v>4460.95</v>
      </c>
      <c r="E65" s="292">
        <v>1782.8572400000003</v>
      </c>
      <c r="F65" s="291">
        <v>2000</v>
      </c>
      <c r="G65" s="8">
        <f>F65/C65*100</f>
        <v>100</v>
      </c>
    </row>
    <row r="66" spans="1:7" s="9" customFormat="1" ht="15" customHeight="1" x14ac:dyDescent="0.25">
      <c r="A66" s="190">
        <v>703</v>
      </c>
      <c r="B66" s="6" t="s">
        <v>36</v>
      </c>
      <c r="C66" s="7">
        <v>3500</v>
      </c>
      <c r="D66" s="292">
        <v>3678.6</v>
      </c>
      <c r="E66" s="292">
        <v>178.6</v>
      </c>
      <c r="F66" s="291">
        <v>2000</v>
      </c>
      <c r="G66" s="8">
        <f>F66/C66*100</f>
        <v>57.142857142857139</v>
      </c>
    </row>
    <row r="67" spans="1:7" s="9" customFormat="1" ht="15" customHeight="1" x14ac:dyDescent="0.25">
      <c r="A67" s="190">
        <v>704</v>
      </c>
      <c r="B67" s="6" t="s">
        <v>260</v>
      </c>
      <c r="C67" s="7">
        <v>3000</v>
      </c>
      <c r="D67" s="292">
        <v>3287</v>
      </c>
      <c r="E67" s="292">
        <v>502.7</v>
      </c>
      <c r="F67" s="291">
        <v>3000</v>
      </c>
      <c r="G67" s="8">
        <f t="shared" ref="G67" si="5">F67/C67*100</f>
        <v>100</v>
      </c>
    </row>
    <row r="68" spans="1:7" s="9" customFormat="1" ht="15" customHeight="1" x14ac:dyDescent="0.25">
      <c r="A68" s="190">
        <v>705</v>
      </c>
      <c r="B68" s="6" t="s">
        <v>368</v>
      </c>
      <c r="C68" s="7">
        <v>0</v>
      </c>
      <c r="D68" s="292">
        <v>3487.86</v>
      </c>
      <c r="E68" s="292">
        <v>0</v>
      </c>
      <c r="F68" s="291">
        <v>3000</v>
      </c>
      <c r="G68" s="289" t="s">
        <v>367</v>
      </c>
    </row>
    <row r="69" spans="1:7" s="9" customFormat="1" ht="15" customHeight="1" x14ac:dyDescent="0.25">
      <c r="A69" s="190">
        <v>706</v>
      </c>
      <c r="B69" s="6" t="s">
        <v>197</v>
      </c>
      <c r="C69" s="7">
        <v>2000</v>
      </c>
      <c r="D69" s="292">
        <v>3414.57</v>
      </c>
      <c r="E69" s="292">
        <v>1725.14</v>
      </c>
      <c r="F69" s="291">
        <v>2000</v>
      </c>
      <c r="G69" s="8">
        <f t="shared" ref="G69" si="6">F69/C69*100</f>
        <v>100</v>
      </c>
    </row>
    <row r="70" spans="1:7" s="9" customFormat="1" ht="15" customHeight="1" x14ac:dyDescent="0.25">
      <c r="A70" s="190">
        <v>707</v>
      </c>
      <c r="B70" s="6" t="s">
        <v>307</v>
      </c>
      <c r="C70" s="7">
        <v>32749</v>
      </c>
      <c r="D70" s="292">
        <v>210149.22</v>
      </c>
      <c r="E70" s="292">
        <v>58953.095000000008</v>
      </c>
      <c r="F70" s="291">
        <v>4750</v>
      </c>
      <c r="G70" s="8">
        <f>F70/C70*100</f>
        <v>14.504259672051056</v>
      </c>
    </row>
    <row r="71" spans="1:7" s="9" customFormat="1" ht="15.75" customHeight="1" x14ac:dyDescent="0.25">
      <c r="A71" s="420" t="s">
        <v>17</v>
      </c>
      <c r="B71" s="421"/>
      <c r="C71" s="10">
        <f>SUM(C64:C70)</f>
        <v>58249</v>
      </c>
      <c r="D71" s="293">
        <f>SUM(D64:D70)</f>
        <v>265414.14</v>
      </c>
      <c r="E71" s="293">
        <f>SUM(E64:E70)</f>
        <v>68932.709220000004</v>
      </c>
      <c r="F71" s="10">
        <f>SUM(F64:F70)</f>
        <v>31750</v>
      </c>
      <c r="G71" s="11">
        <f>F71/C71*100</f>
        <v>54.507373517141922</v>
      </c>
    </row>
    <row r="72" spans="1:7" s="9" customFormat="1" ht="16.5" customHeight="1" thickBot="1" x14ac:dyDescent="0.3">
      <c r="A72" s="426" t="s">
        <v>18</v>
      </c>
      <c r="B72" s="427"/>
      <c r="C72" s="17">
        <f>C71+C63+C58+C53+C42+C30+C10+C4</f>
        <v>639895</v>
      </c>
      <c r="D72" s="17">
        <f>D71+D63+D58+D53+D42+D30+D10+D4</f>
        <v>876177.75000000012</v>
      </c>
      <c r="E72" s="17">
        <f>E71+E63+E58+E53+E42+E30+E10+E4</f>
        <v>508653.28339999996</v>
      </c>
      <c r="F72" s="17">
        <f>F71+F63+F58+F53+F42+F30+F10+F4</f>
        <v>621580</v>
      </c>
      <c r="G72" s="18">
        <f>F72/C72*100</f>
        <v>97.137811672227471</v>
      </c>
    </row>
    <row r="73" spans="1:7" ht="11.25" thickBot="1" x14ac:dyDescent="0.2">
      <c r="B73" s="20"/>
      <c r="C73" s="21"/>
      <c r="D73" s="22"/>
      <c r="E73" s="22"/>
      <c r="F73" s="21"/>
      <c r="G73" s="23"/>
    </row>
    <row r="74" spans="1:7" ht="36" customHeight="1" x14ac:dyDescent="0.15">
      <c r="A74" s="428" t="s">
        <v>19</v>
      </c>
      <c r="B74" s="429"/>
      <c r="C74" s="3" t="s">
        <v>331</v>
      </c>
      <c r="D74" s="3" t="s">
        <v>332</v>
      </c>
      <c r="E74" s="3" t="s">
        <v>333</v>
      </c>
      <c r="F74" s="3" t="s">
        <v>334</v>
      </c>
      <c r="G74" s="4" t="s">
        <v>335</v>
      </c>
    </row>
    <row r="75" spans="1:7" ht="15" customHeight="1" x14ac:dyDescent="0.15">
      <c r="A75" s="422" t="s">
        <v>20</v>
      </c>
      <c r="B75" s="430"/>
      <c r="C75" s="15">
        <f>C4</f>
        <v>4000</v>
      </c>
      <c r="D75" s="15">
        <f>D4</f>
        <v>8263.9500000000007</v>
      </c>
      <c r="E75" s="15">
        <f>E4</f>
        <v>8052.9500000000007</v>
      </c>
      <c r="F75" s="7">
        <f>F4</f>
        <v>4000</v>
      </c>
      <c r="G75" s="8">
        <f t="shared" ref="G75" si="7">F75/C75*100</f>
        <v>100</v>
      </c>
    </row>
    <row r="76" spans="1:7" ht="15" customHeight="1" x14ac:dyDescent="0.2">
      <c r="A76" s="422" t="s">
        <v>21</v>
      </c>
      <c r="B76" s="423"/>
      <c r="C76" s="15">
        <f>C10</f>
        <v>62150</v>
      </c>
      <c r="D76" s="15">
        <f>D10</f>
        <v>40244.800000000003</v>
      </c>
      <c r="E76" s="15">
        <f>E10</f>
        <v>19567.51712</v>
      </c>
      <c r="F76" s="7">
        <f>F10</f>
        <v>70011</v>
      </c>
      <c r="G76" s="14">
        <f t="shared" ref="G76:G83" si="8">F76/C76*100</f>
        <v>112.6484312148029</v>
      </c>
    </row>
    <row r="77" spans="1:7" ht="15" customHeight="1" x14ac:dyDescent="0.2">
      <c r="A77" s="422" t="s">
        <v>22</v>
      </c>
      <c r="B77" s="423"/>
      <c r="C77" s="15">
        <f>C30</f>
        <v>73902</v>
      </c>
      <c r="D77" s="15">
        <f>D30</f>
        <v>118881.62</v>
      </c>
      <c r="E77" s="15">
        <f>E30</f>
        <v>83097.61404</v>
      </c>
      <c r="F77" s="7">
        <f>F30</f>
        <v>89721</v>
      </c>
      <c r="G77" s="14">
        <f t="shared" si="8"/>
        <v>121.40537468539416</v>
      </c>
    </row>
    <row r="78" spans="1:7" ht="15" customHeight="1" x14ac:dyDescent="0.2">
      <c r="A78" s="422" t="s">
        <v>23</v>
      </c>
      <c r="B78" s="423"/>
      <c r="C78" s="15">
        <f>C42</f>
        <v>35233</v>
      </c>
      <c r="D78" s="15">
        <f>D42</f>
        <v>37318.29</v>
      </c>
      <c r="E78" s="15">
        <f>E42</f>
        <v>18266.780779999997</v>
      </c>
      <c r="F78" s="7">
        <f>F42</f>
        <v>35050</v>
      </c>
      <c r="G78" s="14">
        <f t="shared" si="8"/>
        <v>99.480600573326143</v>
      </c>
    </row>
    <row r="79" spans="1:7" ht="15" customHeight="1" x14ac:dyDescent="0.2">
      <c r="A79" s="422" t="s">
        <v>24</v>
      </c>
      <c r="B79" s="423"/>
      <c r="C79" s="15">
        <f>C53</f>
        <v>348561</v>
      </c>
      <c r="D79" s="15">
        <f>D53</f>
        <v>348593.4</v>
      </c>
      <c r="E79" s="15">
        <f>E53</f>
        <v>254221.26423999999</v>
      </c>
      <c r="F79" s="7">
        <f>F53</f>
        <v>334148</v>
      </c>
      <c r="G79" s="14">
        <f t="shared" si="8"/>
        <v>95.864999239731347</v>
      </c>
    </row>
    <row r="80" spans="1:7" ht="15" customHeight="1" x14ac:dyDescent="0.2">
      <c r="A80" s="422" t="s">
        <v>25</v>
      </c>
      <c r="B80" s="423"/>
      <c r="C80" s="15">
        <f>C58</f>
        <v>49800</v>
      </c>
      <c r="D80" s="15">
        <f>D58</f>
        <v>49112.15</v>
      </c>
      <c r="E80" s="15">
        <f>E58</f>
        <v>48235.048000000003</v>
      </c>
      <c r="F80" s="7">
        <f>F58</f>
        <v>48900</v>
      </c>
      <c r="G80" s="14">
        <f t="shared" si="8"/>
        <v>98.192771084337352</v>
      </c>
    </row>
    <row r="81" spans="1:7" ht="15" customHeight="1" x14ac:dyDescent="0.2">
      <c r="A81" s="422" t="s">
        <v>26</v>
      </c>
      <c r="B81" s="423"/>
      <c r="C81" s="15">
        <f>C63</f>
        <v>8000</v>
      </c>
      <c r="D81" s="15">
        <f>D63</f>
        <v>8349.4</v>
      </c>
      <c r="E81" s="15">
        <f>E63</f>
        <v>8279.4</v>
      </c>
      <c r="F81" s="7">
        <f>F63</f>
        <v>8000</v>
      </c>
      <c r="G81" s="14">
        <f t="shared" si="8"/>
        <v>100</v>
      </c>
    </row>
    <row r="82" spans="1:7" ht="15" customHeight="1" x14ac:dyDescent="0.2">
      <c r="A82" s="422" t="s">
        <v>27</v>
      </c>
      <c r="B82" s="423"/>
      <c r="C82" s="15">
        <f>C71</f>
        <v>58249</v>
      </c>
      <c r="D82" s="15">
        <f>D71</f>
        <v>265414.14</v>
      </c>
      <c r="E82" s="15">
        <f>E71</f>
        <v>68932.709220000004</v>
      </c>
      <c r="F82" s="7">
        <f>F71</f>
        <v>31750</v>
      </c>
      <c r="G82" s="14">
        <f t="shared" si="8"/>
        <v>54.507373517141922</v>
      </c>
    </row>
    <row r="83" spans="1:7" s="9" customFormat="1" ht="16.5" customHeight="1" thickBot="1" x14ac:dyDescent="0.3">
      <c r="A83" s="426" t="s">
        <v>18</v>
      </c>
      <c r="B83" s="427"/>
      <c r="C83" s="17">
        <f>SUM(C75:C82)</f>
        <v>639895</v>
      </c>
      <c r="D83" s="17">
        <f>SUM(D75:D82)</f>
        <v>876177.75000000012</v>
      </c>
      <c r="E83" s="17">
        <f>SUM(E75:E82)</f>
        <v>508653.28340000007</v>
      </c>
      <c r="F83" s="17">
        <f>SUM(F75:F82)</f>
        <v>621580</v>
      </c>
      <c r="G83" s="18">
        <f t="shared" si="8"/>
        <v>97.137811672227471</v>
      </c>
    </row>
    <row r="84" spans="1:7" ht="12.75" x14ac:dyDescent="0.2">
      <c r="A84" s="24"/>
      <c r="B84" s="25"/>
    </row>
    <row r="85" spans="1:7" s="29" customFormat="1" ht="12.75" x14ac:dyDescent="0.2">
      <c r="A85" s="24"/>
      <c r="B85" s="25"/>
      <c r="C85" s="27"/>
      <c r="D85" s="28"/>
      <c r="E85" s="28"/>
      <c r="F85" s="27"/>
      <c r="G85" s="27"/>
    </row>
    <row r="86" spans="1:7" s="29" customFormat="1" x14ac:dyDescent="0.15">
      <c r="A86" s="19"/>
      <c r="B86" s="27"/>
      <c r="C86" s="27"/>
      <c r="D86" s="28"/>
      <c r="E86" s="28"/>
      <c r="F86" s="27"/>
      <c r="G86" s="27"/>
    </row>
    <row r="87" spans="1:7" s="29" customFormat="1" x14ac:dyDescent="0.15">
      <c r="A87" s="19"/>
      <c r="B87" s="27"/>
      <c r="C87" s="27"/>
      <c r="D87" s="28"/>
      <c r="E87" s="28"/>
      <c r="F87" s="27"/>
      <c r="G87" s="27"/>
    </row>
    <row r="88" spans="1:7" s="29" customFormat="1" x14ac:dyDescent="0.15">
      <c r="A88" s="19"/>
      <c r="B88" s="27"/>
      <c r="C88" s="27"/>
      <c r="D88" s="28"/>
      <c r="E88" s="28"/>
      <c r="F88" s="27"/>
      <c r="G88" s="27"/>
    </row>
    <row r="89" spans="1:7" s="29" customFormat="1" x14ac:dyDescent="0.15">
      <c r="A89" s="19"/>
      <c r="B89" s="27"/>
      <c r="C89" s="27"/>
      <c r="D89" s="28"/>
      <c r="E89" s="28"/>
      <c r="F89" s="27"/>
      <c r="G89" s="27"/>
    </row>
    <row r="90" spans="1:7" s="29" customFormat="1" x14ac:dyDescent="0.15">
      <c r="A90" s="19"/>
      <c r="B90" s="27"/>
      <c r="C90" s="27"/>
      <c r="D90" s="28"/>
      <c r="E90" s="28"/>
      <c r="F90" s="27"/>
      <c r="G90" s="27"/>
    </row>
    <row r="91" spans="1:7" s="29" customFormat="1" x14ac:dyDescent="0.15">
      <c r="A91" s="19"/>
      <c r="B91" s="27"/>
      <c r="C91" s="27"/>
      <c r="D91" s="28"/>
      <c r="E91" s="28"/>
      <c r="F91" s="27"/>
      <c r="G91" s="27"/>
    </row>
    <row r="92" spans="1:7" s="29" customFormat="1" x14ac:dyDescent="0.15">
      <c r="A92" s="19"/>
      <c r="B92" s="27"/>
      <c r="C92" s="27"/>
      <c r="D92" s="28"/>
      <c r="E92" s="28"/>
      <c r="F92" s="27"/>
      <c r="G92" s="27"/>
    </row>
    <row r="93" spans="1:7" s="29" customFormat="1" x14ac:dyDescent="0.15">
      <c r="A93" s="19"/>
      <c r="B93" s="27"/>
      <c r="C93" s="27"/>
      <c r="D93" s="28"/>
      <c r="E93" s="28"/>
      <c r="F93" s="27"/>
      <c r="G93" s="27"/>
    </row>
    <row r="94" spans="1:7" s="29" customFormat="1" x14ac:dyDescent="0.15">
      <c r="A94" s="19"/>
      <c r="B94" s="27"/>
      <c r="C94" s="27"/>
      <c r="D94" s="28"/>
      <c r="E94" s="28"/>
      <c r="F94" s="27"/>
      <c r="G94" s="27"/>
    </row>
    <row r="95" spans="1:7" s="29" customFormat="1" x14ac:dyDescent="0.15">
      <c r="A95" s="19"/>
      <c r="B95" s="27"/>
      <c r="C95" s="27"/>
      <c r="D95" s="28"/>
      <c r="E95" s="28"/>
      <c r="F95" s="27"/>
      <c r="G95" s="27"/>
    </row>
    <row r="96" spans="1:7" s="29" customFormat="1" x14ac:dyDescent="0.15">
      <c r="A96" s="19"/>
      <c r="B96" s="27"/>
      <c r="C96" s="27"/>
      <c r="D96" s="28"/>
      <c r="E96" s="28"/>
      <c r="F96" s="27"/>
      <c r="G96" s="27"/>
    </row>
    <row r="97" spans="1:7" s="29" customFormat="1" x14ac:dyDescent="0.15">
      <c r="A97" s="19"/>
      <c r="B97" s="27"/>
      <c r="C97" s="27"/>
      <c r="D97" s="28"/>
      <c r="E97" s="28"/>
      <c r="F97" s="27"/>
      <c r="G97" s="27"/>
    </row>
  </sheetData>
  <mergeCells count="23">
    <mergeCell ref="A83:B83"/>
    <mergeCell ref="A77:B77"/>
    <mergeCell ref="A78:B78"/>
    <mergeCell ref="A79:B79"/>
    <mergeCell ref="A80:B80"/>
    <mergeCell ref="A81:B81"/>
    <mergeCell ref="A82:B82"/>
    <mergeCell ref="A29:B29"/>
    <mergeCell ref="A1:G1"/>
    <mergeCell ref="A4:B4"/>
    <mergeCell ref="A10:B10"/>
    <mergeCell ref="A76:B76"/>
    <mergeCell ref="A30:B30"/>
    <mergeCell ref="A41:B41"/>
    <mergeCell ref="A42:B42"/>
    <mergeCell ref="A53:B53"/>
    <mergeCell ref="A58:B58"/>
    <mergeCell ref="A63:B63"/>
    <mergeCell ref="A71:B71"/>
    <mergeCell ref="A72:B72"/>
    <mergeCell ref="A74:B74"/>
    <mergeCell ref="A75:B75"/>
    <mergeCell ref="A52:B52"/>
  </mergeCells>
  <phoneticPr fontId="46" type="noConversion"/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2023
Příloha č. 10&amp;R&amp;"Tahoma,Kurzíva"&amp;10Přehled dotačních programů v návrhu rozpočtu kraje na rok 2023</oddHeader>
    <oddFooter>&amp;C&amp;"Tahoma,Obyčejné"&amp;10&amp;P</oddFooter>
  </headerFooter>
  <rowBreaks count="1" manualBreakCount="1">
    <brk id="5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9B22-1770-4DC3-A638-74986E196BEE}">
  <sheetPr>
    <pageSetUpPr fitToPage="1"/>
  </sheetPr>
  <dimension ref="A1:WVG127"/>
  <sheetViews>
    <sheetView zoomScaleNormal="100" zoomScaleSheetLayoutView="100" workbookViewId="0">
      <pane ySplit="4" topLeftCell="A5" activePane="bottomLeft" state="frozen"/>
      <selection pane="bottomLeft" activeCell="N6" sqref="N6"/>
    </sheetView>
  </sheetViews>
  <sheetFormatPr defaultRowHeight="12.75" x14ac:dyDescent="0.25"/>
  <cols>
    <col min="1" max="1" width="6.5703125" style="305" customWidth="1"/>
    <col min="2" max="2" width="44.7109375" style="305" customWidth="1"/>
    <col min="3" max="3" width="7.28515625" style="305" hidden="1" customWidth="1"/>
    <col min="4" max="4" width="8.7109375" style="305" hidden="1" customWidth="1"/>
    <col min="5" max="5" width="9.5703125" style="305" customWidth="1"/>
    <col min="6" max="6" width="9.28515625" style="305" customWidth="1"/>
    <col min="7" max="12" width="9.5703125" style="305" customWidth="1"/>
    <col min="13" max="13" width="39.5703125" style="305" customWidth="1"/>
    <col min="14" max="14" width="15.7109375" style="305" bestFit="1" customWidth="1"/>
    <col min="15" max="243" width="9.140625" style="305"/>
    <col min="244" max="244" width="5.5703125" style="305" customWidth="1"/>
    <col min="245" max="245" width="32" style="305" customWidth="1"/>
    <col min="246" max="247" width="9.85546875" style="305" customWidth="1"/>
    <col min="248" max="249" width="9.42578125" style="305" customWidth="1"/>
    <col min="250" max="250" width="11.140625" style="305" customWidth="1"/>
    <col min="251" max="253" width="8.5703125" style="305" customWidth="1"/>
    <col min="254" max="254" width="32.140625" style="305" customWidth="1"/>
    <col min="255" max="255" width="8" style="305" hidden="1" customWidth="1"/>
    <col min="256" max="499" width="9.140625" style="305"/>
    <col min="500" max="500" width="5.5703125" style="305" customWidth="1"/>
    <col min="501" max="501" width="32" style="305" customWidth="1"/>
    <col min="502" max="503" width="9.85546875" style="305" customWidth="1"/>
    <col min="504" max="505" width="9.42578125" style="305" customWidth="1"/>
    <col min="506" max="506" width="11.140625" style="305" customWidth="1"/>
    <col min="507" max="509" width="8.5703125" style="305" customWidth="1"/>
    <col min="510" max="510" width="32.140625" style="305" customWidth="1"/>
    <col min="511" max="511" width="8" style="305" hidden="1" customWidth="1"/>
    <col min="512" max="755" width="9.140625" style="305"/>
    <col min="756" max="756" width="5.5703125" style="305" customWidth="1"/>
    <col min="757" max="757" width="32" style="305" customWidth="1"/>
    <col min="758" max="759" width="9.85546875" style="305" customWidth="1"/>
    <col min="760" max="761" width="9.42578125" style="305" customWidth="1"/>
    <col min="762" max="762" width="11.140625" style="305" customWidth="1"/>
    <col min="763" max="765" width="8.5703125" style="305" customWidth="1"/>
    <col min="766" max="766" width="32.140625" style="305" customWidth="1"/>
    <col min="767" max="767" width="8" style="305" hidden="1" customWidth="1"/>
    <col min="768" max="1011" width="9.140625" style="305"/>
    <col min="1012" max="1012" width="5.5703125" style="305" customWidth="1"/>
    <col min="1013" max="1013" width="32" style="305" customWidth="1"/>
    <col min="1014" max="1015" width="9.85546875" style="305" customWidth="1"/>
    <col min="1016" max="1017" width="9.42578125" style="305" customWidth="1"/>
    <col min="1018" max="1018" width="11.140625" style="305" customWidth="1"/>
    <col min="1019" max="1021" width="8.5703125" style="305" customWidth="1"/>
    <col min="1022" max="1022" width="32.140625" style="305" customWidth="1"/>
    <col min="1023" max="1023" width="8" style="305" hidden="1" customWidth="1"/>
    <col min="1024" max="1267" width="9.140625" style="305"/>
    <col min="1268" max="1268" width="5.5703125" style="305" customWidth="1"/>
    <col min="1269" max="1269" width="32" style="305" customWidth="1"/>
    <col min="1270" max="1271" width="9.85546875" style="305" customWidth="1"/>
    <col min="1272" max="1273" width="9.42578125" style="305" customWidth="1"/>
    <col min="1274" max="1274" width="11.140625" style="305" customWidth="1"/>
    <col min="1275" max="1277" width="8.5703125" style="305" customWidth="1"/>
    <col min="1278" max="1278" width="32.140625" style="305" customWidth="1"/>
    <col min="1279" max="1279" width="8" style="305" hidden="1" customWidth="1"/>
    <col min="1280" max="1523" width="9.140625" style="305"/>
    <col min="1524" max="1524" width="5.5703125" style="305" customWidth="1"/>
    <col min="1525" max="1525" width="32" style="305" customWidth="1"/>
    <col min="1526" max="1527" width="9.85546875" style="305" customWidth="1"/>
    <col min="1528" max="1529" width="9.42578125" style="305" customWidth="1"/>
    <col min="1530" max="1530" width="11.140625" style="305" customWidth="1"/>
    <col min="1531" max="1533" width="8.5703125" style="305" customWidth="1"/>
    <col min="1534" max="1534" width="32.140625" style="305" customWidth="1"/>
    <col min="1535" max="1535" width="8" style="305" hidden="1" customWidth="1"/>
    <col min="1536" max="1779" width="9.140625" style="305"/>
    <col min="1780" max="1780" width="5.5703125" style="305" customWidth="1"/>
    <col min="1781" max="1781" width="32" style="305" customWidth="1"/>
    <col min="1782" max="1783" width="9.85546875" style="305" customWidth="1"/>
    <col min="1784" max="1785" width="9.42578125" style="305" customWidth="1"/>
    <col min="1786" max="1786" width="11.140625" style="305" customWidth="1"/>
    <col min="1787" max="1789" width="8.5703125" style="305" customWidth="1"/>
    <col min="1790" max="1790" width="32.140625" style="305" customWidth="1"/>
    <col min="1791" max="1791" width="8" style="305" hidden="1" customWidth="1"/>
    <col min="1792" max="2035" width="9.140625" style="305"/>
    <col min="2036" max="2036" width="5.5703125" style="305" customWidth="1"/>
    <col min="2037" max="2037" width="32" style="305" customWidth="1"/>
    <col min="2038" max="2039" width="9.85546875" style="305" customWidth="1"/>
    <col min="2040" max="2041" width="9.42578125" style="305" customWidth="1"/>
    <col min="2042" max="2042" width="11.140625" style="305" customWidth="1"/>
    <col min="2043" max="2045" width="8.5703125" style="305" customWidth="1"/>
    <col min="2046" max="2046" width="32.140625" style="305" customWidth="1"/>
    <col min="2047" max="2047" width="8" style="305" hidden="1" customWidth="1"/>
    <col min="2048" max="2291" width="9.140625" style="305"/>
    <col min="2292" max="2292" width="5.5703125" style="305" customWidth="1"/>
    <col min="2293" max="2293" width="32" style="305" customWidth="1"/>
    <col min="2294" max="2295" width="9.85546875" style="305" customWidth="1"/>
    <col min="2296" max="2297" width="9.42578125" style="305" customWidth="1"/>
    <col min="2298" max="2298" width="11.140625" style="305" customWidth="1"/>
    <col min="2299" max="2301" width="8.5703125" style="305" customWidth="1"/>
    <col min="2302" max="2302" width="32.140625" style="305" customWidth="1"/>
    <col min="2303" max="2303" width="8" style="305" hidden="1" customWidth="1"/>
    <col min="2304" max="2547" width="9.140625" style="305"/>
    <col min="2548" max="2548" width="5.5703125" style="305" customWidth="1"/>
    <col min="2549" max="2549" width="32" style="305" customWidth="1"/>
    <col min="2550" max="2551" width="9.85546875" style="305" customWidth="1"/>
    <col min="2552" max="2553" width="9.42578125" style="305" customWidth="1"/>
    <col min="2554" max="2554" width="11.140625" style="305" customWidth="1"/>
    <col min="2555" max="2557" width="8.5703125" style="305" customWidth="1"/>
    <col min="2558" max="2558" width="32.140625" style="305" customWidth="1"/>
    <col min="2559" max="2559" width="8" style="305" hidden="1" customWidth="1"/>
    <col min="2560" max="2803" width="9.140625" style="305"/>
    <col min="2804" max="2804" width="5.5703125" style="305" customWidth="1"/>
    <col min="2805" max="2805" width="32" style="305" customWidth="1"/>
    <col min="2806" max="2807" width="9.85546875" style="305" customWidth="1"/>
    <col min="2808" max="2809" width="9.42578125" style="305" customWidth="1"/>
    <col min="2810" max="2810" width="11.140625" style="305" customWidth="1"/>
    <col min="2811" max="2813" width="8.5703125" style="305" customWidth="1"/>
    <col min="2814" max="2814" width="32.140625" style="305" customWidth="1"/>
    <col min="2815" max="2815" width="8" style="305" hidden="1" customWidth="1"/>
    <col min="2816" max="3059" width="9.140625" style="305"/>
    <col min="3060" max="3060" width="5.5703125" style="305" customWidth="1"/>
    <col min="3061" max="3061" width="32" style="305" customWidth="1"/>
    <col min="3062" max="3063" width="9.85546875" style="305" customWidth="1"/>
    <col min="3064" max="3065" width="9.42578125" style="305" customWidth="1"/>
    <col min="3066" max="3066" width="11.140625" style="305" customWidth="1"/>
    <col min="3067" max="3069" width="8.5703125" style="305" customWidth="1"/>
    <col min="3070" max="3070" width="32.140625" style="305" customWidth="1"/>
    <col min="3071" max="3071" width="8" style="305" hidden="1" customWidth="1"/>
    <col min="3072" max="3315" width="9.140625" style="305"/>
    <col min="3316" max="3316" width="5.5703125" style="305" customWidth="1"/>
    <col min="3317" max="3317" width="32" style="305" customWidth="1"/>
    <col min="3318" max="3319" width="9.85546875" style="305" customWidth="1"/>
    <col min="3320" max="3321" width="9.42578125" style="305" customWidth="1"/>
    <col min="3322" max="3322" width="11.140625" style="305" customWidth="1"/>
    <col min="3323" max="3325" width="8.5703125" style="305" customWidth="1"/>
    <col min="3326" max="3326" width="32.140625" style="305" customWidth="1"/>
    <col min="3327" max="3327" width="8" style="305" hidden="1" customWidth="1"/>
    <col min="3328" max="3571" width="9.140625" style="305"/>
    <col min="3572" max="3572" width="5.5703125" style="305" customWidth="1"/>
    <col min="3573" max="3573" width="32" style="305" customWidth="1"/>
    <col min="3574" max="3575" width="9.85546875" style="305" customWidth="1"/>
    <col min="3576" max="3577" width="9.42578125" style="305" customWidth="1"/>
    <col min="3578" max="3578" width="11.140625" style="305" customWidth="1"/>
    <col min="3579" max="3581" width="8.5703125" style="305" customWidth="1"/>
    <col min="3582" max="3582" width="32.140625" style="305" customWidth="1"/>
    <col min="3583" max="3583" width="8" style="305" hidden="1" customWidth="1"/>
    <col min="3584" max="3827" width="9.140625" style="305"/>
    <col min="3828" max="3828" width="5.5703125" style="305" customWidth="1"/>
    <col min="3829" max="3829" width="32" style="305" customWidth="1"/>
    <col min="3830" max="3831" width="9.85546875" style="305" customWidth="1"/>
    <col min="3832" max="3833" width="9.42578125" style="305" customWidth="1"/>
    <col min="3834" max="3834" width="11.140625" style="305" customWidth="1"/>
    <col min="3835" max="3837" width="8.5703125" style="305" customWidth="1"/>
    <col min="3838" max="3838" width="32.140625" style="305" customWidth="1"/>
    <col min="3839" max="3839" width="8" style="305" hidden="1" customWidth="1"/>
    <col min="3840" max="4083" width="9.140625" style="305"/>
    <col min="4084" max="4084" width="5.5703125" style="305" customWidth="1"/>
    <col min="4085" max="4085" width="32" style="305" customWidth="1"/>
    <col min="4086" max="4087" width="9.85546875" style="305" customWidth="1"/>
    <col min="4088" max="4089" width="9.42578125" style="305" customWidth="1"/>
    <col min="4090" max="4090" width="11.140625" style="305" customWidth="1"/>
    <col min="4091" max="4093" width="8.5703125" style="305" customWidth="1"/>
    <col min="4094" max="4094" width="32.140625" style="305" customWidth="1"/>
    <col min="4095" max="4095" width="8" style="305" hidden="1" customWidth="1"/>
    <col min="4096" max="4339" width="9.140625" style="305"/>
    <col min="4340" max="4340" width="5.5703125" style="305" customWidth="1"/>
    <col min="4341" max="4341" width="32" style="305" customWidth="1"/>
    <col min="4342" max="4343" width="9.85546875" style="305" customWidth="1"/>
    <col min="4344" max="4345" width="9.42578125" style="305" customWidth="1"/>
    <col min="4346" max="4346" width="11.140625" style="305" customWidth="1"/>
    <col min="4347" max="4349" width="8.5703125" style="305" customWidth="1"/>
    <col min="4350" max="4350" width="32.140625" style="305" customWidth="1"/>
    <col min="4351" max="4351" width="8" style="305" hidden="1" customWidth="1"/>
    <col min="4352" max="4595" width="9.140625" style="305"/>
    <col min="4596" max="4596" width="5.5703125" style="305" customWidth="1"/>
    <col min="4597" max="4597" width="32" style="305" customWidth="1"/>
    <col min="4598" max="4599" width="9.85546875" style="305" customWidth="1"/>
    <col min="4600" max="4601" width="9.42578125" style="305" customWidth="1"/>
    <col min="4602" max="4602" width="11.140625" style="305" customWidth="1"/>
    <col min="4603" max="4605" width="8.5703125" style="305" customWidth="1"/>
    <col min="4606" max="4606" width="32.140625" style="305" customWidth="1"/>
    <col min="4607" max="4607" width="8" style="305" hidden="1" customWidth="1"/>
    <col min="4608" max="4851" width="9.140625" style="305"/>
    <col min="4852" max="4852" width="5.5703125" style="305" customWidth="1"/>
    <col min="4853" max="4853" width="32" style="305" customWidth="1"/>
    <col min="4854" max="4855" width="9.85546875" style="305" customWidth="1"/>
    <col min="4856" max="4857" width="9.42578125" style="305" customWidth="1"/>
    <col min="4858" max="4858" width="11.140625" style="305" customWidth="1"/>
    <col min="4859" max="4861" width="8.5703125" style="305" customWidth="1"/>
    <col min="4862" max="4862" width="32.140625" style="305" customWidth="1"/>
    <col min="4863" max="4863" width="8" style="305" hidden="1" customWidth="1"/>
    <col min="4864" max="5107" width="9.140625" style="305"/>
    <col min="5108" max="5108" width="5.5703125" style="305" customWidth="1"/>
    <col min="5109" max="5109" width="32" style="305" customWidth="1"/>
    <col min="5110" max="5111" width="9.85546875" style="305" customWidth="1"/>
    <col min="5112" max="5113" width="9.42578125" style="305" customWidth="1"/>
    <col min="5114" max="5114" width="11.140625" style="305" customWidth="1"/>
    <col min="5115" max="5117" width="8.5703125" style="305" customWidth="1"/>
    <col min="5118" max="5118" width="32.140625" style="305" customWidth="1"/>
    <col min="5119" max="5119" width="8" style="305" hidden="1" customWidth="1"/>
    <col min="5120" max="5363" width="9.140625" style="305"/>
    <col min="5364" max="5364" width="5.5703125" style="305" customWidth="1"/>
    <col min="5365" max="5365" width="32" style="305" customWidth="1"/>
    <col min="5366" max="5367" width="9.85546875" style="305" customWidth="1"/>
    <col min="5368" max="5369" width="9.42578125" style="305" customWidth="1"/>
    <col min="5370" max="5370" width="11.140625" style="305" customWidth="1"/>
    <col min="5371" max="5373" width="8.5703125" style="305" customWidth="1"/>
    <col min="5374" max="5374" width="32.140625" style="305" customWidth="1"/>
    <col min="5375" max="5375" width="8" style="305" hidden="1" customWidth="1"/>
    <col min="5376" max="5619" width="9.140625" style="305"/>
    <col min="5620" max="5620" width="5.5703125" style="305" customWidth="1"/>
    <col min="5621" max="5621" width="32" style="305" customWidth="1"/>
    <col min="5622" max="5623" width="9.85546875" style="305" customWidth="1"/>
    <col min="5624" max="5625" width="9.42578125" style="305" customWidth="1"/>
    <col min="5626" max="5626" width="11.140625" style="305" customWidth="1"/>
    <col min="5627" max="5629" width="8.5703125" style="305" customWidth="1"/>
    <col min="5630" max="5630" width="32.140625" style="305" customWidth="1"/>
    <col min="5631" max="5631" width="8" style="305" hidden="1" customWidth="1"/>
    <col min="5632" max="5875" width="9.140625" style="305"/>
    <col min="5876" max="5876" width="5.5703125" style="305" customWidth="1"/>
    <col min="5877" max="5877" width="32" style="305" customWidth="1"/>
    <col min="5878" max="5879" width="9.85546875" style="305" customWidth="1"/>
    <col min="5880" max="5881" width="9.42578125" style="305" customWidth="1"/>
    <col min="5882" max="5882" width="11.140625" style="305" customWidth="1"/>
    <col min="5883" max="5885" width="8.5703125" style="305" customWidth="1"/>
    <col min="5886" max="5886" width="32.140625" style="305" customWidth="1"/>
    <col min="5887" max="5887" width="8" style="305" hidden="1" customWidth="1"/>
    <col min="5888" max="6131" width="9.140625" style="305"/>
    <col min="6132" max="6132" width="5.5703125" style="305" customWidth="1"/>
    <col min="6133" max="6133" width="32" style="305" customWidth="1"/>
    <col min="6134" max="6135" width="9.85546875" style="305" customWidth="1"/>
    <col min="6136" max="6137" width="9.42578125" style="305" customWidth="1"/>
    <col min="6138" max="6138" width="11.140625" style="305" customWidth="1"/>
    <col min="6139" max="6141" width="8.5703125" style="305" customWidth="1"/>
    <col min="6142" max="6142" width="32.140625" style="305" customWidth="1"/>
    <col min="6143" max="6143" width="8" style="305" hidden="1" customWidth="1"/>
    <col min="6144" max="6387" width="9.140625" style="305"/>
    <col min="6388" max="6388" width="5.5703125" style="305" customWidth="1"/>
    <col min="6389" max="6389" width="32" style="305" customWidth="1"/>
    <col min="6390" max="6391" width="9.85546875" style="305" customWidth="1"/>
    <col min="6392" max="6393" width="9.42578125" style="305" customWidth="1"/>
    <col min="6394" max="6394" width="11.140625" style="305" customWidth="1"/>
    <col min="6395" max="6397" width="8.5703125" style="305" customWidth="1"/>
    <col min="6398" max="6398" width="32.140625" style="305" customWidth="1"/>
    <col min="6399" max="6399" width="8" style="305" hidden="1" customWidth="1"/>
    <col min="6400" max="6643" width="9.140625" style="305"/>
    <col min="6644" max="6644" width="5.5703125" style="305" customWidth="1"/>
    <col min="6645" max="6645" width="32" style="305" customWidth="1"/>
    <col min="6646" max="6647" width="9.85546875" style="305" customWidth="1"/>
    <col min="6648" max="6649" width="9.42578125" style="305" customWidth="1"/>
    <col min="6650" max="6650" width="11.140625" style="305" customWidth="1"/>
    <col min="6651" max="6653" width="8.5703125" style="305" customWidth="1"/>
    <col min="6654" max="6654" width="32.140625" style="305" customWidth="1"/>
    <col min="6655" max="6655" width="8" style="305" hidden="1" customWidth="1"/>
    <col min="6656" max="6899" width="9.140625" style="305"/>
    <col min="6900" max="6900" width="5.5703125" style="305" customWidth="1"/>
    <col min="6901" max="6901" width="32" style="305" customWidth="1"/>
    <col min="6902" max="6903" width="9.85546875" style="305" customWidth="1"/>
    <col min="6904" max="6905" width="9.42578125" style="305" customWidth="1"/>
    <col min="6906" max="6906" width="11.140625" style="305" customWidth="1"/>
    <col min="6907" max="6909" width="8.5703125" style="305" customWidth="1"/>
    <col min="6910" max="6910" width="32.140625" style="305" customWidth="1"/>
    <col min="6911" max="6911" width="8" style="305" hidden="1" customWidth="1"/>
    <col min="6912" max="7155" width="9.140625" style="305"/>
    <col min="7156" max="7156" width="5.5703125" style="305" customWidth="1"/>
    <col min="7157" max="7157" width="32" style="305" customWidth="1"/>
    <col min="7158" max="7159" width="9.85546875" style="305" customWidth="1"/>
    <col min="7160" max="7161" width="9.42578125" style="305" customWidth="1"/>
    <col min="7162" max="7162" width="11.140625" style="305" customWidth="1"/>
    <col min="7163" max="7165" width="8.5703125" style="305" customWidth="1"/>
    <col min="7166" max="7166" width="32.140625" style="305" customWidth="1"/>
    <col min="7167" max="7167" width="8" style="305" hidden="1" customWidth="1"/>
    <col min="7168" max="7411" width="9.140625" style="305"/>
    <col min="7412" max="7412" width="5.5703125" style="305" customWidth="1"/>
    <col min="7413" max="7413" width="32" style="305" customWidth="1"/>
    <col min="7414" max="7415" width="9.85546875" style="305" customWidth="1"/>
    <col min="7416" max="7417" width="9.42578125" style="305" customWidth="1"/>
    <col min="7418" max="7418" width="11.140625" style="305" customWidth="1"/>
    <col min="7419" max="7421" width="8.5703125" style="305" customWidth="1"/>
    <col min="7422" max="7422" width="32.140625" style="305" customWidth="1"/>
    <col min="7423" max="7423" width="8" style="305" hidden="1" customWidth="1"/>
    <col min="7424" max="7667" width="9.140625" style="305"/>
    <col min="7668" max="7668" width="5.5703125" style="305" customWidth="1"/>
    <col min="7669" max="7669" width="32" style="305" customWidth="1"/>
    <col min="7670" max="7671" width="9.85546875" style="305" customWidth="1"/>
    <col min="7672" max="7673" width="9.42578125" style="305" customWidth="1"/>
    <col min="7674" max="7674" width="11.140625" style="305" customWidth="1"/>
    <col min="7675" max="7677" width="8.5703125" style="305" customWidth="1"/>
    <col min="7678" max="7678" width="32.140625" style="305" customWidth="1"/>
    <col min="7679" max="7679" width="8" style="305" hidden="1" customWidth="1"/>
    <col min="7680" max="7923" width="9.140625" style="305"/>
    <col min="7924" max="7924" width="5.5703125" style="305" customWidth="1"/>
    <col min="7925" max="7925" width="32" style="305" customWidth="1"/>
    <col min="7926" max="7927" width="9.85546875" style="305" customWidth="1"/>
    <col min="7928" max="7929" width="9.42578125" style="305" customWidth="1"/>
    <col min="7930" max="7930" width="11.140625" style="305" customWidth="1"/>
    <col min="7931" max="7933" width="8.5703125" style="305" customWidth="1"/>
    <col min="7934" max="7934" width="32.140625" style="305" customWidth="1"/>
    <col min="7935" max="7935" width="8" style="305" hidden="1" customWidth="1"/>
    <col min="7936" max="8179" width="9.140625" style="305"/>
    <col min="8180" max="8180" width="5.5703125" style="305" customWidth="1"/>
    <col min="8181" max="8181" width="32" style="305" customWidth="1"/>
    <col min="8182" max="8183" width="9.85546875" style="305" customWidth="1"/>
    <col min="8184" max="8185" width="9.42578125" style="305" customWidth="1"/>
    <col min="8186" max="8186" width="11.140625" style="305" customWidth="1"/>
    <col min="8187" max="8189" width="8.5703125" style="305" customWidth="1"/>
    <col min="8190" max="8190" width="32.140625" style="305" customWidth="1"/>
    <col min="8191" max="8191" width="8" style="305" hidden="1" customWidth="1"/>
    <col min="8192" max="8435" width="9.140625" style="305"/>
    <col min="8436" max="8436" width="5.5703125" style="305" customWidth="1"/>
    <col min="8437" max="8437" width="32" style="305" customWidth="1"/>
    <col min="8438" max="8439" width="9.85546875" style="305" customWidth="1"/>
    <col min="8440" max="8441" width="9.42578125" style="305" customWidth="1"/>
    <col min="8442" max="8442" width="11.140625" style="305" customWidth="1"/>
    <col min="8443" max="8445" width="8.5703125" style="305" customWidth="1"/>
    <col min="8446" max="8446" width="32.140625" style="305" customWidth="1"/>
    <col min="8447" max="8447" width="8" style="305" hidden="1" customWidth="1"/>
    <col min="8448" max="8691" width="9.140625" style="305"/>
    <col min="8692" max="8692" width="5.5703125" style="305" customWidth="1"/>
    <col min="8693" max="8693" width="32" style="305" customWidth="1"/>
    <col min="8694" max="8695" width="9.85546875" style="305" customWidth="1"/>
    <col min="8696" max="8697" width="9.42578125" style="305" customWidth="1"/>
    <col min="8698" max="8698" width="11.140625" style="305" customWidth="1"/>
    <col min="8699" max="8701" width="8.5703125" style="305" customWidth="1"/>
    <col min="8702" max="8702" width="32.140625" style="305" customWidth="1"/>
    <col min="8703" max="8703" width="8" style="305" hidden="1" customWidth="1"/>
    <col min="8704" max="8947" width="9.140625" style="305"/>
    <col min="8948" max="8948" width="5.5703125" style="305" customWidth="1"/>
    <col min="8949" max="8949" width="32" style="305" customWidth="1"/>
    <col min="8950" max="8951" width="9.85546875" style="305" customWidth="1"/>
    <col min="8952" max="8953" width="9.42578125" style="305" customWidth="1"/>
    <col min="8954" max="8954" width="11.140625" style="305" customWidth="1"/>
    <col min="8955" max="8957" width="8.5703125" style="305" customWidth="1"/>
    <col min="8958" max="8958" width="32.140625" style="305" customWidth="1"/>
    <col min="8959" max="8959" width="8" style="305" hidden="1" customWidth="1"/>
    <col min="8960" max="9203" width="9.140625" style="305"/>
    <col min="9204" max="9204" width="5.5703125" style="305" customWidth="1"/>
    <col min="9205" max="9205" width="32" style="305" customWidth="1"/>
    <col min="9206" max="9207" width="9.85546875" style="305" customWidth="1"/>
    <col min="9208" max="9209" width="9.42578125" style="305" customWidth="1"/>
    <col min="9210" max="9210" width="11.140625" style="305" customWidth="1"/>
    <col min="9211" max="9213" width="8.5703125" style="305" customWidth="1"/>
    <col min="9214" max="9214" width="32.140625" style="305" customWidth="1"/>
    <col min="9215" max="9215" width="8" style="305" hidden="1" customWidth="1"/>
    <col min="9216" max="9459" width="9.140625" style="305"/>
    <col min="9460" max="9460" width="5.5703125" style="305" customWidth="1"/>
    <col min="9461" max="9461" width="32" style="305" customWidth="1"/>
    <col min="9462" max="9463" width="9.85546875" style="305" customWidth="1"/>
    <col min="9464" max="9465" width="9.42578125" style="305" customWidth="1"/>
    <col min="9466" max="9466" width="11.140625" style="305" customWidth="1"/>
    <col min="9467" max="9469" width="8.5703125" style="305" customWidth="1"/>
    <col min="9470" max="9470" width="32.140625" style="305" customWidth="1"/>
    <col min="9471" max="9471" width="8" style="305" hidden="1" customWidth="1"/>
    <col min="9472" max="9715" width="9.140625" style="305"/>
    <col min="9716" max="9716" width="5.5703125" style="305" customWidth="1"/>
    <col min="9717" max="9717" width="32" style="305" customWidth="1"/>
    <col min="9718" max="9719" width="9.85546875" style="305" customWidth="1"/>
    <col min="9720" max="9721" width="9.42578125" style="305" customWidth="1"/>
    <col min="9722" max="9722" width="11.140625" style="305" customWidth="1"/>
    <col min="9723" max="9725" width="8.5703125" style="305" customWidth="1"/>
    <col min="9726" max="9726" width="32.140625" style="305" customWidth="1"/>
    <col min="9727" max="9727" width="8" style="305" hidden="1" customWidth="1"/>
    <col min="9728" max="9971" width="9.140625" style="305"/>
    <col min="9972" max="9972" width="5.5703125" style="305" customWidth="1"/>
    <col min="9973" max="9973" width="32" style="305" customWidth="1"/>
    <col min="9974" max="9975" width="9.85546875" style="305" customWidth="1"/>
    <col min="9976" max="9977" width="9.42578125" style="305" customWidth="1"/>
    <col min="9978" max="9978" width="11.140625" style="305" customWidth="1"/>
    <col min="9979" max="9981" width="8.5703125" style="305" customWidth="1"/>
    <col min="9982" max="9982" width="32.140625" style="305" customWidth="1"/>
    <col min="9983" max="9983" width="8" style="305" hidden="1" customWidth="1"/>
    <col min="9984" max="10227" width="9.140625" style="305"/>
    <col min="10228" max="10228" width="5.5703125" style="305" customWidth="1"/>
    <col min="10229" max="10229" width="32" style="305" customWidth="1"/>
    <col min="10230" max="10231" width="9.85546875" style="305" customWidth="1"/>
    <col min="10232" max="10233" width="9.42578125" style="305" customWidth="1"/>
    <col min="10234" max="10234" width="11.140625" style="305" customWidth="1"/>
    <col min="10235" max="10237" width="8.5703125" style="305" customWidth="1"/>
    <col min="10238" max="10238" width="32.140625" style="305" customWidth="1"/>
    <col min="10239" max="10239" width="8" style="305" hidden="1" customWidth="1"/>
    <col min="10240" max="10483" width="9.140625" style="305"/>
    <col min="10484" max="10484" width="5.5703125" style="305" customWidth="1"/>
    <col min="10485" max="10485" width="32" style="305" customWidth="1"/>
    <col min="10486" max="10487" width="9.85546875" style="305" customWidth="1"/>
    <col min="10488" max="10489" width="9.42578125" style="305" customWidth="1"/>
    <col min="10490" max="10490" width="11.140625" style="305" customWidth="1"/>
    <col min="10491" max="10493" width="8.5703125" style="305" customWidth="1"/>
    <col min="10494" max="10494" width="32.140625" style="305" customWidth="1"/>
    <col min="10495" max="10495" width="8" style="305" hidden="1" customWidth="1"/>
    <col min="10496" max="10739" width="9.140625" style="305"/>
    <col min="10740" max="10740" width="5.5703125" style="305" customWidth="1"/>
    <col min="10741" max="10741" width="32" style="305" customWidth="1"/>
    <col min="10742" max="10743" width="9.85546875" style="305" customWidth="1"/>
    <col min="10744" max="10745" width="9.42578125" style="305" customWidth="1"/>
    <col min="10746" max="10746" width="11.140625" style="305" customWidth="1"/>
    <col min="10747" max="10749" width="8.5703125" style="305" customWidth="1"/>
    <col min="10750" max="10750" width="32.140625" style="305" customWidth="1"/>
    <col min="10751" max="10751" width="8" style="305" hidden="1" customWidth="1"/>
    <col min="10752" max="10995" width="9.140625" style="305"/>
    <col min="10996" max="10996" width="5.5703125" style="305" customWidth="1"/>
    <col min="10997" max="10997" width="32" style="305" customWidth="1"/>
    <col min="10998" max="10999" width="9.85546875" style="305" customWidth="1"/>
    <col min="11000" max="11001" width="9.42578125" style="305" customWidth="1"/>
    <col min="11002" max="11002" width="11.140625" style="305" customWidth="1"/>
    <col min="11003" max="11005" width="8.5703125" style="305" customWidth="1"/>
    <col min="11006" max="11006" width="32.140625" style="305" customWidth="1"/>
    <col min="11007" max="11007" width="8" style="305" hidden="1" customWidth="1"/>
    <col min="11008" max="11251" width="9.140625" style="305"/>
    <col min="11252" max="11252" width="5.5703125" style="305" customWidth="1"/>
    <col min="11253" max="11253" width="32" style="305" customWidth="1"/>
    <col min="11254" max="11255" width="9.85546875" style="305" customWidth="1"/>
    <col min="11256" max="11257" width="9.42578125" style="305" customWidth="1"/>
    <col min="11258" max="11258" width="11.140625" style="305" customWidth="1"/>
    <col min="11259" max="11261" width="8.5703125" style="305" customWidth="1"/>
    <col min="11262" max="11262" width="32.140625" style="305" customWidth="1"/>
    <col min="11263" max="11263" width="8" style="305" hidden="1" customWidth="1"/>
    <col min="11264" max="11507" width="9.140625" style="305"/>
    <col min="11508" max="11508" width="5.5703125" style="305" customWidth="1"/>
    <col min="11509" max="11509" width="32" style="305" customWidth="1"/>
    <col min="11510" max="11511" width="9.85546875" style="305" customWidth="1"/>
    <col min="11512" max="11513" width="9.42578125" style="305" customWidth="1"/>
    <col min="11514" max="11514" width="11.140625" style="305" customWidth="1"/>
    <col min="11515" max="11517" width="8.5703125" style="305" customWidth="1"/>
    <col min="11518" max="11518" width="32.140625" style="305" customWidth="1"/>
    <col min="11519" max="11519" width="8" style="305" hidden="1" customWidth="1"/>
    <col min="11520" max="11763" width="9.140625" style="305"/>
    <col min="11764" max="11764" width="5.5703125" style="305" customWidth="1"/>
    <col min="11765" max="11765" width="32" style="305" customWidth="1"/>
    <col min="11766" max="11767" width="9.85546875" style="305" customWidth="1"/>
    <col min="11768" max="11769" width="9.42578125" style="305" customWidth="1"/>
    <col min="11770" max="11770" width="11.140625" style="305" customWidth="1"/>
    <col min="11771" max="11773" width="8.5703125" style="305" customWidth="1"/>
    <col min="11774" max="11774" width="32.140625" style="305" customWidth="1"/>
    <col min="11775" max="11775" width="8" style="305" hidden="1" customWidth="1"/>
    <col min="11776" max="12019" width="9.140625" style="305"/>
    <col min="12020" max="12020" width="5.5703125" style="305" customWidth="1"/>
    <col min="12021" max="12021" width="32" style="305" customWidth="1"/>
    <col min="12022" max="12023" width="9.85546875" style="305" customWidth="1"/>
    <col min="12024" max="12025" width="9.42578125" style="305" customWidth="1"/>
    <col min="12026" max="12026" width="11.140625" style="305" customWidth="1"/>
    <col min="12027" max="12029" width="8.5703125" style="305" customWidth="1"/>
    <col min="12030" max="12030" width="32.140625" style="305" customWidth="1"/>
    <col min="12031" max="12031" width="8" style="305" hidden="1" customWidth="1"/>
    <col min="12032" max="12275" width="9.140625" style="305"/>
    <col min="12276" max="12276" width="5.5703125" style="305" customWidth="1"/>
    <col min="12277" max="12277" width="32" style="305" customWidth="1"/>
    <col min="12278" max="12279" width="9.85546875" style="305" customWidth="1"/>
    <col min="12280" max="12281" width="9.42578125" style="305" customWidth="1"/>
    <col min="12282" max="12282" width="11.140625" style="305" customWidth="1"/>
    <col min="12283" max="12285" width="8.5703125" style="305" customWidth="1"/>
    <col min="12286" max="12286" width="32.140625" style="305" customWidth="1"/>
    <col min="12287" max="12287" width="8" style="305" hidden="1" customWidth="1"/>
    <col min="12288" max="12531" width="9.140625" style="305"/>
    <col min="12532" max="12532" width="5.5703125" style="305" customWidth="1"/>
    <col min="12533" max="12533" width="32" style="305" customWidth="1"/>
    <col min="12534" max="12535" width="9.85546875" style="305" customWidth="1"/>
    <col min="12536" max="12537" width="9.42578125" style="305" customWidth="1"/>
    <col min="12538" max="12538" width="11.140625" style="305" customWidth="1"/>
    <col min="12539" max="12541" width="8.5703125" style="305" customWidth="1"/>
    <col min="12542" max="12542" width="32.140625" style="305" customWidth="1"/>
    <col min="12543" max="12543" width="8" style="305" hidden="1" customWidth="1"/>
    <col min="12544" max="12787" width="9.140625" style="305"/>
    <col min="12788" max="12788" width="5.5703125" style="305" customWidth="1"/>
    <col min="12789" max="12789" width="32" style="305" customWidth="1"/>
    <col min="12790" max="12791" width="9.85546875" style="305" customWidth="1"/>
    <col min="12792" max="12793" width="9.42578125" style="305" customWidth="1"/>
    <col min="12794" max="12794" width="11.140625" style="305" customWidth="1"/>
    <col min="12795" max="12797" width="8.5703125" style="305" customWidth="1"/>
    <col min="12798" max="12798" width="32.140625" style="305" customWidth="1"/>
    <col min="12799" max="12799" width="8" style="305" hidden="1" customWidth="1"/>
    <col min="12800" max="13043" width="9.140625" style="305"/>
    <col min="13044" max="13044" width="5.5703125" style="305" customWidth="1"/>
    <col min="13045" max="13045" width="32" style="305" customWidth="1"/>
    <col min="13046" max="13047" width="9.85546875" style="305" customWidth="1"/>
    <col min="13048" max="13049" width="9.42578125" style="305" customWidth="1"/>
    <col min="13050" max="13050" width="11.140625" style="305" customWidth="1"/>
    <col min="13051" max="13053" width="8.5703125" style="305" customWidth="1"/>
    <col min="13054" max="13054" width="32.140625" style="305" customWidth="1"/>
    <col min="13055" max="13055" width="8" style="305" hidden="1" customWidth="1"/>
    <col min="13056" max="13299" width="9.140625" style="305"/>
    <col min="13300" max="13300" width="5.5703125" style="305" customWidth="1"/>
    <col min="13301" max="13301" width="32" style="305" customWidth="1"/>
    <col min="13302" max="13303" width="9.85546875" style="305" customWidth="1"/>
    <col min="13304" max="13305" width="9.42578125" style="305" customWidth="1"/>
    <col min="13306" max="13306" width="11.140625" style="305" customWidth="1"/>
    <col min="13307" max="13309" width="8.5703125" style="305" customWidth="1"/>
    <col min="13310" max="13310" width="32.140625" style="305" customWidth="1"/>
    <col min="13311" max="13311" width="8" style="305" hidden="1" customWidth="1"/>
    <col min="13312" max="13555" width="9.140625" style="305"/>
    <col min="13556" max="13556" width="5.5703125" style="305" customWidth="1"/>
    <col min="13557" max="13557" width="32" style="305" customWidth="1"/>
    <col min="13558" max="13559" width="9.85546875" style="305" customWidth="1"/>
    <col min="13560" max="13561" width="9.42578125" style="305" customWidth="1"/>
    <col min="13562" max="13562" width="11.140625" style="305" customWidth="1"/>
    <col min="13563" max="13565" width="8.5703125" style="305" customWidth="1"/>
    <col min="13566" max="13566" width="32.140625" style="305" customWidth="1"/>
    <col min="13567" max="13567" width="8" style="305" hidden="1" customWidth="1"/>
    <col min="13568" max="13811" width="9.140625" style="305"/>
    <col min="13812" max="13812" width="5.5703125" style="305" customWidth="1"/>
    <col min="13813" max="13813" width="32" style="305" customWidth="1"/>
    <col min="13814" max="13815" width="9.85546875" style="305" customWidth="1"/>
    <col min="13816" max="13817" width="9.42578125" style="305" customWidth="1"/>
    <col min="13818" max="13818" width="11.140625" style="305" customWidth="1"/>
    <col min="13819" max="13821" width="8.5703125" style="305" customWidth="1"/>
    <col min="13822" max="13822" width="32.140625" style="305" customWidth="1"/>
    <col min="13823" max="13823" width="8" style="305" hidden="1" customWidth="1"/>
    <col min="13824" max="14067" width="9.140625" style="305"/>
    <col min="14068" max="14068" width="5.5703125" style="305" customWidth="1"/>
    <col min="14069" max="14069" width="32" style="305" customWidth="1"/>
    <col min="14070" max="14071" width="9.85546875" style="305" customWidth="1"/>
    <col min="14072" max="14073" width="9.42578125" style="305" customWidth="1"/>
    <col min="14074" max="14074" width="11.140625" style="305" customWidth="1"/>
    <col min="14075" max="14077" width="8.5703125" style="305" customWidth="1"/>
    <col min="14078" max="14078" width="32.140625" style="305" customWidth="1"/>
    <col min="14079" max="14079" width="8" style="305" hidden="1" customWidth="1"/>
    <col min="14080" max="14323" width="9.140625" style="305"/>
    <col min="14324" max="14324" width="5.5703125" style="305" customWidth="1"/>
    <col min="14325" max="14325" width="32" style="305" customWidth="1"/>
    <col min="14326" max="14327" width="9.85546875" style="305" customWidth="1"/>
    <col min="14328" max="14329" width="9.42578125" style="305" customWidth="1"/>
    <col min="14330" max="14330" width="11.140625" style="305" customWidth="1"/>
    <col min="14331" max="14333" width="8.5703125" style="305" customWidth="1"/>
    <col min="14334" max="14334" width="32.140625" style="305" customWidth="1"/>
    <col min="14335" max="14335" width="8" style="305" hidden="1" customWidth="1"/>
    <col min="14336" max="14579" width="9.140625" style="305"/>
    <col min="14580" max="14580" width="5.5703125" style="305" customWidth="1"/>
    <col min="14581" max="14581" width="32" style="305" customWidth="1"/>
    <col min="14582" max="14583" width="9.85546875" style="305" customWidth="1"/>
    <col min="14584" max="14585" width="9.42578125" style="305" customWidth="1"/>
    <col min="14586" max="14586" width="11.140625" style="305" customWidth="1"/>
    <col min="14587" max="14589" width="8.5703125" style="305" customWidth="1"/>
    <col min="14590" max="14590" width="32.140625" style="305" customWidth="1"/>
    <col min="14591" max="14591" width="8" style="305" hidden="1" customWidth="1"/>
    <col min="14592" max="14835" width="9.140625" style="305"/>
    <col min="14836" max="14836" width="5.5703125" style="305" customWidth="1"/>
    <col min="14837" max="14837" width="32" style="305" customWidth="1"/>
    <col min="14838" max="14839" width="9.85546875" style="305" customWidth="1"/>
    <col min="14840" max="14841" width="9.42578125" style="305" customWidth="1"/>
    <col min="14842" max="14842" width="11.140625" style="305" customWidth="1"/>
    <col min="14843" max="14845" width="8.5703125" style="305" customWidth="1"/>
    <col min="14846" max="14846" width="32.140625" style="305" customWidth="1"/>
    <col min="14847" max="14847" width="8" style="305" hidden="1" customWidth="1"/>
    <col min="14848" max="15091" width="9.140625" style="305"/>
    <col min="15092" max="15092" width="5.5703125" style="305" customWidth="1"/>
    <col min="15093" max="15093" width="32" style="305" customWidth="1"/>
    <col min="15094" max="15095" width="9.85546875" style="305" customWidth="1"/>
    <col min="15096" max="15097" width="9.42578125" style="305" customWidth="1"/>
    <col min="15098" max="15098" width="11.140625" style="305" customWidth="1"/>
    <col min="15099" max="15101" width="8.5703125" style="305" customWidth="1"/>
    <col min="15102" max="15102" width="32.140625" style="305" customWidth="1"/>
    <col min="15103" max="15103" width="8" style="305" hidden="1" customWidth="1"/>
    <col min="15104" max="15347" width="9.140625" style="305"/>
    <col min="15348" max="15348" width="5.5703125" style="305" customWidth="1"/>
    <col min="15349" max="15349" width="32" style="305" customWidth="1"/>
    <col min="15350" max="15351" width="9.85546875" style="305" customWidth="1"/>
    <col min="15352" max="15353" width="9.42578125" style="305" customWidth="1"/>
    <col min="15354" max="15354" width="11.140625" style="305" customWidth="1"/>
    <col min="15355" max="15357" width="8.5703125" style="305" customWidth="1"/>
    <col min="15358" max="15358" width="32.140625" style="305" customWidth="1"/>
    <col min="15359" max="15359" width="8" style="305" hidden="1" customWidth="1"/>
    <col min="15360" max="15603" width="9.140625" style="305"/>
    <col min="15604" max="15604" width="5.5703125" style="305" customWidth="1"/>
    <col min="15605" max="15605" width="32" style="305" customWidth="1"/>
    <col min="15606" max="15607" width="9.85546875" style="305" customWidth="1"/>
    <col min="15608" max="15609" width="9.42578125" style="305" customWidth="1"/>
    <col min="15610" max="15610" width="11.140625" style="305" customWidth="1"/>
    <col min="15611" max="15613" width="8.5703125" style="305" customWidth="1"/>
    <col min="15614" max="15614" width="32.140625" style="305" customWidth="1"/>
    <col min="15615" max="15615" width="8" style="305" hidden="1" customWidth="1"/>
    <col min="15616" max="15859" width="9.140625" style="305"/>
    <col min="15860" max="15860" width="5.5703125" style="305" customWidth="1"/>
    <col min="15861" max="15861" width="32" style="305" customWidth="1"/>
    <col min="15862" max="15863" width="9.85546875" style="305" customWidth="1"/>
    <col min="15864" max="15865" width="9.42578125" style="305" customWidth="1"/>
    <col min="15866" max="15866" width="11.140625" style="305" customWidth="1"/>
    <col min="15867" max="15869" width="8.5703125" style="305" customWidth="1"/>
    <col min="15870" max="15870" width="32.140625" style="305" customWidth="1"/>
    <col min="15871" max="15871" width="8" style="305" hidden="1" customWidth="1"/>
    <col min="15872" max="16115" width="9.140625" style="305"/>
    <col min="16116" max="16116" width="5.5703125" style="305" customWidth="1"/>
    <col min="16117" max="16117" width="32" style="305" customWidth="1"/>
    <col min="16118" max="16119" width="9.85546875" style="305" customWidth="1"/>
    <col min="16120" max="16121" width="9.42578125" style="305" customWidth="1"/>
    <col min="16122" max="16122" width="11.140625" style="305" customWidth="1"/>
    <col min="16123" max="16125" width="8.5703125" style="305" customWidth="1"/>
    <col min="16126" max="16126" width="32.140625" style="305" customWidth="1"/>
    <col min="16127" max="16127" width="8" style="305" hidden="1" customWidth="1"/>
    <col min="16128" max="16384" width="9.140625" style="305"/>
  </cols>
  <sheetData>
    <row r="1" spans="1:13" s="40" customFormat="1" ht="40.5" customHeight="1" x14ac:dyDescent="0.25">
      <c r="A1" s="437" t="s">
        <v>371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s="40" customFormat="1" ht="13.5" thickBot="1" x14ac:dyDescent="0.3">
      <c r="B2" s="186"/>
      <c r="C2" s="186"/>
      <c r="D2" s="186"/>
      <c r="E2" s="41"/>
      <c r="F2" s="41"/>
      <c r="G2" s="187"/>
      <c r="H2" s="187"/>
      <c r="I2" s="187"/>
      <c r="J2" s="187"/>
      <c r="K2" s="187"/>
      <c r="L2" s="187"/>
      <c r="M2" s="41" t="s">
        <v>31</v>
      </c>
    </row>
    <row r="3" spans="1:13" s="40" customFormat="1" ht="24" customHeight="1" x14ac:dyDescent="0.25">
      <c r="A3" s="438" t="s">
        <v>0</v>
      </c>
      <c r="B3" s="440" t="s">
        <v>37</v>
      </c>
      <c r="C3" s="442" t="s">
        <v>261</v>
      </c>
      <c r="D3" s="295"/>
      <c r="E3" s="444" t="s">
        <v>50</v>
      </c>
      <c r="F3" s="446" t="s">
        <v>372</v>
      </c>
      <c r="G3" s="446" t="s">
        <v>373</v>
      </c>
      <c r="H3" s="444" t="s">
        <v>374</v>
      </c>
      <c r="I3" s="449" t="s">
        <v>142</v>
      </c>
      <c r="J3" s="450"/>
      <c r="K3" s="451"/>
      <c r="L3" s="452"/>
      <c r="M3" s="453" t="s">
        <v>38</v>
      </c>
    </row>
    <row r="4" spans="1:13" s="40" customFormat="1" ht="24" customHeight="1" x14ac:dyDescent="0.25">
      <c r="A4" s="439"/>
      <c r="B4" s="441"/>
      <c r="C4" s="443"/>
      <c r="D4" s="296"/>
      <c r="E4" s="445"/>
      <c r="F4" s="447"/>
      <c r="G4" s="447"/>
      <c r="H4" s="448"/>
      <c r="I4" s="42" t="s">
        <v>220</v>
      </c>
      <c r="J4" s="43" t="s">
        <v>262</v>
      </c>
      <c r="K4" s="43" t="s">
        <v>375</v>
      </c>
      <c r="L4" s="188" t="s">
        <v>376</v>
      </c>
      <c r="M4" s="454"/>
    </row>
    <row r="5" spans="1:13" s="44" customFormat="1" ht="18" customHeight="1" x14ac:dyDescent="0.25">
      <c r="A5" s="202" t="s">
        <v>63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0"/>
    </row>
    <row r="6" spans="1:13" s="44" customFormat="1" ht="15" customHeight="1" x14ac:dyDescent="0.25">
      <c r="A6" s="199">
        <v>20</v>
      </c>
      <c r="B6" s="198" t="s">
        <v>377</v>
      </c>
      <c r="C6" s="197">
        <v>3559</v>
      </c>
      <c r="D6" s="270">
        <f>F6+G6+H6+I6+J6+K6+L6</f>
        <v>1500.4</v>
      </c>
      <c r="E6" s="196">
        <v>1500.4</v>
      </c>
      <c r="F6" s="196">
        <v>0</v>
      </c>
      <c r="G6" s="196">
        <v>48.4</v>
      </c>
      <c r="H6" s="45">
        <v>1452</v>
      </c>
      <c r="I6" s="196">
        <v>0</v>
      </c>
      <c r="J6" s="196">
        <v>0</v>
      </c>
      <c r="K6" s="196">
        <v>0</v>
      </c>
      <c r="L6" s="195">
        <v>0</v>
      </c>
      <c r="M6" s="194" t="s">
        <v>499</v>
      </c>
    </row>
    <row r="7" spans="1:13" s="44" customFormat="1" ht="24" customHeight="1" x14ac:dyDescent="0.25">
      <c r="A7" s="199">
        <v>22</v>
      </c>
      <c r="B7" s="198" t="s">
        <v>378</v>
      </c>
      <c r="C7" s="197">
        <v>3535</v>
      </c>
      <c r="D7" s="270">
        <f t="shared" ref="D7:D10" si="0">F7+G7+H7+I7+J7+K7+L7</f>
        <v>30000</v>
      </c>
      <c r="E7" s="196">
        <v>30000</v>
      </c>
      <c r="F7" s="196">
        <v>0</v>
      </c>
      <c r="G7" s="196">
        <v>400</v>
      </c>
      <c r="H7" s="45">
        <v>5000</v>
      </c>
      <c r="I7" s="196">
        <v>24600</v>
      </c>
      <c r="J7" s="196">
        <v>0</v>
      </c>
      <c r="K7" s="196">
        <v>0</v>
      </c>
      <c r="L7" s="195">
        <v>0</v>
      </c>
      <c r="M7" s="194" t="s">
        <v>499</v>
      </c>
    </row>
    <row r="8" spans="1:13" s="44" customFormat="1" ht="15" customHeight="1" x14ac:dyDescent="0.25">
      <c r="A8" s="199">
        <v>24</v>
      </c>
      <c r="B8" s="198" t="s">
        <v>379</v>
      </c>
      <c r="C8" s="197">
        <v>3558</v>
      </c>
      <c r="D8" s="270">
        <f t="shared" si="0"/>
        <v>9990.4</v>
      </c>
      <c r="E8" s="196">
        <v>9990</v>
      </c>
      <c r="F8" s="196">
        <v>0</v>
      </c>
      <c r="G8" s="196">
        <v>48.4</v>
      </c>
      <c r="H8" s="45">
        <v>7952</v>
      </c>
      <c r="I8" s="196">
        <v>1990</v>
      </c>
      <c r="J8" s="196">
        <v>0</v>
      </c>
      <c r="K8" s="196">
        <v>0</v>
      </c>
      <c r="L8" s="195">
        <v>0</v>
      </c>
      <c r="M8" s="194" t="s">
        <v>499</v>
      </c>
    </row>
    <row r="9" spans="1:13" s="44" customFormat="1" ht="24" customHeight="1" x14ac:dyDescent="0.25">
      <c r="A9" s="199">
        <v>26</v>
      </c>
      <c r="B9" s="198" t="s">
        <v>380</v>
      </c>
      <c r="C9" s="197">
        <v>3526</v>
      </c>
      <c r="D9" s="270">
        <f t="shared" si="0"/>
        <v>9990</v>
      </c>
      <c r="E9" s="196">
        <v>9900</v>
      </c>
      <c r="F9" s="196">
        <v>0</v>
      </c>
      <c r="G9" s="196">
        <v>300</v>
      </c>
      <c r="H9" s="45">
        <v>2000</v>
      </c>
      <c r="I9" s="196">
        <v>7690</v>
      </c>
      <c r="J9" s="196">
        <v>0</v>
      </c>
      <c r="K9" s="196">
        <v>0</v>
      </c>
      <c r="L9" s="195">
        <v>0</v>
      </c>
      <c r="M9" s="194" t="s">
        <v>499</v>
      </c>
    </row>
    <row r="10" spans="1:13" s="44" customFormat="1" ht="24" customHeight="1" x14ac:dyDescent="0.25">
      <c r="A10" s="199">
        <v>28</v>
      </c>
      <c r="B10" s="198" t="s">
        <v>199</v>
      </c>
      <c r="C10" s="197">
        <v>3458</v>
      </c>
      <c r="D10" s="270">
        <f t="shared" si="0"/>
        <v>6005.43</v>
      </c>
      <c r="E10" s="196">
        <v>10288</v>
      </c>
      <c r="F10" s="196">
        <v>0</v>
      </c>
      <c r="G10" s="196">
        <v>5768.43</v>
      </c>
      <c r="H10" s="45">
        <v>237</v>
      </c>
      <c r="I10" s="196">
        <v>0</v>
      </c>
      <c r="J10" s="196">
        <v>0</v>
      </c>
      <c r="K10" s="196">
        <v>0</v>
      </c>
      <c r="L10" s="195">
        <v>0</v>
      </c>
      <c r="M10" s="194" t="s">
        <v>52</v>
      </c>
    </row>
    <row r="11" spans="1:13" s="44" customFormat="1" ht="26.25" customHeight="1" x14ac:dyDescent="0.25">
      <c r="A11" s="433" t="s">
        <v>64</v>
      </c>
      <c r="B11" s="434"/>
      <c r="C11" s="294">
        <f>COUNT(C6:C10)</f>
        <v>5</v>
      </c>
      <c r="D11" s="294"/>
      <c r="E11" s="46">
        <f t="shared" ref="E11:L11" si="1">SUM(E6:E10)</f>
        <v>61678.400000000001</v>
      </c>
      <c r="F11" s="46">
        <f t="shared" si="1"/>
        <v>0</v>
      </c>
      <c r="G11" s="46">
        <f t="shared" si="1"/>
        <v>6565.2300000000005</v>
      </c>
      <c r="H11" s="46">
        <f t="shared" si="1"/>
        <v>16641</v>
      </c>
      <c r="I11" s="46">
        <f t="shared" si="1"/>
        <v>34280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7"/>
    </row>
    <row r="12" spans="1:13" s="44" customFormat="1" ht="18" customHeight="1" x14ac:dyDescent="0.25">
      <c r="A12" s="202" t="s">
        <v>219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0"/>
    </row>
    <row r="13" spans="1:13" s="44" customFormat="1" ht="15" customHeight="1" x14ac:dyDescent="0.25">
      <c r="A13" s="199">
        <v>120</v>
      </c>
      <c r="B13" s="198" t="s">
        <v>200</v>
      </c>
      <c r="C13" s="197">
        <v>3453</v>
      </c>
      <c r="D13" s="270">
        <f t="shared" ref="D13:D24" si="2">F13+G13+H13+I13+J13+K13+L13</f>
        <v>16654.32</v>
      </c>
      <c r="E13" s="196">
        <v>16654.32</v>
      </c>
      <c r="F13" s="196">
        <v>54.32</v>
      </c>
      <c r="G13" s="196">
        <v>3100</v>
      </c>
      <c r="H13" s="45">
        <v>13500</v>
      </c>
      <c r="I13" s="196">
        <v>0</v>
      </c>
      <c r="J13" s="196">
        <v>0</v>
      </c>
      <c r="K13" s="196">
        <v>0</v>
      </c>
      <c r="L13" s="195">
        <v>0</v>
      </c>
      <c r="M13" s="194" t="s">
        <v>499</v>
      </c>
    </row>
    <row r="14" spans="1:13" s="44" customFormat="1" ht="15" customHeight="1" x14ac:dyDescent="0.25">
      <c r="A14" s="199">
        <v>122</v>
      </c>
      <c r="B14" s="198" t="s">
        <v>218</v>
      </c>
      <c r="C14" s="197">
        <v>3484</v>
      </c>
      <c r="D14" s="270">
        <f t="shared" si="2"/>
        <v>135066.56</v>
      </c>
      <c r="E14" s="196">
        <v>135066.56</v>
      </c>
      <c r="F14" s="196">
        <v>66.56</v>
      </c>
      <c r="G14" s="196">
        <v>102000</v>
      </c>
      <c r="H14" s="45">
        <v>33000</v>
      </c>
      <c r="I14" s="196">
        <v>0</v>
      </c>
      <c r="J14" s="196">
        <v>0</v>
      </c>
      <c r="K14" s="196">
        <v>0</v>
      </c>
      <c r="L14" s="195">
        <v>0</v>
      </c>
      <c r="M14" s="194" t="s">
        <v>499</v>
      </c>
    </row>
    <row r="15" spans="1:13" s="44" customFormat="1" ht="63" x14ac:dyDescent="0.25">
      <c r="A15" s="199">
        <v>124</v>
      </c>
      <c r="B15" s="198" t="s">
        <v>381</v>
      </c>
      <c r="C15" s="197">
        <v>3522</v>
      </c>
      <c r="D15" s="270">
        <f t="shared" si="2"/>
        <v>4524.5200000000004</v>
      </c>
      <c r="E15" s="196">
        <v>4524.5200000000004</v>
      </c>
      <c r="F15" s="196">
        <v>0</v>
      </c>
      <c r="G15" s="196">
        <v>1024.52</v>
      </c>
      <c r="H15" s="45">
        <v>2500</v>
      </c>
      <c r="I15" s="196">
        <v>1000</v>
      </c>
      <c r="J15" s="196">
        <v>0</v>
      </c>
      <c r="K15" s="196">
        <v>0</v>
      </c>
      <c r="L15" s="195">
        <v>0</v>
      </c>
      <c r="M15" s="194" t="s">
        <v>499</v>
      </c>
    </row>
    <row r="16" spans="1:13" s="44" customFormat="1" ht="24" customHeight="1" x14ac:dyDescent="0.25">
      <c r="A16" s="199">
        <v>125</v>
      </c>
      <c r="B16" s="198" t="s">
        <v>382</v>
      </c>
      <c r="C16" s="197">
        <v>3530</v>
      </c>
      <c r="D16" s="270">
        <f t="shared" si="2"/>
        <v>86900</v>
      </c>
      <c r="E16" s="196">
        <v>86900</v>
      </c>
      <c r="F16" s="196">
        <v>0</v>
      </c>
      <c r="G16" s="196">
        <v>300</v>
      </c>
      <c r="H16" s="45">
        <v>43300</v>
      </c>
      <c r="I16" s="196">
        <v>43300</v>
      </c>
      <c r="J16" s="196">
        <v>0</v>
      </c>
      <c r="K16" s="196">
        <v>0</v>
      </c>
      <c r="L16" s="195">
        <v>0</v>
      </c>
      <c r="M16" s="194" t="s">
        <v>499</v>
      </c>
    </row>
    <row r="17" spans="1:13" s="44" customFormat="1" ht="24" customHeight="1" x14ac:dyDescent="0.25">
      <c r="A17" s="199">
        <v>127</v>
      </c>
      <c r="B17" s="198" t="s">
        <v>383</v>
      </c>
      <c r="C17" s="197">
        <v>3533</v>
      </c>
      <c r="D17" s="270">
        <f t="shared" si="2"/>
        <v>164000</v>
      </c>
      <c r="E17" s="196">
        <v>164000</v>
      </c>
      <c r="F17" s="196">
        <v>0</v>
      </c>
      <c r="G17" s="196">
        <v>300</v>
      </c>
      <c r="H17" s="45">
        <v>163700</v>
      </c>
      <c r="I17" s="196">
        <v>0</v>
      </c>
      <c r="J17" s="196">
        <v>0</v>
      </c>
      <c r="K17" s="196">
        <v>0</v>
      </c>
      <c r="L17" s="195">
        <v>0</v>
      </c>
      <c r="M17" s="194" t="s">
        <v>499</v>
      </c>
    </row>
    <row r="18" spans="1:13" s="44" customFormat="1" ht="24" customHeight="1" x14ac:dyDescent="0.25">
      <c r="A18" s="199">
        <v>129</v>
      </c>
      <c r="B18" s="198" t="s">
        <v>384</v>
      </c>
      <c r="C18" s="197">
        <v>3534</v>
      </c>
      <c r="D18" s="270">
        <f t="shared" si="2"/>
        <v>56000</v>
      </c>
      <c r="E18" s="196">
        <v>56000</v>
      </c>
      <c r="F18" s="196">
        <v>0</v>
      </c>
      <c r="G18" s="196">
        <v>300</v>
      </c>
      <c r="H18" s="45">
        <v>55700</v>
      </c>
      <c r="I18" s="196">
        <v>0</v>
      </c>
      <c r="J18" s="196">
        <v>0</v>
      </c>
      <c r="K18" s="196">
        <v>0</v>
      </c>
      <c r="L18" s="195">
        <v>0</v>
      </c>
      <c r="M18" s="194" t="s">
        <v>499</v>
      </c>
    </row>
    <row r="19" spans="1:13" s="44" customFormat="1" ht="24" customHeight="1" x14ac:dyDescent="0.25">
      <c r="A19" s="199">
        <v>131</v>
      </c>
      <c r="B19" s="198" t="s">
        <v>385</v>
      </c>
      <c r="C19" s="197">
        <v>3529</v>
      </c>
      <c r="D19" s="270">
        <f t="shared" si="2"/>
        <v>66000</v>
      </c>
      <c r="E19" s="196">
        <v>66000</v>
      </c>
      <c r="F19" s="196">
        <v>0</v>
      </c>
      <c r="G19" s="196">
        <v>300</v>
      </c>
      <c r="H19" s="45">
        <v>65700</v>
      </c>
      <c r="I19" s="196">
        <v>0</v>
      </c>
      <c r="J19" s="196">
        <v>0</v>
      </c>
      <c r="K19" s="196">
        <v>0</v>
      </c>
      <c r="L19" s="195">
        <v>0</v>
      </c>
      <c r="M19" s="194" t="s">
        <v>499</v>
      </c>
    </row>
    <row r="20" spans="1:13" s="44" customFormat="1" ht="15" customHeight="1" x14ac:dyDescent="0.25">
      <c r="A20" s="199">
        <v>133</v>
      </c>
      <c r="B20" s="198" t="s">
        <v>386</v>
      </c>
      <c r="C20" s="197">
        <v>3531</v>
      </c>
      <c r="D20" s="270">
        <f t="shared" si="2"/>
        <v>33000</v>
      </c>
      <c r="E20" s="196">
        <v>33000</v>
      </c>
      <c r="F20" s="196">
        <v>0</v>
      </c>
      <c r="G20" s="196">
        <v>300</v>
      </c>
      <c r="H20" s="45">
        <v>32700</v>
      </c>
      <c r="I20" s="196">
        <v>0</v>
      </c>
      <c r="J20" s="196">
        <v>0</v>
      </c>
      <c r="K20" s="196">
        <v>0</v>
      </c>
      <c r="L20" s="195">
        <v>0</v>
      </c>
      <c r="M20" s="194" t="s">
        <v>499</v>
      </c>
    </row>
    <row r="21" spans="1:13" s="44" customFormat="1" ht="24" customHeight="1" x14ac:dyDescent="0.25">
      <c r="A21" s="199">
        <v>135</v>
      </c>
      <c r="B21" s="198" t="s">
        <v>387</v>
      </c>
      <c r="C21" s="197">
        <v>3537</v>
      </c>
      <c r="D21" s="270">
        <f t="shared" si="2"/>
        <v>30000</v>
      </c>
      <c r="E21" s="196">
        <v>30000</v>
      </c>
      <c r="F21" s="196">
        <v>0</v>
      </c>
      <c r="G21" s="196">
        <v>0</v>
      </c>
      <c r="H21" s="45">
        <v>300</v>
      </c>
      <c r="I21" s="196">
        <v>29700</v>
      </c>
      <c r="J21" s="196">
        <v>0</v>
      </c>
      <c r="K21" s="196">
        <v>0</v>
      </c>
      <c r="L21" s="195">
        <v>0</v>
      </c>
      <c r="M21" s="194" t="s">
        <v>499</v>
      </c>
    </row>
    <row r="22" spans="1:13" s="44" customFormat="1" ht="15" customHeight="1" x14ac:dyDescent="0.25">
      <c r="A22" s="199">
        <v>137</v>
      </c>
      <c r="B22" s="198" t="s">
        <v>388</v>
      </c>
      <c r="C22" s="197">
        <v>3536</v>
      </c>
      <c r="D22" s="270">
        <f t="shared" si="2"/>
        <v>11000</v>
      </c>
      <c r="E22" s="196">
        <v>11000</v>
      </c>
      <c r="F22" s="196">
        <v>0</v>
      </c>
      <c r="G22" s="196">
        <v>0</v>
      </c>
      <c r="H22" s="45">
        <v>300</v>
      </c>
      <c r="I22" s="196">
        <v>10700</v>
      </c>
      <c r="J22" s="196">
        <v>0</v>
      </c>
      <c r="K22" s="196">
        <v>0</v>
      </c>
      <c r="L22" s="195">
        <v>0</v>
      </c>
      <c r="M22" s="194" t="s">
        <v>499</v>
      </c>
    </row>
    <row r="23" spans="1:13" s="44" customFormat="1" ht="24" customHeight="1" x14ac:dyDescent="0.25">
      <c r="A23" s="199">
        <v>139</v>
      </c>
      <c r="B23" s="198" t="s">
        <v>146</v>
      </c>
      <c r="C23" s="197">
        <v>3424</v>
      </c>
      <c r="D23" s="270">
        <f t="shared" si="2"/>
        <v>70584.98</v>
      </c>
      <c r="E23" s="196">
        <v>70584.98</v>
      </c>
      <c r="F23" s="196">
        <v>0</v>
      </c>
      <c r="G23" s="196">
        <v>11584.98</v>
      </c>
      <c r="H23" s="45">
        <v>59000</v>
      </c>
      <c r="I23" s="196">
        <v>0</v>
      </c>
      <c r="J23" s="196">
        <v>0</v>
      </c>
      <c r="K23" s="196">
        <v>0</v>
      </c>
      <c r="L23" s="195">
        <v>0</v>
      </c>
      <c r="M23" s="194" t="s">
        <v>499</v>
      </c>
    </row>
    <row r="24" spans="1:13" s="44" customFormat="1" ht="24" customHeight="1" x14ac:dyDescent="0.25">
      <c r="A24" s="199">
        <v>141</v>
      </c>
      <c r="B24" s="198" t="s">
        <v>389</v>
      </c>
      <c r="C24" s="197">
        <v>3999</v>
      </c>
      <c r="D24" s="270">
        <f t="shared" si="2"/>
        <v>389557</v>
      </c>
      <c r="E24" s="196">
        <f>H24</f>
        <v>51000</v>
      </c>
      <c r="F24" s="196">
        <v>222557</v>
      </c>
      <c r="G24" s="196">
        <v>50000</v>
      </c>
      <c r="H24" s="45">
        <v>51000</v>
      </c>
      <c r="I24" s="196">
        <v>33000</v>
      </c>
      <c r="J24" s="196">
        <v>33000</v>
      </c>
      <c r="K24" s="196">
        <v>0</v>
      </c>
      <c r="L24" s="195">
        <v>0</v>
      </c>
      <c r="M24" s="204" t="s">
        <v>390</v>
      </c>
    </row>
    <row r="25" spans="1:13" s="44" customFormat="1" ht="15.75" customHeight="1" x14ac:dyDescent="0.25">
      <c r="A25" s="435" t="s">
        <v>216</v>
      </c>
      <c r="B25" s="436"/>
      <c r="C25" s="294">
        <f>COUNT(C13:C24)</f>
        <v>12</v>
      </c>
      <c r="D25" s="297">
        <f t="shared" ref="D25:L25" si="3">SUM(D13:D24)</f>
        <v>1063287.3799999999</v>
      </c>
      <c r="E25" s="46">
        <f t="shared" si="3"/>
        <v>724730.38</v>
      </c>
      <c r="F25" s="46">
        <f t="shared" si="3"/>
        <v>222677.88</v>
      </c>
      <c r="G25" s="46">
        <f t="shared" si="3"/>
        <v>169209.5</v>
      </c>
      <c r="H25" s="46">
        <f t="shared" si="3"/>
        <v>520700</v>
      </c>
      <c r="I25" s="46">
        <f t="shared" si="3"/>
        <v>117700</v>
      </c>
      <c r="J25" s="46">
        <f t="shared" si="3"/>
        <v>33000</v>
      </c>
      <c r="K25" s="46">
        <f t="shared" si="3"/>
        <v>0</v>
      </c>
      <c r="L25" s="46">
        <f t="shared" si="3"/>
        <v>0</v>
      </c>
      <c r="M25" s="47"/>
    </row>
    <row r="26" spans="1:13" s="44" customFormat="1" ht="18" customHeight="1" x14ac:dyDescent="0.25">
      <c r="A26" s="202" t="s">
        <v>264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0"/>
    </row>
    <row r="27" spans="1:13" s="44" customFormat="1" ht="15" customHeight="1" x14ac:dyDescent="0.25">
      <c r="A27" s="199">
        <v>163</v>
      </c>
      <c r="B27" s="198" t="s">
        <v>391</v>
      </c>
      <c r="C27" s="197">
        <v>3556</v>
      </c>
      <c r="D27" s="270">
        <f t="shared" ref="D27" si="4">F27+G27+H27+I27+J27+K27+L27</f>
        <v>503000</v>
      </c>
      <c r="E27" s="196">
        <v>503000</v>
      </c>
      <c r="F27" s="196">
        <v>0</v>
      </c>
      <c r="G27" s="196">
        <v>0</v>
      </c>
      <c r="H27" s="45">
        <v>13000</v>
      </c>
      <c r="I27" s="196">
        <v>13000</v>
      </c>
      <c r="J27" s="196">
        <v>147000</v>
      </c>
      <c r="K27" s="196">
        <v>330000</v>
      </c>
      <c r="L27" s="195">
        <v>0</v>
      </c>
      <c r="M27" s="194" t="s">
        <v>499</v>
      </c>
    </row>
    <row r="28" spans="1:13" s="44" customFormat="1" ht="34.5" customHeight="1" x14ac:dyDescent="0.25">
      <c r="A28" s="199">
        <v>165</v>
      </c>
      <c r="B28" s="198" t="s">
        <v>265</v>
      </c>
      <c r="C28" s="197">
        <v>7043</v>
      </c>
      <c r="D28" s="270">
        <f>F28+G28+H28+I28+J28+K28+L28</f>
        <v>31841</v>
      </c>
      <c r="E28" s="196">
        <v>200000</v>
      </c>
      <c r="F28" s="196">
        <v>0</v>
      </c>
      <c r="G28" s="196">
        <v>2166</v>
      </c>
      <c r="H28" s="45">
        <v>5575</v>
      </c>
      <c r="I28" s="196">
        <v>6041</v>
      </c>
      <c r="J28" s="196">
        <v>6287</v>
      </c>
      <c r="K28" s="196">
        <v>6076</v>
      </c>
      <c r="L28" s="195">
        <v>5696</v>
      </c>
      <c r="M28" s="194" t="s">
        <v>214</v>
      </c>
    </row>
    <row r="29" spans="1:13" s="44" customFormat="1" ht="15.75" customHeight="1" x14ac:dyDescent="0.25">
      <c r="A29" s="435" t="s">
        <v>266</v>
      </c>
      <c r="B29" s="436"/>
      <c r="C29" s="294">
        <f>COUNT(C28:C28)</f>
        <v>1</v>
      </c>
      <c r="D29" s="294"/>
      <c r="E29" s="46">
        <f>SUM(E27:E28)</f>
        <v>703000</v>
      </c>
      <c r="F29" s="46">
        <f t="shared" ref="F29:L29" si="5">SUM(F27:F28)</f>
        <v>0</v>
      </c>
      <c r="G29" s="46">
        <f t="shared" si="5"/>
        <v>2166</v>
      </c>
      <c r="H29" s="46">
        <f t="shared" si="5"/>
        <v>18575</v>
      </c>
      <c r="I29" s="46">
        <f t="shared" si="5"/>
        <v>19041</v>
      </c>
      <c r="J29" s="46">
        <f t="shared" si="5"/>
        <v>153287</v>
      </c>
      <c r="K29" s="46">
        <f t="shared" si="5"/>
        <v>336076</v>
      </c>
      <c r="L29" s="46">
        <f t="shared" si="5"/>
        <v>5696</v>
      </c>
      <c r="M29" s="47"/>
    </row>
    <row r="30" spans="1:13" s="44" customFormat="1" ht="18" customHeight="1" x14ac:dyDescent="0.25">
      <c r="A30" s="202" t="s">
        <v>40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0"/>
    </row>
    <row r="31" spans="1:13" s="44" customFormat="1" ht="15" customHeight="1" x14ac:dyDescent="0.25">
      <c r="A31" s="199">
        <v>197</v>
      </c>
      <c r="B31" s="198" t="s">
        <v>392</v>
      </c>
      <c r="C31" s="197">
        <v>3519</v>
      </c>
      <c r="D31" s="270">
        <f>F31+G31+H31+I31+J31+K31+L31</f>
        <v>150000</v>
      </c>
      <c r="E31" s="196">
        <v>150000</v>
      </c>
      <c r="F31" s="196">
        <v>0</v>
      </c>
      <c r="G31" s="196">
        <v>3000</v>
      </c>
      <c r="H31" s="45">
        <v>1000</v>
      </c>
      <c r="I31" s="196">
        <v>146000</v>
      </c>
      <c r="J31" s="196">
        <v>0</v>
      </c>
      <c r="K31" s="196">
        <v>0</v>
      </c>
      <c r="L31" s="195">
        <v>0</v>
      </c>
      <c r="M31" s="194" t="s">
        <v>499</v>
      </c>
    </row>
    <row r="32" spans="1:13" s="44" customFormat="1" ht="15.75" customHeight="1" x14ac:dyDescent="0.25">
      <c r="A32" s="435" t="s">
        <v>41</v>
      </c>
      <c r="B32" s="436"/>
      <c r="C32" s="294">
        <f>COUNT(C31:C31)</f>
        <v>1</v>
      </c>
      <c r="D32" s="294"/>
      <c r="E32" s="46">
        <f t="shared" ref="E32:L32" si="6">SUM(E31:E31)</f>
        <v>150000</v>
      </c>
      <c r="F32" s="46">
        <f t="shared" si="6"/>
        <v>0</v>
      </c>
      <c r="G32" s="46">
        <f t="shared" si="6"/>
        <v>3000</v>
      </c>
      <c r="H32" s="46">
        <f t="shared" si="6"/>
        <v>1000</v>
      </c>
      <c r="I32" s="46">
        <f t="shared" si="6"/>
        <v>146000</v>
      </c>
      <c r="J32" s="46">
        <f t="shared" si="6"/>
        <v>0</v>
      </c>
      <c r="K32" s="46">
        <f t="shared" si="6"/>
        <v>0</v>
      </c>
      <c r="L32" s="46">
        <f t="shared" si="6"/>
        <v>0</v>
      </c>
      <c r="M32" s="47"/>
    </row>
    <row r="33" spans="1:13" s="44" customFormat="1" ht="18" customHeight="1" x14ac:dyDescent="0.25">
      <c r="A33" s="202" t="s">
        <v>42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0"/>
    </row>
    <row r="34" spans="1:13" s="44" customFormat="1" ht="15" customHeight="1" x14ac:dyDescent="0.25">
      <c r="A34" s="199">
        <v>241</v>
      </c>
      <c r="B34" s="198" t="s">
        <v>393</v>
      </c>
      <c r="C34" s="197">
        <v>3505</v>
      </c>
      <c r="D34" s="270">
        <f>F34+G34+H34+I34+J34+K34+L34</f>
        <v>2599999.7599999998</v>
      </c>
      <c r="E34" s="196">
        <v>2599999.7599999998</v>
      </c>
      <c r="F34" s="196">
        <v>22937.99</v>
      </c>
      <c r="G34" s="196">
        <v>9344.77</v>
      </c>
      <c r="H34" s="45">
        <v>34250</v>
      </c>
      <c r="I34" s="196">
        <v>417000</v>
      </c>
      <c r="J34" s="196">
        <v>920000</v>
      </c>
      <c r="K34" s="196">
        <v>1194467</v>
      </c>
      <c r="L34" s="195">
        <v>2000</v>
      </c>
      <c r="M34" s="194" t="s">
        <v>499</v>
      </c>
    </row>
    <row r="35" spans="1:13" s="44" customFormat="1" ht="15" customHeight="1" x14ac:dyDescent="0.25">
      <c r="A35" s="199">
        <v>243</v>
      </c>
      <c r="B35" s="198" t="s">
        <v>394</v>
      </c>
      <c r="C35" s="197">
        <v>3550</v>
      </c>
      <c r="D35" s="270">
        <f t="shared" ref="D35:D46" si="7">F35+G35+H35+I35+J35+K35+L35</f>
        <v>30500</v>
      </c>
      <c r="E35" s="196">
        <v>30500</v>
      </c>
      <c r="F35" s="196">
        <v>0</v>
      </c>
      <c r="G35" s="196">
        <v>100</v>
      </c>
      <c r="H35" s="45">
        <v>500</v>
      </c>
      <c r="I35" s="196">
        <v>25000</v>
      </c>
      <c r="J35" s="196">
        <v>4900</v>
      </c>
      <c r="K35" s="196">
        <v>0</v>
      </c>
      <c r="L35" s="195">
        <v>0</v>
      </c>
      <c r="M35" s="194" t="s">
        <v>499</v>
      </c>
    </row>
    <row r="36" spans="1:13" s="44" customFormat="1" ht="15" customHeight="1" x14ac:dyDescent="0.25">
      <c r="A36" s="199">
        <v>245</v>
      </c>
      <c r="B36" s="198" t="s">
        <v>395</v>
      </c>
      <c r="C36" s="197">
        <v>3553</v>
      </c>
      <c r="D36" s="270">
        <f t="shared" si="7"/>
        <v>20000</v>
      </c>
      <c r="E36" s="196">
        <v>20000</v>
      </c>
      <c r="F36" s="196">
        <v>0</v>
      </c>
      <c r="G36" s="196">
        <v>200</v>
      </c>
      <c r="H36" s="45">
        <v>400</v>
      </c>
      <c r="I36" s="196">
        <v>10000</v>
      </c>
      <c r="J36" s="196">
        <v>9400</v>
      </c>
      <c r="K36" s="196">
        <v>0</v>
      </c>
      <c r="L36" s="195">
        <v>0</v>
      </c>
      <c r="M36" s="194" t="s">
        <v>499</v>
      </c>
    </row>
    <row r="37" spans="1:13" s="44" customFormat="1" ht="15" customHeight="1" x14ac:dyDescent="0.25">
      <c r="A37" s="199">
        <v>247</v>
      </c>
      <c r="B37" s="198" t="s">
        <v>396</v>
      </c>
      <c r="C37" s="197">
        <v>3523</v>
      </c>
      <c r="D37" s="270">
        <f t="shared" si="7"/>
        <v>179966</v>
      </c>
      <c r="E37" s="196">
        <v>179966</v>
      </c>
      <c r="F37" s="196">
        <v>0</v>
      </c>
      <c r="G37" s="196">
        <v>0</v>
      </c>
      <c r="H37" s="45">
        <v>28108</v>
      </c>
      <c r="I37" s="196">
        <v>105858</v>
      </c>
      <c r="J37" s="196">
        <v>46000</v>
      </c>
      <c r="K37" s="196">
        <v>0</v>
      </c>
      <c r="L37" s="195">
        <v>0</v>
      </c>
      <c r="M37" s="194" t="s">
        <v>499</v>
      </c>
    </row>
    <row r="38" spans="1:13" s="44" customFormat="1" ht="15" customHeight="1" x14ac:dyDescent="0.25">
      <c r="A38" s="199">
        <v>249</v>
      </c>
      <c r="B38" s="198" t="s">
        <v>397</v>
      </c>
      <c r="C38" s="197">
        <v>3555</v>
      </c>
      <c r="D38" s="270">
        <f t="shared" si="7"/>
        <v>249999.99</v>
      </c>
      <c r="E38" s="196">
        <v>250000</v>
      </c>
      <c r="F38" s="196">
        <v>2081.67</v>
      </c>
      <c r="G38" s="196">
        <v>2918.32</v>
      </c>
      <c r="H38" s="45">
        <v>26000</v>
      </c>
      <c r="I38" s="196">
        <v>102000</v>
      </c>
      <c r="J38" s="196">
        <v>89000</v>
      </c>
      <c r="K38" s="196">
        <v>28000</v>
      </c>
      <c r="L38" s="195">
        <v>0</v>
      </c>
      <c r="M38" s="194" t="s">
        <v>499</v>
      </c>
    </row>
    <row r="39" spans="1:13" s="44" customFormat="1" ht="15" customHeight="1" x14ac:dyDescent="0.25">
      <c r="A39" s="199">
        <v>251</v>
      </c>
      <c r="B39" s="198" t="s">
        <v>398</v>
      </c>
      <c r="C39" s="197">
        <v>3549</v>
      </c>
      <c r="D39" s="270">
        <f t="shared" si="7"/>
        <v>5500</v>
      </c>
      <c r="E39" s="196">
        <v>5500</v>
      </c>
      <c r="F39" s="196">
        <v>0</v>
      </c>
      <c r="G39" s="196">
        <v>100</v>
      </c>
      <c r="H39" s="45">
        <v>500</v>
      </c>
      <c r="I39" s="196">
        <v>4000</v>
      </c>
      <c r="J39" s="196">
        <v>900</v>
      </c>
      <c r="K39" s="196">
        <v>0</v>
      </c>
      <c r="L39" s="195">
        <v>0</v>
      </c>
      <c r="M39" s="194" t="s">
        <v>499</v>
      </c>
    </row>
    <row r="40" spans="1:13" s="44" customFormat="1" ht="15" customHeight="1" x14ac:dyDescent="0.25">
      <c r="A40" s="199">
        <v>253</v>
      </c>
      <c r="B40" s="198" t="s">
        <v>399</v>
      </c>
      <c r="C40" s="197">
        <v>3524</v>
      </c>
      <c r="D40" s="270">
        <f t="shared" si="7"/>
        <v>137002.5</v>
      </c>
      <c r="E40" s="196">
        <v>137002.5</v>
      </c>
      <c r="F40" s="196">
        <v>0</v>
      </c>
      <c r="G40" s="196">
        <v>172.5</v>
      </c>
      <c r="H40" s="45">
        <v>3000</v>
      </c>
      <c r="I40" s="196">
        <v>50430</v>
      </c>
      <c r="J40" s="196">
        <v>83400</v>
      </c>
      <c r="K40" s="196">
        <v>0</v>
      </c>
      <c r="L40" s="195">
        <v>0</v>
      </c>
      <c r="M40" s="194" t="s">
        <v>499</v>
      </c>
    </row>
    <row r="41" spans="1:13" s="44" customFormat="1" ht="24" customHeight="1" x14ac:dyDescent="0.25">
      <c r="A41" s="199">
        <v>255</v>
      </c>
      <c r="B41" s="198" t="s">
        <v>229</v>
      </c>
      <c r="C41" s="197">
        <v>3563</v>
      </c>
      <c r="D41" s="270">
        <f t="shared" si="7"/>
        <v>170894</v>
      </c>
      <c r="E41" s="196">
        <v>170000</v>
      </c>
      <c r="F41" s="196">
        <v>5100</v>
      </c>
      <c r="G41" s="196">
        <v>169</v>
      </c>
      <c r="H41" s="45">
        <v>4500</v>
      </c>
      <c r="I41" s="196">
        <v>60000</v>
      </c>
      <c r="J41" s="196">
        <v>101125</v>
      </c>
      <c r="K41" s="196">
        <v>0</v>
      </c>
      <c r="L41" s="195">
        <v>0</v>
      </c>
      <c r="M41" s="194" t="s">
        <v>400</v>
      </c>
    </row>
    <row r="42" spans="1:13" s="44" customFormat="1" ht="15" customHeight="1" x14ac:dyDescent="0.25">
      <c r="A42" s="199">
        <v>257</v>
      </c>
      <c r="B42" s="198" t="s">
        <v>268</v>
      </c>
      <c r="C42" s="197">
        <v>3514</v>
      </c>
      <c r="D42" s="270">
        <f t="shared" si="7"/>
        <v>130000</v>
      </c>
      <c r="E42" s="196">
        <v>130000</v>
      </c>
      <c r="F42" s="196">
        <v>2467.08</v>
      </c>
      <c r="G42" s="196">
        <v>2032.92</v>
      </c>
      <c r="H42" s="45">
        <v>500</v>
      </c>
      <c r="I42" s="196">
        <v>25000</v>
      </c>
      <c r="J42" s="196">
        <v>79000</v>
      </c>
      <c r="K42" s="196">
        <v>21000</v>
      </c>
      <c r="L42" s="195">
        <v>0</v>
      </c>
      <c r="M42" s="194" t="s">
        <v>499</v>
      </c>
    </row>
    <row r="43" spans="1:13" s="44" customFormat="1" ht="34.5" customHeight="1" x14ac:dyDescent="0.25">
      <c r="A43" s="199">
        <v>259</v>
      </c>
      <c r="B43" s="198" t="s">
        <v>401</v>
      </c>
      <c r="C43" s="203">
        <v>7049</v>
      </c>
      <c r="D43" s="298">
        <f t="shared" si="7"/>
        <v>657</v>
      </c>
      <c r="E43" s="196">
        <v>6570</v>
      </c>
      <c r="F43" s="196">
        <v>0</v>
      </c>
      <c r="G43" s="196">
        <v>0</v>
      </c>
      <c r="H43" s="45">
        <v>657</v>
      </c>
      <c r="I43" s="196">
        <v>0</v>
      </c>
      <c r="J43" s="196">
        <v>0</v>
      </c>
      <c r="K43" s="196">
        <v>0</v>
      </c>
      <c r="L43" s="195">
        <v>0</v>
      </c>
      <c r="M43" s="194" t="s">
        <v>214</v>
      </c>
    </row>
    <row r="44" spans="1:13" s="44" customFormat="1" ht="34.5" customHeight="1" x14ac:dyDescent="0.25">
      <c r="A44" s="199">
        <v>261</v>
      </c>
      <c r="B44" s="198" t="s">
        <v>402</v>
      </c>
      <c r="C44" s="203">
        <v>7050</v>
      </c>
      <c r="D44" s="298">
        <f t="shared" si="7"/>
        <v>1050</v>
      </c>
      <c r="E44" s="196">
        <v>6050</v>
      </c>
      <c r="F44" s="196">
        <v>0</v>
      </c>
      <c r="G44" s="196">
        <v>0</v>
      </c>
      <c r="H44" s="45">
        <v>1050</v>
      </c>
      <c r="I44" s="196">
        <v>0</v>
      </c>
      <c r="J44" s="196">
        <v>0</v>
      </c>
      <c r="K44" s="196">
        <v>0</v>
      </c>
      <c r="L44" s="195">
        <v>0</v>
      </c>
      <c r="M44" s="194" t="s">
        <v>214</v>
      </c>
    </row>
    <row r="45" spans="1:13" s="44" customFormat="1" ht="34.5" customHeight="1" x14ac:dyDescent="0.25">
      <c r="A45" s="199">
        <v>263</v>
      </c>
      <c r="B45" s="198" t="s">
        <v>403</v>
      </c>
      <c r="C45" s="203">
        <v>7051</v>
      </c>
      <c r="D45" s="298">
        <f t="shared" si="7"/>
        <v>1050</v>
      </c>
      <c r="E45" s="196">
        <v>6050</v>
      </c>
      <c r="F45" s="196">
        <v>0</v>
      </c>
      <c r="G45" s="196">
        <v>0</v>
      </c>
      <c r="H45" s="45">
        <v>1050</v>
      </c>
      <c r="I45" s="196">
        <v>0</v>
      </c>
      <c r="J45" s="196">
        <v>0</v>
      </c>
      <c r="K45" s="196">
        <v>0</v>
      </c>
      <c r="L45" s="195">
        <v>0</v>
      </c>
      <c r="M45" s="194" t="s">
        <v>214</v>
      </c>
    </row>
    <row r="46" spans="1:13" s="44" customFormat="1" ht="34.5" customHeight="1" x14ac:dyDescent="0.25">
      <c r="A46" s="199">
        <v>265</v>
      </c>
      <c r="B46" s="198" t="s">
        <v>404</v>
      </c>
      <c r="C46" s="203">
        <v>7052</v>
      </c>
      <c r="D46" s="298">
        <f t="shared" si="7"/>
        <v>1050</v>
      </c>
      <c r="E46" s="196">
        <v>6050</v>
      </c>
      <c r="F46" s="196">
        <v>0</v>
      </c>
      <c r="G46" s="196">
        <v>0</v>
      </c>
      <c r="H46" s="45">
        <v>1050</v>
      </c>
      <c r="I46" s="196">
        <v>0</v>
      </c>
      <c r="J46" s="196">
        <v>0</v>
      </c>
      <c r="K46" s="196">
        <v>0</v>
      </c>
      <c r="L46" s="195">
        <v>0</v>
      </c>
      <c r="M46" s="194" t="s">
        <v>214</v>
      </c>
    </row>
    <row r="47" spans="1:13" s="44" customFormat="1" ht="15.75" customHeight="1" x14ac:dyDescent="0.25">
      <c r="A47" s="435" t="s">
        <v>43</v>
      </c>
      <c r="B47" s="436"/>
      <c r="C47" s="294">
        <f>COUNT(C34:C46)</f>
        <v>13</v>
      </c>
      <c r="D47" s="294"/>
      <c r="E47" s="46">
        <f t="shared" ref="E47:L47" si="8">SUM(E34:E46)</f>
        <v>3547688.26</v>
      </c>
      <c r="F47" s="46">
        <f t="shared" si="8"/>
        <v>32586.740000000005</v>
      </c>
      <c r="G47" s="46">
        <f t="shared" si="8"/>
        <v>15037.51</v>
      </c>
      <c r="H47" s="46">
        <f t="shared" si="8"/>
        <v>101565</v>
      </c>
      <c r="I47" s="46">
        <f t="shared" si="8"/>
        <v>799288</v>
      </c>
      <c r="J47" s="46">
        <f t="shared" si="8"/>
        <v>1333725</v>
      </c>
      <c r="K47" s="46">
        <f t="shared" si="8"/>
        <v>1243467</v>
      </c>
      <c r="L47" s="46">
        <f t="shared" si="8"/>
        <v>2000</v>
      </c>
      <c r="M47" s="47"/>
    </row>
    <row r="48" spans="1:13" s="44" customFormat="1" ht="18" customHeight="1" x14ac:dyDescent="0.25">
      <c r="A48" s="202" t="s">
        <v>53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0"/>
    </row>
    <row r="49" spans="1:14" s="44" customFormat="1" ht="24" customHeight="1" x14ac:dyDescent="0.25">
      <c r="A49" s="199">
        <v>321</v>
      </c>
      <c r="B49" s="198" t="s">
        <v>406</v>
      </c>
      <c r="C49" s="203">
        <v>3562</v>
      </c>
      <c r="D49" s="270">
        <f>F49+G49+H49+I49+J49+K49+L49</f>
        <v>17000</v>
      </c>
      <c r="E49" s="196">
        <v>76000</v>
      </c>
      <c r="F49" s="196">
        <v>0</v>
      </c>
      <c r="G49" s="196">
        <v>0</v>
      </c>
      <c r="H49" s="45">
        <v>2300</v>
      </c>
      <c r="I49" s="196">
        <v>5750</v>
      </c>
      <c r="J49" s="196">
        <v>6200</v>
      </c>
      <c r="K49" s="196">
        <v>2750</v>
      </c>
      <c r="L49" s="195">
        <v>0</v>
      </c>
      <c r="M49" s="194" t="s">
        <v>52</v>
      </c>
    </row>
    <row r="50" spans="1:14" s="44" customFormat="1" ht="15" customHeight="1" x14ac:dyDescent="0.25">
      <c r="A50" s="199">
        <v>322</v>
      </c>
      <c r="B50" s="198" t="s">
        <v>54</v>
      </c>
      <c r="C50" s="203">
        <v>3998</v>
      </c>
      <c r="D50" s="270">
        <f>F50+G50+H50+I50+J50+K50+L50</f>
        <v>217039.2</v>
      </c>
      <c r="E50" s="196">
        <v>50000</v>
      </c>
      <c r="F50" s="196">
        <v>1446.1</v>
      </c>
      <c r="G50" s="196">
        <v>25593.1</v>
      </c>
      <c r="H50" s="45">
        <v>50000</v>
      </c>
      <c r="I50" s="196">
        <v>50000</v>
      </c>
      <c r="J50" s="196">
        <v>30000</v>
      </c>
      <c r="K50" s="196">
        <v>30000</v>
      </c>
      <c r="L50" s="195">
        <v>30000</v>
      </c>
      <c r="M50" s="204" t="s">
        <v>390</v>
      </c>
    </row>
    <row r="51" spans="1:14" s="44" customFormat="1" ht="15" customHeight="1" x14ac:dyDescent="0.25">
      <c r="A51" s="199">
        <v>323</v>
      </c>
      <c r="B51" s="198" t="s">
        <v>236</v>
      </c>
      <c r="C51" s="197">
        <v>3489</v>
      </c>
      <c r="D51" s="270">
        <f>F51+G51+H51+I51+J51+K51+L51</f>
        <v>1440</v>
      </c>
      <c r="E51" s="196">
        <v>1440</v>
      </c>
      <c r="F51" s="196">
        <v>268.05</v>
      </c>
      <c r="G51" s="196">
        <v>691.95</v>
      </c>
      <c r="H51" s="45">
        <v>480</v>
      </c>
      <c r="I51" s="196">
        <v>0</v>
      </c>
      <c r="J51" s="196">
        <v>0</v>
      </c>
      <c r="K51" s="196">
        <v>0</v>
      </c>
      <c r="L51" s="195">
        <v>0</v>
      </c>
      <c r="M51" s="194" t="s">
        <v>499</v>
      </c>
    </row>
    <row r="52" spans="1:14" s="44" customFormat="1" ht="24" customHeight="1" x14ac:dyDescent="0.25">
      <c r="A52" s="199">
        <v>324</v>
      </c>
      <c r="B52" s="198" t="s">
        <v>405</v>
      </c>
      <c r="C52" s="197">
        <v>3503</v>
      </c>
      <c r="D52" s="270">
        <f t="shared" ref="D52:D53" si="9">F52+G52+H52+I52+J52+K52+L52</f>
        <v>13143</v>
      </c>
      <c r="E52" s="196">
        <v>13143</v>
      </c>
      <c r="F52" s="196">
        <v>0</v>
      </c>
      <c r="G52" s="196">
        <v>6500</v>
      </c>
      <c r="H52" s="45">
        <v>6643</v>
      </c>
      <c r="I52" s="196">
        <v>0</v>
      </c>
      <c r="J52" s="196">
        <v>0</v>
      </c>
      <c r="K52" s="196">
        <v>0</v>
      </c>
      <c r="L52" s="195">
        <v>0</v>
      </c>
      <c r="M52" s="204" t="s">
        <v>499</v>
      </c>
    </row>
    <row r="53" spans="1:14" s="44" customFormat="1" ht="24" customHeight="1" x14ac:dyDescent="0.25">
      <c r="A53" s="199">
        <v>325</v>
      </c>
      <c r="B53" s="198" t="s">
        <v>494</v>
      </c>
      <c r="C53" s="203">
        <v>3561</v>
      </c>
      <c r="D53" s="270">
        <f t="shared" si="9"/>
        <v>13125</v>
      </c>
      <c r="E53" s="196">
        <v>13125</v>
      </c>
      <c r="F53" s="196">
        <v>0</v>
      </c>
      <c r="G53" s="196">
        <v>0</v>
      </c>
      <c r="H53" s="45">
        <v>525</v>
      </c>
      <c r="I53" s="196">
        <v>6300</v>
      </c>
      <c r="J53" s="196">
        <v>6300</v>
      </c>
      <c r="K53" s="196">
        <v>0</v>
      </c>
      <c r="L53" s="195">
        <v>0</v>
      </c>
      <c r="M53" s="204" t="s">
        <v>499</v>
      </c>
    </row>
    <row r="54" spans="1:14" s="44" customFormat="1" ht="15.75" customHeight="1" x14ac:dyDescent="0.25">
      <c r="A54" s="435" t="s">
        <v>55</v>
      </c>
      <c r="B54" s="436"/>
      <c r="C54" s="294">
        <f>COUNT(C51:C53)</f>
        <v>3</v>
      </c>
      <c r="D54" s="294"/>
      <c r="E54" s="46">
        <f>SUM(E49:E53)</f>
        <v>153708</v>
      </c>
      <c r="F54" s="46">
        <f t="shared" ref="F54:L54" si="10">SUM(F49:F53)</f>
        <v>1714.1499999999999</v>
      </c>
      <c r="G54" s="46">
        <f t="shared" si="10"/>
        <v>32785.050000000003</v>
      </c>
      <c r="H54" s="46">
        <f t="shared" si="10"/>
        <v>59948</v>
      </c>
      <c r="I54" s="46">
        <f t="shared" si="10"/>
        <v>62050</v>
      </c>
      <c r="J54" s="46">
        <f t="shared" si="10"/>
        <v>42500</v>
      </c>
      <c r="K54" s="46">
        <f t="shared" si="10"/>
        <v>32750</v>
      </c>
      <c r="L54" s="46">
        <f t="shared" si="10"/>
        <v>30000</v>
      </c>
      <c r="M54" s="47"/>
    </row>
    <row r="55" spans="1:14" s="300" customFormat="1" ht="18" customHeight="1" x14ac:dyDescent="0.25">
      <c r="A55" s="202" t="s">
        <v>44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99"/>
      <c r="N55" s="44"/>
    </row>
    <row r="56" spans="1:14" s="44" customFormat="1" ht="15" customHeight="1" x14ac:dyDescent="0.25">
      <c r="A56" s="199">
        <v>389</v>
      </c>
      <c r="B56" s="198" t="s">
        <v>56</v>
      </c>
      <c r="C56" s="197">
        <v>3372</v>
      </c>
      <c r="D56" s="270">
        <f>F56+G56+H56+I56+J56+K56+L56</f>
        <v>38999.269999999997</v>
      </c>
      <c r="E56" s="196">
        <v>38999.269999999997</v>
      </c>
      <c r="F56" s="196">
        <v>1298.5999999999999</v>
      </c>
      <c r="G56" s="196">
        <v>21740.67</v>
      </c>
      <c r="H56" s="45">
        <v>15960</v>
      </c>
      <c r="I56" s="196">
        <v>0</v>
      </c>
      <c r="J56" s="196">
        <v>0</v>
      </c>
      <c r="K56" s="196">
        <v>0</v>
      </c>
      <c r="L56" s="195">
        <v>0</v>
      </c>
      <c r="M56" s="194" t="s">
        <v>499</v>
      </c>
    </row>
    <row r="57" spans="1:14" s="44" customFormat="1" ht="15" customHeight="1" x14ac:dyDescent="0.25">
      <c r="A57" s="199">
        <v>391</v>
      </c>
      <c r="B57" s="198" t="s">
        <v>407</v>
      </c>
      <c r="C57" s="197">
        <v>3552</v>
      </c>
      <c r="D57" s="270">
        <f t="shared" ref="D57:D73" si="11">F57+G57+H57+I57+J57+K57+L57</f>
        <v>12000</v>
      </c>
      <c r="E57" s="196">
        <v>12000</v>
      </c>
      <c r="F57" s="196">
        <v>0</v>
      </c>
      <c r="G57" s="196">
        <v>200</v>
      </c>
      <c r="H57" s="45">
        <v>11800</v>
      </c>
      <c r="I57" s="196">
        <v>0</v>
      </c>
      <c r="J57" s="196">
        <v>0</v>
      </c>
      <c r="K57" s="196">
        <v>0</v>
      </c>
      <c r="L57" s="195">
        <v>0</v>
      </c>
      <c r="M57" s="194" t="s">
        <v>499</v>
      </c>
    </row>
    <row r="58" spans="1:14" s="44" customFormat="1" ht="15" customHeight="1" x14ac:dyDescent="0.25">
      <c r="A58" s="199">
        <v>393</v>
      </c>
      <c r="B58" s="198" t="s">
        <v>269</v>
      </c>
      <c r="C58" s="197">
        <v>3512</v>
      </c>
      <c r="D58" s="270">
        <f t="shared" si="11"/>
        <v>30000</v>
      </c>
      <c r="E58" s="196">
        <v>30000</v>
      </c>
      <c r="F58" s="196">
        <v>0</v>
      </c>
      <c r="G58" s="196">
        <v>200</v>
      </c>
      <c r="H58" s="45">
        <v>8500</v>
      </c>
      <c r="I58" s="196">
        <v>21300</v>
      </c>
      <c r="J58" s="196">
        <v>0</v>
      </c>
      <c r="K58" s="196">
        <v>0</v>
      </c>
      <c r="L58" s="195">
        <v>0</v>
      </c>
      <c r="M58" s="194" t="s">
        <v>499</v>
      </c>
    </row>
    <row r="59" spans="1:14" s="300" customFormat="1" ht="24" customHeight="1" x14ac:dyDescent="0.25">
      <c r="A59" s="199">
        <v>395</v>
      </c>
      <c r="B59" s="198" t="s">
        <v>409</v>
      </c>
      <c r="C59" s="197">
        <v>3539</v>
      </c>
      <c r="D59" s="270">
        <f t="shared" si="11"/>
        <v>2839</v>
      </c>
      <c r="E59" s="196">
        <v>25690</v>
      </c>
      <c r="F59" s="196">
        <v>0</v>
      </c>
      <c r="G59" s="196">
        <v>0</v>
      </c>
      <c r="H59" s="45">
        <v>750</v>
      </c>
      <c r="I59" s="196">
        <v>750</v>
      </c>
      <c r="J59" s="196">
        <v>700</v>
      </c>
      <c r="K59" s="196">
        <v>639</v>
      </c>
      <c r="L59" s="195">
        <v>0</v>
      </c>
      <c r="M59" s="194" t="s">
        <v>52</v>
      </c>
      <c r="N59" s="44"/>
    </row>
    <row r="60" spans="1:14" s="300" customFormat="1" ht="24" customHeight="1" x14ac:dyDescent="0.25">
      <c r="A60" s="199">
        <v>396</v>
      </c>
      <c r="B60" s="198" t="s">
        <v>410</v>
      </c>
      <c r="C60" s="197">
        <v>3506</v>
      </c>
      <c r="D60" s="270">
        <f t="shared" si="11"/>
        <v>1680</v>
      </c>
      <c r="E60" s="196">
        <v>15000</v>
      </c>
      <c r="F60" s="196">
        <v>0</v>
      </c>
      <c r="G60" s="196">
        <v>200</v>
      </c>
      <c r="H60" s="45">
        <v>500</v>
      </c>
      <c r="I60" s="196">
        <v>500</v>
      </c>
      <c r="J60" s="196">
        <v>280</v>
      </c>
      <c r="K60" s="196">
        <v>200</v>
      </c>
      <c r="L60" s="195">
        <v>0</v>
      </c>
      <c r="M60" s="194" t="s">
        <v>52</v>
      </c>
      <c r="N60" s="44"/>
    </row>
    <row r="61" spans="1:14" s="300" customFormat="1" ht="24" customHeight="1" x14ac:dyDescent="0.25">
      <c r="A61" s="199">
        <v>397</v>
      </c>
      <c r="B61" s="198" t="s">
        <v>411</v>
      </c>
      <c r="C61" s="197">
        <v>3540</v>
      </c>
      <c r="D61" s="270">
        <f t="shared" si="11"/>
        <v>1075</v>
      </c>
      <c r="E61" s="196">
        <v>8950</v>
      </c>
      <c r="F61" s="196">
        <v>0</v>
      </c>
      <c r="G61" s="196">
        <v>0</v>
      </c>
      <c r="H61" s="45">
        <v>300</v>
      </c>
      <c r="I61" s="196">
        <v>300</v>
      </c>
      <c r="J61" s="196">
        <v>275</v>
      </c>
      <c r="K61" s="196">
        <v>200</v>
      </c>
      <c r="L61" s="195">
        <v>0</v>
      </c>
      <c r="M61" s="194" t="s">
        <v>52</v>
      </c>
      <c r="N61" s="44"/>
    </row>
    <row r="62" spans="1:14" s="300" customFormat="1" ht="24" customHeight="1" x14ac:dyDescent="0.25">
      <c r="A62" s="199">
        <v>398</v>
      </c>
      <c r="B62" s="198" t="s">
        <v>408</v>
      </c>
      <c r="C62" s="197">
        <v>3507</v>
      </c>
      <c r="D62" s="270">
        <f>F62+G62+H62+I62+J62+K62+L62</f>
        <v>2700</v>
      </c>
      <c r="E62" s="196">
        <v>25200</v>
      </c>
      <c r="F62" s="196">
        <v>0</v>
      </c>
      <c r="G62" s="196">
        <v>300</v>
      </c>
      <c r="H62" s="45">
        <v>700</v>
      </c>
      <c r="I62" s="196">
        <v>800</v>
      </c>
      <c r="J62" s="196">
        <v>700</v>
      </c>
      <c r="K62" s="196">
        <v>200</v>
      </c>
      <c r="L62" s="195">
        <v>0</v>
      </c>
      <c r="M62" s="194" t="s">
        <v>52</v>
      </c>
      <c r="N62" s="44"/>
    </row>
    <row r="63" spans="1:14" s="300" customFormat="1" ht="24" customHeight="1" x14ac:dyDescent="0.25">
      <c r="A63" s="199">
        <v>399</v>
      </c>
      <c r="B63" s="198" t="s">
        <v>270</v>
      </c>
      <c r="C63" s="197">
        <v>3511</v>
      </c>
      <c r="D63" s="270">
        <f t="shared" si="11"/>
        <v>2180</v>
      </c>
      <c r="E63" s="196">
        <v>20000</v>
      </c>
      <c r="F63" s="196">
        <v>0</v>
      </c>
      <c r="G63" s="196">
        <v>200</v>
      </c>
      <c r="H63" s="45">
        <v>700</v>
      </c>
      <c r="I63" s="196">
        <v>700</v>
      </c>
      <c r="J63" s="196">
        <v>580</v>
      </c>
      <c r="K63" s="196">
        <v>0</v>
      </c>
      <c r="L63" s="195">
        <v>0</v>
      </c>
      <c r="M63" s="194" t="s">
        <v>52</v>
      </c>
      <c r="N63" s="44"/>
    </row>
    <row r="64" spans="1:14" s="300" customFormat="1" ht="24" customHeight="1" x14ac:dyDescent="0.25">
      <c r="A64" s="199">
        <v>400</v>
      </c>
      <c r="B64" s="198" t="s">
        <v>412</v>
      </c>
      <c r="C64" s="197">
        <v>3508</v>
      </c>
      <c r="D64" s="270">
        <f t="shared" si="11"/>
        <v>1900</v>
      </c>
      <c r="E64" s="196">
        <v>17200</v>
      </c>
      <c r="F64" s="196">
        <v>0</v>
      </c>
      <c r="G64" s="196">
        <v>200</v>
      </c>
      <c r="H64" s="45">
        <v>600</v>
      </c>
      <c r="I64" s="196">
        <v>600</v>
      </c>
      <c r="J64" s="196">
        <v>500</v>
      </c>
      <c r="K64" s="196">
        <v>0</v>
      </c>
      <c r="L64" s="195">
        <v>0</v>
      </c>
      <c r="M64" s="194" t="s">
        <v>52</v>
      </c>
      <c r="N64" s="44"/>
    </row>
    <row r="65" spans="1:14" s="300" customFormat="1" ht="24" customHeight="1" x14ac:dyDescent="0.25">
      <c r="A65" s="199">
        <v>401</v>
      </c>
      <c r="B65" s="198" t="s">
        <v>413</v>
      </c>
      <c r="C65" s="197">
        <v>3521</v>
      </c>
      <c r="D65" s="270">
        <f t="shared" si="11"/>
        <v>760750.42999999993</v>
      </c>
      <c r="E65" s="196">
        <v>760753</v>
      </c>
      <c r="F65" s="196">
        <v>0</v>
      </c>
      <c r="G65" s="196">
        <v>253915.43</v>
      </c>
      <c r="H65" s="45">
        <v>253418</v>
      </c>
      <c r="I65" s="196">
        <v>253417</v>
      </c>
      <c r="J65" s="196">
        <v>0</v>
      </c>
      <c r="K65" s="196">
        <v>0</v>
      </c>
      <c r="L65" s="195">
        <v>0</v>
      </c>
      <c r="M65" s="194" t="s">
        <v>52</v>
      </c>
      <c r="N65" s="44"/>
    </row>
    <row r="66" spans="1:14" s="300" customFormat="1" ht="24" customHeight="1" x14ac:dyDescent="0.25">
      <c r="A66" s="199">
        <v>402</v>
      </c>
      <c r="B66" s="198" t="s">
        <v>414</v>
      </c>
      <c r="C66" s="197">
        <v>3509</v>
      </c>
      <c r="D66" s="270">
        <f t="shared" si="11"/>
        <v>2200</v>
      </c>
      <c r="E66" s="196">
        <v>20200</v>
      </c>
      <c r="F66" s="196">
        <v>0</v>
      </c>
      <c r="G66" s="196">
        <v>200</v>
      </c>
      <c r="H66" s="45">
        <v>400</v>
      </c>
      <c r="I66" s="196">
        <v>600</v>
      </c>
      <c r="J66" s="196">
        <v>600</v>
      </c>
      <c r="K66" s="196">
        <v>400</v>
      </c>
      <c r="L66" s="195">
        <v>0</v>
      </c>
      <c r="M66" s="194" t="s">
        <v>52</v>
      </c>
      <c r="N66" s="44"/>
    </row>
    <row r="67" spans="1:14" s="44" customFormat="1" ht="15" customHeight="1" x14ac:dyDescent="0.25">
      <c r="A67" s="199">
        <v>403</v>
      </c>
      <c r="B67" s="198" t="s">
        <v>147</v>
      </c>
      <c r="C67" s="197">
        <v>3402</v>
      </c>
      <c r="D67" s="270">
        <f t="shared" si="11"/>
        <v>270000</v>
      </c>
      <c r="E67" s="196">
        <v>270000</v>
      </c>
      <c r="F67" s="196">
        <v>9761.18</v>
      </c>
      <c r="G67" s="196">
        <v>97497.82</v>
      </c>
      <c r="H67" s="45">
        <v>162741</v>
      </c>
      <c r="I67" s="196">
        <v>0</v>
      </c>
      <c r="J67" s="196">
        <v>0</v>
      </c>
      <c r="K67" s="196">
        <v>0</v>
      </c>
      <c r="L67" s="195">
        <v>0</v>
      </c>
      <c r="M67" s="194" t="s">
        <v>499</v>
      </c>
    </row>
    <row r="68" spans="1:14" s="44" customFormat="1" ht="24" customHeight="1" x14ac:dyDescent="0.25">
      <c r="A68" s="199">
        <v>405</v>
      </c>
      <c r="B68" s="198" t="s">
        <v>415</v>
      </c>
      <c r="C68" s="197">
        <v>3542</v>
      </c>
      <c r="D68" s="270">
        <f t="shared" si="11"/>
        <v>151000</v>
      </c>
      <c r="E68" s="196">
        <v>151000</v>
      </c>
      <c r="F68" s="196">
        <v>0</v>
      </c>
      <c r="G68" s="196">
        <v>0</v>
      </c>
      <c r="H68" s="45">
        <v>5445</v>
      </c>
      <c r="I68" s="196">
        <v>50000</v>
      </c>
      <c r="J68" s="196">
        <v>95555</v>
      </c>
      <c r="K68" s="196">
        <v>0</v>
      </c>
      <c r="L68" s="195">
        <v>0</v>
      </c>
      <c r="M68" s="194" t="s">
        <v>499</v>
      </c>
    </row>
    <row r="69" spans="1:14" s="44" customFormat="1" ht="15" customHeight="1" x14ac:dyDescent="0.25">
      <c r="A69" s="199">
        <v>407</v>
      </c>
      <c r="B69" s="198" t="s">
        <v>416</v>
      </c>
      <c r="C69" s="197">
        <v>3560</v>
      </c>
      <c r="D69" s="270">
        <f t="shared" si="11"/>
        <v>157000</v>
      </c>
      <c r="E69" s="196">
        <v>157000</v>
      </c>
      <c r="F69" s="196">
        <v>0</v>
      </c>
      <c r="G69" s="196">
        <v>0</v>
      </c>
      <c r="H69" s="45">
        <v>7000</v>
      </c>
      <c r="I69" s="196">
        <v>35000</v>
      </c>
      <c r="J69" s="196">
        <v>115000</v>
      </c>
      <c r="K69" s="196">
        <v>0</v>
      </c>
      <c r="L69" s="195">
        <v>0</v>
      </c>
      <c r="M69" s="194" t="s">
        <v>499</v>
      </c>
    </row>
    <row r="70" spans="1:14" s="44" customFormat="1" ht="24" customHeight="1" x14ac:dyDescent="0.25">
      <c r="A70" s="199">
        <v>409</v>
      </c>
      <c r="B70" s="198" t="s">
        <v>57</v>
      </c>
      <c r="C70" s="197">
        <v>3371</v>
      </c>
      <c r="D70" s="270">
        <f t="shared" si="11"/>
        <v>40000.589999999997</v>
      </c>
      <c r="E70" s="196">
        <v>40000.589999999997</v>
      </c>
      <c r="F70" s="196">
        <v>1377.5900000000001</v>
      </c>
      <c r="G70" s="196">
        <v>20538</v>
      </c>
      <c r="H70" s="45">
        <v>18085</v>
      </c>
      <c r="I70" s="196">
        <v>0</v>
      </c>
      <c r="J70" s="196">
        <v>0</v>
      </c>
      <c r="K70" s="196">
        <v>0</v>
      </c>
      <c r="L70" s="195">
        <v>0</v>
      </c>
      <c r="M70" s="194" t="s">
        <v>499</v>
      </c>
    </row>
    <row r="71" spans="1:14" s="44" customFormat="1" ht="15" customHeight="1" x14ac:dyDescent="0.25">
      <c r="A71" s="199">
        <v>411</v>
      </c>
      <c r="B71" s="198" t="s">
        <v>417</v>
      </c>
      <c r="C71" s="197">
        <v>3541</v>
      </c>
      <c r="D71" s="270">
        <f t="shared" si="11"/>
        <v>250000</v>
      </c>
      <c r="E71" s="196">
        <v>250000</v>
      </c>
      <c r="F71" s="196">
        <v>0</v>
      </c>
      <c r="G71" s="196">
        <v>3450</v>
      </c>
      <c r="H71" s="45">
        <v>15000</v>
      </c>
      <c r="I71" s="196">
        <v>115000</v>
      </c>
      <c r="J71" s="196">
        <v>116550</v>
      </c>
      <c r="K71" s="196">
        <v>0</v>
      </c>
      <c r="L71" s="195">
        <v>0</v>
      </c>
      <c r="M71" s="194" t="s">
        <v>499</v>
      </c>
    </row>
    <row r="72" spans="1:14" s="44" customFormat="1" ht="24" customHeight="1" x14ac:dyDescent="0.25">
      <c r="A72" s="199">
        <v>413</v>
      </c>
      <c r="B72" s="198" t="s">
        <v>192</v>
      </c>
      <c r="C72" s="197">
        <v>3425</v>
      </c>
      <c r="D72" s="270">
        <f t="shared" si="11"/>
        <v>75000</v>
      </c>
      <c r="E72" s="196">
        <v>75000</v>
      </c>
      <c r="F72" s="196">
        <v>4077.53</v>
      </c>
      <c r="G72" s="196">
        <v>37402.469999999994</v>
      </c>
      <c r="H72" s="45">
        <v>33520</v>
      </c>
      <c r="I72" s="196">
        <v>0</v>
      </c>
      <c r="J72" s="196">
        <v>0</v>
      </c>
      <c r="K72" s="196">
        <v>0</v>
      </c>
      <c r="L72" s="195">
        <v>0</v>
      </c>
      <c r="M72" s="194" t="s">
        <v>499</v>
      </c>
    </row>
    <row r="73" spans="1:14" s="44" customFormat="1" ht="24" customHeight="1" x14ac:dyDescent="0.25">
      <c r="A73" s="199">
        <v>415</v>
      </c>
      <c r="B73" s="198" t="s">
        <v>418</v>
      </c>
      <c r="C73" s="197">
        <v>3510</v>
      </c>
      <c r="D73" s="270">
        <f t="shared" si="11"/>
        <v>1740</v>
      </c>
      <c r="E73" s="196">
        <v>15600</v>
      </c>
      <c r="F73" s="196">
        <v>0</v>
      </c>
      <c r="G73" s="196">
        <v>550</v>
      </c>
      <c r="H73" s="45">
        <v>550</v>
      </c>
      <c r="I73" s="196">
        <v>640</v>
      </c>
      <c r="J73" s="196">
        <v>0</v>
      </c>
      <c r="K73" s="196">
        <v>0</v>
      </c>
      <c r="L73" s="195">
        <v>0</v>
      </c>
      <c r="M73" s="194" t="s">
        <v>52</v>
      </c>
    </row>
    <row r="74" spans="1:14" s="44" customFormat="1" ht="15.75" customHeight="1" x14ac:dyDescent="0.25">
      <c r="A74" s="435" t="s">
        <v>45</v>
      </c>
      <c r="B74" s="436"/>
      <c r="C74" s="294">
        <f>COUNT(C56:C73)</f>
        <v>18</v>
      </c>
      <c r="D74" s="294"/>
      <c r="E74" s="46">
        <f t="shared" ref="E74:L74" si="12">SUM(E56:E73)</f>
        <v>1932592.86</v>
      </c>
      <c r="F74" s="46">
        <f t="shared" si="12"/>
        <v>16514.900000000001</v>
      </c>
      <c r="G74" s="46">
        <f t="shared" si="12"/>
        <v>436594.38999999996</v>
      </c>
      <c r="H74" s="46">
        <f t="shared" si="12"/>
        <v>535969</v>
      </c>
      <c r="I74" s="46">
        <f t="shared" si="12"/>
        <v>479607</v>
      </c>
      <c r="J74" s="46">
        <f t="shared" si="12"/>
        <v>330740</v>
      </c>
      <c r="K74" s="46">
        <f t="shared" si="12"/>
        <v>1639</v>
      </c>
      <c r="L74" s="46">
        <f t="shared" si="12"/>
        <v>0</v>
      </c>
      <c r="M74" s="47"/>
    </row>
    <row r="75" spans="1:14" s="44" customFormat="1" ht="18" customHeight="1" x14ac:dyDescent="0.25">
      <c r="A75" s="202" t="s">
        <v>46</v>
      </c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0"/>
    </row>
    <row r="76" spans="1:14" s="44" customFormat="1" ht="15" customHeight="1" x14ac:dyDescent="0.25">
      <c r="A76" s="199">
        <v>550</v>
      </c>
      <c r="B76" s="198" t="s">
        <v>419</v>
      </c>
      <c r="C76" s="197">
        <v>3490</v>
      </c>
      <c r="D76" s="270">
        <f>F76+G76+H76+I76+J76+K76+L76</f>
        <v>12347</v>
      </c>
      <c r="E76" s="196">
        <v>12347</v>
      </c>
      <c r="F76" s="196">
        <v>296.20999999999998</v>
      </c>
      <c r="G76" s="196">
        <v>63.79</v>
      </c>
      <c r="H76" s="45">
        <v>11987</v>
      </c>
      <c r="I76" s="196">
        <v>0</v>
      </c>
      <c r="J76" s="196">
        <v>0</v>
      </c>
      <c r="K76" s="196">
        <v>0</v>
      </c>
      <c r="L76" s="195">
        <v>0</v>
      </c>
      <c r="M76" s="194" t="s">
        <v>499</v>
      </c>
    </row>
    <row r="77" spans="1:14" s="44" customFormat="1" ht="24" customHeight="1" x14ac:dyDescent="0.25">
      <c r="A77" s="199">
        <f>A76+2</f>
        <v>552</v>
      </c>
      <c r="B77" s="198" t="s">
        <v>420</v>
      </c>
      <c r="C77" s="197">
        <v>3492</v>
      </c>
      <c r="D77" s="270">
        <f t="shared" ref="D77:D99" si="13">F77+G77+H77+I77+J77+K77+L77</f>
        <v>14741.4</v>
      </c>
      <c r="E77" s="196">
        <v>14741.4</v>
      </c>
      <c r="F77" s="196">
        <v>380.07</v>
      </c>
      <c r="G77" s="196">
        <v>170.33</v>
      </c>
      <c r="H77" s="45">
        <v>14191</v>
      </c>
      <c r="I77" s="196">
        <v>0</v>
      </c>
      <c r="J77" s="196">
        <v>0</v>
      </c>
      <c r="K77" s="196">
        <v>0</v>
      </c>
      <c r="L77" s="195">
        <v>0</v>
      </c>
      <c r="M77" s="194" t="s">
        <v>499</v>
      </c>
    </row>
    <row r="78" spans="1:14" s="44" customFormat="1" ht="15" customHeight="1" x14ac:dyDescent="0.25">
      <c r="A78" s="199">
        <f t="shared" ref="A78:A87" si="14">A77+2</f>
        <v>554</v>
      </c>
      <c r="B78" s="198" t="s">
        <v>421</v>
      </c>
      <c r="C78" s="197">
        <v>3493</v>
      </c>
      <c r="D78" s="270">
        <f t="shared" si="13"/>
        <v>17699</v>
      </c>
      <c r="E78" s="196">
        <v>17699</v>
      </c>
      <c r="F78" s="196">
        <v>412.74</v>
      </c>
      <c r="G78" s="196">
        <v>67.260000000000005</v>
      </c>
      <c r="H78" s="45">
        <v>17219</v>
      </c>
      <c r="I78" s="196">
        <v>0</v>
      </c>
      <c r="J78" s="196">
        <v>0</v>
      </c>
      <c r="K78" s="196">
        <v>0</v>
      </c>
      <c r="L78" s="195">
        <v>0</v>
      </c>
      <c r="M78" s="194" t="s">
        <v>499</v>
      </c>
    </row>
    <row r="79" spans="1:14" s="44" customFormat="1" ht="24" customHeight="1" x14ac:dyDescent="0.25">
      <c r="A79" s="199">
        <f t="shared" si="14"/>
        <v>556</v>
      </c>
      <c r="B79" s="198" t="s">
        <v>422</v>
      </c>
      <c r="C79" s="197">
        <v>3494</v>
      </c>
      <c r="D79" s="270">
        <f t="shared" si="13"/>
        <v>22304.43</v>
      </c>
      <c r="E79" s="196">
        <v>22304.43</v>
      </c>
      <c r="F79" s="196">
        <v>414</v>
      </c>
      <c r="G79" s="196">
        <v>216.43</v>
      </c>
      <c r="H79" s="45">
        <v>21674</v>
      </c>
      <c r="I79" s="196">
        <v>0</v>
      </c>
      <c r="J79" s="196">
        <v>0</v>
      </c>
      <c r="K79" s="196">
        <v>0</v>
      </c>
      <c r="L79" s="195">
        <v>0</v>
      </c>
      <c r="M79" s="194" t="s">
        <v>499</v>
      </c>
    </row>
    <row r="80" spans="1:14" s="44" customFormat="1" ht="15" customHeight="1" x14ac:dyDescent="0.25">
      <c r="A80" s="199">
        <f t="shared" si="14"/>
        <v>558</v>
      </c>
      <c r="B80" s="198" t="s">
        <v>272</v>
      </c>
      <c r="C80" s="197">
        <v>3442</v>
      </c>
      <c r="D80" s="270">
        <f t="shared" si="13"/>
        <v>20000.02</v>
      </c>
      <c r="E80" s="196">
        <v>20000.02</v>
      </c>
      <c r="F80" s="196">
        <v>525.02</v>
      </c>
      <c r="G80" s="196">
        <v>3517</v>
      </c>
      <c r="H80" s="45">
        <v>15958</v>
      </c>
      <c r="I80" s="196">
        <v>0</v>
      </c>
      <c r="J80" s="196">
        <v>0</v>
      </c>
      <c r="K80" s="196">
        <v>0</v>
      </c>
      <c r="L80" s="195">
        <v>0</v>
      </c>
      <c r="M80" s="194" t="s">
        <v>499</v>
      </c>
    </row>
    <row r="81" spans="1:13" s="44" customFormat="1" ht="15" customHeight="1" x14ac:dyDescent="0.25">
      <c r="A81" s="199">
        <f t="shared" si="14"/>
        <v>560</v>
      </c>
      <c r="B81" s="198" t="s">
        <v>274</v>
      </c>
      <c r="C81" s="197">
        <v>3445</v>
      </c>
      <c r="D81" s="270">
        <f t="shared" si="13"/>
        <v>45264.76</v>
      </c>
      <c r="E81" s="196">
        <v>45264.76</v>
      </c>
      <c r="F81" s="196">
        <v>1797.86</v>
      </c>
      <c r="G81" s="196">
        <v>28466.9</v>
      </c>
      <c r="H81" s="45">
        <v>15000</v>
      </c>
      <c r="I81" s="196">
        <v>0</v>
      </c>
      <c r="J81" s="196">
        <v>0</v>
      </c>
      <c r="K81" s="196">
        <v>0</v>
      </c>
      <c r="L81" s="195">
        <v>0</v>
      </c>
      <c r="M81" s="194" t="s">
        <v>499</v>
      </c>
    </row>
    <row r="82" spans="1:13" s="44" customFormat="1" ht="15" customHeight="1" x14ac:dyDescent="0.25">
      <c r="A82" s="199">
        <f t="shared" si="14"/>
        <v>562</v>
      </c>
      <c r="B82" s="198" t="s">
        <v>275</v>
      </c>
      <c r="C82" s="197">
        <v>3444</v>
      </c>
      <c r="D82" s="270">
        <f t="shared" si="13"/>
        <v>28057.200000000001</v>
      </c>
      <c r="E82" s="196">
        <v>28057.200000000001</v>
      </c>
      <c r="F82" s="196">
        <v>516.33000000000004</v>
      </c>
      <c r="G82" s="196">
        <v>24540.87</v>
      </c>
      <c r="H82" s="45">
        <v>3000</v>
      </c>
      <c r="I82" s="196">
        <v>0</v>
      </c>
      <c r="J82" s="196">
        <v>0</v>
      </c>
      <c r="K82" s="196">
        <v>0</v>
      </c>
      <c r="L82" s="195">
        <v>0</v>
      </c>
      <c r="M82" s="194" t="s">
        <v>499</v>
      </c>
    </row>
    <row r="83" spans="1:13" s="44" customFormat="1" ht="15" customHeight="1" x14ac:dyDescent="0.25">
      <c r="A83" s="199">
        <f t="shared" si="14"/>
        <v>564</v>
      </c>
      <c r="B83" s="198" t="s">
        <v>276</v>
      </c>
      <c r="C83" s="197">
        <v>3450</v>
      </c>
      <c r="D83" s="270">
        <f t="shared" si="13"/>
        <v>17976.439999999999</v>
      </c>
      <c r="E83" s="196">
        <v>17976.439999999999</v>
      </c>
      <c r="F83" s="196">
        <v>554.97</v>
      </c>
      <c r="G83" s="196">
        <v>15421.47</v>
      </c>
      <c r="H83" s="45">
        <v>2000</v>
      </c>
      <c r="I83" s="196">
        <v>0</v>
      </c>
      <c r="J83" s="196">
        <v>0</v>
      </c>
      <c r="K83" s="196">
        <v>0</v>
      </c>
      <c r="L83" s="195">
        <v>0</v>
      </c>
      <c r="M83" s="194" t="s">
        <v>499</v>
      </c>
    </row>
    <row r="84" spans="1:13" s="44" customFormat="1" ht="15" customHeight="1" x14ac:dyDescent="0.25">
      <c r="A84" s="199">
        <f t="shared" si="14"/>
        <v>566</v>
      </c>
      <c r="B84" s="198" t="s">
        <v>277</v>
      </c>
      <c r="C84" s="197">
        <v>3448</v>
      </c>
      <c r="D84" s="270">
        <f t="shared" si="13"/>
        <v>30755.89</v>
      </c>
      <c r="E84" s="196">
        <v>30755.89</v>
      </c>
      <c r="F84" s="196">
        <v>473.84</v>
      </c>
      <c r="G84" s="196">
        <v>25282.05</v>
      </c>
      <c r="H84" s="45">
        <v>5000</v>
      </c>
      <c r="I84" s="196">
        <v>0</v>
      </c>
      <c r="J84" s="196">
        <v>0</v>
      </c>
      <c r="K84" s="196">
        <v>0</v>
      </c>
      <c r="L84" s="195">
        <v>0</v>
      </c>
      <c r="M84" s="194" t="s">
        <v>499</v>
      </c>
    </row>
    <row r="85" spans="1:13" s="44" customFormat="1" ht="15" customHeight="1" x14ac:dyDescent="0.25">
      <c r="A85" s="199">
        <f t="shared" si="14"/>
        <v>568</v>
      </c>
      <c r="B85" s="198" t="s">
        <v>423</v>
      </c>
      <c r="C85" s="197">
        <v>3449</v>
      </c>
      <c r="D85" s="270">
        <f t="shared" si="13"/>
        <v>63000</v>
      </c>
      <c r="E85" s="196">
        <v>63000</v>
      </c>
      <c r="F85" s="196">
        <v>774.4</v>
      </c>
      <c r="G85" s="196">
        <v>16937.599999999999</v>
      </c>
      <c r="H85" s="45">
        <v>45288</v>
      </c>
      <c r="I85" s="196">
        <v>0</v>
      </c>
      <c r="J85" s="196">
        <v>0</v>
      </c>
      <c r="K85" s="196">
        <v>0</v>
      </c>
      <c r="L85" s="195">
        <v>0</v>
      </c>
      <c r="M85" s="194" t="s">
        <v>499</v>
      </c>
    </row>
    <row r="86" spans="1:13" s="44" customFormat="1" ht="24" customHeight="1" x14ac:dyDescent="0.25">
      <c r="A86" s="199">
        <f t="shared" si="14"/>
        <v>570</v>
      </c>
      <c r="B86" s="198" t="s">
        <v>424</v>
      </c>
      <c r="C86" s="197">
        <v>3546</v>
      </c>
      <c r="D86" s="270">
        <f t="shared" si="13"/>
        <v>20000</v>
      </c>
      <c r="E86" s="196">
        <v>20000</v>
      </c>
      <c r="F86" s="196">
        <v>0</v>
      </c>
      <c r="G86" s="196">
        <v>0</v>
      </c>
      <c r="H86" s="45">
        <v>200</v>
      </c>
      <c r="I86" s="196">
        <v>19800</v>
      </c>
      <c r="J86" s="196">
        <v>0</v>
      </c>
      <c r="K86" s="196">
        <v>0</v>
      </c>
      <c r="L86" s="195">
        <v>0</v>
      </c>
      <c r="M86" s="194" t="s">
        <v>499</v>
      </c>
    </row>
    <row r="87" spans="1:13" s="44" customFormat="1" ht="24" customHeight="1" x14ac:dyDescent="0.25">
      <c r="A87" s="199">
        <f t="shared" si="14"/>
        <v>572</v>
      </c>
      <c r="B87" s="198" t="s">
        <v>279</v>
      </c>
      <c r="C87" s="197">
        <v>3495</v>
      </c>
      <c r="D87" s="270">
        <f t="shared" si="13"/>
        <v>4902.7</v>
      </c>
      <c r="E87" s="196">
        <v>11005</v>
      </c>
      <c r="F87" s="196">
        <v>0</v>
      </c>
      <c r="G87" s="196">
        <v>4567.7</v>
      </c>
      <c r="H87" s="45">
        <v>335</v>
      </c>
      <c r="I87" s="196">
        <v>0</v>
      </c>
      <c r="J87" s="196">
        <v>0</v>
      </c>
      <c r="K87" s="196">
        <v>0</v>
      </c>
      <c r="L87" s="195">
        <v>0</v>
      </c>
      <c r="M87" s="194" t="s">
        <v>52</v>
      </c>
    </row>
    <row r="88" spans="1:13" s="44" customFormat="1" ht="15" customHeight="1" x14ac:dyDescent="0.25">
      <c r="A88" s="199">
        <v>573</v>
      </c>
      <c r="B88" s="198" t="s">
        <v>215</v>
      </c>
      <c r="C88" s="197">
        <v>3486</v>
      </c>
      <c r="D88" s="270">
        <f t="shared" si="13"/>
        <v>21920</v>
      </c>
      <c r="E88" s="196">
        <v>21920</v>
      </c>
      <c r="F88" s="196">
        <v>84.7</v>
      </c>
      <c r="G88" s="196">
        <v>20129.3</v>
      </c>
      <c r="H88" s="45">
        <v>1706</v>
      </c>
      <c r="I88" s="196">
        <v>0</v>
      </c>
      <c r="J88" s="196">
        <v>0</v>
      </c>
      <c r="K88" s="196">
        <v>0</v>
      </c>
      <c r="L88" s="195">
        <v>0</v>
      </c>
      <c r="M88" s="194" t="s">
        <v>499</v>
      </c>
    </row>
    <row r="89" spans="1:13" s="44" customFormat="1" ht="15" customHeight="1" x14ac:dyDescent="0.25">
      <c r="A89" s="199">
        <v>575</v>
      </c>
      <c r="B89" s="198" t="s">
        <v>425</v>
      </c>
      <c r="C89" s="197">
        <v>3525</v>
      </c>
      <c r="D89" s="270">
        <f t="shared" si="13"/>
        <v>10000</v>
      </c>
      <c r="E89" s="196">
        <v>10000</v>
      </c>
      <c r="F89" s="196">
        <v>0</v>
      </c>
      <c r="G89" s="196">
        <v>200</v>
      </c>
      <c r="H89" s="45">
        <v>9800</v>
      </c>
      <c r="I89" s="196">
        <v>0</v>
      </c>
      <c r="J89" s="196">
        <v>0</v>
      </c>
      <c r="K89" s="196">
        <v>0</v>
      </c>
      <c r="L89" s="195">
        <v>0</v>
      </c>
      <c r="M89" s="194" t="s">
        <v>499</v>
      </c>
    </row>
    <row r="90" spans="1:13" s="44" customFormat="1" ht="15" customHeight="1" x14ac:dyDescent="0.25">
      <c r="A90" s="199">
        <v>577</v>
      </c>
      <c r="B90" s="198" t="s">
        <v>426</v>
      </c>
      <c r="C90" s="197">
        <v>3547</v>
      </c>
      <c r="D90" s="270">
        <f t="shared" si="13"/>
        <v>10000</v>
      </c>
      <c r="E90" s="196">
        <v>10000</v>
      </c>
      <c r="F90" s="196">
        <v>0</v>
      </c>
      <c r="G90" s="196">
        <v>0</v>
      </c>
      <c r="H90" s="45">
        <v>200</v>
      </c>
      <c r="I90" s="196">
        <v>9800</v>
      </c>
      <c r="J90" s="196">
        <v>0</v>
      </c>
      <c r="K90" s="196">
        <v>0</v>
      </c>
      <c r="L90" s="195">
        <v>0</v>
      </c>
      <c r="M90" s="194" t="s">
        <v>499</v>
      </c>
    </row>
    <row r="91" spans="1:13" s="44" customFormat="1" ht="24" customHeight="1" x14ac:dyDescent="0.25">
      <c r="A91" s="199">
        <v>579</v>
      </c>
      <c r="B91" s="198" t="s">
        <v>427</v>
      </c>
      <c r="C91" s="197">
        <v>3515</v>
      </c>
      <c r="D91" s="270">
        <f t="shared" si="13"/>
        <v>52154</v>
      </c>
      <c r="E91" s="196">
        <v>52154</v>
      </c>
      <c r="F91" s="196">
        <v>0</v>
      </c>
      <c r="G91" s="196">
        <v>2000</v>
      </c>
      <c r="H91" s="45">
        <v>10000</v>
      </c>
      <c r="I91" s="196">
        <v>40154</v>
      </c>
      <c r="J91" s="196">
        <v>0</v>
      </c>
      <c r="K91" s="196">
        <v>0</v>
      </c>
      <c r="L91" s="195">
        <v>0</v>
      </c>
      <c r="M91" s="194" t="s">
        <v>499</v>
      </c>
    </row>
    <row r="92" spans="1:13" s="44" customFormat="1" ht="24" customHeight="1" x14ac:dyDescent="0.25">
      <c r="A92" s="199">
        <v>581</v>
      </c>
      <c r="B92" s="198" t="s">
        <v>428</v>
      </c>
      <c r="C92" s="197">
        <v>3516</v>
      </c>
      <c r="D92" s="270">
        <f t="shared" si="13"/>
        <v>58820</v>
      </c>
      <c r="E92" s="196">
        <v>58820</v>
      </c>
      <c r="F92" s="196">
        <v>0</v>
      </c>
      <c r="G92" s="196">
        <v>2000</v>
      </c>
      <c r="H92" s="45">
        <v>7000</v>
      </c>
      <c r="I92" s="196">
        <v>49820</v>
      </c>
      <c r="J92" s="196">
        <v>0</v>
      </c>
      <c r="K92" s="196">
        <v>0</v>
      </c>
      <c r="L92" s="195">
        <v>0</v>
      </c>
      <c r="M92" s="194" t="s">
        <v>499</v>
      </c>
    </row>
    <row r="93" spans="1:13" s="44" customFormat="1" ht="24" customHeight="1" x14ac:dyDescent="0.25">
      <c r="A93" s="199">
        <v>583</v>
      </c>
      <c r="B93" s="198" t="s">
        <v>429</v>
      </c>
      <c r="C93" s="197">
        <v>3517</v>
      </c>
      <c r="D93" s="270">
        <f t="shared" si="13"/>
        <v>77320</v>
      </c>
      <c r="E93" s="196">
        <v>77320</v>
      </c>
      <c r="F93" s="196">
        <v>0</v>
      </c>
      <c r="G93" s="196">
        <v>3500</v>
      </c>
      <c r="H93" s="45">
        <v>100</v>
      </c>
      <c r="I93" s="196">
        <v>34360</v>
      </c>
      <c r="J93" s="196">
        <v>30360</v>
      </c>
      <c r="K93" s="196">
        <v>9000</v>
      </c>
      <c r="L93" s="195">
        <v>0</v>
      </c>
      <c r="M93" s="194" t="s">
        <v>499</v>
      </c>
    </row>
    <row r="94" spans="1:13" s="44" customFormat="1" ht="24" customHeight="1" x14ac:dyDescent="0.25">
      <c r="A94" s="199">
        <v>585</v>
      </c>
      <c r="B94" s="198" t="s">
        <v>292</v>
      </c>
      <c r="C94" s="197">
        <v>3464</v>
      </c>
      <c r="D94" s="270">
        <f t="shared" si="13"/>
        <v>418757.88</v>
      </c>
      <c r="E94" s="196">
        <v>458086</v>
      </c>
      <c r="F94" s="196">
        <v>138278.31000000003</v>
      </c>
      <c r="G94" s="196">
        <v>272564.56999999995</v>
      </c>
      <c r="H94" s="45">
        <v>7915</v>
      </c>
      <c r="I94" s="196">
        <v>0</v>
      </c>
      <c r="J94" s="196">
        <v>0</v>
      </c>
      <c r="K94" s="196">
        <v>0</v>
      </c>
      <c r="L94" s="195">
        <v>0</v>
      </c>
      <c r="M94" s="194" t="s">
        <v>52</v>
      </c>
    </row>
    <row r="95" spans="1:13" s="44" customFormat="1" ht="24" customHeight="1" x14ac:dyDescent="0.25">
      <c r="A95" s="199">
        <v>587</v>
      </c>
      <c r="B95" s="198" t="s">
        <v>430</v>
      </c>
      <c r="C95" s="197">
        <v>3520</v>
      </c>
      <c r="D95" s="270">
        <f t="shared" si="13"/>
        <v>60000.1</v>
      </c>
      <c r="E95" s="196">
        <v>60000.1</v>
      </c>
      <c r="F95" s="196">
        <v>489.20000000000005</v>
      </c>
      <c r="G95" s="196">
        <v>2343.9</v>
      </c>
      <c r="H95" s="45">
        <v>15000</v>
      </c>
      <c r="I95" s="196">
        <v>42167</v>
      </c>
      <c r="J95" s="196">
        <v>0</v>
      </c>
      <c r="K95" s="196">
        <v>0</v>
      </c>
      <c r="L95" s="195">
        <v>0</v>
      </c>
      <c r="M95" s="194" t="s">
        <v>499</v>
      </c>
    </row>
    <row r="96" spans="1:13" s="44" customFormat="1" ht="24" customHeight="1" x14ac:dyDescent="0.25">
      <c r="A96" s="199">
        <v>589</v>
      </c>
      <c r="B96" s="198" t="s">
        <v>280</v>
      </c>
      <c r="C96" s="197">
        <v>3474</v>
      </c>
      <c r="D96" s="270">
        <f t="shared" si="13"/>
        <v>5867.65</v>
      </c>
      <c r="E96" s="196">
        <v>11435</v>
      </c>
      <c r="F96" s="196">
        <v>1434.22</v>
      </c>
      <c r="G96" s="196">
        <v>2137.4299999999998</v>
      </c>
      <c r="H96" s="45">
        <v>2296</v>
      </c>
      <c r="I96" s="196">
        <v>0</v>
      </c>
      <c r="J96" s="196">
        <v>0</v>
      </c>
      <c r="K96" s="196">
        <v>0</v>
      </c>
      <c r="L96" s="195">
        <v>0</v>
      </c>
      <c r="M96" s="194" t="s">
        <v>52</v>
      </c>
    </row>
    <row r="97" spans="1:13" s="44" customFormat="1" ht="31.5" x14ac:dyDescent="0.25">
      <c r="A97" s="199">
        <v>591</v>
      </c>
      <c r="B97" s="198" t="s">
        <v>495</v>
      </c>
      <c r="C97" s="197">
        <v>3500</v>
      </c>
      <c r="D97" s="270">
        <f t="shared" si="13"/>
        <v>346.11</v>
      </c>
      <c r="E97" s="196">
        <v>485</v>
      </c>
      <c r="F97" s="196">
        <v>0</v>
      </c>
      <c r="G97" s="196">
        <v>309.11</v>
      </c>
      <c r="H97" s="45">
        <v>37</v>
      </c>
      <c r="I97" s="196">
        <v>0</v>
      </c>
      <c r="J97" s="196">
        <v>0</v>
      </c>
      <c r="K97" s="196">
        <v>0</v>
      </c>
      <c r="L97" s="195">
        <v>0</v>
      </c>
      <c r="M97" s="194" t="s">
        <v>52</v>
      </c>
    </row>
    <row r="98" spans="1:13" s="44" customFormat="1" ht="15" customHeight="1" x14ac:dyDescent="0.25">
      <c r="A98" s="199">
        <v>593</v>
      </c>
      <c r="B98" s="198" t="s">
        <v>431</v>
      </c>
      <c r="C98" s="197">
        <v>3502</v>
      </c>
      <c r="D98" s="270">
        <f t="shared" si="13"/>
        <v>1220000.58</v>
      </c>
      <c r="E98" s="196">
        <v>1220000.58</v>
      </c>
      <c r="F98" s="196">
        <v>722.23</v>
      </c>
      <c r="G98" s="196">
        <v>14731.35</v>
      </c>
      <c r="H98" s="45">
        <v>135000</v>
      </c>
      <c r="I98" s="196">
        <v>194100</v>
      </c>
      <c r="J98" s="196">
        <v>401700</v>
      </c>
      <c r="K98" s="196">
        <v>473747</v>
      </c>
      <c r="L98" s="195">
        <v>0</v>
      </c>
      <c r="M98" s="194" t="s">
        <v>499</v>
      </c>
    </row>
    <row r="99" spans="1:13" s="44" customFormat="1" ht="15" customHeight="1" x14ac:dyDescent="0.25">
      <c r="A99" s="199">
        <v>595</v>
      </c>
      <c r="B99" s="198" t="s">
        <v>202</v>
      </c>
      <c r="C99" s="197">
        <v>3465</v>
      </c>
      <c r="D99" s="270">
        <f t="shared" si="13"/>
        <v>21000.47</v>
      </c>
      <c r="E99" s="196">
        <v>21000.47</v>
      </c>
      <c r="F99" s="196">
        <v>84.7</v>
      </c>
      <c r="G99" s="196">
        <v>17116.77</v>
      </c>
      <c r="H99" s="45">
        <v>3799</v>
      </c>
      <c r="I99" s="196">
        <v>0</v>
      </c>
      <c r="J99" s="196">
        <v>0</v>
      </c>
      <c r="K99" s="196">
        <v>0</v>
      </c>
      <c r="L99" s="195">
        <v>0</v>
      </c>
      <c r="M99" s="194" t="s">
        <v>499</v>
      </c>
    </row>
    <row r="100" spans="1:13" s="44" customFormat="1" ht="15.75" customHeight="1" x14ac:dyDescent="0.25">
      <c r="A100" s="435" t="s">
        <v>47</v>
      </c>
      <c r="B100" s="436"/>
      <c r="C100" s="294">
        <f>COUNT(C76:C99)</f>
        <v>24</v>
      </c>
      <c r="D100" s="294"/>
      <c r="E100" s="46">
        <f t="shared" ref="E100:L100" si="15">SUM(E76:E99)</f>
        <v>2304372.2900000005</v>
      </c>
      <c r="F100" s="46">
        <f t="shared" si="15"/>
        <v>147238.80000000005</v>
      </c>
      <c r="G100" s="46">
        <f t="shared" si="15"/>
        <v>456283.82999999996</v>
      </c>
      <c r="H100" s="46">
        <f t="shared" si="15"/>
        <v>344705</v>
      </c>
      <c r="I100" s="46">
        <f t="shared" si="15"/>
        <v>390201</v>
      </c>
      <c r="J100" s="46">
        <f t="shared" si="15"/>
        <v>432060</v>
      </c>
      <c r="K100" s="46">
        <f t="shared" si="15"/>
        <v>482747</v>
      </c>
      <c r="L100" s="46">
        <f t="shared" si="15"/>
        <v>0</v>
      </c>
      <c r="M100" s="47"/>
    </row>
    <row r="101" spans="1:13" s="44" customFormat="1" ht="18" customHeight="1" x14ac:dyDescent="0.25">
      <c r="A101" s="202" t="s">
        <v>203</v>
      </c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0"/>
    </row>
    <row r="102" spans="1:13" s="44" customFormat="1" ht="15" customHeight="1" x14ac:dyDescent="0.25">
      <c r="A102" s="199">
        <v>603</v>
      </c>
      <c r="B102" s="198" t="s">
        <v>496</v>
      </c>
      <c r="C102" s="197">
        <v>3468</v>
      </c>
      <c r="D102" s="270">
        <f>F102+G102+H102+I102+J102+K102+L102</f>
        <v>236095</v>
      </c>
      <c r="E102" s="196">
        <v>236095</v>
      </c>
      <c r="F102" s="196">
        <v>0</v>
      </c>
      <c r="G102" s="196">
        <v>69000</v>
      </c>
      <c r="H102" s="45">
        <v>167095</v>
      </c>
      <c r="I102" s="196">
        <v>0</v>
      </c>
      <c r="J102" s="196">
        <v>0</v>
      </c>
      <c r="K102" s="196">
        <v>0</v>
      </c>
      <c r="L102" s="195">
        <v>0</v>
      </c>
      <c r="M102" s="194" t="s">
        <v>499</v>
      </c>
    </row>
    <row r="103" spans="1:13" s="44" customFormat="1" ht="15.75" customHeight="1" x14ac:dyDescent="0.25">
      <c r="A103" s="433" t="s">
        <v>204</v>
      </c>
      <c r="B103" s="434" t="s">
        <v>281</v>
      </c>
      <c r="C103" s="294">
        <f>COUNT(C102)</f>
        <v>1</v>
      </c>
      <c r="D103" s="294"/>
      <c r="E103" s="46">
        <f>SUM(E102)</f>
        <v>236095</v>
      </c>
      <c r="F103" s="46">
        <f t="shared" ref="F103:L103" si="16">SUM(F102)</f>
        <v>0</v>
      </c>
      <c r="G103" s="46">
        <f t="shared" si="16"/>
        <v>69000</v>
      </c>
      <c r="H103" s="46">
        <f t="shared" si="16"/>
        <v>167095</v>
      </c>
      <c r="I103" s="46">
        <f t="shared" si="16"/>
        <v>0</v>
      </c>
      <c r="J103" s="46">
        <f t="shared" si="16"/>
        <v>0</v>
      </c>
      <c r="K103" s="46">
        <f t="shared" si="16"/>
        <v>0</v>
      </c>
      <c r="L103" s="46">
        <f t="shared" si="16"/>
        <v>0</v>
      </c>
      <c r="M103" s="47"/>
    </row>
    <row r="104" spans="1:13" s="44" customFormat="1" ht="18" customHeight="1" x14ac:dyDescent="0.25">
      <c r="A104" s="202" t="s">
        <v>48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0"/>
    </row>
    <row r="105" spans="1:13" s="44" customFormat="1" ht="15" customHeight="1" x14ac:dyDescent="0.25">
      <c r="A105" s="199">
        <v>689</v>
      </c>
      <c r="B105" s="198" t="s">
        <v>433</v>
      </c>
      <c r="C105" s="197">
        <v>3548</v>
      </c>
      <c r="D105" s="270">
        <f t="shared" ref="D105:D108" si="17">F105+G105+H105+I105+J105+K105+L105</f>
        <v>132000</v>
      </c>
      <c r="E105" s="196">
        <v>132000</v>
      </c>
      <c r="F105" s="196">
        <v>0</v>
      </c>
      <c r="G105" s="196">
        <v>0</v>
      </c>
      <c r="H105" s="45">
        <v>500</v>
      </c>
      <c r="I105" s="196">
        <v>131500</v>
      </c>
      <c r="J105" s="196">
        <v>0</v>
      </c>
      <c r="K105" s="196">
        <v>0</v>
      </c>
      <c r="L105" s="195">
        <v>0</v>
      </c>
      <c r="M105" s="194" t="s">
        <v>499</v>
      </c>
    </row>
    <row r="106" spans="1:13" s="44" customFormat="1" ht="15" customHeight="1" x14ac:dyDescent="0.25">
      <c r="A106" s="199">
        <v>691</v>
      </c>
      <c r="B106" s="198" t="s">
        <v>282</v>
      </c>
      <c r="C106" s="197">
        <v>3497</v>
      </c>
      <c r="D106" s="270">
        <f t="shared" si="17"/>
        <v>55600</v>
      </c>
      <c r="E106" s="196">
        <v>55600</v>
      </c>
      <c r="F106" s="196">
        <v>0</v>
      </c>
      <c r="G106" s="196">
        <v>3711</v>
      </c>
      <c r="H106" s="45">
        <v>51889</v>
      </c>
      <c r="I106" s="196">
        <v>0</v>
      </c>
      <c r="J106" s="196">
        <v>0</v>
      </c>
      <c r="K106" s="196">
        <v>0</v>
      </c>
      <c r="L106" s="195">
        <v>0</v>
      </c>
      <c r="M106" s="194" t="s">
        <v>499</v>
      </c>
    </row>
    <row r="107" spans="1:13" s="44" customFormat="1" ht="15" customHeight="1" x14ac:dyDescent="0.25">
      <c r="A107" s="199">
        <v>693</v>
      </c>
      <c r="B107" s="198" t="s">
        <v>434</v>
      </c>
      <c r="C107" s="197">
        <v>3292</v>
      </c>
      <c r="D107" s="270">
        <f t="shared" si="17"/>
        <v>139999.6</v>
      </c>
      <c r="E107" s="196">
        <v>139999.6</v>
      </c>
      <c r="F107" s="196">
        <v>2198.02</v>
      </c>
      <c r="G107" s="196">
        <v>601.57999999999993</v>
      </c>
      <c r="H107" s="45">
        <v>2000</v>
      </c>
      <c r="I107" s="196">
        <v>40500</v>
      </c>
      <c r="J107" s="196">
        <v>82500</v>
      </c>
      <c r="K107" s="196">
        <v>12200</v>
      </c>
      <c r="L107" s="195">
        <v>0</v>
      </c>
      <c r="M107" s="194" t="s">
        <v>499</v>
      </c>
    </row>
    <row r="108" spans="1:13" s="44" customFormat="1" ht="15" customHeight="1" x14ac:dyDescent="0.25">
      <c r="A108" s="199">
        <v>695</v>
      </c>
      <c r="B108" s="198" t="s">
        <v>283</v>
      </c>
      <c r="C108" s="197">
        <v>3498</v>
      </c>
      <c r="D108" s="270">
        <f t="shared" si="17"/>
        <v>20000</v>
      </c>
      <c r="E108" s="196">
        <v>20000</v>
      </c>
      <c r="F108" s="196">
        <v>0</v>
      </c>
      <c r="G108" s="196">
        <v>12000</v>
      </c>
      <c r="H108" s="45">
        <v>8000</v>
      </c>
      <c r="I108" s="196">
        <v>0</v>
      </c>
      <c r="J108" s="196">
        <v>0</v>
      </c>
      <c r="K108" s="196">
        <v>0</v>
      </c>
      <c r="L108" s="195">
        <v>0</v>
      </c>
      <c r="M108" s="194" t="s">
        <v>499</v>
      </c>
    </row>
    <row r="109" spans="1:13" s="44" customFormat="1" ht="34.5" customHeight="1" x14ac:dyDescent="0.25">
      <c r="A109" s="199">
        <v>697</v>
      </c>
      <c r="B109" s="198" t="s">
        <v>497</v>
      </c>
      <c r="C109" s="197">
        <v>7042</v>
      </c>
      <c r="D109" s="270">
        <f>F109+G109+H109+I109+J109+K109+L109</f>
        <v>20892</v>
      </c>
      <c r="E109" s="196">
        <v>93899</v>
      </c>
      <c r="F109" s="196">
        <v>892</v>
      </c>
      <c r="G109" s="196">
        <v>0</v>
      </c>
      <c r="H109" s="45">
        <v>20000</v>
      </c>
      <c r="I109" s="196">
        <v>0</v>
      </c>
      <c r="J109" s="196">
        <v>0</v>
      </c>
      <c r="K109" s="196">
        <v>0</v>
      </c>
      <c r="L109" s="195">
        <v>0</v>
      </c>
      <c r="M109" s="194" t="s">
        <v>214</v>
      </c>
    </row>
    <row r="110" spans="1:13" s="44" customFormat="1" ht="15.75" customHeight="1" x14ac:dyDescent="0.25">
      <c r="A110" s="433" t="s">
        <v>49</v>
      </c>
      <c r="B110" s="434"/>
      <c r="C110" s="294">
        <f>COUNT(C105:C108)</f>
        <v>4</v>
      </c>
      <c r="D110" s="294"/>
      <c r="E110" s="46">
        <f>SUM(E105:E109)</f>
        <v>441498.6</v>
      </c>
      <c r="F110" s="46">
        <f t="shared" ref="F110:L110" si="18">SUM(F105:F109)</f>
        <v>3090.02</v>
      </c>
      <c r="G110" s="46">
        <f t="shared" si="18"/>
        <v>16312.58</v>
      </c>
      <c r="H110" s="46">
        <f t="shared" si="18"/>
        <v>82389</v>
      </c>
      <c r="I110" s="46">
        <f t="shared" si="18"/>
        <v>172000</v>
      </c>
      <c r="J110" s="46">
        <f t="shared" si="18"/>
        <v>82500</v>
      </c>
      <c r="K110" s="46">
        <f t="shared" si="18"/>
        <v>12200</v>
      </c>
      <c r="L110" s="46">
        <f t="shared" si="18"/>
        <v>0</v>
      </c>
      <c r="M110" s="47"/>
    </row>
    <row r="111" spans="1:13" s="44" customFormat="1" ht="18" customHeight="1" x14ac:dyDescent="0.25">
      <c r="A111" s="202" t="s">
        <v>58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0"/>
    </row>
    <row r="112" spans="1:13" s="44" customFormat="1" ht="15" customHeight="1" x14ac:dyDescent="0.25">
      <c r="A112" s="199">
        <v>733</v>
      </c>
      <c r="B112" s="198" t="s">
        <v>59</v>
      </c>
      <c r="C112" s="197">
        <v>3294</v>
      </c>
      <c r="D112" s="270">
        <f t="shared" ref="D112:D117" si="19">F112+G112+H112+I112+J112+K112+L112</f>
        <v>1159.8</v>
      </c>
      <c r="E112" s="196">
        <v>1159.8</v>
      </c>
      <c r="F112" s="196">
        <v>856.43</v>
      </c>
      <c r="G112" s="196">
        <v>270.37</v>
      </c>
      <c r="H112" s="45">
        <v>33</v>
      </c>
      <c r="I112" s="196">
        <v>0</v>
      </c>
      <c r="J112" s="196">
        <v>0</v>
      </c>
      <c r="K112" s="196">
        <v>0</v>
      </c>
      <c r="L112" s="195">
        <v>0</v>
      </c>
      <c r="M112" s="194" t="s">
        <v>499</v>
      </c>
    </row>
    <row r="113" spans="1:13" s="44" customFormat="1" ht="15" customHeight="1" x14ac:dyDescent="0.25">
      <c r="A113" s="199">
        <v>734</v>
      </c>
      <c r="B113" s="198" t="s">
        <v>60</v>
      </c>
      <c r="C113" s="197">
        <v>3377</v>
      </c>
      <c r="D113" s="270">
        <f t="shared" si="19"/>
        <v>7438.85</v>
      </c>
      <c r="E113" s="196">
        <v>7438.85</v>
      </c>
      <c r="F113" s="196">
        <v>975.97</v>
      </c>
      <c r="G113" s="196">
        <v>5611.88</v>
      </c>
      <c r="H113" s="45">
        <v>851</v>
      </c>
      <c r="I113" s="196">
        <v>0</v>
      </c>
      <c r="J113" s="196">
        <v>0</v>
      </c>
      <c r="K113" s="196">
        <v>0</v>
      </c>
      <c r="L113" s="195">
        <v>0</v>
      </c>
      <c r="M113" s="194" t="s">
        <v>499</v>
      </c>
    </row>
    <row r="114" spans="1:13" s="44" customFormat="1" ht="24" customHeight="1" x14ac:dyDescent="0.25">
      <c r="A114" s="199">
        <v>735</v>
      </c>
      <c r="B114" s="198" t="s">
        <v>498</v>
      </c>
      <c r="C114" s="197">
        <v>3452</v>
      </c>
      <c r="D114" s="270">
        <f t="shared" si="19"/>
        <v>225489.21</v>
      </c>
      <c r="E114" s="196">
        <v>437325</v>
      </c>
      <c r="F114" s="196">
        <v>1413.78</v>
      </c>
      <c r="G114" s="196">
        <v>74376.429999999993</v>
      </c>
      <c r="H114" s="45">
        <v>28000</v>
      </c>
      <c r="I114" s="196">
        <v>22229</v>
      </c>
      <c r="J114" s="196">
        <v>18000</v>
      </c>
      <c r="K114" s="196">
        <v>18000</v>
      </c>
      <c r="L114" s="195">
        <v>63470</v>
      </c>
      <c r="M114" s="194" t="s">
        <v>52</v>
      </c>
    </row>
    <row r="115" spans="1:13" s="44" customFormat="1" ht="15" customHeight="1" x14ac:dyDescent="0.25">
      <c r="A115" s="199">
        <v>736</v>
      </c>
      <c r="B115" s="198" t="s">
        <v>285</v>
      </c>
      <c r="C115" s="197">
        <v>3487</v>
      </c>
      <c r="D115" s="270">
        <f t="shared" si="19"/>
        <v>8796.17</v>
      </c>
      <c r="E115" s="196">
        <v>8796.17</v>
      </c>
      <c r="F115" s="196">
        <v>2352.9</v>
      </c>
      <c r="G115" s="196">
        <v>3733.27</v>
      </c>
      <c r="H115" s="45">
        <v>2300</v>
      </c>
      <c r="I115" s="196">
        <v>410</v>
      </c>
      <c r="J115" s="196">
        <v>0</v>
      </c>
      <c r="K115" s="196">
        <v>0</v>
      </c>
      <c r="L115" s="195">
        <v>0</v>
      </c>
      <c r="M115" s="194" t="s">
        <v>499</v>
      </c>
    </row>
    <row r="116" spans="1:13" s="44" customFormat="1" ht="15" customHeight="1" x14ac:dyDescent="0.25">
      <c r="A116" s="199">
        <v>737</v>
      </c>
      <c r="B116" s="198" t="s">
        <v>61</v>
      </c>
      <c r="C116" s="197">
        <v>3334</v>
      </c>
      <c r="D116" s="270">
        <f t="shared" si="19"/>
        <v>40710.89</v>
      </c>
      <c r="E116" s="196">
        <v>40710.89</v>
      </c>
      <c r="F116" s="196">
        <v>1918.3500000000001</v>
      </c>
      <c r="G116" s="196">
        <v>36522.54</v>
      </c>
      <c r="H116" s="45">
        <v>2270</v>
      </c>
      <c r="I116" s="196">
        <v>0</v>
      </c>
      <c r="J116" s="196">
        <v>0</v>
      </c>
      <c r="K116" s="196">
        <v>0</v>
      </c>
      <c r="L116" s="195">
        <v>0</v>
      </c>
      <c r="M116" s="194" t="s">
        <v>499</v>
      </c>
    </row>
    <row r="117" spans="1:13" s="44" customFormat="1" ht="24" customHeight="1" x14ac:dyDescent="0.25">
      <c r="A117" s="199">
        <v>739</v>
      </c>
      <c r="B117" s="198" t="s">
        <v>286</v>
      </c>
      <c r="C117" s="197">
        <v>3499</v>
      </c>
      <c r="D117" s="270">
        <f t="shared" si="19"/>
        <v>11166</v>
      </c>
      <c r="E117" s="196">
        <v>12300</v>
      </c>
      <c r="F117" s="196">
        <v>0</v>
      </c>
      <c r="G117" s="196">
        <v>2700</v>
      </c>
      <c r="H117" s="45">
        <v>2000</v>
      </c>
      <c r="I117" s="196">
        <v>1800</v>
      </c>
      <c r="J117" s="196">
        <v>1800</v>
      </c>
      <c r="K117" s="196">
        <v>1000</v>
      </c>
      <c r="L117" s="195">
        <v>1866</v>
      </c>
      <c r="M117" s="194" t="s">
        <v>52</v>
      </c>
    </row>
    <row r="118" spans="1:13" s="44" customFormat="1" ht="24" customHeight="1" x14ac:dyDescent="0.25">
      <c r="A118" s="199">
        <v>740</v>
      </c>
      <c r="B118" s="198" t="s">
        <v>149</v>
      </c>
      <c r="C118" s="197">
        <v>3427</v>
      </c>
      <c r="D118" s="270">
        <f>F118+G118+H118+I118+J118+K118+L118</f>
        <v>752828.40899999999</v>
      </c>
      <c r="E118" s="196">
        <v>752828.4090000001</v>
      </c>
      <c r="F118" s="196">
        <v>504920.40900000004</v>
      </c>
      <c r="G118" s="196">
        <v>246083</v>
      </c>
      <c r="H118" s="45">
        <v>1825</v>
      </c>
      <c r="I118" s="196">
        <v>0</v>
      </c>
      <c r="J118" s="196">
        <v>0</v>
      </c>
      <c r="K118" s="196">
        <v>0</v>
      </c>
      <c r="L118" s="195">
        <v>0</v>
      </c>
      <c r="M118" s="194" t="s">
        <v>499</v>
      </c>
    </row>
    <row r="119" spans="1:13" s="44" customFormat="1" ht="24" customHeight="1" x14ac:dyDescent="0.25">
      <c r="A119" s="199">
        <v>742</v>
      </c>
      <c r="B119" s="198" t="s">
        <v>435</v>
      </c>
      <c r="C119" s="197">
        <v>3504</v>
      </c>
      <c r="D119" s="270">
        <f>F119+G119+H119+I119+J119+K119+L119</f>
        <v>949772</v>
      </c>
      <c r="E119" s="196">
        <v>949772</v>
      </c>
      <c r="F119" s="196">
        <v>0</v>
      </c>
      <c r="G119" s="196">
        <v>145644</v>
      </c>
      <c r="H119" s="45">
        <v>409226</v>
      </c>
      <c r="I119" s="196">
        <v>218000</v>
      </c>
      <c r="J119" s="196">
        <v>171352</v>
      </c>
      <c r="K119" s="196">
        <v>5550</v>
      </c>
      <c r="L119" s="195">
        <v>0</v>
      </c>
      <c r="M119" s="194" t="s">
        <v>499</v>
      </c>
    </row>
    <row r="120" spans="1:13" s="44" customFormat="1" ht="15.75" customHeight="1" thickBot="1" x14ac:dyDescent="0.3">
      <c r="A120" s="435" t="s">
        <v>62</v>
      </c>
      <c r="B120" s="436"/>
      <c r="C120" s="294">
        <f>COUNT(C112:C117)</f>
        <v>6</v>
      </c>
      <c r="D120" s="294"/>
      <c r="E120" s="46">
        <f>SUM(E112:E119)</f>
        <v>2210331.1189999999</v>
      </c>
      <c r="F120" s="46">
        <f t="shared" ref="F120:L120" si="20">SUM(F112:F119)</f>
        <v>512437.83900000004</v>
      </c>
      <c r="G120" s="46">
        <f t="shared" si="20"/>
        <v>514941.49</v>
      </c>
      <c r="H120" s="46">
        <f t="shared" si="20"/>
        <v>446505</v>
      </c>
      <c r="I120" s="46">
        <f t="shared" si="20"/>
        <v>242439</v>
      </c>
      <c r="J120" s="46">
        <f t="shared" si="20"/>
        <v>191152</v>
      </c>
      <c r="K120" s="46">
        <f t="shared" si="20"/>
        <v>24550</v>
      </c>
      <c r="L120" s="46">
        <f t="shared" si="20"/>
        <v>65336</v>
      </c>
      <c r="M120" s="47"/>
    </row>
    <row r="121" spans="1:13" s="300" customFormat="1" ht="9" customHeight="1" thickBot="1" x14ac:dyDescent="0.3">
      <c r="A121" s="301"/>
      <c r="B121" s="302"/>
      <c r="C121" s="302"/>
      <c r="D121" s="302"/>
      <c r="E121" s="303"/>
      <c r="F121" s="303"/>
      <c r="G121" s="303"/>
      <c r="H121" s="303"/>
      <c r="I121" s="302"/>
      <c r="J121" s="302"/>
      <c r="K121" s="302"/>
      <c r="L121" s="302"/>
      <c r="M121" s="304"/>
    </row>
    <row r="122" spans="1:13" s="44" customFormat="1" ht="18" customHeight="1" thickBot="1" x14ac:dyDescent="0.3">
      <c r="A122" s="431" t="s">
        <v>32</v>
      </c>
      <c r="B122" s="432"/>
      <c r="C122" s="271">
        <f>C120+C110+C103+C100+C74+C54+C47+C32+C29+C25+C11</f>
        <v>88</v>
      </c>
      <c r="D122" s="271"/>
      <c r="E122" s="48">
        <f t="shared" ref="E122:L122" si="21">E120+E110+E103+E100+E74+E54+E47+E32+E29+E25+E11</f>
        <v>12465694.909000002</v>
      </c>
      <c r="F122" s="48">
        <f t="shared" si="21"/>
        <v>936260.32900000014</v>
      </c>
      <c r="G122" s="48">
        <f t="shared" si="21"/>
        <v>1721895.5799999998</v>
      </c>
      <c r="H122" s="48">
        <f t="shared" si="21"/>
        <v>2295092</v>
      </c>
      <c r="I122" s="48">
        <f t="shared" si="21"/>
        <v>2462606</v>
      </c>
      <c r="J122" s="48">
        <f t="shared" si="21"/>
        <v>2598964</v>
      </c>
      <c r="K122" s="48">
        <f t="shared" si="21"/>
        <v>2133429</v>
      </c>
      <c r="L122" s="48">
        <f t="shared" si="21"/>
        <v>103032</v>
      </c>
      <c r="M122" s="49"/>
    </row>
    <row r="123" spans="1:13" x14ac:dyDescent="0.25">
      <c r="G123" s="306"/>
    </row>
    <row r="124" spans="1:13" x14ac:dyDescent="0.25">
      <c r="A124" s="307"/>
      <c r="G124" s="308"/>
      <c r="H124" s="309"/>
    </row>
    <row r="125" spans="1:13" x14ac:dyDescent="0.25">
      <c r="A125" s="307"/>
      <c r="G125" s="310"/>
    </row>
    <row r="127" spans="1:13" ht="14.25" x14ac:dyDescent="0.2">
      <c r="B127" s="311"/>
      <c r="C127" s="311"/>
      <c r="D127" s="311"/>
    </row>
  </sheetData>
  <mergeCells count="22">
    <mergeCell ref="A1:M1"/>
    <mergeCell ref="A3:A4"/>
    <mergeCell ref="B3:B4"/>
    <mergeCell ref="C3:C4"/>
    <mergeCell ref="E3:E4"/>
    <mergeCell ref="F3:F4"/>
    <mergeCell ref="G3:G4"/>
    <mergeCell ref="H3:H4"/>
    <mergeCell ref="I3:L3"/>
    <mergeCell ref="M3:M4"/>
    <mergeCell ref="A122:B122"/>
    <mergeCell ref="A11:B11"/>
    <mergeCell ref="A25:B25"/>
    <mergeCell ref="A29:B29"/>
    <mergeCell ref="A32:B32"/>
    <mergeCell ref="A47:B47"/>
    <mergeCell ref="A54:B54"/>
    <mergeCell ref="A74:B74"/>
    <mergeCell ref="A100:B100"/>
    <mergeCell ref="A103:B103"/>
    <mergeCell ref="A110:B110"/>
    <mergeCell ref="A120:B120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4" fitToHeight="0" orientation="landscape" useFirstPageNumber="1" r:id="rId1"/>
  <headerFooter>
    <oddHeader>&amp;L&amp;"Tahoma,Kurzíva"&amp;10Návrh rozpočtu na rok 2023
Příloha č. 10&amp;R&amp;"Tahoma,Kurzíva"&amp;10Přehled akcí spolufinancovaných z evropských finančních zdrojů v návrhu rozpočtu kraje na rok 2023
včetně závazků kraje vyvolaných pro rok 2024 a další léta</oddHeader>
    <oddFooter>&amp;C&amp;"Tahoma,Obyčejné"&amp;10&amp;P</oddFooter>
  </headerFooter>
  <rowBreaks count="3" manualBreakCount="3">
    <brk id="25" max="12" man="1"/>
    <brk id="52" max="12" man="1"/>
    <brk id="8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D8B7-4C81-41B3-985B-92E2E1AE5542}">
  <sheetPr>
    <pageSetUpPr fitToPage="1"/>
  </sheetPr>
  <dimension ref="A1:L112"/>
  <sheetViews>
    <sheetView zoomScaleNormal="100" zoomScaleSheetLayoutView="100" workbookViewId="0">
      <pane ySplit="4" topLeftCell="A5" activePane="bottomLeft" state="frozen"/>
      <selection activeCell="H15" sqref="H15"/>
      <selection pane="bottomLeft" activeCell="H15" sqref="H15"/>
    </sheetView>
  </sheetViews>
  <sheetFormatPr defaultColWidth="9.140625" defaultRowHeight="12.75" x14ac:dyDescent="0.2"/>
  <cols>
    <col min="1" max="1" width="50.7109375" style="50" customWidth="1"/>
    <col min="2" max="2" width="10.28515625" style="366" hidden="1" customWidth="1"/>
    <col min="3" max="3" width="11" style="367" hidden="1" customWidth="1"/>
    <col min="4" max="11" width="12.7109375" style="205" customWidth="1"/>
    <col min="12" max="12" width="0" style="50" hidden="1" customWidth="1"/>
    <col min="13" max="16384" width="9.140625" style="50"/>
  </cols>
  <sheetData>
    <row r="1" spans="1:12" s="207" customFormat="1" ht="23.25" customHeight="1" x14ac:dyDescent="0.25">
      <c r="A1" s="455" t="s">
        <v>455</v>
      </c>
      <c r="B1" s="455"/>
      <c r="C1" s="455"/>
      <c r="D1" s="456"/>
      <c r="E1" s="456"/>
      <c r="F1" s="456"/>
      <c r="G1" s="456"/>
      <c r="H1" s="456"/>
      <c r="I1" s="456"/>
      <c r="J1" s="456"/>
      <c r="K1" s="456"/>
    </row>
    <row r="2" spans="1:12" x14ac:dyDescent="0.2">
      <c r="A2" s="206"/>
      <c r="B2" s="351"/>
      <c r="C2" s="352"/>
      <c r="D2" s="206"/>
      <c r="E2" s="206"/>
      <c r="F2" s="206"/>
      <c r="G2" s="206"/>
      <c r="H2" s="206"/>
      <c r="I2" s="206"/>
      <c r="J2" s="206"/>
      <c r="K2" s="245" t="s">
        <v>31</v>
      </c>
    </row>
    <row r="3" spans="1:12" ht="29.25" customHeight="1" x14ac:dyDescent="0.2">
      <c r="A3" s="457" t="s">
        <v>37</v>
      </c>
      <c r="B3" s="353"/>
      <c r="C3" s="354"/>
      <c r="D3" s="459" t="s">
        <v>65</v>
      </c>
      <c r="E3" s="459" t="s">
        <v>456</v>
      </c>
      <c r="F3" s="461" t="s">
        <v>66</v>
      </c>
      <c r="G3" s="462"/>
      <c r="H3" s="463" t="s">
        <v>67</v>
      </c>
      <c r="I3" s="464"/>
      <c r="J3" s="465" t="s">
        <v>457</v>
      </c>
      <c r="K3" s="466"/>
    </row>
    <row r="4" spans="1:12" ht="60" customHeight="1" thickBot="1" x14ac:dyDescent="0.25">
      <c r="A4" s="458"/>
      <c r="B4" s="355" t="s">
        <v>458</v>
      </c>
      <c r="C4" s="356" t="s">
        <v>459</v>
      </c>
      <c r="D4" s="460"/>
      <c r="E4" s="460"/>
      <c r="F4" s="248" t="s">
        <v>68</v>
      </c>
      <c r="G4" s="249" t="s">
        <v>234</v>
      </c>
      <c r="H4" s="248" t="s">
        <v>68</v>
      </c>
      <c r="I4" s="249" t="s">
        <v>233</v>
      </c>
      <c r="J4" s="244" t="s">
        <v>68</v>
      </c>
      <c r="K4" s="246" t="s">
        <v>232</v>
      </c>
    </row>
    <row r="5" spans="1:12" s="255" customFormat="1" ht="21" customHeight="1" x14ac:dyDescent="0.25">
      <c r="A5" s="471" t="s">
        <v>69</v>
      </c>
      <c r="B5" s="472"/>
      <c r="C5" s="472"/>
      <c r="D5" s="472"/>
      <c r="E5" s="472"/>
      <c r="F5" s="472"/>
      <c r="G5" s="472"/>
      <c r="H5" s="472"/>
      <c r="I5" s="472"/>
      <c r="J5" s="472"/>
      <c r="K5" s="473"/>
    </row>
    <row r="6" spans="1:12" s="255" customFormat="1" ht="15" customHeight="1" x14ac:dyDescent="0.25">
      <c r="A6" s="467" t="s">
        <v>63</v>
      </c>
      <c r="B6" s="468"/>
      <c r="C6" s="468"/>
      <c r="D6" s="469"/>
      <c r="E6" s="469"/>
      <c r="F6" s="469"/>
      <c r="G6" s="469"/>
      <c r="H6" s="469"/>
      <c r="I6" s="469"/>
      <c r="J6" s="469"/>
      <c r="K6" s="470"/>
      <c r="L6" s="358">
        <f>E6-F6-H6</f>
        <v>0</v>
      </c>
    </row>
    <row r="7" spans="1:12" s="255" customFormat="1" ht="15" customHeight="1" x14ac:dyDescent="0.25">
      <c r="A7" s="374" t="s">
        <v>379</v>
      </c>
      <c r="B7" s="357">
        <v>3558</v>
      </c>
      <c r="C7" s="357">
        <v>14</v>
      </c>
      <c r="D7" s="167">
        <v>9990</v>
      </c>
      <c r="E7" s="167">
        <v>7952</v>
      </c>
      <c r="F7" s="167">
        <v>1193</v>
      </c>
      <c r="G7" s="51">
        <v>0</v>
      </c>
      <c r="H7" s="167">
        <f>259+6500</f>
        <v>6759</v>
      </c>
      <c r="I7" s="51">
        <v>6500</v>
      </c>
      <c r="J7" s="167">
        <v>0</v>
      </c>
      <c r="K7" s="263">
        <v>0</v>
      </c>
      <c r="L7" s="358">
        <f>E7-F7-H7</f>
        <v>0</v>
      </c>
    </row>
    <row r="8" spans="1:12" s="255" customFormat="1" ht="24" customHeight="1" x14ac:dyDescent="0.25">
      <c r="A8" s="261" t="s">
        <v>64</v>
      </c>
      <c r="B8" s="359"/>
      <c r="C8" s="359"/>
      <c r="D8" s="251" t="s">
        <v>367</v>
      </c>
      <c r="E8" s="251">
        <f t="shared" ref="E8:K8" si="0">E7</f>
        <v>7952</v>
      </c>
      <c r="F8" s="251">
        <f t="shared" si="0"/>
        <v>1193</v>
      </c>
      <c r="G8" s="251">
        <f t="shared" si="0"/>
        <v>0</v>
      </c>
      <c r="H8" s="251">
        <f t="shared" si="0"/>
        <v>6759</v>
      </c>
      <c r="I8" s="251">
        <f t="shared" si="0"/>
        <v>6500</v>
      </c>
      <c r="J8" s="251">
        <f t="shared" si="0"/>
        <v>0</v>
      </c>
      <c r="K8" s="262">
        <f t="shared" si="0"/>
        <v>0</v>
      </c>
      <c r="L8" s="358">
        <f>E8-F8-H8</f>
        <v>0</v>
      </c>
    </row>
    <row r="9" spans="1:12" ht="18" customHeight="1" x14ac:dyDescent="0.2">
      <c r="A9" s="467" t="s">
        <v>219</v>
      </c>
      <c r="B9" s="468"/>
      <c r="C9" s="468"/>
      <c r="D9" s="469"/>
      <c r="E9" s="469"/>
      <c r="F9" s="469"/>
      <c r="G9" s="469"/>
      <c r="H9" s="469"/>
      <c r="I9" s="469"/>
      <c r="J9" s="469"/>
      <c r="K9" s="470"/>
    </row>
    <row r="10" spans="1:12" s="254" customFormat="1" ht="27" customHeight="1" x14ac:dyDescent="0.25">
      <c r="A10" s="375" t="s">
        <v>146</v>
      </c>
      <c r="B10" s="357">
        <v>3424</v>
      </c>
      <c r="C10" s="357">
        <v>14</v>
      </c>
      <c r="D10" s="167">
        <v>70585</v>
      </c>
      <c r="E10" s="167">
        <v>59000</v>
      </c>
      <c r="F10" s="167">
        <v>5900</v>
      </c>
      <c r="G10" s="51">
        <v>0</v>
      </c>
      <c r="H10" s="167">
        <v>53100</v>
      </c>
      <c r="I10" s="51">
        <v>53100</v>
      </c>
      <c r="J10" s="167">
        <v>62100</v>
      </c>
      <c r="K10" s="259">
        <v>61600</v>
      </c>
      <c r="L10" s="358">
        <f>E10-F10-H10</f>
        <v>0</v>
      </c>
    </row>
    <row r="11" spans="1:12" s="254" customFormat="1" ht="15" customHeight="1" x14ac:dyDescent="0.25">
      <c r="A11" s="375" t="s">
        <v>218</v>
      </c>
      <c r="B11" s="357">
        <v>3484</v>
      </c>
      <c r="C11" s="357">
        <v>14</v>
      </c>
      <c r="D11" s="167">
        <v>135067</v>
      </c>
      <c r="E11" s="167">
        <v>33000</v>
      </c>
      <c r="F11" s="167">
        <v>6930</v>
      </c>
      <c r="G11" s="51">
        <v>0</v>
      </c>
      <c r="H11" s="167">
        <v>26070</v>
      </c>
      <c r="I11" s="51">
        <v>26070</v>
      </c>
      <c r="J11" s="167">
        <v>102630</v>
      </c>
      <c r="K11" s="259">
        <v>102514</v>
      </c>
      <c r="L11" s="358">
        <f t="shared" ref="L11:L71" si="1">E11-F11-H11</f>
        <v>0</v>
      </c>
    </row>
    <row r="12" spans="1:12" s="254" customFormat="1" ht="15" customHeight="1" x14ac:dyDescent="0.25">
      <c r="A12" s="375" t="s">
        <v>200</v>
      </c>
      <c r="B12" s="357">
        <v>3453</v>
      </c>
      <c r="C12" s="357">
        <v>14</v>
      </c>
      <c r="D12" s="167">
        <v>16654</v>
      </c>
      <c r="E12" s="167">
        <v>13500</v>
      </c>
      <c r="F12" s="167">
        <v>12514</v>
      </c>
      <c r="G12" s="51">
        <v>0</v>
      </c>
      <c r="H12" s="167">
        <v>986</v>
      </c>
      <c r="I12" s="51">
        <v>986</v>
      </c>
      <c r="J12" s="167">
        <v>1866</v>
      </c>
      <c r="K12" s="259">
        <v>986</v>
      </c>
      <c r="L12" s="358">
        <f t="shared" si="1"/>
        <v>0</v>
      </c>
    </row>
    <row r="13" spans="1:12" s="254" customFormat="1" ht="15" customHeight="1" x14ac:dyDescent="0.25">
      <c r="A13" s="376" t="s">
        <v>385</v>
      </c>
      <c r="B13" s="357">
        <v>3529</v>
      </c>
      <c r="C13" s="357">
        <v>14</v>
      </c>
      <c r="D13" s="167">
        <v>66000</v>
      </c>
      <c r="E13" s="167">
        <v>65700</v>
      </c>
      <c r="F13" s="167">
        <v>12660</v>
      </c>
      <c r="G13" s="51">
        <v>0</v>
      </c>
      <c r="H13" s="167">
        <v>53040</v>
      </c>
      <c r="I13" s="51">
        <v>52870</v>
      </c>
      <c r="J13" s="167">
        <v>0</v>
      </c>
      <c r="K13" s="259">
        <v>0</v>
      </c>
      <c r="L13" s="358">
        <f t="shared" si="1"/>
        <v>0</v>
      </c>
    </row>
    <row r="14" spans="1:12" s="254" customFormat="1" ht="24" customHeight="1" x14ac:dyDescent="0.25">
      <c r="A14" s="376" t="s">
        <v>382</v>
      </c>
      <c r="B14" s="357">
        <v>3530</v>
      </c>
      <c r="C14" s="357">
        <v>14</v>
      </c>
      <c r="D14" s="167">
        <v>86900</v>
      </c>
      <c r="E14" s="167">
        <v>43300</v>
      </c>
      <c r="F14" s="167">
        <v>7345</v>
      </c>
      <c r="G14" s="51">
        <v>0</v>
      </c>
      <c r="H14" s="167">
        <f>170+35785</f>
        <v>35955</v>
      </c>
      <c r="I14" s="51">
        <v>35785</v>
      </c>
      <c r="J14" s="167">
        <v>0</v>
      </c>
      <c r="K14" s="259">
        <v>0</v>
      </c>
      <c r="L14" s="358">
        <f t="shared" si="1"/>
        <v>0</v>
      </c>
    </row>
    <row r="15" spans="1:12" s="254" customFormat="1" ht="15" customHeight="1" x14ac:dyDescent="0.25">
      <c r="A15" s="376" t="s">
        <v>386</v>
      </c>
      <c r="B15" s="357">
        <v>3531</v>
      </c>
      <c r="C15" s="357">
        <v>14</v>
      </c>
      <c r="D15" s="167">
        <v>33000</v>
      </c>
      <c r="E15" s="167">
        <v>32700</v>
      </c>
      <c r="F15" s="167">
        <v>6308</v>
      </c>
      <c r="G15" s="51">
        <v>0</v>
      </c>
      <c r="H15" s="167">
        <f>170+I15</f>
        <v>26392</v>
      </c>
      <c r="I15" s="51">
        <v>26222</v>
      </c>
      <c r="J15" s="167">
        <v>0</v>
      </c>
      <c r="K15" s="259">
        <v>0</v>
      </c>
      <c r="L15" s="358">
        <f t="shared" si="1"/>
        <v>0</v>
      </c>
    </row>
    <row r="16" spans="1:12" s="254" customFormat="1" ht="15" customHeight="1" x14ac:dyDescent="0.25">
      <c r="A16" s="376" t="s">
        <v>383</v>
      </c>
      <c r="B16" s="357">
        <v>3533</v>
      </c>
      <c r="C16" s="357">
        <v>14</v>
      </c>
      <c r="D16" s="167">
        <v>164000</v>
      </c>
      <c r="E16" s="167">
        <v>163700</v>
      </c>
      <c r="F16" s="167">
        <v>47505</v>
      </c>
      <c r="G16" s="51">
        <v>0</v>
      </c>
      <c r="H16" s="167">
        <f>175+116020</f>
        <v>116195</v>
      </c>
      <c r="I16" s="51">
        <v>116020</v>
      </c>
      <c r="J16" s="167">
        <v>0</v>
      </c>
      <c r="K16" s="259">
        <v>0</v>
      </c>
      <c r="L16" s="358">
        <f t="shared" si="1"/>
        <v>0</v>
      </c>
    </row>
    <row r="17" spans="1:12" s="254" customFormat="1" ht="15" customHeight="1" x14ac:dyDescent="0.25">
      <c r="A17" s="376" t="s">
        <v>384</v>
      </c>
      <c r="B17" s="357">
        <v>3534</v>
      </c>
      <c r="C17" s="357">
        <v>14</v>
      </c>
      <c r="D17" s="167">
        <v>56000</v>
      </c>
      <c r="E17" s="167">
        <v>55700</v>
      </c>
      <c r="F17" s="167">
        <v>10735</v>
      </c>
      <c r="G17" s="51">
        <v>0</v>
      </c>
      <c r="H17" s="167">
        <f>165+44800</f>
        <v>44965</v>
      </c>
      <c r="I17" s="51">
        <v>44800</v>
      </c>
      <c r="J17" s="167">
        <v>0</v>
      </c>
      <c r="K17" s="259">
        <v>0</v>
      </c>
      <c r="L17" s="358">
        <f t="shared" si="1"/>
        <v>0</v>
      </c>
    </row>
    <row r="18" spans="1:12" s="254" customFormat="1" ht="15" customHeight="1" x14ac:dyDescent="0.25">
      <c r="A18" s="375" t="s">
        <v>460</v>
      </c>
      <c r="B18" s="357">
        <v>3429</v>
      </c>
      <c r="C18" s="357">
        <v>14</v>
      </c>
      <c r="D18" s="167">
        <v>77307</v>
      </c>
      <c r="E18" s="167">
        <v>0</v>
      </c>
      <c r="F18" s="167">
        <v>0</v>
      </c>
      <c r="G18" s="51">
        <v>0</v>
      </c>
      <c r="H18" s="167">
        <v>0</v>
      </c>
      <c r="I18" s="51">
        <v>0</v>
      </c>
      <c r="J18" s="167">
        <v>55230</v>
      </c>
      <c r="K18" s="259">
        <v>54970</v>
      </c>
      <c r="L18" s="358">
        <f>E18-F18-H18</f>
        <v>0</v>
      </c>
    </row>
    <row r="19" spans="1:12" s="254" customFormat="1" ht="15" customHeight="1" x14ac:dyDescent="0.25">
      <c r="A19" s="375" t="s">
        <v>263</v>
      </c>
      <c r="B19" s="357">
        <v>3456</v>
      </c>
      <c r="C19" s="357">
        <v>14</v>
      </c>
      <c r="D19" s="167">
        <v>29067</v>
      </c>
      <c r="E19" s="167">
        <v>0</v>
      </c>
      <c r="F19" s="167">
        <v>0</v>
      </c>
      <c r="G19" s="51">
        <v>0</v>
      </c>
      <c r="H19" s="167">
        <v>0</v>
      </c>
      <c r="I19" s="51">
        <v>0</v>
      </c>
      <c r="J19" s="167">
        <v>24960</v>
      </c>
      <c r="K19" s="259">
        <v>24844</v>
      </c>
      <c r="L19" s="358">
        <f>E19-F19-H19</f>
        <v>0</v>
      </c>
    </row>
    <row r="20" spans="1:12" s="254" customFormat="1" ht="15" customHeight="1" x14ac:dyDescent="0.25">
      <c r="A20" s="375" t="s">
        <v>461</v>
      </c>
      <c r="B20" s="357">
        <v>3481</v>
      </c>
      <c r="C20" s="357">
        <v>14</v>
      </c>
      <c r="D20" s="167">
        <v>116067</v>
      </c>
      <c r="E20" s="167">
        <v>0</v>
      </c>
      <c r="F20" s="167">
        <v>0</v>
      </c>
      <c r="G20" s="51">
        <v>0</v>
      </c>
      <c r="H20" s="167">
        <v>0</v>
      </c>
      <c r="I20" s="51">
        <v>0</v>
      </c>
      <c r="J20" s="167">
        <v>102840</v>
      </c>
      <c r="K20" s="259">
        <v>102524</v>
      </c>
      <c r="L20" s="358">
        <f>E20-F20-H20</f>
        <v>0</v>
      </c>
    </row>
    <row r="21" spans="1:12" s="254" customFormat="1" ht="21" x14ac:dyDescent="0.25">
      <c r="A21" s="375" t="s">
        <v>217</v>
      </c>
      <c r="B21" s="357">
        <v>3482</v>
      </c>
      <c r="C21" s="357">
        <v>14</v>
      </c>
      <c r="D21" s="167">
        <v>92767</v>
      </c>
      <c r="E21" s="167">
        <v>0</v>
      </c>
      <c r="F21" s="167">
        <v>0</v>
      </c>
      <c r="G21" s="51">
        <v>0</v>
      </c>
      <c r="H21" s="167">
        <v>0</v>
      </c>
      <c r="I21" s="51">
        <v>0</v>
      </c>
      <c r="J21" s="167">
        <v>79890</v>
      </c>
      <c r="K21" s="259">
        <v>79830</v>
      </c>
      <c r="L21" s="358">
        <f>E21-F21-H21</f>
        <v>0</v>
      </c>
    </row>
    <row r="22" spans="1:12" s="255" customFormat="1" ht="15" customHeight="1" x14ac:dyDescent="0.25">
      <c r="A22" s="261" t="s">
        <v>216</v>
      </c>
      <c r="B22" s="359"/>
      <c r="C22" s="359"/>
      <c r="D22" s="251" t="s">
        <v>367</v>
      </c>
      <c r="E22" s="251">
        <f t="shared" ref="E22:K22" si="2">SUM(E10:E21)</f>
        <v>466600</v>
      </c>
      <c r="F22" s="251">
        <f t="shared" si="2"/>
        <v>109897</v>
      </c>
      <c r="G22" s="251">
        <f t="shared" si="2"/>
        <v>0</v>
      </c>
      <c r="H22" s="251">
        <f t="shared" si="2"/>
        <v>356703</v>
      </c>
      <c r="I22" s="251">
        <f t="shared" si="2"/>
        <v>355853</v>
      </c>
      <c r="J22" s="251">
        <f t="shared" si="2"/>
        <v>429516</v>
      </c>
      <c r="K22" s="262">
        <f t="shared" si="2"/>
        <v>427268</v>
      </c>
      <c r="L22" s="358">
        <f t="shared" si="1"/>
        <v>0</v>
      </c>
    </row>
    <row r="23" spans="1:12" s="255" customFormat="1" ht="18" customHeight="1" x14ac:dyDescent="0.25">
      <c r="A23" s="474" t="s">
        <v>264</v>
      </c>
      <c r="B23" s="475"/>
      <c r="C23" s="475"/>
      <c r="D23" s="476"/>
      <c r="E23" s="476"/>
      <c r="F23" s="469"/>
      <c r="G23" s="469"/>
      <c r="H23" s="469"/>
      <c r="I23" s="469"/>
      <c r="J23" s="476"/>
      <c r="K23" s="477"/>
      <c r="L23" s="358">
        <f>E23-F23-H23</f>
        <v>0</v>
      </c>
    </row>
    <row r="24" spans="1:12" s="255" customFormat="1" ht="15" customHeight="1" x14ac:dyDescent="0.25">
      <c r="A24" s="280" t="s">
        <v>483</v>
      </c>
      <c r="B24" s="357">
        <v>3556</v>
      </c>
      <c r="C24" s="357">
        <v>14</v>
      </c>
      <c r="D24" s="167">
        <v>503000</v>
      </c>
      <c r="E24" s="167">
        <v>13000</v>
      </c>
      <c r="F24" s="167">
        <v>1950</v>
      </c>
      <c r="G24" s="51">
        <v>0</v>
      </c>
      <c r="H24" s="167">
        <f>550+10500</f>
        <v>11050</v>
      </c>
      <c r="I24" s="51">
        <v>10500</v>
      </c>
      <c r="J24" s="167">
        <v>0</v>
      </c>
      <c r="K24" s="259">
        <v>0</v>
      </c>
      <c r="L24" s="358">
        <f>E24-F24-H24</f>
        <v>0</v>
      </c>
    </row>
    <row r="25" spans="1:12" s="255" customFormat="1" ht="15" customHeight="1" x14ac:dyDescent="0.25">
      <c r="A25" s="261" t="s">
        <v>266</v>
      </c>
      <c r="B25" s="359"/>
      <c r="C25" s="359"/>
      <c r="D25" s="251" t="s">
        <v>367</v>
      </c>
      <c r="E25" s="251">
        <f t="shared" ref="E25:K25" si="3">SUM(E24)</f>
        <v>13000</v>
      </c>
      <c r="F25" s="251">
        <f t="shared" si="3"/>
        <v>1950</v>
      </c>
      <c r="G25" s="251">
        <f t="shared" si="3"/>
        <v>0</v>
      </c>
      <c r="H25" s="251">
        <f t="shared" si="3"/>
        <v>11050</v>
      </c>
      <c r="I25" s="251">
        <f t="shared" si="3"/>
        <v>10500</v>
      </c>
      <c r="J25" s="251">
        <f t="shared" si="3"/>
        <v>0</v>
      </c>
      <c r="K25" s="262">
        <f t="shared" si="3"/>
        <v>0</v>
      </c>
      <c r="L25" s="358">
        <f>E25-F25-H25</f>
        <v>0</v>
      </c>
    </row>
    <row r="26" spans="1:12" s="253" customFormat="1" ht="18" customHeight="1" x14ac:dyDescent="0.25">
      <c r="A26" s="467" t="s">
        <v>42</v>
      </c>
      <c r="B26" s="468"/>
      <c r="C26" s="468"/>
      <c r="D26" s="469"/>
      <c r="E26" s="469"/>
      <c r="F26" s="469"/>
      <c r="G26" s="469"/>
      <c r="H26" s="469"/>
      <c r="I26" s="469"/>
      <c r="J26" s="469"/>
      <c r="K26" s="470"/>
      <c r="L26" s="358">
        <f t="shared" si="1"/>
        <v>0</v>
      </c>
    </row>
    <row r="27" spans="1:12" s="254" customFormat="1" ht="15" customHeight="1" x14ac:dyDescent="0.25">
      <c r="A27" s="374" t="s">
        <v>267</v>
      </c>
      <c r="B27" s="357">
        <v>3505</v>
      </c>
      <c r="C27" s="357">
        <v>14</v>
      </c>
      <c r="D27" s="167">
        <v>2600000</v>
      </c>
      <c r="E27" s="167">
        <v>34250</v>
      </c>
      <c r="F27" s="167">
        <v>8750</v>
      </c>
      <c r="G27" s="51">
        <v>0</v>
      </c>
      <c r="H27" s="167">
        <f>1250+24250</f>
        <v>25500</v>
      </c>
      <c r="I27" s="51">
        <v>24250</v>
      </c>
      <c r="J27" s="167">
        <v>1184</v>
      </c>
      <c r="K27" s="263">
        <v>0</v>
      </c>
      <c r="L27" s="358">
        <f t="shared" si="1"/>
        <v>0</v>
      </c>
    </row>
    <row r="28" spans="1:12" s="254" customFormat="1" ht="15" customHeight="1" x14ac:dyDescent="0.25">
      <c r="A28" s="374" t="s">
        <v>396</v>
      </c>
      <c r="B28" s="357">
        <v>3523</v>
      </c>
      <c r="C28" s="357">
        <v>14</v>
      </c>
      <c r="D28" s="167">
        <v>179966</v>
      </c>
      <c r="E28" s="167">
        <v>28108</v>
      </c>
      <c r="F28" s="167">
        <v>7027</v>
      </c>
      <c r="G28" s="51">
        <v>0</v>
      </c>
      <c r="H28" s="167">
        <f>281+20800</f>
        <v>21081</v>
      </c>
      <c r="I28" s="51">
        <v>20800</v>
      </c>
      <c r="J28" s="167">
        <v>14054</v>
      </c>
      <c r="K28" s="259">
        <v>14000</v>
      </c>
      <c r="L28" s="358">
        <f t="shared" si="1"/>
        <v>0</v>
      </c>
    </row>
    <row r="29" spans="1:12" s="254" customFormat="1" ht="15" customHeight="1" x14ac:dyDescent="0.25">
      <c r="A29" s="377" t="s">
        <v>397</v>
      </c>
      <c r="B29" s="357">
        <v>3555</v>
      </c>
      <c r="C29" s="357">
        <v>14</v>
      </c>
      <c r="D29" s="167">
        <v>250000</v>
      </c>
      <c r="E29" s="167">
        <v>26000</v>
      </c>
      <c r="F29" s="167">
        <v>4750</v>
      </c>
      <c r="G29" s="51">
        <v>4750</v>
      </c>
      <c r="H29" s="167">
        <f>250+21000</f>
        <v>21250</v>
      </c>
      <c r="I29" s="51">
        <v>21000</v>
      </c>
      <c r="J29" s="167">
        <v>0</v>
      </c>
      <c r="K29" s="259">
        <v>0</v>
      </c>
      <c r="L29" s="358">
        <f t="shared" si="1"/>
        <v>0</v>
      </c>
    </row>
    <row r="30" spans="1:12" s="255" customFormat="1" ht="15" customHeight="1" x14ac:dyDescent="0.25">
      <c r="A30" s="261" t="s">
        <v>43</v>
      </c>
      <c r="B30" s="359"/>
      <c r="C30" s="359"/>
      <c r="D30" s="251" t="s">
        <v>367</v>
      </c>
      <c r="E30" s="251">
        <f t="shared" ref="E30:K30" si="4">SUM(E27:E29)</f>
        <v>88358</v>
      </c>
      <c r="F30" s="251">
        <f t="shared" si="4"/>
        <v>20527</v>
      </c>
      <c r="G30" s="251">
        <f t="shared" si="4"/>
        <v>4750</v>
      </c>
      <c r="H30" s="251">
        <f t="shared" si="4"/>
        <v>67831</v>
      </c>
      <c r="I30" s="251">
        <f>SUM(I27:I29)</f>
        <v>66050</v>
      </c>
      <c r="J30" s="251">
        <f t="shared" si="4"/>
        <v>15238</v>
      </c>
      <c r="K30" s="262">
        <f t="shared" si="4"/>
        <v>14000</v>
      </c>
      <c r="L30" s="358">
        <f t="shared" si="1"/>
        <v>0</v>
      </c>
    </row>
    <row r="31" spans="1:12" s="253" customFormat="1" ht="18" customHeight="1" x14ac:dyDescent="0.25">
      <c r="A31" s="467" t="s">
        <v>44</v>
      </c>
      <c r="B31" s="468"/>
      <c r="C31" s="468"/>
      <c r="D31" s="469"/>
      <c r="E31" s="469"/>
      <c r="F31" s="469"/>
      <c r="G31" s="469"/>
      <c r="H31" s="469"/>
      <c r="I31" s="469"/>
      <c r="J31" s="469"/>
      <c r="K31" s="470"/>
      <c r="L31" s="358">
        <f t="shared" si="1"/>
        <v>0</v>
      </c>
    </row>
    <row r="32" spans="1:12" s="254" customFormat="1" ht="24" customHeight="1" x14ac:dyDescent="0.25">
      <c r="A32" s="375" t="s">
        <v>57</v>
      </c>
      <c r="B32" s="368" t="s">
        <v>462</v>
      </c>
      <c r="C32" s="357">
        <v>14</v>
      </c>
      <c r="D32" s="167">
        <v>40001</v>
      </c>
      <c r="E32" s="167">
        <v>18085</v>
      </c>
      <c r="F32" s="167">
        <v>1809</v>
      </c>
      <c r="G32" s="51">
        <v>0</v>
      </c>
      <c r="H32" s="167">
        <v>16276</v>
      </c>
      <c r="I32" s="51">
        <v>16276</v>
      </c>
      <c r="J32" s="167">
        <v>32654</v>
      </c>
      <c r="K32" s="259">
        <v>31488</v>
      </c>
      <c r="L32" s="358">
        <f t="shared" si="1"/>
        <v>0</v>
      </c>
    </row>
    <row r="33" spans="1:12" s="254" customFormat="1" ht="15" customHeight="1" x14ac:dyDescent="0.25">
      <c r="A33" s="375" t="s">
        <v>147</v>
      </c>
      <c r="B33" s="368" t="s">
        <v>463</v>
      </c>
      <c r="C33" s="357">
        <v>14</v>
      </c>
      <c r="D33" s="167">
        <v>270000</v>
      </c>
      <c r="E33" s="167">
        <v>162741</v>
      </c>
      <c r="F33" s="167">
        <f>9815+129698</f>
        <v>139513</v>
      </c>
      <c r="G33" s="51">
        <v>129698</v>
      </c>
      <c r="H33" s="167">
        <v>23228</v>
      </c>
      <c r="I33" s="51">
        <v>23228</v>
      </c>
      <c r="J33" s="167">
        <v>43596</v>
      </c>
      <c r="K33" s="259">
        <v>42593</v>
      </c>
      <c r="L33" s="358">
        <f t="shared" si="1"/>
        <v>0</v>
      </c>
    </row>
    <row r="34" spans="1:12" s="254" customFormat="1" ht="24" customHeight="1" x14ac:dyDescent="0.25">
      <c r="A34" s="375" t="s">
        <v>192</v>
      </c>
      <c r="B34" s="368" t="s">
        <v>464</v>
      </c>
      <c r="C34" s="357">
        <v>14</v>
      </c>
      <c r="D34" s="167">
        <v>75000</v>
      </c>
      <c r="E34" s="167">
        <v>33520</v>
      </c>
      <c r="F34" s="167">
        <v>33077</v>
      </c>
      <c r="G34" s="51">
        <v>19995</v>
      </c>
      <c r="H34" s="167">
        <v>443</v>
      </c>
      <c r="I34" s="51">
        <v>443</v>
      </c>
      <c r="J34" s="167">
        <v>3934</v>
      </c>
      <c r="K34" s="259">
        <v>3934</v>
      </c>
      <c r="L34" s="358">
        <f t="shared" si="1"/>
        <v>0</v>
      </c>
    </row>
    <row r="35" spans="1:12" s="254" customFormat="1" ht="15" customHeight="1" x14ac:dyDescent="0.25">
      <c r="A35" s="375" t="s">
        <v>56</v>
      </c>
      <c r="B35" s="368" t="s">
        <v>465</v>
      </c>
      <c r="C35" s="357">
        <v>14</v>
      </c>
      <c r="D35" s="167">
        <v>38999</v>
      </c>
      <c r="E35" s="167">
        <v>15960</v>
      </c>
      <c r="F35" s="167">
        <v>8760</v>
      </c>
      <c r="G35" s="51">
        <v>0</v>
      </c>
      <c r="H35" s="167">
        <v>7200</v>
      </c>
      <c r="I35" s="51">
        <v>7200</v>
      </c>
      <c r="J35" s="167">
        <v>24083</v>
      </c>
      <c r="K35" s="259">
        <v>21083</v>
      </c>
      <c r="L35" s="358">
        <f t="shared" si="1"/>
        <v>0</v>
      </c>
    </row>
    <row r="36" spans="1:12" s="255" customFormat="1" ht="15" customHeight="1" x14ac:dyDescent="0.25">
      <c r="A36" s="261" t="s">
        <v>45</v>
      </c>
      <c r="B36" s="359"/>
      <c r="C36" s="359"/>
      <c r="D36" s="251" t="s">
        <v>367</v>
      </c>
      <c r="E36" s="251">
        <f t="shared" ref="E36:K36" si="5">SUM(E32:E35)</f>
        <v>230306</v>
      </c>
      <c r="F36" s="251">
        <f t="shared" si="5"/>
        <v>183159</v>
      </c>
      <c r="G36" s="251">
        <f t="shared" si="5"/>
        <v>149693</v>
      </c>
      <c r="H36" s="251">
        <f t="shared" si="5"/>
        <v>47147</v>
      </c>
      <c r="I36" s="251">
        <f t="shared" si="5"/>
        <v>47147</v>
      </c>
      <c r="J36" s="251">
        <f t="shared" si="5"/>
        <v>104267</v>
      </c>
      <c r="K36" s="262">
        <f t="shared" si="5"/>
        <v>99098</v>
      </c>
      <c r="L36" s="358">
        <f t="shared" si="1"/>
        <v>0</v>
      </c>
    </row>
    <row r="37" spans="1:12" s="253" customFormat="1" ht="18" customHeight="1" x14ac:dyDescent="0.25">
      <c r="A37" s="467" t="s">
        <v>46</v>
      </c>
      <c r="B37" s="468"/>
      <c r="C37" s="468"/>
      <c r="D37" s="469"/>
      <c r="E37" s="469"/>
      <c r="F37" s="469"/>
      <c r="G37" s="469"/>
      <c r="H37" s="469"/>
      <c r="I37" s="469"/>
      <c r="J37" s="469"/>
      <c r="K37" s="470"/>
      <c r="L37" s="358">
        <f t="shared" si="1"/>
        <v>0</v>
      </c>
    </row>
    <row r="38" spans="1:12" s="254" customFormat="1" ht="15" customHeight="1" x14ac:dyDescent="0.25">
      <c r="A38" s="375" t="s">
        <v>215</v>
      </c>
      <c r="B38" s="357">
        <v>3486</v>
      </c>
      <c r="C38" s="357">
        <v>14</v>
      </c>
      <c r="D38" s="167">
        <v>21920</v>
      </c>
      <c r="E38" s="167">
        <v>1706</v>
      </c>
      <c r="F38" s="167">
        <v>1611</v>
      </c>
      <c r="G38" s="51">
        <v>0</v>
      </c>
      <c r="H38" s="167">
        <v>95</v>
      </c>
      <c r="I38" s="51">
        <v>0</v>
      </c>
      <c r="J38" s="167">
        <v>18288</v>
      </c>
      <c r="K38" s="259">
        <v>17113</v>
      </c>
      <c r="L38" s="358">
        <f t="shared" si="1"/>
        <v>0</v>
      </c>
    </row>
    <row r="39" spans="1:12" s="254" customFormat="1" ht="15" customHeight="1" x14ac:dyDescent="0.25">
      <c r="A39" s="375" t="s">
        <v>202</v>
      </c>
      <c r="B39" s="357">
        <v>3465</v>
      </c>
      <c r="C39" s="357">
        <v>14</v>
      </c>
      <c r="D39" s="167">
        <v>21000</v>
      </c>
      <c r="E39" s="167">
        <v>3799</v>
      </c>
      <c r="F39" s="167">
        <v>380</v>
      </c>
      <c r="G39" s="51">
        <v>0</v>
      </c>
      <c r="H39" s="167">
        <v>3419</v>
      </c>
      <c r="I39" s="51">
        <v>3419</v>
      </c>
      <c r="J39" s="167">
        <v>18900</v>
      </c>
      <c r="K39" s="259">
        <v>18430</v>
      </c>
      <c r="L39" s="358">
        <f t="shared" si="1"/>
        <v>0</v>
      </c>
    </row>
    <row r="40" spans="1:12" s="254" customFormat="1" ht="15" customHeight="1" x14ac:dyDescent="0.25">
      <c r="A40" s="375" t="s">
        <v>466</v>
      </c>
      <c r="B40" s="357">
        <v>3525</v>
      </c>
      <c r="C40" s="357">
        <v>14</v>
      </c>
      <c r="D40" s="167">
        <v>10000</v>
      </c>
      <c r="E40" s="167">
        <v>9800</v>
      </c>
      <c r="F40" s="167">
        <v>980</v>
      </c>
      <c r="G40" s="51">
        <v>0</v>
      </c>
      <c r="H40" s="167">
        <f>120+8700</f>
        <v>8820</v>
      </c>
      <c r="I40" s="51">
        <v>8700</v>
      </c>
      <c r="J40" s="167">
        <v>0</v>
      </c>
      <c r="K40" s="259">
        <v>0</v>
      </c>
      <c r="L40" s="358">
        <f t="shared" si="1"/>
        <v>0</v>
      </c>
    </row>
    <row r="41" spans="1:12" s="254" customFormat="1" ht="15" customHeight="1" x14ac:dyDescent="0.25">
      <c r="A41" s="375" t="s">
        <v>272</v>
      </c>
      <c r="B41" s="369" t="s">
        <v>468</v>
      </c>
      <c r="C41" s="357">
        <v>14</v>
      </c>
      <c r="D41" s="167">
        <v>20000</v>
      </c>
      <c r="E41" s="167">
        <v>15958</v>
      </c>
      <c r="F41" s="167">
        <v>12289</v>
      </c>
      <c r="G41" s="51">
        <v>0</v>
      </c>
      <c r="H41" s="167">
        <v>3669</v>
      </c>
      <c r="I41" s="51">
        <v>3669</v>
      </c>
      <c r="J41" s="167">
        <v>4396</v>
      </c>
      <c r="K41" s="259">
        <v>3669</v>
      </c>
      <c r="L41" s="358">
        <f t="shared" si="1"/>
        <v>0</v>
      </c>
    </row>
    <row r="42" spans="1:12" s="254" customFormat="1" ht="15" customHeight="1" x14ac:dyDescent="0.25">
      <c r="A42" s="375" t="s">
        <v>275</v>
      </c>
      <c r="B42" s="369" t="s">
        <v>470</v>
      </c>
      <c r="C42" s="357">
        <v>14</v>
      </c>
      <c r="D42" s="167">
        <v>28057</v>
      </c>
      <c r="E42" s="167">
        <v>3000</v>
      </c>
      <c r="F42" s="167">
        <v>3000</v>
      </c>
      <c r="G42" s="51">
        <v>0</v>
      </c>
      <c r="H42" s="167">
        <v>0</v>
      </c>
      <c r="I42" s="51">
        <v>0</v>
      </c>
      <c r="J42" s="167">
        <v>7654</v>
      </c>
      <c r="K42" s="259">
        <v>7244</v>
      </c>
      <c r="L42" s="358">
        <f t="shared" si="1"/>
        <v>0</v>
      </c>
    </row>
    <row r="43" spans="1:12" s="254" customFormat="1" ht="15" customHeight="1" x14ac:dyDescent="0.25">
      <c r="A43" s="375" t="s">
        <v>274</v>
      </c>
      <c r="B43" s="369" t="s">
        <v>471</v>
      </c>
      <c r="C43" s="357">
        <v>14</v>
      </c>
      <c r="D43" s="167">
        <v>45265</v>
      </c>
      <c r="E43" s="167">
        <v>15000</v>
      </c>
      <c r="F43" s="167">
        <f>7+10793</f>
        <v>10800</v>
      </c>
      <c r="G43" s="51">
        <v>10793</v>
      </c>
      <c r="H43" s="167">
        <v>4200</v>
      </c>
      <c r="I43" s="51">
        <v>4200</v>
      </c>
      <c r="J43" s="167">
        <v>12570</v>
      </c>
      <c r="K43" s="259">
        <v>12270</v>
      </c>
      <c r="L43" s="358">
        <f t="shared" si="1"/>
        <v>0</v>
      </c>
    </row>
    <row r="44" spans="1:12" s="254" customFormat="1" ht="15" customHeight="1" x14ac:dyDescent="0.25">
      <c r="A44" s="375" t="s">
        <v>277</v>
      </c>
      <c r="B44" s="369" t="s">
        <v>473</v>
      </c>
      <c r="C44" s="357">
        <v>14</v>
      </c>
      <c r="D44" s="167">
        <v>30756</v>
      </c>
      <c r="E44" s="167">
        <v>5000</v>
      </c>
      <c r="F44" s="167">
        <v>5000</v>
      </c>
      <c r="G44" s="51">
        <v>5000</v>
      </c>
      <c r="H44" s="167">
        <v>0</v>
      </c>
      <c r="I44" s="51">
        <v>0</v>
      </c>
      <c r="J44" s="167">
        <v>7983</v>
      </c>
      <c r="K44" s="259">
        <v>7683</v>
      </c>
      <c r="L44" s="358">
        <f t="shared" si="1"/>
        <v>0</v>
      </c>
    </row>
    <row r="45" spans="1:12" s="254" customFormat="1" ht="15" customHeight="1" x14ac:dyDescent="0.25">
      <c r="A45" s="375" t="s">
        <v>423</v>
      </c>
      <c r="B45" s="369" t="s">
        <v>474</v>
      </c>
      <c r="C45" s="357">
        <v>14</v>
      </c>
      <c r="D45" s="167">
        <v>63000</v>
      </c>
      <c r="E45" s="167">
        <v>45288</v>
      </c>
      <c r="F45" s="167">
        <v>41560</v>
      </c>
      <c r="G45" s="51">
        <v>41560</v>
      </c>
      <c r="H45" s="167">
        <v>3728</v>
      </c>
      <c r="I45" s="51">
        <v>3728</v>
      </c>
      <c r="J45" s="167">
        <v>11228</v>
      </c>
      <c r="K45" s="259">
        <v>10928</v>
      </c>
      <c r="L45" s="358">
        <f t="shared" si="1"/>
        <v>0</v>
      </c>
    </row>
    <row r="46" spans="1:12" s="254" customFormat="1" ht="15" customHeight="1" x14ac:dyDescent="0.25">
      <c r="A46" s="375" t="s">
        <v>276</v>
      </c>
      <c r="B46" s="369" t="s">
        <v>475</v>
      </c>
      <c r="C46" s="357">
        <v>14</v>
      </c>
      <c r="D46" s="167">
        <v>17976</v>
      </c>
      <c r="E46" s="167">
        <v>2000</v>
      </c>
      <c r="F46" s="167">
        <v>2000</v>
      </c>
      <c r="G46" s="51">
        <v>2000</v>
      </c>
      <c r="H46" s="167">
        <v>0</v>
      </c>
      <c r="I46" s="51">
        <v>0</v>
      </c>
      <c r="J46" s="167">
        <v>3556</v>
      </c>
      <c r="K46" s="259">
        <v>3356</v>
      </c>
      <c r="L46" s="358">
        <f t="shared" si="1"/>
        <v>0</v>
      </c>
    </row>
    <row r="47" spans="1:12" s="254" customFormat="1" ht="15" customHeight="1" x14ac:dyDescent="0.25">
      <c r="A47" s="375" t="s">
        <v>419</v>
      </c>
      <c r="B47" s="369" t="s">
        <v>476</v>
      </c>
      <c r="C47" s="357">
        <v>14</v>
      </c>
      <c r="D47" s="167">
        <v>12347</v>
      </c>
      <c r="E47" s="167">
        <v>11987</v>
      </c>
      <c r="F47" s="167">
        <v>3596</v>
      </c>
      <c r="G47" s="51">
        <v>0</v>
      </c>
      <c r="H47" s="167">
        <f>200+8191</f>
        <v>8391</v>
      </c>
      <c r="I47" s="51">
        <v>8191</v>
      </c>
      <c r="J47" s="167">
        <v>8391</v>
      </c>
      <c r="K47" s="259">
        <v>8191</v>
      </c>
      <c r="L47" s="358">
        <f t="shared" si="1"/>
        <v>0</v>
      </c>
    </row>
    <row r="48" spans="1:12" s="254" customFormat="1" ht="15" customHeight="1" x14ac:dyDescent="0.25">
      <c r="A48" s="375" t="s">
        <v>420</v>
      </c>
      <c r="B48" s="369" t="s">
        <v>479</v>
      </c>
      <c r="C48" s="357">
        <v>14</v>
      </c>
      <c r="D48" s="167">
        <v>14741</v>
      </c>
      <c r="E48" s="167">
        <v>14191</v>
      </c>
      <c r="F48" s="167">
        <v>4257</v>
      </c>
      <c r="G48" s="51">
        <v>0</v>
      </c>
      <c r="H48" s="167">
        <f>130+9804</f>
        <v>9934</v>
      </c>
      <c r="I48" s="51">
        <v>9804</v>
      </c>
      <c r="J48" s="167">
        <v>1004</v>
      </c>
      <c r="K48" s="259">
        <v>9804</v>
      </c>
      <c r="L48" s="358">
        <f t="shared" si="1"/>
        <v>0</v>
      </c>
    </row>
    <row r="49" spans="1:12" s="254" customFormat="1" ht="15" customHeight="1" x14ac:dyDescent="0.25">
      <c r="A49" s="375" t="s">
        <v>421</v>
      </c>
      <c r="B49" s="369" t="s">
        <v>480</v>
      </c>
      <c r="C49" s="357">
        <v>14</v>
      </c>
      <c r="D49" s="167">
        <v>17699</v>
      </c>
      <c r="E49" s="167">
        <v>17219</v>
      </c>
      <c r="F49" s="167">
        <v>5166</v>
      </c>
      <c r="G49" s="51">
        <v>0</v>
      </c>
      <c r="H49" s="167">
        <f>200+11853</f>
        <v>12053</v>
      </c>
      <c r="I49" s="51">
        <v>11853</v>
      </c>
      <c r="J49" s="167">
        <v>12053</v>
      </c>
      <c r="K49" s="259">
        <v>11853</v>
      </c>
      <c r="L49" s="358">
        <f t="shared" si="1"/>
        <v>0</v>
      </c>
    </row>
    <row r="50" spans="1:12" s="254" customFormat="1" ht="24" customHeight="1" x14ac:dyDescent="0.25">
      <c r="A50" s="375" t="s">
        <v>422</v>
      </c>
      <c r="B50" s="369" t="s">
        <v>481</v>
      </c>
      <c r="C50" s="357">
        <v>14</v>
      </c>
      <c r="D50" s="167">
        <v>22304</v>
      </c>
      <c r="E50" s="167">
        <v>21674</v>
      </c>
      <c r="F50" s="167">
        <v>6502</v>
      </c>
      <c r="G50" s="51">
        <v>0</v>
      </c>
      <c r="H50" s="167">
        <f>200+14972</f>
        <v>15172</v>
      </c>
      <c r="I50" s="51">
        <v>14972</v>
      </c>
      <c r="J50" s="167">
        <v>15242</v>
      </c>
      <c r="K50" s="259">
        <v>14972</v>
      </c>
      <c r="L50" s="358">
        <f t="shared" si="1"/>
        <v>0</v>
      </c>
    </row>
    <row r="51" spans="1:12" s="254" customFormat="1" ht="15" customHeight="1" x14ac:dyDescent="0.25">
      <c r="A51" s="406" t="s">
        <v>431</v>
      </c>
      <c r="B51" s="369" t="s">
        <v>482</v>
      </c>
      <c r="C51" s="357">
        <v>14</v>
      </c>
      <c r="D51" s="167">
        <v>1220001</v>
      </c>
      <c r="E51" s="167">
        <v>135000</v>
      </c>
      <c r="F51" s="167">
        <v>20250</v>
      </c>
      <c r="G51" s="51">
        <v>0</v>
      </c>
      <c r="H51" s="167">
        <f>43180+71570</f>
        <v>114750</v>
      </c>
      <c r="I51" s="51">
        <v>71570</v>
      </c>
      <c r="J51" s="167">
        <v>3502</v>
      </c>
      <c r="K51" s="259">
        <v>0</v>
      </c>
      <c r="L51" s="358">
        <f t="shared" si="1"/>
        <v>0</v>
      </c>
    </row>
    <row r="52" spans="1:12" s="254" customFormat="1" ht="15" customHeight="1" x14ac:dyDescent="0.25">
      <c r="A52" s="375" t="s">
        <v>148</v>
      </c>
      <c r="B52" s="357">
        <v>3423</v>
      </c>
      <c r="C52" s="357">
        <v>14</v>
      </c>
      <c r="D52" s="167">
        <v>8000</v>
      </c>
      <c r="E52" s="167">
        <v>0</v>
      </c>
      <c r="F52" s="167">
        <v>0</v>
      </c>
      <c r="G52" s="51">
        <v>0</v>
      </c>
      <c r="H52" s="167">
        <v>0</v>
      </c>
      <c r="I52" s="51">
        <v>0</v>
      </c>
      <c r="J52" s="167">
        <f>7200+532</f>
        <v>7732</v>
      </c>
      <c r="K52" s="259">
        <v>6668</v>
      </c>
      <c r="L52" s="358">
        <f t="shared" ref="L52:L57" si="6">E52-F52-H52</f>
        <v>0</v>
      </c>
    </row>
    <row r="53" spans="1:12" s="254" customFormat="1" ht="15" customHeight="1" x14ac:dyDescent="0.25">
      <c r="A53" s="375" t="s">
        <v>150</v>
      </c>
      <c r="B53" s="357">
        <v>3285</v>
      </c>
      <c r="C53" s="357">
        <v>14</v>
      </c>
      <c r="D53" s="167">
        <v>34000</v>
      </c>
      <c r="E53" s="167">
        <v>0</v>
      </c>
      <c r="F53" s="167">
        <v>0</v>
      </c>
      <c r="G53" s="51">
        <v>0</v>
      </c>
      <c r="H53" s="167">
        <v>0</v>
      </c>
      <c r="I53" s="51">
        <v>0</v>
      </c>
      <c r="J53" s="167">
        <v>28800</v>
      </c>
      <c r="K53" s="259">
        <v>27300</v>
      </c>
      <c r="L53" s="358">
        <f t="shared" si="6"/>
        <v>0</v>
      </c>
    </row>
    <row r="54" spans="1:12" s="254" customFormat="1" ht="24" customHeight="1" x14ac:dyDescent="0.25">
      <c r="A54" s="375" t="s">
        <v>278</v>
      </c>
      <c r="B54" s="369" t="s">
        <v>467</v>
      </c>
      <c r="C54" s="357">
        <v>14</v>
      </c>
      <c r="D54" s="167">
        <v>12137</v>
      </c>
      <c r="E54" s="167">
        <v>0</v>
      </c>
      <c r="F54" s="167">
        <v>0</v>
      </c>
      <c r="G54" s="51">
        <v>0</v>
      </c>
      <c r="H54" s="167">
        <v>0</v>
      </c>
      <c r="I54" s="51">
        <v>0</v>
      </c>
      <c r="J54" s="167">
        <v>3773</v>
      </c>
      <c r="K54" s="259">
        <v>3473</v>
      </c>
      <c r="L54" s="358">
        <f t="shared" si="6"/>
        <v>0</v>
      </c>
    </row>
    <row r="55" spans="1:12" s="254" customFormat="1" ht="15" customHeight="1" x14ac:dyDescent="0.25">
      <c r="A55" s="375" t="s">
        <v>273</v>
      </c>
      <c r="B55" s="369" t="s">
        <v>469</v>
      </c>
      <c r="C55" s="357">
        <v>14</v>
      </c>
      <c r="D55" s="167">
        <v>16288</v>
      </c>
      <c r="E55" s="167">
        <v>0</v>
      </c>
      <c r="F55" s="167">
        <v>0</v>
      </c>
      <c r="G55" s="51">
        <v>0</v>
      </c>
      <c r="H55" s="167">
        <v>0</v>
      </c>
      <c r="I55" s="51">
        <v>0</v>
      </c>
      <c r="J55" s="167">
        <v>4119</v>
      </c>
      <c r="K55" s="259">
        <v>3819</v>
      </c>
      <c r="L55" s="358">
        <f t="shared" si="6"/>
        <v>0</v>
      </c>
    </row>
    <row r="56" spans="1:12" s="254" customFormat="1" ht="15" customHeight="1" x14ac:dyDescent="0.25">
      <c r="A56" s="375" t="s">
        <v>271</v>
      </c>
      <c r="B56" s="369" t="s">
        <v>472</v>
      </c>
      <c r="C56" s="357">
        <v>14</v>
      </c>
      <c r="D56" s="167">
        <v>6367</v>
      </c>
      <c r="E56" s="167">
        <v>0</v>
      </c>
      <c r="F56" s="167">
        <v>0</v>
      </c>
      <c r="G56" s="51">
        <v>0</v>
      </c>
      <c r="H56" s="167">
        <v>0</v>
      </c>
      <c r="I56" s="51">
        <v>0</v>
      </c>
      <c r="J56" s="167">
        <v>1761</v>
      </c>
      <c r="K56" s="259">
        <v>1561</v>
      </c>
      <c r="L56" s="358">
        <f t="shared" si="6"/>
        <v>0</v>
      </c>
    </row>
    <row r="57" spans="1:12" s="254" customFormat="1" ht="15" customHeight="1" x14ac:dyDescent="0.25">
      <c r="A57" s="375" t="s">
        <v>477</v>
      </c>
      <c r="B57" s="369" t="s">
        <v>478</v>
      </c>
      <c r="C57" s="357">
        <v>14</v>
      </c>
      <c r="D57" s="167">
        <v>555</v>
      </c>
      <c r="E57" s="167">
        <v>0</v>
      </c>
      <c r="F57" s="167">
        <v>0</v>
      </c>
      <c r="G57" s="51">
        <v>0</v>
      </c>
      <c r="H57" s="167">
        <v>0</v>
      </c>
      <c r="I57" s="51">
        <v>0</v>
      </c>
      <c r="J57" s="167">
        <v>0</v>
      </c>
      <c r="K57" s="259">
        <v>0</v>
      </c>
      <c r="L57" s="358">
        <f t="shared" si="6"/>
        <v>0</v>
      </c>
    </row>
    <row r="58" spans="1:12" s="255" customFormat="1" ht="15" customHeight="1" x14ac:dyDescent="0.25">
      <c r="A58" s="261" t="s">
        <v>47</v>
      </c>
      <c r="B58" s="359"/>
      <c r="C58" s="359"/>
      <c r="D58" s="251" t="s">
        <v>367</v>
      </c>
      <c r="E58" s="251">
        <f t="shared" ref="E58:K58" si="7">SUM(E38:E57)</f>
        <v>301622</v>
      </c>
      <c r="F58" s="251">
        <f t="shared" si="7"/>
        <v>117391</v>
      </c>
      <c r="G58" s="251">
        <f t="shared" si="7"/>
        <v>59353</v>
      </c>
      <c r="H58" s="251">
        <f t="shared" si="7"/>
        <v>184231</v>
      </c>
      <c r="I58" s="251">
        <f t="shared" si="7"/>
        <v>140106</v>
      </c>
      <c r="J58" s="251">
        <f t="shared" si="7"/>
        <v>170952</v>
      </c>
      <c r="K58" s="262">
        <f t="shared" si="7"/>
        <v>168334</v>
      </c>
      <c r="L58" s="358">
        <f t="shared" si="1"/>
        <v>0</v>
      </c>
    </row>
    <row r="59" spans="1:12" s="253" customFormat="1" ht="18" customHeight="1" x14ac:dyDescent="0.25">
      <c r="A59" s="467" t="s">
        <v>305</v>
      </c>
      <c r="B59" s="468"/>
      <c r="C59" s="468"/>
      <c r="D59" s="469"/>
      <c r="E59" s="469"/>
      <c r="F59" s="469"/>
      <c r="G59" s="469"/>
      <c r="H59" s="469"/>
      <c r="I59" s="469"/>
      <c r="J59" s="469"/>
      <c r="K59" s="470"/>
      <c r="L59" s="358">
        <f t="shared" si="1"/>
        <v>0</v>
      </c>
    </row>
    <row r="60" spans="1:12" s="254" customFormat="1" ht="15" customHeight="1" x14ac:dyDescent="0.25">
      <c r="A60" s="378" t="s">
        <v>432</v>
      </c>
      <c r="B60" s="360">
        <v>3468</v>
      </c>
      <c r="C60" s="360">
        <v>14</v>
      </c>
      <c r="D60" s="167">
        <v>236095</v>
      </c>
      <c r="E60" s="167">
        <v>167095</v>
      </c>
      <c r="F60" s="167">
        <v>25926</v>
      </c>
      <c r="G60" s="51">
        <v>25926</v>
      </c>
      <c r="H60" s="167">
        <f>225+140944</f>
        <v>141169</v>
      </c>
      <c r="I60" s="51">
        <v>140944</v>
      </c>
      <c r="J60" s="167">
        <v>199649</v>
      </c>
      <c r="K60" s="259">
        <v>197947</v>
      </c>
      <c r="L60" s="358">
        <f t="shared" si="1"/>
        <v>0</v>
      </c>
    </row>
    <row r="61" spans="1:12" s="255" customFormat="1" ht="15" customHeight="1" x14ac:dyDescent="0.25">
      <c r="A61" s="261" t="s">
        <v>306</v>
      </c>
      <c r="B61" s="359"/>
      <c r="C61" s="359"/>
      <c r="D61" s="251" t="s">
        <v>367</v>
      </c>
      <c r="E61" s="251">
        <f t="shared" ref="E61:K61" si="8">SUM(E60)</f>
        <v>167095</v>
      </c>
      <c r="F61" s="251">
        <f t="shared" si="8"/>
        <v>25926</v>
      </c>
      <c r="G61" s="251">
        <f t="shared" si="8"/>
        <v>25926</v>
      </c>
      <c r="H61" s="251">
        <f t="shared" si="8"/>
        <v>141169</v>
      </c>
      <c r="I61" s="251">
        <f t="shared" si="8"/>
        <v>140944</v>
      </c>
      <c r="J61" s="251">
        <f t="shared" si="8"/>
        <v>199649</v>
      </c>
      <c r="K61" s="262">
        <f t="shared" si="8"/>
        <v>197947</v>
      </c>
      <c r="L61" s="358">
        <f t="shared" si="1"/>
        <v>0</v>
      </c>
    </row>
    <row r="62" spans="1:12" s="253" customFormat="1" ht="18" customHeight="1" x14ac:dyDescent="0.25">
      <c r="A62" s="474" t="s">
        <v>48</v>
      </c>
      <c r="B62" s="475"/>
      <c r="C62" s="475"/>
      <c r="D62" s="476"/>
      <c r="E62" s="476"/>
      <c r="F62" s="469"/>
      <c r="G62" s="469"/>
      <c r="H62" s="469"/>
      <c r="I62" s="469"/>
      <c r="J62" s="476"/>
      <c r="K62" s="477"/>
      <c r="L62" s="358">
        <f t="shared" si="1"/>
        <v>0</v>
      </c>
    </row>
    <row r="63" spans="1:12" s="254" customFormat="1" ht="15" customHeight="1" x14ac:dyDescent="0.25">
      <c r="A63" s="379" t="s">
        <v>282</v>
      </c>
      <c r="B63" s="357">
        <v>3497</v>
      </c>
      <c r="C63" s="357">
        <v>14</v>
      </c>
      <c r="D63" s="167">
        <v>55600</v>
      </c>
      <c r="E63" s="167">
        <v>51889</v>
      </c>
      <c r="F63" s="167">
        <v>10623</v>
      </c>
      <c r="G63" s="51">
        <v>0</v>
      </c>
      <c r="H63" s="167">
        <v>41266</v>
      </c>
      <c r="I63" s="51">
        <v>41266</v>
      </c>
      <c r="J63" s="167">
        <v>44606</v>
      </c>
      <c r="K63" s="259">
        <v>44426</v>
      </c>
      <c r="L63" s="358">
        <f t="shared" si="1"/>
        <v>0</v>
      </c>
    </row>
    <row r="64" spans="1:12" s="254" customFormat="1" ht="15" customHeight="1" x14ac:dyDescent="0.25">
      <c r="A64" s="379" t="s">
        <v>283</v>
      </c>
      <c r="B64" s="357">
        <v>3498</v>
      </c>
      <c r="C64" s="357">
        <v>14</v>
      </c>
      <c r="D64" s="167">
        <v>20000</v>
      </c>
      <c r="E64" s="167">
        <v>8000</v>
      </c>
      <c r="F64" s="167">
        <v>1172</v>
      </c>
      <c r="G64" s="51">
        <v>0</v>
      </c>
      <c r="H64" s="167">
        <v>6828</v>
      </c>
      <c r="I64" s="51">
        <v>6828</v>
      </c>
      <c r="J64" s="167">
        <v>8600</v>
      </c>
      <c r="K64" s="259">
        <v>8400</v>
      </c>
      <c r="L64" s="358">
        <f t="shared" si="1"/>
        <v>0</v>
      </c>
    </row>
    <row r="65" spans="1:12" s="254" customFormat="1" ht="15" customHeight="1" x14ac:dyDescent="0.25">
      <c r="A65" s="379" t="s">
        <v>284</v>
      </c>
      <c r="B65" s="357">
        <v>3501</v>
      </c>
      <c r="C65" s="357">
        <v>14</v>
      </c>
      <c r="D65" s="167">
        <v>25851</v>
      </c>
      <c r="E65" s="167">
        <v>0</v>
      </c>
      <c r="F65" s="167">
        <v>0</v>
      </c>
      <c r="G65" s="51">
        <v>0</v>
      </c>
      <c r="H65" s="167">
        <v>0</v>
      </c>
      <c r="I65" s="51">
        <v>0</v>
      </c>
      <c r="J65" s="167">
        <v>23266</v>
      </c>
      <c r="K65" s="259">
        <v>23000</v>
      </c>
      <c r="L65" s="358">
        <f t="shared" si="1"/>
        <v>0</v>
      </c>
    </row>
    <row r="66" spans="1:12" s="255" customFormat="1" ht="15" customHeight="1" x14ac:dyDescent="0.25">
      <c r="A66" s="261" t="s">
        <v>49</v>
      </c>
      <c r="B66" s="359"/>
      <c r="C66" s="359"/>
      <c r="D66" s="251" t="s">
        <v>367</v>
      </c>
      <c r="E66" s="251">
        <f t="shared" ref="E66:K66" si="9">SUM(E63:E65)</f>
        <v>59889</v>
      </c>
      <c r="F66" s="251">
        <f t="shared" si="9"/>
        <v>11795</v>
      </c>
      <c r="G66" s="251">
        <f t="shared" si="9"/>
        <v>0</v>
      </c>
      <c r="H66" s="251">
        <f t="shared" si="9"/>
        <v>48094</v>
      </c>
      <c r="I66" s="251">
        <f>SUM(I63:I65)</f>
        <v>48094</v>
      </c>
      <c r="J66" s="251">
        <f t="shared" si="9"/>
        <v>76472</v>
      </c>
      <c r="K66" s="262">
        <f t="shared" si="9"/>
        <v>75826</v>
      </c>
      <c r="L66" s="358">
        <f t="shared" si="1"/>
        <v>0</v>
      </c>
    </row>
    <row r="67" spans="1:12" s="253" customFormat="1" ht="18" customHeight="1" x14ac:dyDescent="0.25">
      <c r="A67" s="467" t="s">
        <v>58</v>
      </c>
      <c r="B67" s="468"/>
      <c r="C67" s="468"/>
      <c r="D67" s="469"/>
      <c r="E67" s="469"/>
      <c r="F67" s="469"/>
      <c r="G67" s="469"/>
      <c r="H67" s="469"/>
      <c r="I67" s="469"/>
      <c r="J67" s="469"/>
      <c r="K67" s="470"/>
      <c r="L67" s="358">
        <f t="shared" si="1"/>
        <v>0</v>
      </c>
    </row>
    <row r="68" spans="1:12" s="254" customFormat="1" ht="15" customHeight="1" x14ac:dyDescent="0.25">
      <c r="A68" s="378" t="s">
        <v>61</v>
      </c>
      <c r="B68" s="360">
        <v>3334</v>
      </c>
      <c r="C68" s="360">
        <v>14</v>
      </c>
      <c r="D68" s="167">
        <v>40711</v>
      </c>
      <c r="E68" s="167">
        <v>2270</v>
      </c>
      <c r="F68" s="167">
        <v>2000</v>
      </c>
      <c r="G68" s="51">
        <v>0</v>
      </c>
      <c r="H68" s="167">
        <v>270</v>
      </c>
      <c r="I68" s="51">
        <v>270</v>
      </c>
      <c r="J68" s="167">
        <v>16806</v>
      </c>
      <c r="K68" s="259">
        <v>16402</v>
      </c>
      <c r="L68" s="358">
        <f t="shared" si="1"/>
        <v>0</v>
      </c>
    </row>
    <row r="69" spans="1:12" s="255" customFormat="1" ht="15.75" customHeight="1" thickBot="1" x14ac:dyDescent="0.3">
      <c r="A69" s="388" t="s">
        <v>62</v>
      </c>
      <c r="B69" s="389"/>
      <c r="C69" s="389"/>
      <c r="D69" s="390">
        <f>D68</f>
        <v>40711</v>
      </c>
      <c r="E69" s="390">
        <f t="shared" ref="E69:K69" si="10">E68</f>
        <v>2270</v>
      </c>
      <c r="F69" s="390">
        <f t="shared" si="10"/>
        <v>2000</v>
      </c>
      <c r="G69" s="390">
        <f t="shared" si="10"/>
        <v>0</v>
      </c>
      <c r="H69" s="390">
        <f t="shared" si="10"/>
        <v>270</v>
      </c>
      <c r="I69" s="390">
        <f t="shared" si="10"/>
        <v>270</v>
      </c>
      <c r="J69" s="390">
        <f t="shared" si="10"/>
        <v>16806</v>
      </c>
      <c r="K69" s="391">
        <f t="shared" si="10"/>
        <v>16402</v>
      </c>
      <c r="L69" s="358">
        <f t="shared" si="1"/>
        <v>0</v>
      </c>
    </row>
    <row r="70" spans="1:12" s="255" customFormat="1" ht="25.5" customHeight="1" thickBot="1" x14ac:dyDescent="0.3">
      <c r="A70" s="256" t="s">
        <v>243</v>
      </c>
      <c r="B70" s="362"/>
      <c r="C70" s="362"/>
      <c r="D70" s="257" t="s">
        <v>367</v>
      </c>
      <c r="E70" s="257">
        <f t="shared" ref="E70:K70" si="11">E22+E8+E30+E36+E58+E61+E25+E66+E69</f>
        <v>1337092</v>
      </c>
      <c r="F70" s="257">
        <f t="shared" si="11"/>
        <v>473838</v>
      </c>
      <c r="G70" s="257">
        <f t="shared" si="11"/>
        <v>239722</v>
      </c>
      <c r="H70" s="257">
        <f t="shared" si="11"/>
        <v>863254</v>
      </c>
      <c r="I70" s="257">
        <f t="shared" si="11"/>
        <v>815464</v>
      </c>
      <c r="J70" s="257">
        <f t="shared" si="11"/>
        <v>1012900</v>
      </c>
      <c r="K70" s="258">
        <f t="shared" si="11"/>
        <v>998875</v>
      </c>
      <c r="L70" s="358">
        <f t="shared" si="1"/>
        <v>0</v>
      </c>
    </row>
    <row r="71" spans="1:12" s="255" customFormat="1" ht="24" customHeight="1" thickBot="1" x14ac:dyDescent="0.3">
      <c r="A71" s="265"/>
      <c r="B71" s="380"/>
      <c r="C71" s="380"/>
      <c r="D71" s="287"/>
      <c r="E71" s="287"/>
      <c r="F71" s="287"/>
      <c r="G71" s="287"/>
      <c r="H71" s="287"/>
      <c r="I71" s="287"/>
      <c r="J71" s="392"/>
      <c r="K71" s="387"/>
      <c r="L71" s="358">
        <f t="shared" si="1"/>
        <v>0</v>
      </c>
    </row>
    <row r="72" spans="1:12" s="255" customFormat="1" ht="21" customHeight="1" x14ac:dyDescent="0.25">
      <c r="A72" s="471" t="s">
        <v>241</v>
      </c>
      <c r="B72" s="472"/>
      <c r="C72" s="472"/>
      <c r="D72" s="472"/>
      <c r="E72" s="472"/>
      <c r="F72" s="472"/>
      <c r="G72" s="472"/>
      <c r="H72" s="472"/>
      <c r="I72" s="472"/>
      <c r="J72" s="472"/>
      <c r="K72" s="473"/>
      <c r="L72" s="358">
        <f t="shared" ref="L72:L104" si="12">E72-F72-H72</f>
        <v>0</v>
      </c>
    </row>
    <row r="73" spans="1:12" ht="18" customHeight="1" x14ac:dyDescent="0.2">
      <c r="A73" s="467" t="s">
        <v>219</v>
      </c>
      <c r="B73" s="468"/>
      <c r="C73" s="468"/>
      <c r="D73" s="469"/>
      <c r="E73" s="469"/>
      <c r="F73" s="469"/>
      <c r="G73" s="469"/>
      <c r="H73" s="469"/>
      <c r="I73" s="469"/>
      <c r="J73" s="469"/>
      <c r="K73" s="470"/>
      <c r="L73" s="358">
        <f t="shared" si="12"/>
        <v>0</v>
      </c>
    </row>
    <row r="74" spans="1:12" s="253" customFormat="1" ht="15" customHeight="1" x14ac:dyDescent="0.25">
      <c r="A74" s="381" t="s">
        <v>231</v>
      </c>
      <c r="B74" s="370">
        <v>4081</v>
      </c>
      <c r="C74" s="371">
        <v>7</v>
      </c>
      <c r="D74" s="247">
        <v>310909</v>
      </c>
      <c r="E74" s="247">
        <v>308171</v>
      </c>
      <c r="F74" s="247">
        <v>308171</v>
      </c>
      <c r="G74" s="250">
        <v>256171</v>
      </c>
      <c r="H74" s="247">
        <v>0</v>
      </c>
      <c r="I74" s="250">
        <v>0</v>
      </c>
      <c r="J74" s="247">
        <v>0</v>
      </c>
      <c r="K74" s="260">
        <v>0</v>
      </c>
      <c r="L74" s="358">
        <f t="shared" si="12"/>
        <v>0</v>
      </c>
    </row>
    <row r="75" spans="1:12" s="253" customFormat="1" ht="24" customHeight="1" x14ac:dyDescent="0.25">
      <c r="A75" s="381" t="s">
        <v>490</v>
      </c>
      <c r="B75" s="370">
        <v>5954</v>
      </c>
      <c r="C75" s="371">
        <v>7</v>
      </c>
      <c r="D75" s="247">
        <v>4273094</v>
      </c>
      <c r="E75" s="247">
        <v>29000</v>
      </c>
      <c r="F75" s="247">
        <v>29000</v>
      </c>
      <c r="G75" s="250">
        <v>29000</v>
      </c>
      <c r="H75" s="247">
        <v>0</v>
      </c>
      <c r="I75" s="250">
        <v>0</v>
      </c>
      <c r="J75" s="247">
        <v>0</v>
      </c>
      <c r="K75" s="260">
        <v>0</v>
      </c>
      <c r="L75" s="358">
        <f t="shared" si="12"/>
        <v>0</v>
      </c>
    </row>
    <row r="76" spans="1:12" s="253" customFormat="1" ht="24" customHeight="1" x14ac:dyDescent="0.25">
      <c r="A76" s="382" t="s">
        <v>486</v>
      </c>
      <c r="B76" s="370">
        <v>4079</v>
      </c>
      <c r="C76" s="371">
        <v>7</v>
      </c>
      <c r="D76" s="247">
        <v>90300</v>
      </c>
      <c r="E76" s="247">
        <v>75000</v>
      </c>
      <c r="F76" s="247">
        <v>75000</v>
      </c>
      <c r="G76" s="250">
        <v>75000</v>
      </c>
      <c r="H76" s="247">
        <v>0</v>
      </c>
      <c r="I76" s="250">
        <v>0</v>
      </c>
      <c r="J76" s="247">
        <v>0</v>
      </c>
      <c r="K76" s="260">
        <v>0</v>
      </c>
      <c r="L76" s="358">
        <f t="shared" si="12"/>
        <v>0</v>
      </c>
    </row>
    <row r="77" spans="1:12" s="253" customFormat="1" ht="24" customHeight="1" x14ac:dyDescent="0.25">
      <c r="A77" s="381" t="s">
        <v>299</v>
      </c>
      <c r="B77" s="370">
        <v>4190</v>
      </c>
      <c r="C77" s="371">
        <v>16</v>
      </c>
      <c r="D77" s="247">
        <v>100000</v>
      </c>
      <c r="E77" s="247">
        <v>60000</v>
      </c>
      <c r="F77" s="247">
        <v>52000</v>
      </c>
      <c r="G77" s="250">
        <v>52000</v>
      </c>
      <c r="H77" s="247">
        <v>0</v>
      </c>
      <c r="I77" s="250">
        <v>0</v>
      </c>
      <c r="J77" s="247">
        <v>0</v>
      </c>
      <c r="K77" s="260">
        <v>0</v>
      </c>
      <c r="L77" s="358">
        <f t="shared" si="12"/>
        <v>8000</v>
      </c>
    </row>
    <row r="78" spans="1:12" s="255" customFormat="1" ht="15" customHeight="1" x14ac:dyDescent="0.25">
      <c r="A78" s="261" t="s">
        <v>216</v>
      </c>
      <c r="B78" s="359"/>
      <c r="C78" s="359"/>
      <c r="D78" s="251" t="s">
        <v>367</v>
      </c>
      <c r="E78" s="251">
        <f t="shared" ref="E78:K78" si="13">SUM(E74:E77)</f>
        <v>472171</v>
      </c>
      <c r="F78" s="251">
        <f t="shared" si="13"/>
        <v>464171</v>
      </c>
      <c r="G78" s="251">
        <f t="shared" si="13"/>
        <v>412171</v>
      </c>
      <c r="H78" s="251">
        <f t="shared" si="13"/>
        <v>0</v>
      </c>
      <c r="I78" s="251">
        <f t="shared" si="13"/>
        <v>0</v>
      </c>
      <c r="J78" s="251">
        <f t="shared" si="13"/>
        <v>0</v>
      </c>
      <c r="K78" s="262">
        <f t="shared" si="13"/>
        <v>0</v>
      </c>
      <c r="L78" s="358">
        <f t="shared" si="12"/>
        <v>8000</v>
      </c>
    </row>
    <row r="79" spans="1:12" s="253" customFormat="1" ht="18" customHeight="1" x14ac:dyDescent="0.25">
      <c r="A79" s="478" t="s">
        <v>42</v>
      </c>
      <c r="B79" s="479"/>
      <c r="C79" s="479"/>
      <c r="D79" s="479"/>
      <c r="E79" s="479"/>
      <c r="F79" s="479"/>
      <c r="G79" s="479"/>
      <c r="H79" s="479"/>
      <c r="I79" s="479"/>
      <c r="J79" s="479"/>
      <c r="K79" s="480"/>
      <c r="L79" s="358">
        <f t="shared" si="12"/>
        <v>0</v>
      </c>
    </row>
    <row r="80" spans="1:12" s="253" customFormat="1" ht="24" customHeight="1" x14ac:dyDescent="0.25">
      <c r="A80" s="382" t="s">
        <v>230</v>
      </c>
      <c r="B80" s="363">
        <v>5748</v>
      </c>
      <c r="C80" s="363">
        <v>7</v>
      </c>
      <c r="D80" s="247">
        <v>68560</v>
      </c>
      <c r="E80" s="247">
        <v>50300</v>
      </c>
      <c r="F80" s="247">
        <v>50300</v>
      </c>
      <c r="G80" s="250">
        <v>50300</v>
      </c>
      <c r="H80" s="247">
        <v>0</v>
      </c>
      <c r="I80" s="250">
        <v>0</v>
      </c>
      <c r="J80" s="247">
        <v>0</v>
      </c>
      <c r="K80" s="260">
        <v>0</v>
      </c>
      <c r="L80" s="358">
        <f t="shared" si="12"/>
        <v>0</v>
      </c>
    </row>
    <row r="81" spans="1:12" s="255" customFormat="1" ht="15" customHeight="1" x14ac:dyDescent="0.25">
      <c r="A81" s="261" t="s">
        <v>43</v>
      </c>
      <c r="B81" s="359"/>
      <c r="C81" s="359"/>
      <c r="D81" s="251" t="s">
        <v>367</v>
      </c>
      <c r="E81" s="251">
        <f t="shared" ref="E81:K81" si="14">E80</f>
        <v>50300</v>
      </c>
      <c r="F81" s="251">
        <f t="shared" si="14"/>
        <v>50300</v>
      </c>
      <c r="G81" s="251">
        <f t="shared" si="14"/>
        <v>50300</v>
      </c>
      <c r="H81" s="251">
        <f t="shared" si="14"/>
        <v>0</v>
      </c>
      <c r="I81" s="251">
        <f t="shared" si="14"/>
        <v>0</v>
      </c>
      <c r="J81" s="251">
        <f t="shared" si="14"/>
        <v>0</v>
      </c>
      <c r="K81" s="262">
        <f t="shared" si="14"/>
        <v>0</v>
      </c>
      <c r="L81" s="358">
        <f t="shared" si="12"/>
        <v>0</v>
      </c>
    </row>
    <row r="82" spans="1:12" s="253" customFormat="1" ht="18" customHeight="1" x14ac:dyDescent="0.25">
      <c r="A82" s="478" t="s">
        <v>44</v>
      </c>
      <c r="B82" s="479"/>
      <c r="C82" s="479"/>
      <c r="D82" s="479"/>
      <c r="E82" s="479"/>
      <c r="F82" s="479"/>
      <c r="G82" s="479"/>
      <c r="H82" s="479"/>
      <c r="I82" s="479"/>
      <c r="J82" s="479"/>
      <c r="K82" s="480"/>
      <c r="L82" s="358">
        <f t="shared" si="12"/>
        <v>0</v>
      </c>
    </row>
    <row r="83" spans="1:12" s="253" customFormat="1" ht="24" customHeight="1" x14ac:dyDescent="0.25">
      <c r="A83" s="383" t="s">
        <v>228</v>
      </c>
      <c r="B83" s="364">
        <v>5758</v>
      </c>
      <c r="C83" s="364">
        <v>14</v>
      </c>
      <c r="D83" s="247">
        <v>210981</v>
      </c>
      <c r="E83" s="247">
        <v>184000</v>
      </c>
      <c r="F83" s="247">
        <f>40100+106106</f>
        <v>146206</v>
      </c>
      <c r="G83" s="250">
        <v>106106</v>
      </c>
      <c r="H83" s="247">
        <v>37794</v>
      </c>
      <c r="I83" s="250">
        <v>37794</v>
      </c>
      <c r="J83" s="247">
        <v>37794</v>
      </c>
      <c r="K83" s="260">
        <v>37794</v>
      </c>
      <c r="L83" s="358">
        <f t="shared" si="12"/>
        <v>0</v>
      </c>
    </row>
    <row r="84" spans="1:12" s="253" customFormat="1" ht="24" customHeight="1" x14ac:dyDescent="0.25">
      <c r="A84" s="383" t="s">
        <v>487</v>
      </c>
      <c r="B84" s="365">
        <v>5737</v>
      </c>
      <c r="C84" s="365">
        <v>14</v>
      </c>
      <c r="D84" s="247">
        <v>327986</v>
      </c>
      <c r="E84" s="247">
        <v>204013</v>
      </c>
      <c r="F84" s="247">
        <v>169013</v>
      </c>
      <c r="G84" s="250">
        <v>169013</v>
      </c>
      <c r="H84" s="247">
        <v>35000</v>
      </c>
      <c r="I84" s="250">
        <v>35000</v>
      </c>
      <c r="J84" s="247">
        <v>35000</v>
      </c>
      <c r="K84" s="260">
        <v>35000</v>
      </c>
      <c r="L84" s="358">
        <f t="shared" si="12"/>
        <v>0</v>
      </c>
    </row>
    <row r="85" spans="1:12" s="255" customFormat="1" ht="15" customHeight="1" x14ac:dyDescent="0.25">
      <c r="A85" s="261" t="s">
        <v>45</v>
      </c>
      <c r="B85" s="359"/>
      <c r="C85" s="359"/>
      <c r="D85" s="251" t="s">
        <v>367</v>
      </c>
      <c r="E85" s="251">
        <f t="shared" ref="E85:K85" si="15">E83+E84</f>
        <v>388013</v>
      </c>
      <c r="F85" s="251">
        <f t="shared" si="15"/>
        <v>315219</v>
      </c>
      <c r="G85" s="251">
        <f t="shared" si="15"/>
        <v>275119</v>
      </c>
      <c r="H85" s="251">
        <f t="shared" si="15"/>
        <v>72794</v>
      </c>
      <c r="I85" s="251">
        <f>I83+I84</f>
        <v>72794</v>
      </c>
      <c r="J85" s="251">
        <f t="shared" si="15"/>
        <v>72794</v>
      </c>
      <c r="K85" s="262">
        <f t="shared" si="15"/>
        <v>72794</v>
      </c>
      <c r="L85" s="358">
        <f t="shared" si="12"/>
        <v>0</v>
      </c>
    </row>
    <row r="86" spans="1:12" s="253" customFormat="1" ht="18" customHeight="1" x14ac:dyDescent="0.25">
      <c r="A86" s="478" t="s">
        <v>46</v>
      </c>
      <c r="B86" s="479"/>
      <c r="C86" s="479"/>
      <c r="D86" s="479"/>
      <c r="E86" s="479"/>
      <c r="F86" s="479"/>
      <c r="G86" s="479"/>
      <c r="H86" s="479"/>
      <c r="I86" s="479"/>
      <c r="J86" s="479"/>
      <c r="K86" s="480"/>
      <c r="L86" s="358">
        <f t="shared" si="12"/>
        <v>0</v>
      </c>
    </row>
    <row r="87" spans="1:12" s="253" customFormat="1" ht="34.5" customHeight="1" x14ac:dyDescent="0.25">
      <c r="A87" s="381" t="s">
        <v>226</v>
      </c>
      <c r="B87" s="363">
        <v>4027</v>
      </c>
      <c r="C87" s="363">
        <v>7</v>
      </c>
      <c r="D87" s="247">
        <v>11568</v>
      </c>
      <c r="E87" s="247">
        <v>11000</v>
      </c>
      <c r="F87" s="247">
        <v>11000</v>
      </c>
      <c r="G87" s="250">
        <v>11000</v>
      </c>
      <c r="H87" s="247">
        <v>0</v>
      </c>
      <c r="I87" s="250">
        <v>0</v>
      </c>
      <c r="J87" s="247">
        <v>0</v>
      </c>
      <c r="K87" s="260">
        <v>0</v>
      </c>
      <c r="L87" s="358">
        <f t="shared" si="12"/>
        <v>0</v>
      </c>
    </row>
    <row r="88" spans="1:12" s="253" customFormat="1" ht="24" customHeight="1" x14ac:dyDescent="0.25">
      <c r="A88" s="381" t="s">
        <v>225</v>
      </c>
      <c r="B88" s="363">
        <v>5730</v>
      </c>
      <c r="C88" s="363">
        <v>7</v>
      </c>
      <c r="D88" s="247">
        <v>209223</v>
      </c>
      <c r="E88" s="247">
        <v>142000</v>
      </c>
      <c r="F88" s="247">
        <v>142000</v>
      </c>
      <c r="G88" s="250">
        <v>142000</v>
      </c>
      <c r="H88" s="247">
        <v>0</v>
      </c>
      <c r="I88" s="250">
        <v>0</v>
      </c>
      <c r="J88" s="247">
        <v>0</v>
      </c>
      <c r="K88" s="260">
        <v>0</v>
      </c>
      <c r="L88" s="358">
        <f t="shared" si="12"/>
        <v>0</v>
      </c>
    </row>
    <row r="89" spans="1:12" s="253" customFormat="1" ht="34.5" customHeight="1" x14ac:dyDescent="0.25">
      <c r="A89" s="381" t="s">
        <v>224</v>
      </c>
      <c r="B89" s="363">
        <v>4002</v>
      </c>
      <c r="C89" s="363">
        <v>7</v>
      </c>
      <c r="D89" s="247">
        <v>63565</v>
      </c>
      <c r="E89" s="247">
        <v>33000</v>
      </c>
      <c r="F89" s="247">
        <v>33000</v>
      </c>
      <c r="G89" s="250">
        <v>33000</v>
      </c>
      <c r="H89" s="247">
        <v>0</v>
      </c>
      <c r="I89" s="250">
        <v>0</v>
      </c>
      <c r="J89" s="247">
        <v>0</v>
      </c>
      <c r="K89" s="260">
        <v>0</v>
      </c>
      <c r="L89" s="358">
        <f t="shared" si="12"/>
        <v>0</v>
      </c>
    </row>
    <row r="90" spans="1:12" s="253" customFormat="1" ht="24" customHeight="1" x14ac:dyDescent="0.25">
      <c r="A90" s="381" t="s">
        <v>223</v>
      </c>
      <c r="B90" s="363">
        <v>5867</v>
      </c>
      <c r="C90" s="363">
        <v>7</v>
      </c>
      <c r="D90" s="247">
        <v>149100</v>
      </c>
      <c r="E90" s="247">
        <v>60000</v>
      </c>
      <c r="F90" s="247">
        <v>60000</v>
      </c>
      <c r="G90" s="250">
        <v>60000</v>
      </c>
      <c r="H90" s="247">
        <v>0</v>
      </c>
      <c r="I90" s="250">
        <v>0</v>
      </c>
      <c r="J90" s="247">
        <v>0</v>
      </c>
      <c r="K90" s="260">
        <v>0</v>
      </c>
      <c r="L90" s="358">
        <f t="shared" si="12"/>
        <v>0</v>
      </c>
    </row>
    <row r="91" spans="1:12" s="253" customFormat="1" ht="24" customHeight="1" x14ac:dyDescent="0.25">
      <c r="A91" s="381" t="s">
        <v>300</v>
      </c>
      <c r="B91" s="363">
        <v>5681</v>
      </c>
      <c r="C91" s="363">
        <v>7</v>
      </c>
      <c r="D91" s="247">
        <v>12377</v>
      </c>
      <c r="E91" s="247">
        <v>7800</v>
      </c>
      <c r="F91" s="247">
        <v>7800</v>
      </c>
      <c r="G91" s="250">
        <v>7800</v>
      </c>
      <c r="H91" s="247">
        <v>0</v>
      </c>
      <c r="I91" s="250">
        <v>0</v>
      </c>
      <c r="J91" s="247">
        <v>0</v>
      </c>
      <c r="K91" s="260">
        <v>0</v>
      </c>
      <c r="L91" s="358">
        <f t="shared" si="12"/>
        <v>0</v>
      </c>
    </row>
    <row r="92" spans="1:12" s="253" customFormat="1" ht="24" customHeight="1" x14ac:dyDescent="0.25">
      <c r="A92" s="381" t="s">
        <v>301</v>
      </c>
      <c r="B92" s="363">
        <v>4012</v>
      </c>
      <c r="C92" s="363">
        <v>7</v>
      </c>
      <c r="D92" s="247">
        <v>19360</v>
      </c>
      <c r="E92" s="247">
        <v>4500</v>
      </c>
      <c r="F92" s="247">
        <v>4500</v>
      </c>
      <c r="G92" s="250">
        <v>4500</v>
      </c>
      <c r="H92" s="247">
        <v>0</v>
      </c>
      <c r="I92" s="250">
        <v>0</v>
      </c>
      <c r="J92" s="247">
        <v>0</v>
      </c>
      <c r="K92" s="260">
        <v>0</v>
      </c>
      <c r="L92" s="358">
        <f t="shared" si="12"/>
        <v>0</v>
      </c>
    </row>
    <row r="93" spans="1:12" s="253" customFormat="1" ht="15" customHeight="1" x14ac:dyDescent="0.25">
      <c r="A93" s="381" t="s">
        <v>302</v>
      </c>
      <c r="B93" s="363">
        <v>5834</v>
      </c>
      <c r="C93" s="363">
        <v>7</v>
      </c>
      <c r="D93" s="247">
        <v>81387</v>
      </c>
      <c r="E93" s="247">
        <v>50500</v>
      </c>
      <c r="F93" s="247">
        <v>50500</v>
      </c>
      <c r="G93" s="250">
        <v>50500</v>
      </c>
      <c r="H93" s="247">
        <v>0</v>
      </c>
      <c r="I93" s="250">
        <v>0</v>
      </c>
      <c r="J93" s="247">
        <v>0</v>
      </c>
      <c r="K93" s="260">
        <v>0</v>
      </c>
      <c r="L93" s="358">
        <f t="shared" si="12"/>
        <v>0</v>
      </c>
    </row>
    <row r="94" spans="1:12" s="253" customFormat="1" ht="24" customHeight="1" x14ac:dyDescent="0.25">
      <c r="A94" s="381" t="s">
        <v>303</v>
      </c>
      <c r="B94" s="363">
        <v>4004</v>
      </c>
      <c r="C94" s="363">
        <v>7</v>
      </c>
      <c r="D94" s="247">
        <v>48500</v>
      </c>
      <c r="E94" s="247">
        <v>20700</v>
      </c>
      <c r="F94" s="247">
        <v>20700</v>
      </c>
      <c r="G94" s="250">
        <v>20700</v>
      </c>
      <c r="H94" s="247">
        <v>0</v>
      </c>
      <c r="I94" s="250">
        <v>0</v>
      </c>
      <c r="J94" s="247">
        <v>0</v>
      </c>
      <c r="K94" s="260">
        <v>0</v>
      </c>
      <c r="L94" s="358">
        <f t="shared" si="12"/>
        <v>0</v>
      </c>
    </row>
    <row r="95" spans="1:12" s="255" customFormat="1" ht="15" customHeight="1" x14ac:dyDescent="0.25">
      <c r="A95" s="261" t="s">
        <v>47</v>
      </c>
      <c r="B95" s="359"/>
      <c r="C95" s="359"/>
      <c r="D95" s="251" t="s">
        <v>367</v>
      </c>
      <c r="E95" s="251">
        <f t="shared" ref="E95:K95" si="16">SUM(E87:E94)</f>
        <v>329500</v>
      </c>
      <c r="F95" s="251">
        <f t="shared" si="16"/>
        <v>329500</v>
      </c>
      <c r="G95" s="251">
        <f t="shared" si="16"/>
        <v>329500</v>
      </c>
      <c r="H95" s="251">
        <f t="shared" si="16"/>
        <v>0</v>
      </c>
      <c r="I95" s="251">
        <f t="shared" si="16"/>
        <v>0</v>
      </c>
      <c r="J95" s="251">
        <f t="shared" si="16"/>
        <v>0</v>
      </c>
      <c r="K95" s="262">
        <f t="shared" si="16"/>
        <v>0</v>
      </c>
      <c r="L95" s="358">
        <f t="shared" si="12"/>
        <v>0</v>
      </c>
    </row>
    <row r="96" spans="1:12" s="253" customFormat="1" ht="18" customHeight="1" x14ac:dyDescent="0.25">
      <c r="A96" s="478" t="s">
        <v>48</v>
      </c>
      <c r="B96" s="479"/>
      <c r="C96" s="479"/>
      <c r="D96" s="479"/>
      <c r="E96" s="479"/>
      <c r="F96" s="479"/>
      <c r="G96" s="479"/>
      <c r="H96" s="479"/>
      <c r="I96" s="479"/>
      <c r="J96" s="479"/>
      <c r="K96" s="480"/>
      <c r="L96" s="358">
        <f t="shared" si="12"/>
        <v>0</v>
      </c>
    </row>
    <row r="97" spans="1:12" s="253" customFormat="1" ht="24" customHeight="1" x14ac:dyDescent="0.25">
      <c r="A97" s="381" t="s">
        <v>222</v>
      </c>
      <c r="B97" s="363">
        <v>4496</v>
      </c>
      <c r="C97" s="363">
        <v>7</v>
      </c>
      <c r="D97" s="247">
        <v>107522</v>
      </c>
      <c r="E97" s="247">
        <v>90000</v>
      </c>
      <c r="F97" s="247">
        <v>90000</v>
      </c>
      <c r="G97" s="250">
        <v>90000</v>
      </c>
      <c r="H97" s="247">
        <v>0</v>
      </c>
      <c r="I97" s="250">
        <v>0</v>
      </c>
      <c r="J97" s="247">
        <v>0</v>
      </c>
      <c r="K97" s="260">
        <v>0</v>
      </c>
      <c r="L97" s="358">
        <f t="shared" si="12"/>
        <v>0</v>
      </c>
    </row>
    <row r="98" spans="1:12" s="253" customFormat="1" ht="24" customHeight="1" x14ac:dyDescent="0.25">
      <c r="A98" s="384" t="s">
        <v>488</v>
      </c>
      <c r="B98" s="363">
        <v>4372</v>
      </c>
      <c r="C98" s="363">
        <v>7</v>
      </c>
      <c r="D98" s="247">
        <v>41234</v>
      </c>
      <c r="E98" s="247">
        <v>36200</v>
      </c>
      <c r="F98" s="247">
        <v>36200</v>
      </c>
      <c r="G98" s="250">
        <v>26200</v>
      </c>
      <c r="H98" s="247">
        <v>0</v>
      </c>
      <c r="I98" s="250">
        <v>0</v>
      </c>
      <c r="J98" s="247">
        <v>0</v>
      </c>
      <c r="K98" s="260">
        <v>0</v>
      </c>
      <c r="L98" s="358">
        <f t="shared" si="12"/>
        <v>0</v>
      </c>
    </row>
    <row r="99" spans="1:12" s="253" customFormat="1" ht="24" customHeight="1" x14ac:dyDescent="0.25">
      <c r="A99" s="384" t="s">
        <v>489</v>
      </c>
      <c r="B99" s="363">
        <v>5482</v>
      </c>
      <c r="C99" s="363">
        <v>7</v>
      </c>
      <c r="D99" s="247">
        <v>182920</v>
      </c>
      <c r="E99" s="247">
        <v>140000</v>
      </c>
      <c r="F99" s="247">
        <v>140000</v>
      </c>
      <c r="G99" s="252">
        <v>140000</v>
      </c>
      <c r="H99" s="281">
        <v>0</v>
      </c>
      <c r="I99" s="252">
        <v>0</v>
      </c>
      <c r="J99" s="281">
        <v>0</v>
      </c>
      <c r="K99" s="264">
        <v>0</v>
      </c>
      <c r="L99" s="358">
        <f t="shared" si="12"/>
        <v>0</v>
      </c>
    </row>
    <row r="100" spans="1:12" s="253" customFormat="1" ht="24" customHeight="1" x14ac:dyDescent="0.25">
      <c r="A100" s="374" t="s">
        <v>484</v>
      </c>
      <c r="B100" s="363">
        <v>4485</v>
      </c>
      <c r="C100" s="363">
        <v>7</v>
      </c>
      <c r="D100" s="247">
        <v>50000</v>
      </c>
      <c r="E100" s="247">
        <v>5000</v>
      </c>
      <c r="F100" s="247">
        <v>5000</v>
      </c>
      <c r="G100" s="250">
        <v>5000</v>
      </c>
      <c r="H100" s="247">
        <v>0</v>
      </c>
      <c r="I100" s="250">
        <v>0</v>
      </c>
      <c r="J100" s="247">
        <v>0</v>
      </c>
      <c r="K100" s="260">
        <v>0</v>
      </c>
      <c r="L100" s="358">
        <f t="shared" si="12"/>
        <v>0</v>
      </c>
    </row>
    <row r="101" spans="1:12" s="253" customFormat="1" ht="24" customHeight="1" x14ac:dyDescent="0.25">
      <c r="A101" s="374" t="s">
        <v>221</v>
      </c>
      <c r="B101" s="363">
        <v>5690</v>
      </c>
      <c r="C101" s="363">
        <v>7</v>
      </c>
      <c r="D101" s="247">
        <v>228401</v>
      </c>
      <c r="E101" s="247">
        <v>90000</v>
      </c>
      <c r="F101" s="247">
        <v>90000</v>
      </c>
      <c r="G101" s="250">
        <v>50000</v>
      </c>
      <c r="H101" s="247">
        <v>0</v>
      </c>
      <c r="I101" s="250">
        <v>0</v>
      </c>
      <c r="J101" s="247">
        <v>0</v>
      </c>
      <c r="K101" s="260">
        <v>0</v>
      </c>
      <c r="L101" s="358">
        <f t="shared" si="12"/>
        <v>0</v>
      </c>
    </row>
    <row r="102" spans="1:12" s="255" customFormat="1" ht="15" customHeight="1" thickBot="1" x14ac:dyDescent="0.3">
      <c r="A102" s="388" t="s">
        <v>49</v>
      </c>
      <c r="B102" s="393"/>
      <c r="C102" s="389"/>
      <c r="D102" s="390" t="s">
        <v>367</v>
      </c>
      <c r="E102" s="390">
        <f t="shared" ref="E102:K102" si="17">SUM(E97:E101)</f>
        <v>361200</v>
      </c>
      <c r="F102" s="390">
        <f t="shared" si="17"/>
        <v>361200</v>
      </c>
      <c r="G102" s="390">
        <f t="shared" si="17"/>
        <v>311200</v>
      </c>
      <c r="H102" s="390">
        <f t="shared" si="17"/>
        <v>0</v>
      </c>
      <c r="I102" s="390">
        <f t="shared" si="17"/>
        <v>0</v>
      </c>
      <c r="J102" s="390">
        <f t="shared" si="17"/>
        <v>0</v>
      </c>
      <c r="K102" s="391">
        <f t="shared" si="17"/>
        <v>0</v>
      </c>
      <c r="L102" s="358">
        <f t="shared" si="12"/>
        <v>0</v>
      </c>
    </row>
    <row r="103" spans="1:12" s="255" customFormat="1" ht="25.5" customHeight="1" thickBot="1" x14ac:dyDescent="0.3">
      <c r="A103" s="256" t="s">
        <v>244</v>
      </c>
      <c r="B103" s="361"/>
      <c r="C103" s="362"/>
      <c r="D103" s="257" t="s">
        <v>367</v>
      </c>
      <c r="E103" s="257">
        <f t="shared" ref="E103:K103" si="18">E78+E81+E85+E95+E102</f>
        <v>1601184</v>
      </c>
      <c r="F103" s="257">
        <f t="shared" si="18"/>
        <v>1520390</v>
      </c>
      <c r="G103" s="257">
        <f t="shared" si="18"/>
        <v>1378290</v>
      </c>
      <c r="H103" s="257">
        <f t="shared" si="18"/>
        <v>72794</v>
      </c>
      <c r="I103" s="257">
        <f t="shared" si="18"/>
        <v>72794</v>
      </c>
      <c r="J103" s="257">
        <f t="shared" si="18"/>
        <v>72794</v>
      </c>
      <c r="K103" s="258">
        <f t="shared" si="18"/>
        <v>72794</v>
      </c>
      <c r="L103" s="358">
        <f t="shared" si="12"/>
        <v>8000</v>
      </c>
    </row>
    <row r="104" spans="1:12" s="255" customFormat="1" ht="24" customHeight="1" thickBot="1" x14ac:dyDescent="0.3">
      <c r="A104" s="265"/>
      <c r="B104" s="385"/>
      <c r="C104" s="380"/>
      <c r="D104" s="287"/>
      <c r="E104" s="287"/>
      <c r="F104" s="287"/>
      <c r="G104" s="287"/>
      <c r="H104" s="287"/>
      <c r="I104" s="287"/>
      <c r="J104" s="287"/>
      <c r="K104" s="394"/>
      <c r="L104" s="358">
        <f t="shared" si="12"/>
        <v>0</v>
      </c>
    </row>
    <row r="105" spans="1:12" s="255" customFormat="1" ht="24" customHeight="1" x14ac:dyDescent="0.25">
      <c r="A105" s="471" t="s">
        <v>70</v>
      </c>
      <c r="B105" s="472"/>
      <c r="C105" s="472"/>
      <c r="D105" s="472"/>
      <c r="E105" s="472"/>
      <c r="F105" s="472"/>
      <c r="G105" s="472"/>
      <c r="H105" s="472"/>
      <c r="I105" s="472"/>
      <c r="J105" s="472"/>
      <c r="K105" s="473"/>
      <c r="L105" s="358"/>
    </row>
    <row r="106" spans="1:12" s="373" customFormat="1" ht="24" customHeight="1" x14ac:dyDescent="0.25">
      <c r="A106" s="386" t="s">
        <v>485</v>
      </c>
      <c r="B106" s="364"/>
      <c r="C106" s="364">
        <v>19</v>
      </c>
      <c r="D106" s="400">
        <v>168159</v>
      </c>
      <c r="E106" s="167">
        <v>31592</v>
      </c>
      <c r="F106" s="167">
        <v>0</v>
      </c>
      <c r="G106" s="51">
        <v>0</v>
      </c>
      <c r="H106" s="167">
        <v>31592</v>
      </c>
      <c r="I106" s="51">
        <v>31592</v>
      </c>
      <c r="J106" s="167">
        <v>0</v>
      </c>
      <c r="K106" s="259">
        <v>0</v>
      </c>
      <c r="L106" s="372"/>
    </row>
    <row r="107" spans="1:12" s="373" customFormat="1" ht="24" customHeight="1" x14ac:dyDescent="0.25">
      <c r="A107" s="386" t="s">
        <v>71</v>
      </c>
      <c r="B107" s="364"/>
      <c r="C107" s="364">
        <v>17</v>
      </c>
      <c r="D107" s="400">
        <v>20913</v>
      </c>
      <c r="E107" s="167">
        <v>20913</v>
      </c>
      <c r="F107" s="167">
        <v>0</v>
      </c>
      <c r="G107" s="51">
        <v>0</v>
      </c>
      <c r="H107" s="167">
        <v>20913</v>
      </c>
      <c r="I107" s="51">
        <v>20913</v>
      </c>
      <c r="J107" s="167">
        <v>0</v>
      </c>
      <c r="K107" s="259">
        <v>0</v>
      </c>
      <c r="L107" s="372"/>
    </row>
    <row r="108" spans="1:12" s="373" customFormat="1" ht="24" customHeight="1" x14ac:dyDescent="0.25">
      <c r="A108" s="386" t="s">
        <v>304</v>
      </c>
      <c r="B108" s="364"/>
      <c r="C108" s="364">
        <v>13</v>
      </c>
      <c r="D108" s="400">
        <v>26000</v>
      </c>
      <c r="E108" s="167">
        <v>0</v>
      </c>
      <c r="F108" s="167">
        <v>0</v>
      </c>
      <c r="G108" s="51">
        <v>0</v>
      </c>
      <c r="H108" s="167">
        <v>0</v>
      </c>
      <c r="I108" s="51">
        <v>0</v>
      </c>
      <c r="J108" s="167">
        <v>26000</v>
      </c>
      <c r="K108" s="259">
        <v>26000</v>
      </c>
      <c r="L108" s="372"/>
    </row>
    <row r="109" spans="1:12" s="373" customFormat="1" ht="24" customHeight="1" thickBot="1" x14ac:dyDescent="0.3">
      <c r="A109" s="395" t="s">
        <v>72</v>
      </c>
      <c r="B109" s="396"/>
      <c r="C109" s="396">
        <v>9</v>
      </c>
      <c r="D109" s="401">
        <v>51348</v>
      </c>
      <c r="E109" s="397">
        <v>0</v>
      </c>
      <c r="F109" s="397">
        <v>0</v>
      </c>
      <c r="G109" s="398">
        <v>0</v>
      </c>
      <c r="H109" s="397">
        <v>0</v>
      </c>
      <c r="I109" s="398">
        <v>0</v>
      </c>
      <c r="J109" s="397">
        <v>51348</v>
      </c>
      <c r="K109" s="399">
        <v>51348</v>
      </c>
      <c r="L109" s="372"/>
    </row>
    <row r="110" spans="1:12" s="255" customFormat="1" ht="35.25" customHeight="1" thickBot="1" x14ac:dyDescent="0.3">
      <c r="A110" s="256" t="s">
        <v>242</v>
      </c>
      <c r="B110" s="361"/>
      <c r="C110" s="362"/>
      <c r="D110" s="257" t="s">
        <v>367</v>
      </c>
      <c r="E110" s="257">
        <f>SUM(E106:E109)</f>
        <v>52505</v>
      </c>
      <c r="F110" s="257">
        <f t="shared" ref="F110:K110" si="19">SUM(F106:F109)</f>
        <v>0</v>
      </c>
      <c r="G110" s="257">
        <f t="shared" si="19"/>
        <v>0</v>
      </c>
      <c r="H110" s="257">
        <f t="shared" si="19"/>
        <v>52505</v>
      </c>
      <c r="I110" s="257">
        <f t="shared" si="19"/>
        <v>52505</v>
      </c>
      <c r="J110" s="257">
        <f t="shared" si="19"/>
        <v>77348</v>
      </c>
      <c r="K110" s="258">
        <f t="shared" si="19"/>
        <v>77348</v>
      </c>
      <c r="L110" s="358"/>
    </row>
    <row r="111" spans="1:12" s="255" customFormat="1" ht="13.5" customHeight="1" thickBot="1" x14ac:dyDescent="0.3">
      <c r="A111" s="265"/>
      <c r="B111" s="385"/>
      <c r="C111" s="380"/>
      <c r="D111" s="287"/>
      <c r="E111" s="287"/>
      <c r="F111" s="287"/>
      <c r="G111" s="287"/>
      <c r="H111" s="287"/>
      <c r="I111" s="287"/>
      <c r="J111" s="287"/>
      <c r="K111" s="387"/>
      <c r="L111" s="358"/>
    </row>
    <row r="112" spans="1:12" s="255" customFormat="1" ht="24" customHeight="1" thickBot="1" x14ac:dyDescent="0.3">
      <c r="A112" s="256" t="s">
        <v>32</v>
      </c>
      <c r="B112" s="361"/>
      <c r="C112" s="362"/>
      <c r="D112" s="257" t="s">
        <v>367</v>
      </c>
      <c r="E112" s="257">
        <f t="shared" ref="E112:K112" si="20">E70+E103+E110</f>
        <v>2990781</v>
      </c>
      <c r="F112" s="257">
        <f t="shared" si="20"/>
        <v>1994228</v>
      </c>
      <c r="G112" s="257">
        <f t="shared" si="20"/>
        <v>1618012</v>
      </c>
      <c r="H112" s="257">
        <f t="shared" si="20"/>
        <v>988553</v>
      </c>
      <c r="I112" s="257">
        <f t="shared" si="20"/>
        <v>940763</v>
      </c>
      <c r="J112" s="257">
        <f t="shared" si="20"/>
        <v>1163042</v>
      </c>
      <c r="K112" s="258">
        <f t="shared" si="20"/>
        <v>1149017</v>
      </c>
      <c r="L112" s="358"/>
    </row>
  </sheetData>
  <mergeCells count="24">
    <mergeCell ref="A79:K79"/>
    <mergeCell ref="A82:K82"/>
    <mergeCell ref="A86:K86"/>
    <mergeCell ref="A96:K96"/>
    <mergeCell ref="A105:K105"/>
    <mergeCell ref="A73:K73"/>
    <mergeCell ref="A5:K5"/>
    <mergeCell ref="A9:K9"/>
    <mergeCell ref="A6:K6"/>
    <mergeCell ref="A26:K26"/>
    <mergeCell ref="A31:K31"/>
    <mergeCell ref="A37:K37"/>
    <mergeCell ref="A59:K59"/>
    <mergeCell ref="A23:K23"/>
    <mergeCell ref="A62:K62"/>
    <mergeCell ref="A67:K67"/>
    <mergeCell ref="A72:K72"/>
    <mergeCell ref="A1:K1"/>
    <mergeCell ref="A3:A4"/>
    <mergeCell ref="D3:D4"/>
    <mergeCell ref="E3:E4"/>
    <mergeCell ref="F3:G3"/>
    <mergeCell ref="H3:I3"/>
    <mergeCell ref="J3:K3"/>
  </mergeCells>
  <pageMargins left="0.39370078740157483" right="0.39370078740157483" top="0.78740157480314965" bottom="0.39370078740157483" header="0.31496062992125984" footer="0.11811023622047245"/>
  <pageSetup paperSize="9" scale="91" firstPageNumber="9" fitToHeight="0" orientation="landscape" useFirstPageNumber="1" r:id="rId1"/>
  <headerFooter>
    <oddHeader>&amp;L&amp;"Tahoma,Kurzíva"&amp;9Návrh rozpočtu na rok 2023
Příloha č. 10&amp;R&amp;"Tahoma,Kurzíva"&amp;9Přehled akcí financovaných z úvěrových zdrojů v návrhu rozpočtu kraje na rok 2023</oddHeader>
    <oddFooter>&amp;C&amp;"Tahoma,Obyčejné"&amp;10&amp;P</oddFooter>
  </headerFooter>
  <rowBreaks count="1" manualBreakCount="1">
    <brk id="5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C9DD-1126-417A-9487-4E8DFD245C3F}">
  <sheetPr>
    <pageSetUpPr fitToPage="1"/>
  </sheetPr>
  <dimension ref="A1:J142"/>
  <sheetViews>
    <sheetView zoomScaleNormal="100" zoomScaleSheetLayoutView="100" workbookViewId="0">
      <pane ySplit="4" topLeftCell="A5" activePane="bottomLeft" state="frozen"/>
      <selection pane="bottomLeft" activeCell="F43" sqref="F43"/>
    </sheetView>
  </sheetViews>
  <sheetFormatPr defaultRowHeight="10.5" x14ac:dyDescent="0.15"/>
  <cols>
    <col min="1" max="1" width="7" style="183" customWidth="1"/>
    <col min="2" max="2" width="30" style="173" customWidth="1"/>
    <col min="3" max="3" width="12.140625" style="171" customWidth="1"/>
    <col min="4" max="4" width="52.7109375" style="172" customWidth="1"/>
    <col min="5" max="5" width="33.28515625" style="172" customWidth="1"/>
    <col min="6" max="6" width="39.7109375" style="208" customWidth="1"/>
    <col min="7" max="7" width="11.5703125" style="173" customWidth="1"/>
    <col min="8" max="8" width="14.28515625" style="173" customWidth="1"/>
    <col min="9" max="16384" width="9.140625" style="173"/>
  </cols>
  <sheetData>
    <row r="1" spans="1:7" s="168" customFormat="1" ht="24" customHeight="1" x14ac:dyDescent="0.2">
      <c r="A1" s="494" t="s">
        <v>437</v>
      </c>
      <c r="B1" s="494"/>
      <c r="C1" s="494"/>
      <c r="D1" s="494"/>
      <c r="E1" s="192"/>
      <c r="F1" s="192"/>
    </row>
    <row r="2" spans="1:7" s="168" customFormat="1" ht="18" customHeight="1" x14ac:dyDescent="0.2">
      <c r="A2" s="169"/>
      <c r="B2" s="169"/>
      <c r="C2" s="169"/>
      <c r="D2" s="169"/>
      <c r="E2" s="169"/>
      <c r="F2" s="169"/>
    </row>
    <row r="3" spans="1:7" ht="15" customHeight="1" thickBot="1" x14ac:dyDescent="0.2">
      <c r="A3" s="170" t="s">
        <v>73</v>
      </c>
    </row>
    <row r="4" spans="1:7" ht="26.25" customHeight="1" thickBot="1" x14ac:dyDescent="0.2">
      <c r="A4" s="174" t="s">
        <v>153</v>
      </c>
      <c r="B4" s="175" t="s">
        <v>154</v>
      </c>
      <c r="C4" s="176" t="s">
        <v>155</v>
      </c>
      <c r="D4" s="177" t="s">
        <v>156</v>
      </c>
      <c r="E4" s="227"/>
      <c r="F4" s="241"/>
    </row>
    <row r="5" spans="1:7" ht="24" customHeight="1" thickTop="1" x14ac:dyDescent="0.15">
      <c r="A5" s="349">
        <v>1111</v>
      </c>
      <c r="B5" s="350" t="s">
        <v>308</v>
      </c>
      <c r="C5" s="223">
        <v>1300000</v>
      </c>
      <c r="D5" s="238" t="s">
        <v>157</v>
      </c>
      <c r="E5" s="240"/>
      <c r="F5" s="239"/>
    </row>
    <row r="6" spans="1:7" ht="24" customHeight="1" x14ac:dyDescent="0.15">
      <c r="A6" s="349">
        <v>1112</v>
      </c>
      <c r="B6" s="350" t="s">
        <v>309</v>
      </c>
      <c r="C6" s="223">
        <v>80000</v>
      </c>
      <c r="D6" s="238" t="s">
        <v>158</v>
      </c>
      <c r="E6" s="240"/>
      <c r="F6" s="239"/>
    </row>
    <row r="7" spans="1:7" ht="34.5" customHeight="1" x14ac:dyDescent="0.15">
      <c r="A7" s="349">
        <v>1113</v>
      </c>
      <c r="B7" s="350" t="s">
        <v>310</v>
      </c>
      <c r="C7" s="223">
        <v>270000</v>
      </c>
      <c r="D7" s="238" t="s">
        <v>159</v>
      </c>
      <c r="E7" s="227"/>
      <c r="F7" s="227"/>
      <c r="G7" s="227"/>
    </row>
    <row r="8" spans="1:7" ht="24" customHeight="1" x14ac:dyDescent="0.15">
      <c r="A8" s="349">
        <v>1121</v>
      </c>
      <c r="B8" s="350" t="s">
        <v>311</v>
      </c>
      <c r="C8" s="223">
        <v>1900000</v>
      </c>
      <c r="D8" s="238" t="s">
        <v>160</v>
      </c>
      <c r="E8" s="227"/>
      <c r="F8" s="227"/>
      <c r="G8" s="227"/>
    </row>
    <row r="9" spans="1:7" ht="45" customHeight="1" x14ac:dyDescent="0.15">
      <c r="A9" s="349">
        <v>1123</v>
      </c>
      <c r="B9" s="350" t="s">
        <v>312</v>
      </c>
      <c r="C9" s="223">
        <v>60000</v>
      </c>
      <c r="D9" s="238" t="s">
        <v>161</v>
      </c>
      <c r="E9" s="227"/>
      <c r="F9" s="227"/>
      <c r="G9" s="227"/>
    </row>
    <row r="10" spans="1:7" ht="24" customHeight="1" x14ac:dyDescent="0.15">
      <c r="A10" s="349">
        <v>1211</v>
      </c>
      <c r="B10" s="350" t="s">
        <v>313</v>
      </c>
      <c r="C10" s="234">
        <v>4950000</v>
      </c>
      <c r="D10" s="238" t="s">
        <v>162</v>
      </c>
      <c r="E10" s="227"/>
      <c r="F10" s="227"/>
      <c r="G10" s="227"/>
    </row>
    <row r="11" spans="1:7" ht="45" customHeight="1" x14ac:dyDescent="0.15">
      <c r="A11" s="346">
        <v>1332</v>
      </c>
      <c r="B11" s="343" t="s">
        <v>314</v>
      </c>
      <c r="C11" s="223">
        <v>4000</v>
      </c>
      <c r="D11" s="238" t="s">
        <v>294</v>
      </c>
      <c r="E11" s="227"/>
      <c r="F11" s="227"/>
      <c r="G11" s="227"/>
    </row>
    <row r="12" spans="1:7" ht="45" customHeight="1" x14ac:dyDescent="0.15">
      <c r="A12" s="349">
        <v>1357</v>
      </c>
      <c r="B12" s="350" t="s">
        <v>315</v>
      </c>
      <c r="C12" s="223">
        <v>15000</v>
      </c>
      <c r="D12" s="238" t="s">
        <v>240</v>
      </c>
      <c r="E12" s="227"/>
      <c r="F12" s="227"/>
      <c r="G12" s="227"/>
    </row>
    <row r="13" spans="1:7" ht="70.5" customHeight="1" thickBot="1" x14ac:dyDescent="0.2">
      <c r="A13" s="314">
        <v>1361</v>
      </c>
      <c r="B13" s="315" t="s">
        <v>316</v>
      </c>
      <c r="C13" s="234">
        <v>1950</v>
      </c>
      <c r="D13" s="272" t="s">
        <v>239</v>
      </c>
      <c r="E13" s="227"/>
      <c r="F13" s="227"/>
      <c r="G13" s="227"/>
    </row>
    <row r="14" spans="1:7" s="179" customFormat="1" ht="15.75" customHeight="1" thickTop="1" thickBot="1" x14ac:dyDescent="0.2">
      <c r="A14" s="316" t="s">
        <v>163</v>
      </c>
      <c r="B14" s="317"/>
      <c r="C14" s="318">
        <f>SUM(C5:C13)</f>
        <v>8580950</v>
      </c>
      <c r="D14" s="319"/>
      <c r="E14" s="227"/>
      <c r="F14" s="227"/>
      <c r="G14" s="227"/>
    </row>
    <row r="15" spans="1:7" s="179" customFormat="1" ht="15" customHeight="1" x14ac:dyDescent="0.15">
      <c r="A15" s="320"/>
      <c r="B15" s="321"/>
      <c r="C15" s="322"/>
      <c r="D15" s="323"/>
      <c r="E15" s="227"/>
      <c r="F15" s="227"/>
      <c r="G15" s="227"/>
    </row>
    <row r="16" spans="1:7" s="179" customFormat="1" ht="15" customHeight="1" x14ac:dyDescent="0.15">
      <c r="A16" s="320"/>
      <c r="B16" s="321"/>
      <c r="C16" s="322"/>
      <c r="D16" s="323"/>
      <c r="E16" s="324"/>
      <c r="F16" s="324"/>
      <c r="G16" s="324"/>
    </row>
    <row r="17" spans="1:10" s="179" customFormat="1" ht="15" customHeight="1" thickBot="1" x14ac:dyDescent="0.2">
      <c r="A17" s="170" t="s">
        <v>74</v>
      </c>
      <c r="B17" s="226"/>
      <c r="C17" s="237"/>
      <c r="D17" s="236"/>
      <c r="E17" s="324"/>
      <c r="F17" s="324"/>
      <c r="G17" s="324"/>
    </row>
    <row r="18" spans="1:10" ht="26.25" customHeight="1" thickBot="1" x14ac:dyDescent="0.2">
      <c r="A18" s="174" t="s">
        <v>153</v>
      </c>
      <c r="B18" s="175" t="s">
        <v>154</v>
      </c>
      <c r="C18" s="178" t="s">
        <v>155</v>
      </c>
      <c r="D18" s="177" t="s">
        <v>156</v>
      </c>
      <c r="E18" s="324"/>
      <c r="F18" s="324"/>
      <c r="G18" s="324"/>
    </row>
    <row r="19" spans="1:10" ht="35.25" customHeight="1" thickTop="1" x14ac:dyDescent="0.15">
      <c r="A19" s="495">
        <v>2111</v>
      </c>
      <c r="B19" s="496" t="s">
        <v>317</v>
      </c>
      <c r="C19" s="235">
        <v>4037</v>
      </c>
      <c r="D19" s="230" t="s">
        <v>164</v>
      </c>
      <c r="E19" s="324"/>
      <c r="F19" s="324"/>
      <c r="G19" s="324"/>
    </row>
    <row r="20" spans="1:10" ht="15" customHeight="1" x14ac:dyDescent="0.15">
      <c r="A20" s="484"/>
      <c r="B20" s="487"/>
      <c r="C20" s="225">
        <v>151</v>
      </c>
      <c r="D20" s="224" t="s">
        <v>205</v>
      </c>
      <c r="E20" s="324"/>
      <c r="F20" s="324"/>
      <c r="G20" s="324"/>
    </row>
    <row r="21" spans="1:10" ht="24" customHeight="1" x14ac:dyDescent="0.25">
      <c r="A21" s="484"/>
      <c r="B21" s="487"/>
      <c r="C21" s="225">
        <v>242</v>
      </c>
      <c r="D21" s="224" t="s">
        <v>295</v>
      </c>
      <c r="E21" s="325"/>
      <c r="F21" s="326"/>
      <c r="G21" s="327"/>
    </row>
    <row r="22" spans="1:10" ht="15" customHeight="1" x14ac:dyDescent="0.15">
      <c r="A22" s="349">
        <v>2119</v>
      </c>
      <c r="B22" s="350" t="s">
        <v>166</v>
      </c>
      <c r="C22" s="223">
        <v>2500</v>
      </c>
      <c r="D22" s="222" t="s">
        <v>167</v>
      </c>
      <c r="E22" s="324"/>
      <c r="F22" s="324"/>
      <c r="G22" s="324"/>
    </row>
    <row r="23" spans="1:10" ht="15" customHeight="1" x14ac:dyDescent="0.25">
      <c r="A23" s="489">
        <v>2131</v>
      </c>
      <c r="B23" s="486" t="s">
        <v>318</v>
      </c>
      <c r="C23" s="223">
        <v>11</v>
      </c>
      <c r="D23" s="222" t="s">
        <v>438</v>
      </c>
      <c r="E23" s="325"/>
      <c r="F23" s="326"/>
      <c r="G23" s="327"/>
    </row>
    <row r="24" spans="1:10" ht="24" customHeight="1" x14ac:dyDescent="0.25">
      <c r="A24" s="491"/>
      <c r="B24" s="488"/>
      <c r="C24" s="225">
        <v>55</v>
      </c>
      <c r="D24" s="222" t="s">
        <v>439</v>
      </c>
      <c r="E24" s="325"/>
      <c r="F24" s="326"/>
      <c r="G24" s="327"/>
    </row>
    <row r="25" spans="1:10" ht="34.5" customHeight="1" x14ac:dyDescent="0.15">
      <c r="A25" s="489">
        <v>2132</v>
      </c>
      <c r="B25" s="486" t="s">
        <v>319</v>
      </c>
      <c r="C25" s="225">
        <v>8954</v>
      </c>
      <c r="D25" s="222" t="s">
        <v>206</v>
      </c>
      <c r="E25" s="324"/>
      <c r="F25" s="324"/>
      <c r="G25" s="324"/>
    </row>
    <row r="26" spans="1:10" ht="34.5" customHeight="1" x14ac:dyDescent="0.15">
      <c r="A26" s="490"/>
      <c r="B26" s="487"/>
      <c r="C26" s="225">
        <v>18379</v>
      </c>
      <c r="D26" s="222" t="s">
        <v>207</v>
      </c>
      <c r="E26" s="324"/>
      <c r="F26" s="324"/>
      <c r="G26" s="324"/>
    </row>
    <row r="27" spans="1:10" ht="34.5" customHeight="1" x14ac:dyDescent="0.25">
      <c r="A27" s="490"/>
      <c r="B27" s="487"/>
      <c r="C27" s="225">
        <v>80</v>
      </c>
      <c r="D27" s="222" t="s">
        <v>440</v>
      </c>
      <c r="E27" s="325"/>
      <c r="F27" s="326"/>
      <c r="G27" s="327"/>
    </row>
    <row r="28" spans="1:10" ht="15" customHeight="1" x14ac:dyDescent="0.25">
      <c r="A28" s="491"/>
      <c r="B28" s="488"/>
      <c r="C28" s="225">
        <v>517</v>
      </c>
      <c r="D28" s="222" t="s">
        <v>288</v>
      </c>
      <c r="E28" s="325"/>
      <c r="F28" s="326"/>
      <c r="G28" s="327"/>
      <c r="H28" s="328"/>
      <c r="I28"/>
      <c r="J28" s="276"/>
    </row>
    <row r="29" spans="1:10" ht="31.5" x14ac:dyDescent="0.25">
      <c r="A29" s="348">
        <v>2139</v>
      </c>
      <c r="B29" s="345" t="s">
        <v>320</v>
      </c>
      <c r="C29" s="225">
        <v>2</v>
      </c>
      <c r="D29" s="222" t="s">
        <v>441</v>
      </c>
      <c r="E29" s="325"/>
      <c r="F29" s="326"/>
      <c r="G29" s="327"/>
    </row>
    <row r="30" spans="1:10" ht="24" customHeight="1" x14ac:dyDescent="0.15">
      <c r="A30" s="349">
        <v>2141</v>
      </c>
      <c r="B30" s="350" t="s">
        <v>321</v>
      </c>
      <c r="C30" s="223">
        <v>100000</v>
      </c>
      <c r="D30" s="222" t="s">
        <v>168</v>
      </c>
      <c r="E30" s="324"/>
      <c r="F30" s="324"/>
      <c r="G30" s="324"/>
    </row>
    <row r="31" spans="1:10" ht="24" customHeight="1" x14ac:dyDescent="0.25">
      <c r="A31" s="349">
        <v>2211</v>
      </c>
      <c r="B31" s="350" t="s">
        <v>322</v>
      </c>
      <c r="C31" s="223">
        <v>5</v>
      </c>
      <c r="D31" s="222" t="s">
        <v>248</v>
      </c>
      <c r="E31" s="324"/>
      <c r="F31" s="326"/>
      <c r="G31" s="324"/>
    </row>
    <row r="32" spans="1:10" ht="63" x14ac:dyDescent="0.25">
      <c r="A32" s="492">
        <v>2212</v>
      </c>
      <c r="B32" s="493" t="s">
        <v>323</v>
      </c>
      <c r="C32" s="223">
        <v>50</v>
      </c>
      <c r="D32" s="222" t="s">
        <v>169</v>
      </c>
      <c r="E32" s="324"/>
      <c r="F32" s="326"/>
      <c r="G32" s="327"/>
    </row>
    <row r="33" spans="1:7" ht="57.75" customHeight="1" x14ac:dyDescent="0.25">
      <c r="A33" s="492"/>
      <c r="B33" s="493"/>
      <c r="C33" s="223">
        <v>5000</v>
      </c>
      <c r="D33" s="222" t="s">
        <v>170</v>
      </c>
      <c r="E33" s="326"/>
      <c r="G33" s="324"/>
    </row>
    <row r="34" spans="1:7" ht="34.5" customHeight="1" x14ac:dyDescent="0.25">
      <c r="A34" s="346">
        <v>2223</v>
      </c>
      <c r="B34" s="343" t="s">
        <v>442</v>
      </c>
      <c r="C34" s="223">
        <v>372</v>
      </c>
      <c r="D34" s="222" t="s">
        <v>443</v>
      </c>
      <c r="E34" s="326"/>
      <c r="G34" s="324"/>
    </row>
    <row r="35" spans="1:7" ht="45" customHeight="1" x14ac:dyDescent="0.25">
      <c r="A35" s="346">
        <v>2229</v>
      </c>
      <c r="B35" s="343" t="s">
        <v>444</v>
      </c>
      <c r="C35" s="223">
        <v>45000</v>
      </c>
      <c r="D35" s="222" t="s">
        <v>445</v>
      </c>
      <c r="E35" s="326"/>
      <c r="G35" s="324"/>
    </row>
    <row r="36" spans="1:7" ht="24" customHeight="1" x14ac:dyDescent="0.2">
      <c r="A36" s="489">
        <v>2324</v>
      </c>
      <c r="B36" s="486" t="s">
        <v>324</v>
      </c>
      <c r="C36" s="223">
        <v>15</v>
      </c>
      <c r="D36" s="222" t="s">
        <v>238</v>
      </c>
      <c r="E36" s="325"/>
      <c r="F36" s="329"/>
      <c r="G36" s="324"/>
    </row>
    <row r="37" spans="1:7" ht="45" customHeight="1" x14ac:dyDescent="0.2">
      <c r="A37" s="490"/>
      <c r="B37" s="487"/>
      <c r="C37" s="223">
        <v>9000</v>
      </c>
      <c r="D37" s="222" t="s">
        <v>289</v>
      </c>
      <c r="E37" s="325"/>
      <c r="F37" s="329"/>
      <c r="G37" s="324"/>
    </row>
    <row r="38" spans="1:7" ht="34.5" customHeight="1" x14ac:dyDescent="0.2">
      <c r="A38" s="490"/>
      <c r="B38" s="488"/>
      <c r="C38" s="225">
        <v>650</v>
      </c>
      <c r="D38" s="222" t="s">
        <v>165</v>
      </c>
      <c r="E38" s="325"/>
      <c r="F38" s="329"/>
      <c r="G38" s="324"/>
    </row>
    <row r="39" spans="1:7" ht="34.5" customHeight="1" x14ac:dyDescent="0.2">
      <c r="A39" s="346">
        <v>2329</v>
      </c>
      <c r="B39" s="343" t="s">
        <v>171</v>
      </c>
      <c r="C39" s="223">
        <v>6000</v>
      </c>
      <c r="D39" s="222" t="s">
        <v>446</v>
      </c>
      <c r="E39" s="325"/>
      <c r="F39" s="329"/>
      <c r="G39" s="330"/>
    </row>
    <row r="40" spans="1:7" ht="34.5" customHeight="1" x14ac:dyDescent="0.2">
      <c r="A40" s="346">
        <v>2412</v>
      </c>
      <c r="B40" s="343" t="s">
        <v>325</v>
      </c>
      <c r="C40" s="223">
        <v>11523</v>
      </c>
      <c r="D40" s="222" t="s">
        <v>172</v>
      </c>
      <c r="E40" s="325"/>
      <c r="F40" s="329"/>
      <c r="G40" s="330"/>
    </row>
    <row r="41" spans="1:7" ht="15" customHeight="1" x14ac:dyDescent="0.2">
      <c r="A41" s="489" t="s">
        <v>173</v>
      </c>
      <c r="B41" s="486" t="s">
        <v>326</v>
      </c>
      <c r="C41" s="223">
        <v>23198</v>
      </c>
      <c r="D41" s="222" t="s">
        <v>447</v>
      </c>
      <c r="E41" s="325"/>
      <c r="F41" s="329"/>
      <c r="G41" s="330"/>
    </row>
    <row r="42" spans="1:7" ht="24" customHeight="1" x14ac:dyDescent="0.2">
      <c r="A42" s="490"/>
      <c r="B42" s="487"/>
      <c r="C42" s="223">
        <v>10000</v>
      </c>
      <c r="D42" s="222" t="s">
        <v>448</v>
      </c>
      <c r="E42" s="325"/>
      <c r="F42" s="329"/>
      <c r="G42" s="330"/>
    </row>
    <row r="43" spans="1:7" ht="24" customHeight="1" x14ac:dyDescent="0.2">
      <c r="A43" s="491"/>
      <c r="B43" s="488"/>
      <c r="C43" s="223">
        <v>197448</v>
      </c>
      <c r="D43" s="222" t="s">
        <v>454</v>
      </c>
      <c r="E43" s="325"/>
      <c r="F43" s="329"/>
      <c r="G43" s="330"/>
    </row>
    <row r="44" spans="1:7" ht="24" customHeight="1" x14ac:dyDescent="0.2">
      <c r="A44" s="489">
        <v>2441</v>
      </c>
      <c r="B44" s="486" t="s">
        <v>174</v>
      </c>
      <c r="C44" s="223">
        <v>3546</v>
      </c>
      <c r="D44" s="222" t="s">
        <v>172</v>
      </c>
      <c r="E44" s="325"/>
      <c r="F44" s="329"/>
      <c r="G44" s="330"/>
    </row>
    <row r="45" spans="1:7" ht="15" customHeight="1" x14ac:dyDescent="0.2">
      <c r="A45" s="491"/>
      <c r="B45" s="488"/>
      <c r="C45" s="223">
        <v>7570</v>
      </c>
      <c r="D45" s="222" t="s">
        <v>237</v>
      </c>
      <c r="E45" s="325"/>
      <c r="F45" s="329"/>
      <c r="G45" s="330"/>
    </row>
    <row r="46" spans="1:7" ht="24" customHeight="1" x14ac:dyDescent="0.2">
      <c r="A46" s="347">
        <v>2449</v>
      </c>
      <c r="B46" s="344" t="s">
        <v>449</v>
      </c>
      <c r="C46" s="234">
        <v>38013</v>
      </c>
      <c r="D46" s="222" t="s">
        <v>447</v>
      </c>
      <c r="E46" s="325"/>
      <c r="F46" s="329"/>
      <c r="G46" s="330"/>
    </row>
    <row r="47" spans="1:7" ht="24" customHeight="1" x14ac:dyDescent="0.15">
      <c r="A47" s="483">
        <v>2451</v>
      </c>
      <c r="B47" s="486" t="s">
        <v>175</v>
      </c>
      <c r="C47" s="234">
        <v>180000</v>
      </c>
      <c r="D47" s="272" t="s">
        <v>245</v>
      </c>
      <c r="E47" s="227"/>
      <c r="F47" s="227"/>
      <c r="G47" s="227"/>
    </row>
    <row r="48" spans="1:7" ht="45" customHeight="1" x14ac:dyDescent="0.2">
      <c r="A48" s="484"/>
      <c r="B48" s="487"/>
      <c r="C48" s="234">
        <v>30470</v>
      </c>
      <c r="D48" s="272" t="s">
        <v>491</v>
      </c>
      <c r="E48" s="325"/>
      <c r="F48" s="329"/>
      <c r="G48" s="330"/>
    </row>
    <row r="49" spans="1:8" ht="34.5" customHeight="1" x14ac:dyDescent="0.2">
      <c r="A49" s="485"/>
      <c r="B49" s="488"/>
      <c r="C49" s="223">
        <v>51348</v>
      </c>
      <c r="D49" s="222" t="s">
        <v>176</v>
      </c>
      <c r="E49" s="325"/>
      <c r="F49" s="329"/>
      <c r="G49" s="330"/>
    </row>
    <row r="50" spans="1:8" ht="24.75" customHeight="1" thickBot="1" x14ac:dyDescent="0.2">
      <c r="A50" s="408">
        <v>2459</v>
      </c>
      <c r="B50" s="409" t="s">
        <v>500</v>
      </c>
      <c r="C50" s="410">
        <v>1400</v>
      </c>
      <c r="D50" s="411" t="s">
        <v>454</v>
      </c>
      <c r="E50" s="227"/>
      <c r="F50" s="227"/>
      <c r="G50" s="227"/>
    </row>
    <row r="51" spans="1:8" ht="15.75" customHeight="1" thickTop="1" thickBot="1" x14ac:dyDescent="0.2">
      <c r="A51" s="220" t="s">
        <v>177</v>
      </c>
      <c r="B51" s="331"/>
      <c r="C51" s="219">
        <f>SUM(C19:C50)</f>
        <v>755536</v>
      </c>
      <c r="D51" s="403"/>
      <c r="E51" s="227"/>
      <c r="F51" s="227"/>
      <c r="G51" s="227"/>
    </row>
    <row r="52" spans="1:8" ht="15" customHeight="1" x14ac:dyDescent="0.15">
      <c r="A52" s="170"/>
      <c r="B52" s="226"/>
      <c r="C52" s="332"/>
      <c r="D52" s="333"/>
      <c r="E52" s="227"/>
      <c r="F52" s="227"/>
      <c r="G52" s="227"/>
    </row>
    <row r="53" spans="1:8" ht="15" customHeight="1" x14ac:dyDescent="0.15">
      <c r="A53" s="334"/>
      <c r="B53" s="321"/>
      <c r="C53" s="322"/>
      <c r="D53" s="335"/>
      <c r="E53" s="227"/>
      <c r="F53" s="227"/>
      <c r="G53" s="227"/>
    </row>
    <row r="54" spans="1:8" ht="15" customHeight="1" thickBot="1" x14ac:dyDescent="0.2">
      <c r="A54" s="233" t="s">
        <v>75</v>
      </c>
      <c r="B54" s="232"/>
      <c r="C54" s="231"/>
      <c r="D54" s="274"/>
      <c r="E54" s="227"/>
      <c r="F54" s="227"/>
      <c r="G54" s="227"/>
    </row>
    <row r="55" spans="1:8" s="179" customFormat="1" ht="26.25" customHeight="1" thickBot="1" x14ac:dyDescent="0.2">
      <c r="A55" s="174" t="s">
        <v>153</v>
      </c>
      <c r="B55" s="175" t="s">
        <v>154</v>
      </c>
      <c r="C55" s="178" t="s">
        <v>155</v>
      </c>
      <c r="D55" s="177" t="s">
        <v>156</v>
      </c>
      <c r="E55" s="227"/>
      <c r="F55" s="227"/>
      <c r="G55" s="227"/>
    </row>
    <row r="56" spans="1:8" s="179" customFormat="1" ht="24.75" customHeight="1" thickTop="1" x14ac:dyDescent="0.15">
      <c r="A56" s="242">
        <v>3111</v>
      </c>
      <c r="B56" s="243" t="s">
        <v>327</v>
      </c>
      <c r="C56" s="235">
        <v>32280</v>
      </c>
      <c r="D56" s="230" t="s">
        <v>178</v>
      </c>
      <c r="E56" s="227"/>
      <c r="F56" s="227"/>
      <c r="G56" s="227"/>
    </row>
    <row r="57" spans="1:8" s="179" customFormat="1" ht="24.75" customHeight="1" x14ac:dyDescent="0.15">
      <c r="A57" s="349">
        <v>3112</v>
      </c>
      <c r="B57" s="350" t="s">
        <v>328</v>
      </c>
      <c r="C57" s="223">
        <v>946</v>
      </c>
      <c r="D57" s="222" t="s">
        <v>290</v>
      </c>
      <c r="E57" s="227"/>
      <c r="F57" s="227"/>
      <c r="G57" s="227"/>
    </row>
    <row r="58" spans="1:8" ht="35.25" customHeight="1" thickBot="1" x14ac:dyDescent="0.2">
      <c r="A58" s="229">
        <v>3129</v>
      </c>
      <c r="B58" s="228" t="s">
        <v>329</v>
      </c>
      <c r="C58" s="221">
        <v>19250</v>
      </c>
      <c r="D58" s="273" t="s">
        <v>446</v>
      </c>
      <c r="E58" s="227"/>
      <c r="F58" s="227"/>
      <c r="G58" s="227"/>
    </row>
    <row r="59" spans="1:8" ht="15.75" customHeight="1" thickTop="1" thickBot="1" x14ac:dyDescent="0.2">
      <c r="A59" s="220" t="s">
        <v>179</v>
      </c>
      <c r="B59" s="331"/>
      <c r="C59" s="219">
        <f>SUM(C56:C58)</f>
        <v>52476</v>
      </c>
      <c r="D59" s="336"/>
      <c r="E59" s="227"/>
      <c r="F59" s="227"/>
      <c r="G59" s="227"/>
    </row>
    <row r="60" spans="1:8" ht="15" customHeight="1" x14ac:dyDescent="0.15">
      <c r="A60" s="320"/>
      <c r="B60" s="321"/>
      <c r="C60" s="322"/>
      <c r="D60" s="323"/>
      <c r="E60" s="227"/>
      <c r="F60" s="227"/>
      <c r="G60" s="227"/>
    </row>
    <row r="61" spans="1:8" ht="15" customHeight="1" x14ac:dyDescent="0.15">
      <c r="A61" s="334"/>
      <c r="B61" s="321"/>
      <c r="C61" s="322"/>
      <c r="D61" s="335"/>
      <c r="E61" s="212"/>
      <c r="F61" s="211"/>
    </row>
    <row r="62" spans="1:8" s="338" customFormat="1" ht="15" customHeight="1" thickBot="1" x14ac:dyDescent="0.2">
      <c r="A62" s="170" t="s">
        <v>76</v>
      </c>
      <c r="B62" s="226"/>
      <c r="C62" s="237"/>
      <c r="D62" s="337"/>
      <c r="E62" s="236"/>
      <c r="F62" s="211"/>
    </row>
    <row r="63" spans="1:8" s="338" customFormat="1" ht="26.25" customHeight="1" thickBot="1" x14ac:dyDescent="0.2">
      <c r="A63" s="180" t="s">
        <v>153</v>
      </c>
      <c r="B63" s="181" t="s">
        <v>154</v>
      </c>
      <c r="C63" s="182" t="s">
        <v>155</v>
      </c>
      <c r="D63" s="177" t="s">
        <v>156</v>
      </c>
      <c r="E63" s="337"/>
      <c r="F63" s="339"/>
    </row>
    <row r="64" spans="1:8" s="226" customFormat="1" ht="34.5" customHeight="1" thickTop="1" x14ac:dyDescent="0.25">
      <c r="A64" s="348">
        <v>4112</v>
      </c>
      <c r="B64" s="345" t="s">
        <v>180</v>
      </c>
      <c r="C64" s="223">
        <v>195368</v>
      </c>
      <c r="D64" s="275" t="s">
        <v>181</v>
      </c>
      <c r="E64" s="326"/>
      <c r="F64" s="326"/>
      <c r="G64"/>
      <c r="H64" s="276"/>
    </row>
    <row r="65" spans="1:8" s="179" customFormat="1" ht="15" customHeight="1" x14ac:dyDescent="0.25">
      <c r="A65" s="489">
        <v>4113</v>
      </c>
      <c r="B65" s="486" t="s">
        <v>291</v>
      </c>
      <c r="C65" s="223">
        <v>356</v>
      </c>
      <c r="D65" s="277" t="s">
        <v>450</v>
      </c>
      <c r="E65"/>
      <c r="F65"/>
      <c r="G65"/>
      <c r="H65" s="276"/>
    </row>
    <row r="66" spans="1:8" s="179" customFormat="1" ht="15" customHeight="1" x14ac:dyDescent="0.25">
      <c r="A66" s="490"/>
      <c r="B66" s="487"/>
      <c r="C66" s="223">
        <v>2500</v>
      </c>
      <c r="D66" s="277" t="s">
        <v>285</v>
      </c>
      <c r="E66"/>
      <c r="F66"/>
      <c r="G66"/>
      <c r="H66" s="276"/>
    </row>
    <row r="67" spans="1:8" s="179" customFormat="1" ht="15" customHeight="1" x14ac:dyDescent="0.25">
      <c r="A67" s="491"/>
      <c r="B67" s="488"/>
      <c r="C67" s="223">
        <v>1184</v>
      </c>
      <c r="D67" s="277" t="s">
        <v>393</v>
      </c>
      <c r="E67"/>
      <c r="F67"/>
      <c r="G67"/>
      <c r="H67" s="276"/>
    </row>
    <row r="68" spans="1:8" ht="15" x14ac:dyDescent="0.25">
      <c r="A68" s="489">
        <v>4116</v>
      </c>
      <c r="B68" s="486" t="s">
        <v>182</v>
      </c>
      <c r="C68" s="223">
        <v>344090</v>
      </c>
      <c r="D68" s="277" t="s">
        <v>183</v>
      </c>
      <c r="E68"/>
      <c r="F68"/>
      <c r="G68"/>
      <c r="H68" s="276"/>
    </row>
    <row r="69" spans="1:8" ht="24" customHeight="1" x14ac:dyDescent="0.25">
      <c r="A69" s="490"/>
      <c r="B69" s="487"/>
      <c r="C69" s="223">
        <v>4000</v>
      </c>
      <c r="D69" s="277" t="s">
        <v>451</v>
      </c>
      <c r="E69"/>
      <c r="F69"/>
      <c r="G69"/>
      <c r="H69" s="276"/>
    </row>
    <row r="70" spans="1:8" ht="15" x14ac:dyDescent="0.25">
      <c r="A70" s="490"/>
      <c r="B70" s="487"/>
      <c r="C70" s="223">
        <v>4014</v>
      </c>
      <c r="D70" s="277" t="s">
        <v>60</v>
      </c>
      <c r="E70"/>
      <c r="F70"/>
      <c r="G70"/>
      <c r="H70" s="276"/>
    </row>
    <row r="71" spans="1:8" ht="15" x14ac:dyDescent="0.25">
      <c r="A71" s="490"/>
      <c r="B71" s="487"/>
      <c r="C71" s="223">
        <v>70000</v>
      </c>
      <c r="D71" s="277" t="s">
        <v>292</v>
      </c>
      <c r="E71"/>
      <c r="F71"/>
      <c r="G71"/>
      <c r="H71" s="276"/>
    </row>
    <row r="72" spans="1:8" ht="15" x14ac:dyDescent="0.25">
      <c r="A72" s="490"/>
      <c r="B72" s="487"/>
      <c r="C72" s="223">
        <v>12558</v>
      </c>
      <c r="D72" s="277" t="s">
        <v>432</v>
      </c>
      <c r="E72"/>
      <c r="F72"/>
      <c r="G72"/>
      <c r="H72" s="276"/>
    </row>
    <row r="73" spans="1:8" ht="15" x14ac:dyDescent="0.25">
      <c r="A73" s="490"/>
      <c r="B73" s="487"/>
      <c r="C73" s="223">
        <v>29</v>
      </c>
      <c r="D73" s="277" t="s">
        <v>236</v>
      </c>
      <c r="E73"/>
      <c r="F73"/>
      <c r="G73"/>
      <c r="H73" s="276"/>
    </row>
    <row r="74" spans="1:8" ht="24" customHeight="1" x14ac:dyDescent="0.25">
      <c r="A74" s="490"/>
      <c r="B74" s="487"/>
      <c r="C74" s="223">
        <v>6671</v>
      </c>
      <c r="D74" s="277" t="s">
        <v>405</v>
      </c>
      <c r="E74"/>
      <c r="F74"/>
      <c r="G74"/>
      <c r="H74" s="276"/>
    </row>
    <row r="75" spans="1:8" ht="15" x14ac:dyDescent="0.25">
      <c r="A75" s="490"/>
      <c r="B75" s="487"/>
      <c r="C75" s="223">
        <v>25130</v>
      </c>
      <c r="D75" s="277" t="s">
        <v>435</v>
      </c>
      <c r="E75"/>
      <c r="F75"/>
      <c r="G75"/>
      <c r="H75" s="276"/>
    </row>
    <row r="76" spans="1:8" ht="15" x14ac:dyDescent="0.25">
      <c r="A76" s="490"/>
      <c r="B76" s="487"/>
      <c r="C76" s="223">
        <v>228076</v>
      </c>
      <c r="D76" s="277" t="s">
        <v>413</v>
      </c>
      <c r="E76"/>
      <c r="F76"/>
      <c r="G76"/>
      <c r="H76" s="276"/>
    </row>
    <row r="77" spans="1:8" ht="15" x14ac:dyDescent="0.25">
      <c r="A77" s="346">
        <v>4118</v>
      </c>
      <c r="B77" s="343" t="s">
        <v>184</v>
      </c>
      <c r="C77" s="223">
        <v>488</v>
      </c>
      <c r="D77" s="277" t="s">
        <v>236</v>
      </c>
      <c r="E77"/>
      <c r="F77"/>
      <c r="G77"/>
      <c r="H77" s="276"/>
    </row>
    <row r="78" spans="1:8" ht="15" x14ac:dyDescent="0.25">
      <c r="A78" s="341">
        <v>4121</v>
      </c>
      <c r="B78" s="343" t="s">
        <v>185</v>
      </c>
      <c r="C78" s="223">
        <v>77584</v>
      </c>
      <c r="D78" s="277" t="s">
        <v>186</v>
      </c>
      <c r="E78"/>
      <c r="F78"/>
      <c r="G78"/>
      <c r="H78" s="276"/>
    </row>
    <row r="79" spans="1:8" ht="15" x14ac:dyDescent="0.25">
      <c r="A79" s="483">
        <v>4122</v>
      </c>
      <c r="B79" s="486" t="s">
        <v>191</v>
      </c>
      <c r="C79" s="223">
        <v>21642</v>
      </c>
      <c r="D79" s="277" t="s">
        <v>183</v>
      </c>
      <c r="E79"/>
      <c r="F79"/>
      <c r="G79"/>
      <c r="H79" s="276"/>
    </row>
    <row r="80" spans="1:8" ht="15" x14ac:dyDescent="0.25">
      <c r="A80" s="485"/>
      <c r="B80" s="488"/>
      <c r="C80" s="223">
        <v>20055</v>
      </c>
      <c r="D80" s="277" t="s">
        <v>186</v>
      </c>
      <c r="E80"/>
      <c r="F80"/>
      <c r="G80"/>
      <c r="H80" s="276"/>
    </row>
    <row r="81" spans="1:8" ht="35.25" customHeight="1" x14ac:dyDescent="0.25">
      <c r="A81" s="483">
        <v>4152</v>
      </c>
      <c r="B81" s="486" t="s">
        <v>330</v>
      </c>
      <c r="C81" s="225">
        <v>1257</v>
      </c>
      <c r="D81" s="277" t="s">
        <v>235</v>
      </c>
      <c r="E81"/>
      <c r="F81"/>
      <c r="G81"/>
      <c r="H81" s="276"/>
    </row>
    <row r="82" spans="1:8" ht="15" customHeight="1" x14ac:dyDescent="0.25">
      <c r="A82" s="484"/>
      <c r="B82" s="487"/>
      <c r="C82" s="225">
        <v>2236</v>
      </c>
      <c r="D82" s="277" t="s">
        <v>280</v>
      </c>
      <c r="E82"/>
      <c r="F82"/>
      <c r="G82"/>
      <c r="H82" s="276"/>
    </row>
    <row r="83" spans="1:8" ht="15" customHeight="1" x14ac:dyDescent="0.25">
      <c r="A83" s="484"/>
      <c r="B83" s="487"/>
      <c r="C83" s="225">
        <v>500</v>
      </c>
      <c r="D83" s="277" t="s">
        <v>286</v>
      </c>
      <c r="E83"/>
      <c r="F83"/>
      <c r="G83"/>
      <c r="H83" s="276"/>
    </row>
    <row r="84" spans="1:8" ht="56.25" customHeight="1" x14ac:dyDescent="0.25">
      <c r="A84" s="485"/>
      <c r="B84" s="488"/>
      <c r="C84" s="225">
        <v>2000</v>
      </c>
      <c r="D84" s="277" t="s">
        <v>381</v>
      </c>
      <c r="E84"/>
      <c r="F84"/>
      <c r="G84"/>
      <c r="H84" s="276"/>
    </row>
    <row r="85" spans="1:8" ht="24" customHeight="1" x14ac:dyDescent="0.25">
      <c r="A85" s="342">
        <v>4213</v>
      </c>
      <c r="B85" s="344" t="s">
        <v>452</v>
      </c>
      <c r="C85" s="225">
        <v>3749</v>
      </c>
      <c r="D85" s="277" t="s">
        <v>431</v>
      </c>
      <c r="E85"/>
      <c r="F85"/>
      <c r="G85"/>
      <c r="H85" s="276"/>
    </row>
    <row r="86" spans="1:8" ht="15" customHeight="1" x14ac:dyDescent="0.25">
      <c r="A86" s="483">
        <v>4216</v>
      </c>
      <c r="B86" s="486" t="s">
        <v>187</v>
      </c>
      <c r="C86" s="223">
        <v>28800</v>
      </c>
      <c r="D86" s="277" t="s">
        <v>150</v>
      </c>
      <c r="E86"/>
      <c r="F86"/>
      <c r="G86"/>
      <c r="H86" s="276"/>
    </row>
    <row r="87" spans="1:8" ht="15" customHeight="1" x14ac:dyDescent="0.25">
      <c r="A87" s="484"/>
      <c r="B87" s="487"/>
      <c r="C87" s="223">
        <v>16806</v>
      </c>
      <c r="D87" s="277" t="s">
        <v>61</v>
      </c>
      <c r="E87"/>
      <c r="F87"/>
      <c r="G87"/>
      <c r="H87" s="276"/>
    </row>
    <row r="88" spans="1:8" ht="15" customHeight="1" x14ac:dyDescent="0.25">
      <c r="A88" s="484"/>
      <c r="B88" s="487"/>
      <c r="C88" s="223">
        <v>32654</v>
      </c>
      <c r="D88" s="277" t="s">
        <v>57</v>
      </c>
      <c r="E88"/>
      <c r="F88"/>
      <c r="G88"/>
      <c r="H88" s="276"/>
    </row>
    <row r="89" spans="1:8" ht="15" x14ac:dyDescent="0.25">
      <c r="A89" s="484"/>
      <c r="B89" s="487"/>
      <c r="C89" s="223">
        <v>24083</v>
      </c>
      <c r="D89" s="277" t="s">
        <v>56</v>
      </c>
      <c r="E89"/>
      <c r="F89"/>
      <c r="G89"/>
      <c r="H89" s="276"/>
    </row>
    <row r="90" spans="1:8" ht="15" x14ac:dyDescent="0.25">
      <c r="A90" s="484"/>
      <c r="B90" s="487"/>
      <c r="C90" s="223">
        <v>43596</v>
      </c>
      <c r="D90" s="277" t="s">
        <v>147</v>
      </c>
      <c r="E90"/>
      <c r="F90"/>
      <c r="G90"/>
      <c r="H90" s="276"/>
    </row>
    <row r="91" spans="1:8" ht="15" x14ac:dyDescent="0.25">
      <c r="A91" s="484"/>
      <c r="B91" s="487"/>
      <c r="C91" s="223">
        <v>7200</v>
      </c>
      <c r="D91" s="277" t="s">
        <v>148</v>
      </c>
      <c r="E91"/>
      <c r="F91"/>
      <c r="G91"/>
      <c r="H91" s="276"/>
    </row>
    <row r="92" spans="1:8" ht="24" customHeight="1" x14ac:dyDescent="0.25">
      <c r="A92" s="484"/>
      <c r="B92" s="487"/>
      <c r="C92" s="223">
        <v>3450</v>
      </c>
      <c r="D92" s="277" t="s">
        <v>146</v>
      </c>
      <c r="E92"/>
      <c r="F92"/>
      <c r="G92"/>
      <c r="H92" s="276"/>
    </row>
    <row r="93" spans="1:8" ht="24" customHeight="1" x14ac:dyDescent="0.25">
      <c r="A93" s="484"/>
      <c r="B93" s="487"/>
      <c r="C93" s="223">
        <v>3934</v>
      </c>
      <c r="D93" s="277" t="s">
        <v>192</v>
      </c>
      <c r="E93"/>
      <c r="F93"/>
      <c r="G93"/>
      <c r="H93" s="276"/>
    </row>
    <row r="94" spans="1:8" ht="15" x14ac:dyDescent="0.25">
      <c r="A94" s="484"/>
      <c r="B94" s="487"/>
      <c r="C94" s="223">
        <v>55230</v>
      </c>
      <c r="D94" s="277" t="s">
        <v>201</v>
      </c>
      <c r="E94"/>
      <c r="F94"/>
      <c r="G94"/>
      <c r="H94" s="276"/>
    </row>
    <row r="95" spans="1:8" ht="15" x14ac:dyDescent="0.25">
      <c r="A95" s="484"/>
      <c r="B95" s="487"/>
      <c r="C95" s="223">
        <v>3773</v>
      </c>
      <c r="D95" s="277" t="s">
        <v>278</v>
      </c>
      <c r="E95"/>
      <c r="F95"/>
      <c r="G95"/>
      <c r="H95" s="276"/>
    </row>
    <row r="96" spans="1:8" ht="15" x14ac:dyDescent="0.25">
      <c r="A96" s="484"/>
      <c r="B96" s="487"/>
      <c r="C96" s="223">
        <v>4396</v>
      </c>
      <c r="D96" s="275" t="s">
        <v>272</v>
      </c>
      <c r="E96"/>
      <c r="F96"/>
      <c r="G96"/>
      <c r="H96" s="276"/>
    </row>
    <row r="97" spans="1:8" ht="15" x14ac:dyDescent="0.25">
      <c r="A97" s="484"/>
      <c r="B97" s="487"/>
      <c r="C97" s="223">
        <v>4119</v>
      </c>
      <c r="D97" s="277" t="s">
        <v>273</v>
      </c>
      <c r="E97"/>
      <c r="F97"/>
      <c r="G97"/>
      <c r="H97" s="276"/>
    </row>
    <row r="98" spans="1:8" ht="15" x14ac:dyDescent="0.25">
      <c r="A98" s="484"/>
      <c r="B98" s="487"/>
      <c r="C98" s="223">
        <v>7564</v>
      </c>
      <c r="D98" s="275" t="s">
        <v>275</v>
      </c>
      <c r="E98"/>
      <c r="F98"/>
      <c r="G98"/>
      <c r="H98" s="276"/>
    </row>
    <row r="99" spans="1:8" ht="15" x14ac:dyDescent="0.25">
      <c r="A99" s="484"/>
      <c r="B99" s="487"/>
      <c r="C99" s="223">
        <v>12570</v>
      </c>
      <c r="D99" s="277" t="s">
        <v>274</v>
      </c>
      <c r="E99"/>
      <c r="F99"/>
      <c r="G99"/>
      <c r="H99" s="276"/>
    </row>
    <row r="100" spans="1:8" ht="15" x14ac:dyDescent="0.25">
      <c r="A100" s="484"/>
      <c r="B100" s="487"/>
      <c r="C100" s="223">
        <v>1761</v>
      </c>
      <c r="D100" s="277" t="s">
        <v>271</v>
      </c>
      <c r="E100"/>
      <c r="F100"/>
      <c r="G100"/>
      <c r="H100" s="276"/>
    </row>
    <row r="101" spans="1:8" ht="15" x14ac:dyDescent="0.25">
      <c r="A101" s="484"/>
      <c r="B101" s="487"/>
      <c r="C101" s="223">
        <v>7983</v>
      </c>
      <c r="D101" s="277" t="s">
        <v>277</v>
      </c>
      <c r="E101"/>
      <c r="F101"/>
      <c r="G101"/>
      <c r="H101" s="276"/>
    </row>
    <row r="102" spans="1:8" ht="15" customHeight="1" x14ac:dyDescent="0.25">
      <c r="A102" s="484"/>
      <c r="B102" s="487"/>
      <c r="C102" s="223">
        <v>11228</v>
      </c>
      <c r="D102" s="277" t="s">
        <v>423</v>
      </c>
      <c r="E102"/>
      <c r="F102"/>
      <c r="G102"/>
      <c r="H102" s="276"/>
    </row>
    <row r="103" spans="1:8" ht="15" customHeight="1" x14ac:dyDescent="0.25">
      <c r="A103" s="483">
        <v>4216</v>
      </c>
      <c r="B103" s="486" t="s">
        <v>187</v>
      </c>
      <c r="C103" s="223">
        <v>3556</v>
      </c>
      <c r="D103" s="277" t="s">
        <v>276</v>
      </c>
      <c r="E103"/>
      <c r="F103"/>
      <c r="G103"/>
      <c r="H103" s="276"/>
    </row>
    <row r="104" spans="1:8" ht="15" customHeight="1" x14ac:dyDescent="0.25">
      <c r="A104" s="484"/>
      <c r="B104" s="487"/>
      <c r="C104" s="223">
        <v>1866</v>
      </c>
      <c r="D104" s="277" t="s">
        <v>200</v>
      </c>
      <c r="E104"/>
      <c r="F104"/>
      <c r="G104"/>
      <c r="H104" s="276"/>
    </row>
    <row r="105" spans="1:8" ht="15" customHeight="1" x14ac:dyDescent="0.25">
      <c r="A105" s="484"/>
      <c r="B105" s="487"/>
      <c r="C105" s="223">
        <v>24960</v>
      </c>
      <c r="D105" s="277" t="s">
        <v>263</v>
      </c>
      <c r="E105"/>
      <c r="F105"/>
      <c r="G105"/>
      <c r="H105" s="276"/>
    </row>
    <row r="106" spans="1:8" ht="15" x14ac:dyDescent="0.25">
      <c r="A106" s="484"/>
      <c r="B106" s="487"/>
      <c r="C106" s="223">
        <v>18900</v>
      </c>
      <c r="D106" s="277" t="s">
        <v>202</v>
      </c>
      <c r="E106"/>
      <c r="F106"/>
      <c r="G106"/>
      <c r="H106" s="276"/>
    </row>
    <row r="107" spans="1:8" ht="15" x14ac:dyDescent="0.25">
      <c r="A107" s="484"/>
      <c r="B107" s="487"/>
      <c r="C107" s="223">
        <v>187091</v>
      </c>
      <c r="D107" s="277" t="s">
        <v>432</v>
      </c>
      <c r="E107"/>
      <c r="F107"/>
      <c r="G107"/>
      <c r="H107" s="276"/>
    </row>
    <row r="108" spans="1:8" ht="15" x14ac:dyDescent="0.25">
      <c r="A108" s="484"/>
      <c r="B108" s="487"/>
      <c r="C108" s="223">
        <v>102840</v>
      </c>
      <c r="D108" s="277" t="s">
        <v>287</v>
      </c>
      <c r="E108"/>
      <c r="F108"/>
      <c r="G108"/>
      <c r="H108" s="276"/>
    </row>
    <row r="109" spans="1:8" ht="15" customHeight="1" x14ac:dyDescent="0.25">
      <c r="A109" s="484"/>
      <c r="B109" s="487"/>
      <c r="C109" s="223">
        <v>79890</v>
      </c>
      <c r="D109" s="277" t="s">
        <v>217</v>
      </c>
      <c r="E109"/>
      <c r="F109"/>
      <c r="G109"/>
      <c r="H109" s="276"/>
    </row>
    <row r="110" spans="1:8" ht="15" customHeight="1" x14ac:dyDescent="0.25">
      <c r="A110" s="484"/>
      <c r="B110" s="487"/>
      <c r="C110" s="223">
        <v>102630</v>
      </c>
      <c r="D110" s="277" t="s">
        <v>218</v>
      </c>
      <c r="E110"/>
      <c r="F110"/>
      <c r="G110"/>
      <c r="H110" s="276"/>
    </row>
    <row r="111" spans="1:8" ht="15" x14ac:dyDescent="0.25">
      <c r="A111" s="484"/>
      <c r="B111" s="487"/>
      <c r="C111" s="223">
        <v>18288</v>
      </c>
      <c r="D111" s="277" t="s">
        <v>215</v>
      </c>
      <c r="E111"/>
      <c r="F111"/>
      <c r="G111"/>
      <c r="H111" s="276"/>
    </row>
    <row r="112" spans="1:8" ht="15" x14ac:dyDescent="0.25">
      <c r="A112" s="484"/>
      <c r="B112" s="487"/>
      <c r="C112" s="223">
        <v>8391</v>
      </c>
      <c r="D112" s="277" t="s">
        <v>419</v>
      </c>
      <c r="E112"/>
      <c r="F112"/>
      <c r="G112"/>
      <c r="H112" s="276"/>
    </row>
    <row r="113" spans="1:8" ht="15" x14ac:dyDescent="0.25">
      <c r="A113" s="484"/>
      <c r="B113" s="487"/>
      <c r="C113" s="223">
        <v>10004</v>
      </c>
      <c r="D113" s="277" t="s">
        <v>420</v>
      </c>
      <c r="E113"/>
      <c r="F113"/>
      <c r="G113"/>
      <c r="H113" s="276"/>
    </row>
    <row r="114" spans="1:8" ht="15" x14ac:dyDescent="0.25">
      <c r="A114" s="484"/>
      <c r="B114" s="487"/>
      <c r="C114" s="223">
        <v>12053</v>
      </c>
      <c r="D114" s="277" t="s">
        <v>421</v>
      </c>
      <c r="E114"/>
      <c r="F114"/>
      <c r="G114"/>
      <c r="H114" s="276"/>
    </row>
    <row r="115" spans="1:8" ht="24" customHeight="1" x14ac:dyDescent="0.25">
      <c r="A115" s="484"/>
      <c r="B115" s="487"/>
      <c r="C115" s="223">
        <v>15242</v>
      </c>
      <c r="D115" s="277" t="s">
        <v>422</v>
      </c>
      <c r="E115"/>
      <c r="F115"/>
      <c r="G115"/>
      <c r="H115" s="276"/>
    </row>
    <row r="116" spans="1:8" ht="15" x14ac:dyDescent="0.25">
      <c r="A116" s="484"/>
      <c r="B116" s="487"/>
      <c r="C116" s="223">
        <v>44606</v>
      </c>
      <c r="D116" s="277" t="s">
        <v>282</v>
      </c>
      <c r="E116"/>
      <c r="F116"/>
      <c r="G116"/>
      <c r="H116" s="276"/>
    </row>
    <row r="117" spans="1:8" ht="15" x14ac:dyDescent="0.25">
      <c r="A117" s="484"/>
      <c r="B117" s="487"/>
      <c r="C117" s="223">
        <v>8600</v>
      </c>
      <c r="D117" s="277" t="s">
        <v>283</v>
      </c>
      <c r="E117"/>
      <c r="F117"/>
      <c r="G117"/>
      <c r="H117" s="276"/>
    </row>
    <row r="118" spans="1:8" ht="15" x14ac:dyDescent="0.25">
      <c r="A118" s="484"/>
      <c r="B118" s="487"/>
      <c r="C118" s="223">
        <v>23266</v>
      </c>
      <c r="D118" s="277" t="s">
        <v>284</v>
      </c>
      <c r="E118"/>
      <c r="F118"/>
      <c r="G118"/>
      <c r="H118" s="276"/>
    </row>
    <row r="119" spans="1:8" ht="15" customHeight="1" x14ac:dyDescent="0.25">
      <c r="A119" s="484"/>
      <c r="B119" s="487"/>
      <c r="C119" s="223">
        <v>334096</v>
      </c>
      <c r="D119" s="277" t="s">
        <v>435</v>
      </c>
      <c r="E119"/>
      <c r="F119"/>
      <c r="G119"/>
      <c r="H119" s="276"/>
    </row>
    <row r="120" spans="1:8" ht="15" customHeight="1" x14ac:dyDescent="0.25">
      <c r="A120" s="484"/>
      <c r="B120" s="487"/>
      <c r="C120" s="223">
        <v>14054</v>
      </c>
      <c r="D120" s="277" t="s">
        <v>396</v>
      </c>
      <c r="E120"/>
      <c r="F120"/>
      <c r="G120"/>
      <c r="H120" s="276"/>
    </row>
    <row r="121" spans="1:8" ht="15" customHeight="1" x14ac:dyDescent="0.25">
      <c r="A121" s="484"/>
      <c r="B121" s="487"/>
      <c r="C121" s="223">
        <v>35000</v>
      </c>
      <c r="D121" s="277" t="s">
        <v>227</v>
      </c>
      <c r="E121"/>
      <c r="F121"/>
      <c r="G121"/>
      <c r="H121" s="276"/>
    </row>
    <row r="122" spans="1:8" ht="24" customHeight="1" x14ac:dyDescent="0.25">
      <c r="A122" s="485"/>
      <c r="B122" s="488"/>
      <c r="C122" s="223">
        <v>37794</v>
      </c>
      <c r="D122" s="277" t="s">
        <v>228</v>
      </c>
      <c r="E122"/>
      <c r="F122"/>
      <c r="G122"/>
      <c r="H122" s="276"/>
    </row>
    <row r="123" spans="1:8" ht="24" customHeight="1" x14ac:dyDescent="0.25">
      <c r="A123" s="483">
        <v>4221</v>
      </c>
      <c r="B123" s="486" t="s">
        <v>188</v>
      </c>
      <c r="C123" s="223">
        <v>4622</v>
      </c>
      <c r="D123" s="277" t="s">
        <v>293</v>
      </c>
      <c r="E123"/>
      <c r="F123"/>
      <c r="G123"/>
      <c r="H123" s="276"/>
    </row>
    <row r="124" spans="1:8" ht="15" customHeight="1" x14ac:dyDescent="0.25">
      <c r="A124" s="484"/>
      <c r="B124" s="487"/>
      <c r="C124" s="234">
        <v>5000</v>
      </c>
      <c r="D124" s="277" t="s">
        <v>149</v>
      </c>
      <c r="E124"/>
      <c r="F124"/>
      <c r="G124"/>
      <c r="H124" s="276"/>
    </row>
    <row r="125" spans="1:8" ht="15" customHeight="1" x14ac:dyDescent="0.25">
      <c r="A125" s="484"/>
      <c r="B125" s="487"/>
      <c r="C125" s="234">
        <v>10000</v>
      </c>
      <c r="D125" s="277" t="s">
        <v>435</v>
      </c>
      <c r="E125"/>
      <c r="F125"/>
      <c r="G125"/>
      <c r="H125" s="276"/>
    </row>
    <row r="126" spans="1:8" ht="24.75" customHeight="1" thickBot="1" x14ac:dyDescent="0.3">
      <c r="A126" s="341">
        <v>4231</v>
      </c>
      <c r="B126" s="343" t="s">
        <v>453</v>
      </c>
      <c r="C126" s="234">
        <v>58650</v>
      </c>
      <c r="D126" s="277" t="s">
        <v>146</v>
      </c>
      <c r="E126"/>
      <c r="F126"/>
      <c r="G126"/>
      <c r="H126" s="276"/>
    </row>
    <row r="127" spans="1:8" ht="15" customHeight="1" thickTop="1" thickBot="1" x14ac:dyDescent="0.2">
      <c r="A127" s="316" t="s">
        <v>189</v>
      </c>
      <c r="B127" s="340"/>
      <c r="C127" s="318">
        <f>SUM(C64:C126)</f>
        <v>2454033</v>
      </c>
      <c r="D127" s="404"/>
      <c r="E127" s="173"/>
      <c r="F127" s="213"/>
    </row>
    <row r="128" spans="1:8" ht="13.5" thickBot="1" x14ac:dyDescent="0.25">
      <c r="A128" s="218"/>
      <c r="B128" s="217"/>
      <c r="C128" s="173"/>
      <c r="D128" s="210"/>
      <c r="E128" s="173"/>
      <c r="F128" s="213"/>
    </row>
    <row r="129" spans="1:6" ht="16.5" customHeight="1" thickBot="1" x14ac:dyDescent="0.2">
      <c r="A129" s="481" t="s">
        <v>190</v>
      </c>
      <c r="B129" s="482"/>
      <c r="C129" s="216">
        <f>SUM(C127,C59,C51,C14)</f>
        <v>11842995</v>
      </c>
      <c r="D129" s="215"/>
      <c r="E129" s="173"/>
      <c r="F129" s="213"/>
    </row>
    <row r="130" spans="1:6" x14ac:dyDescent="0.15">
      <c r="A130" s="179"/>
      <c r="B130" s="179"/>
      <c r="E130" s="214"/>
      <c r="F130" s="213"/>
    </row>
    <row r="131" spans="1:6" x14ac:dyDescent="0.15">
      <c r="E131" s="214"/>
      <c r="F131" s="213"/>
    </row>
    <row r="132" spans="1:6" ht="24" customHeight="1" x14ac:dyDescent="0.15">
      <c r="E132" s="214"/>
      <c r="F132" s="213"/>
    </row>
    <row r="133" spans="1:6" x14ac:dyDescent="0.15">
      <c r="E133" s="214"/>
      <c r="F133" s="213"/>
    </row>
    <row r="134" spans="1:6" x14ac:dyDescent="0.15">
      <c r="E134" s="212"/>
      <c r="F134" s="213"/>
    </row>
    <row r="135" spans="1:6" x14ac:dyDescent="0.15">
      <c r="E135" s="212"/>
      <c r="F135" s="211"/>
    </row>
    <row r="136" spans="1:6" ht="24" customHeight="1" x14ac:dyDescent="0.15">
      <c r="E136" s="212"/>
      <c r="F136" s="211"/>
    </row>
    <row r="137" spans="1:6" x14ac:dyDescent="0.15">
      <c r="E137" s="210"/>
      <c r="F137" s="211"/>
    </row>
    <row r="138" spans="1:6" x14ac:dyDescent="0.15">
      <c r="E138" s="210"/>
      <c r="F138" s="209"/>
    </row>
    <row r="139" spans="1:6" ht="15.75" customHeight="1" x14ac:dyDescent="0.15">
      <c r="E139" s="210"/>
      <c r="F139" s="209"/>
    </row>
    <row r="140" spans="1:6" ht="15.75" customHeight="1" x14ac:dyDescent="0.15">
      <c r="F140" s="209"/>
    </row>
    <row r="141" spans="1:6" s="179" customFormat="1" ht="16.5" customHeight="1" x14ac:dyDescent="0.15">
      <c r="A141" s="183"/>
      <c r="B141" s="173"/>
      <c r="C141" s="171"/>
      <c r="D141" s="172"/>
      <c r="E141" s="172"/>
      <c r="F141" s="208"/>
    </row>
    <row r="142" spans="1:6" s="179" customFormat="1" ht="15.75" customHeight="1" x14ac:dyDescent="0.15">
      <c r="A142" s="183"/>
      <c r="B142" s="173"/>
      <c r="C142" s="171"/>
      <c r="D142" s="172"/>
      <c r="E142" s="172"/>
      <c r="F142" s="208"/>
    </row>
  </sheetData>
  <mergeCells count="32">
    <mergeCell ref="A25:A28"/>
    <mergeCell ref="B25:B28"/>
    <mergeCell ref="A1:D1"/>
    <mergeCell ref="A19:A21"/>
    <mergeCell ref="B19:B21"/>
    <mergeCell ref="A23:A24"/>
    <mergeCell ref="B23:B24"/>
    <mergeCell ref="A32:A33"/>
    <mergeCell ref="B32:B33"/>
    <mergeCell ref="A36:A38"/>
    <mergeCell ref="B36:B38"/>
    <mergeCell ref="A41:A43"/>
    <mergeCell ref="B41:B43"/>
    <mergeCell ref="A65:A67"/>
    <mergeCell ref="B65:B67"/>
    <mergeCell ref="A47:A49"/>
    <mergeCell ref="B47:B49"/>
    <mergeCell ref="A44:A45"/>
    <mergeCell ref="B44:B45"/>
    <mergeCell ref="A68:A76"/>
    <mergeCell ref="B68:B76"/>
    <mergeCell ref="A79:A80"/>
    <mergeCell ref="B79:B80"/>
    <mergeCell ref="A81:A84"/>
    <mergeCell ref="B81:B84"/>
    <mergeCell ref="A129:B129"/>
    <mergeCell ref="A103:A122"/>
    <mergeCell ref="B103:B122"/>
    <mergeCell ref="A86:A102"/>
    <mergeCell ref="B86:B102"/>
    <mergeCell ref="A123:A125"/>
    <mergeCell ref="B123:B125"/>
  </mergeCells>
  <pageMargins left="0.39370078740157483" right="0.39370078740157483" top="0.98425196850393704" bottom="0.39370078740157483" header="0.51181102362204722" footer="0.11811023622047245"/>
  <pageSetup paperSize="9" scale="93" firstPageNumber="14" fitToHeight="0" orientation="portrait" useFirstPageNumber="1" r:id="rId1"/>
  <headerFooter scaleWithDoc="0">
    <oddHeader>&amp;L&amp;"Tahoma,Kurzíva"&amp;9Návrh rozpočtu na rok 2023
Příloha č. 10&amp;R&amp;"Tahoma,Kurzíva"&amp;9Přehled příjmů</oddHeader>
    <oddFooter>&amp;C&amp;"Tahoma,Obyčejné"&amp;10&amp;P</oddFooter>
  </headerFooter>
  <rowBreaks count="3" manualBreakCount="3">
    <brk id="30" max="3" man="1"/>
    <brk id="56" max="3" man="1"/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X31"/>
  <sheetViews>
    <sheetView workbookViewId="0">
      <selection activeCell="S31" sqref="S31"/>
    </sheetView>
  </sheetViews>
  <sheetFormatPr defaultColWidth="10.28515625" defaultRowHeight="15.75" outlineLevelRow="1" x14ac:dyDescent="0.25"/>
  <cols>
    <col min="1" max="1" width="21" style="52" customWidth="1"/>
    <col min="2" max="3" width="10.28515625" style="53" hidden="1" customWidth="1"/>
    <col min="4" max="4" width="11.28515625" style="53" hidden="1" customWidth="1"/>
    <col min="5" max="5" width="13.28515625" style="53" hidden="1" customWidth="1"/>
    <col min="6" max="6" width="12.85546875" style="53" hidden="1" customWidth="1"/>
    <col min="7" max="8" width="11.28515625" style="53" hidden="1" customWidth="1"/>
    <col min="9" max="10" width="11" style="52" hidden="1" customWidth="1"/>
    <col min="11" max="11" width="11.7109375" style="52" hidden="1" customWidth="1"/>
    <col min="12" max="12" width="12.5703125" style="52" hidden="1" customWidth="1"/>
    <col min="13" max="17" width="12.5703125" style="52" customWidth="1"/>
    <col min="18" max="18" width="14.140625" style="52" bestFit="1" customWidth="1"/>
    <col min="19" max="20" width="12.5703125" style="52" customWidth="1"/>
    <col min="21" max="24" width="13" style="52" customWidth="1"/>
    <col min="25" max="16384" width="10.28515625" style="52"/>
  </cols>
  <sheetData>
    <row r="2" spans="1:24" x14ac:dyDescent="0.25">
      <c r="A2" s="81" t="s">
        <v>103</v>
      </c>
    </row>
    <row r="3" spans="1:24" s="81" customFormat="1" ht="23.25" customHeight="1" x14ac:dyDescent="0.25">
      <c r="A3" s="76"/>
      <c r="B3" s="78">
        <v>2001</v>
      </c>
      <c r="C3" s="78">
        <v>2002</v>
      </c>
      <c r="D3" s="78">
        <v>2003</v>
      </c>
      <c r="E3" s="78" t="s">
        <v>100</v>
      </c>
      <c r="F3" s="78" t="s">
        <v>99</v>
      </c>
      <c r="G3" s="78"/>
      <c r="H3" s="78"/>
      <c r="I3" s="76"/>
      <c r="J3" s="68"/>
    </row>
    <row r="4" spans="1:24" ht="23.25" customHeight="1" x14ac:dyDescent="0.25">
      <c r="A4" s="76" t="s">
        <v>83</v>
      </c>
      <c r="B4" s="72">
        <v>84275</v>
      </c>
      <c r="C4" s="72">
        <v>3999376</v>
      </c>
      <c r="D4" s="72">
        <v>6078276</v>
      </c>
      <c r="E4" s="72">
        <v>2912785</v>
      </c>
      <c r="F4" s="72">
        <v>3466158</v>
      </c>
      <c r="G4" s="72"/>
      <c r="H4" s="72"/>
      <c r="I4" s="80"/>
      <c r="J4" s="79"/>
    </row>
    <row r="5" spans="1:24" ht="23.25" customHeight="1" x14ac:dyDescent="0.25">
      <c r="A5" s="76" t="s">
        <v>84</v>
      </c>
      <c r="B5" s="72">
        <v>84275</v>
      </c>
      <c r="C5" s="72">
        <v>3999376</v>
      </c>
      <c r="D5" s="72">
        <v>6078276</v>
      </c>
      <c r="E5" s="72"/>
      <c r="F5" s="72"/>
      <c r="G5" s="72"/>
      <c r="H5" s="72"/>
      <c r="I5" s="80"/>
      <c r="J5" s="79"/>
    </row>
    <row r="6" spans="1:24" x14ac:dyDescent="0.25">
      <c r="M6" s="63"/>
      <c r="N6" s="63"/>
      <c r="O6" s="52" t="s">
        <v>102</v>
      </c>
      <c r="Q6" s="52" t="s">
        <v>101</v>
      </c>
    </row>
    <row r="8" spans="1:24" ht="20.25" customHeight="1" x14ac:dyDescent="0.25">
      <c r="A8" s="76"/>
      <c r="B8" s="78">
        <v>2001</v>
      </c>
      <c r="C8" s="78">
        <v>2002</v>
      </c>
      <c r="D8" s="78">
        <v>2003</v>
      </c>
      <c r="E8" s="78" t="s">
        <v>100</v>
      </c>
      <c r="F8" s="78" t="s">
        <v>99</v>
      </c>
      <c r="G8" s="78">
        <v>2006</v>
      </c>
      <c r="H8" s="78" t="s">
        <v>98</v>
      </c>
      <c r="I8" s="78">
        <v>2008</v>
      </c>
      <c r="J8" s="78">
        <v>2009</v>
      </c>
      <c r="K8" s="78" t="s">
        <v>97</v>
      </c>
      <c r="L8" s="78" t="s">
        <v>96</v>
      </c>
      <c r="M8" s="78" t="s">
        <v>95</v>
      </c>
      <c r="N8" s="78" t="s">
        <v>94</v>
      </c>
      <c r="O8" s="78" t="s">
        <v>93</v>
      </c>
      <c r="P8" s="78" t="s">
        <v>92</v>
      </c>
      <c r="Q8" s="78" t="s">
        <v>91</v>
      </c>
      <c r="R8" s="78" t="s">
        <v>90</v>
      </c>
      <c r="S8" s="78" t="s">
        <v>89</v>
      </c>
      <c r="T8" s="78" t="s">
        <v>39</v>
      </c>
      <c r="U8" s="78" t="s">
        <v>51</v>
      </c>
      <c r="V8" s="78" t="s">
        <v>246</v>
      </c>
      <c r="W8" s="78" t="s">
        <v>297</v>
      </c>
      <c r="X8" s="78" t="s">
        <v>198</v>
      </c>
    </row>
    <row r="9" spans="1:24" ht="20.25" customHeight="1" x14ac:dyDescent="0.25">
      <c r="A9" s="76" t="s">
        <v>79</v>
      </c>
      <c r="B9" s="72">
        <v>84275</v>
      </c>
      <c r="C9" s="72">
        <v>3999376</v>
      </c>
      <c r="D9" s="72">
        <v>6078276</v>
      </c>
      <c r="E9" s="72">
        <v>2912785</v>
      </c>
      <c r="F9" s="72">
        <v>3466158</v>
      </c>
      <c r="G9" s="72">
        <v>5192836</v>
      </c>
      <c r="H9" s="72">
        <v>5317944</v>
      </c>
      <c r="I9" s="70">
        <v>7592570</v>
      </c>
      <c r="J9" s="70">
        <v>7540749</v>
      </c>
      <c r="K9" s="70">
        <v>7428164</v>
      </c>
      <c r="L9" s="70">
        <v>8304059</v>
      </c>
      <c r="M9" s="77">
        <v>9019403</v>
      </c>
      <c r="N9" s="77">
        <v>7609322</v>
      </c>
      <c r="O9" s="77">
        <v>8278538</v>
      </c>
      <c r="P9" s="77">
        <v>9696615</v>
      </c>
      <c r="Q9" s="77">
        <v>8053332</v>
      </c>
      <c r="R9" s="77">
        <v>7886430</v>
      </c>
      <c r="S9" s="77">
        <v>9352498</v>
      </c>
      <c r="T9" s="77">
        <v>10284570</v>
      </c>
      <c r="U9" s="77">
        <v>10787896</v>
      </c>
      <c r="V9" s="77">
        <v>9863084</v>
      </c>
      <c r="W9" s="77">
        <v>11993157</v>
      </c>
      <c r="X9" s="93">
        <v>14892238</v>
      </c>
    </row>
    <row r="10" spans="1:24" ht="20.25" customHeight="1" x14ac:dyDescent="0.25">
      <c r="A10" s="76" t="s">
        <v>78</v>
      </c>
      <c r="B10" s="72">
        <v>1725409</v>
      </c>
      <c r="C10" s="72">
        <v>359422</v>
      </c>
      <c r="D10" s="72">
        <v>5867132</v>
      </c>
      <c r="E10" s="72">
        <f>12367232-2912785</f>
        <v>9454447</v>
      </c>
      <c r="F10" s="72">
        <v>10982426.800000001</v>
      </c>
      <c r="G10" s="75">
        <v>11172923.619999999</v>
      </c>
      <c r="H10" s="74">
        <v>10466523.800000001</v>
      </c>
      <c r="I10" s="70">
        <v>10151456.390000001</v>
      </c>
      <c r="J10" s="70">
        <v>11166878</v>
      </c>
      <c r="K10" s="70">
        <v>10908903</v>
      </c>
      <c r="L10" s="69">
        <v>10288015</v>
      </c>
      <c r="M10" s="70">
        <v>9686464</v>
      </c>
      <c r="N10" s="70">
        <v>10919480</v>
      </c>
      <c r="O10" s="70">
        <v>11432941</v>
      </c>
      <c r="P10" s="70">
        <v>12535240</v>
      </c>
      <c r="Q10" s="70">
        <v>12351887</v>
      </c>
      <c r="R10" s="70">
        <v>14595144</v>
      </c>
      <c r="S10" s="70">
        <v>16794678</v>
      </c>
      <c r="T10" s="70">
        <v>19321422</v>
      </c>
      <c r="U10" s="70">
        <v>21851874</v>
      </c>
      <c r="V10" s="70">
        <v>25796612</v>
      </c>
      <c r="W10" s="185">
        <v>26057006</v>
      </c>
      <c r="X10" s="312"/>
    </row>
    <row r="11" spans="1:24" x14ac:dyDescent="0.25">
      <c r="A11" s="73" t="s">
        <v>88</v>
      </c>
      <c r="B11" s="72"/>
      <c r="C11" s="72"/>
      <c r="D11" s="72"/>
      <c r="E11" s="72"/>
      <c r="F11" s="72"/>
      <c r="G11" s="72"/>
      <c r="H11" s="71"/>
      <c r="I11" s="71"/>
      <c r="J11" s="71"/>
      <c r="K11" s="70"/>
      <c r="L11" s="70"/>
      <c r="M11" s="70"/>
      <c r="N11" s="70"/>
      <c r="O11" s="69"/>
      <c r="P11" s="69"/>
      <c r="Q11" s="69"/>
      <c r="R11" s="69"/>
      <c r="S11" s="69"/>
      <c r="T11" s="69"/>
      <c r="U11" s="69"/>
      <c r="V11" s="69"/>
      <c r="W11" s="69"/>
      <c r="X11" s="407">
        <v>27293058</v>
      </c>
    </row>
    <row r="12" spans="1:24" x14ac:dyDescent="0.25">
      <c r="A12" s="68" t="s">
        <v>87</v>
      </c>
      <c r="L12" s="67"/>
    </row>
    <row r="13" spans="1:24" x14ac:dyDescent="0.25">
      <c r="W13" s="52">
        <v>38050163</v>
      </c>
    </row>
    <row r="14" spans="1:24" x14ac:dyDescent="0.25">
      <c r="H14" s="66">
        <f>H9+H10</f>
        <v>15784467.800000001</v>
      </c>
      <c r="I14" s="66">
        <f>I9+I10</f>
        <v>17744026.390000001</v>
      </c>
      <c r="J14" s="66"/>
      <c r="K14" s="65"/>
      <c r="L14" s="63"/>
      <c r="M14" s="64" t="s">
        <v>86</v>
      </c>
      <c r="N14" s="63" t="s">
        <v>85</v>
      </c>
      <c r="W14" s="52">
        <f>W13-W9</f>
        <v>26057006</v>
      </c>
    </row>
    <row r="15" spans="1:24" x14ac:dyDescent="0.25">
      <c r="H15" s="62"/>
      <c r="N15" s="266">
        <v>2856571</v>
      </c>
      <c r="O15" s="267">
        <v>24322084</v>
      </c>
      <c r="P15" s="267">
        <v>0</v>
      </c>
      <c r="Q15" s="267">
        <v>114403</v>
      </c>
      <c r="R15" s="61"/>
    </row>
    <row r="16" spans="1:24" ht="22.5" hidden="1" customHeight="1" outlineLevel="1" x14ac:dyDescent="0.25">
      <c r="A16" s="59" t="s">
        <v>82</v>
      </c>
      <c r="B16" s="54"/>
      <c r="C16" s="54"/>
      <c r="D16" s="54"/>
      <c r="E16" s="54"/>
      <c r="F16" s="54"/>
      <c r="G16" s="54"/>
      <c r="H16" s="54"/>
    </row>
    <row r="17" spans="1:8" ht="22.5" hidden="1" customHeight="1" outlineLevel="1" x14ac:dyDescent="0.25">
      <c r="A17" s="60"/>
      <c r="B17" s="58">
        <v>2001</v>
      </c>
      <c r="C17" s="58">
        <v>2002</v>
      </c>
      <c r="D17" s="58">
        <v>2003</v>
      </c>
      <c r="E17" s="58" t="s">
        <v>81</v>
      </c>
      <c r="F17" s="58" t="s">
        <v>80</v>
      </c>
      <c r="G17" s="58"/>
      <c r="H17" s="58"/>
    </row>
    <row r="18" spans="1:8" ht="21.75" hidden="1" customHeight="1" outlineLevel="1" x14ac:dyDescent="0.25">
      <c r="A18" s="57" t="s">
        <v>84</v>
      </c>
      <c r="B18" s="56">
        <v>1809684</v>
      </c>
      <c r="C18" s="56">
        <v>4349169</v>
      </c>
      <c r="D18" s="56">
        <v>10942261</v>
      </c>
      <c r="E18" s="56">
        <v>2908920</v>
      </c>
      <c r="F18" s="56">
        <v>4223860</v>
      </c>
      <c r="G18" s="56"/>
      <c r="H18" s="56"/>
    </row>
    <row r="19" spans="1:8" ht="21.75" hidden="1" customHeight="1" outlineLevel="1" x14ac:dyDescent="0.25">
      <c r="A19" s="57" t="s">
        <v>83</v>
      </c>
      <c r="B19" s="56">
        <v>1809684</v>
      </c>
      <c r="C19" s="56">
        <v>4358798</v>
      </c>
      <c r="D19" s="56">
        <v>11025324</v>
      </c>
      <c r="E19" s="56">
        <v>2908920</v>
      </c>
      <c r="F19" s="56">
        <v>4223860</v>
      </c>
      <c r="G19" s="56"/>
      <c r="H19" s="56"/>
    </row>
    <row r="20" spans="1:8" hidden="1" outlineLevel="1" x14ac:dyDescent="0.25">
      <c r="A20" s="59"/>
      <c r="B20" s="54"/>
      <c r="C20" s="54">
        <f>C18-C19</f>
        <v>-9629</v>
      </c>
      <c r="D20" s="54">
        <f>D18-D19</f>
        <v>-83063</v>
      </c>
      <c r="E20" s="54"/>
      <c r="F20" s="54"/>
      <c r="G20" s="54"/>
      <c r="H20" s="54"/>
    </row>
    <row r="21" spans="1:8" hidden="1" outlineLevel="1" x14ac:dyDescent="0.25">
      <c r="A21" s="59"/>
      <c r="B21" s="54"/>
      <c r="C21" s="54"/>
      <c r="D21" s="54"/>
      <c r="E21" s="54"/>
      <c r="F21" s="54"/>
      <c r="G21" s="54"/>
      <c r="H21" s="54"/>
    </row>
    <row r="22" spans="1:8" ht="24.75" hidden="1" customHeight="1" outlineLevel="1" x14ac:dyDescent="0.25">
      <c r="A22" s="57"/>
      <c r="B22" s="58">
        <v>2001</v>
      </c>
      <c r="C22" s="58">
        <v>2002</v>
      </c>
      <c r="D22" s="58">
        <v>2003</v>
      </c>
      <c r="E22" s="58" t="s">
        <v>81</v>
      </c>
      <c r="F22" s="58" t="s">
        <v>80</v>
      </c>
      <c r="G22" s="58"/>
      <c r="H22" s="58"/>
    </row>
    <row r="23" spans="1:8" ht="24.75" hidden="1" customHeight="1" outlineLevel="1" x14ac:dyDescent="0.25">
      <c r="A23" s="57" t="s">
        <v>79</v>
      </c>
      <c r="B23" s="56">
        <v>84275</v>
      </c>
      <c r="C23" s="56">
        <v>3999376</v>
      </c>
      <c r="D23" s="56">
        <v>6078276</v>
      </c>
      <c r="E23" s="56">
        <v>2911420</v>
      </c>
      <c r="F23" s="56">
        <v>4226360</v>
      </c>
      <c r="G23" s="56"/>
      <c r="H23" s="56"/>
    </row>
    <row r="24" spans="1:8" ht="24.75" hidden="1" customHeight="1" outlineLevel="1" x14ac:dyDescent="0.25">
      <c r="A24" s="57" t="s">
        <v>82</v>
      </c>
      <c r="B24" s="56">
        <v>1809684</v>
      </c>
      <c r="C24" s="56">
        <v>4358798</v>
      </c>
      <c r="D24" s="56">
        <v>11055594</v>
      </c>
      <c r="E24" s="56">
        <v>8367041</v>
      </c>
      <c r="F24" s="56">
        <v>7528049</v>
      </c>
      <c r="G24" s="56"/>
      <c r="H24" s="56"/>
    </row>
    <row r="25" spans="1:8" ht="21" hidden="1" customHeight="1" outlineLevel="1" x14ac:dyDescent="0.25">
      <c r="A25" s="57" t="s">
        <v>78</v>
      </c>
      <c r="B25" s="56">
        <f>B24-B23</f>
        <v>1725409</v>
      </c>
      <c r="C25" s="56">
        <f>C24-C23</f>
        <v>359422</v>
      </c>
      <c r="D25" s="56">
        <f>D24-D23</f>
        <v>4977318</v>
      </c>
      <c r="E25" s="56">
        <v>8367041</v>
      </c>
      <c r="F25" s="56">
        <v>7528049</v>
      </c>
      <c r="G25" s="56"/>
      <c r="H25" s="56"/>
    </row>
    <row r="26" spans="1:8" hidden="1" outlineLevel="1" x14ac:dyDescent="0.25">
      <c r="A26" s="59"/>
      <c r="B26" s="54"/>
      <c r="C26" s="54"/>
      <c r="D26" s="54"/>
      <c r="E26" s="54"/>
      <c r="F26" s="54"/>
      <c r="G26" s="54"/>
      <c r="H26" s="54"/>
    </row>
    <row r="27" spans="1:8" ht="25.5" hidden="1" customHeight="1" outlineLevel="1" x14ac:dyDescent="0.25">
      <c r="A27" s="57"/>
      <c r="B27" s="58">
        <v>2001</v>
      </c>
      <c r="C27" s="58">
        <v>2002</v>
      </c>
      <c r="D27" s="58">
        <v>2003</v>
      </c>
      <c r="E27" s="58" t="s">
        <v>81</v>
      </c>
      <c r="F27" s="58" t="s">
        <v>80</v>
      </c>
      <c r="G27" s="58"/>
      <c r="H27" s="58"/>
    </row>
    <row r="28" spans="1:8" ht="21" hidden="1" customHeight="1" outlineLevel="1" x14ac:dyDescent="0.25">
      <c r="A28" s="57" t="s">
        <v>79</v>
      </c>
      <c r="B28" s="56">
        <v>84275</v>
      </c>
      <c r="C28" s="56">
        <v>3999376</v>
      </c>
      <c r="D28" s="56">
        <v>6078276</v>
      </c>
      <c r="E28" s="56">
        <v>2911420</v>
      </c>
      <c r="F28" s="56">
        <v>4226360</v>
      </c>
      <c r="G28" s="56"/>
      <c r="H28" s="56"/>
    </row>
    <row r="29" spans="1:8" ht="23.25" hidden="1" customHeight="1" outlineLevel="1" x14ac:dyDescent="0.25">
      <c r="A29" s="57" t="s">
        <v>78</v>
      </c>
      <c r="B29" s="56">
        <v>1725409</v>
      </c>
      <c r="C29" s="56">
        <v>359422</v>
      </c>
      <c r="D29" s="56">
        <v>4977318</v>
      </c>
      <c r="E29" s="56">
        <v>8367041</v>
      </c>
      <c r="F29" s="56">
        <v>7528049</v>
      </c>
      <c r="G29" s="56"/>
      <c r="H29" s="56"/>
    </row>
    <row r="30" spans="1:8" hidden="1" outlineLevel="1" x14ac:dyDescent="0.25">
      <c r="A30" s="55" t="s">
        <v>77</v>
      </c>
      <c r="B30" s="54"/>
      <c r="C30" s="54"/>
      <c r="D30" s="54"/>
      <c r="E30" s="54"/>
      <c r="F30" s="54"/>
      <c r="G30" s="54"/>
      <c r="H30" s="54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X17"/>
  <sheetViews>
    <sheetView zoomScale="85" workbookViewId="0">
      <selection activeCell="Y25" sqref="Y25"/>
    </sheetView>
  </sheetViews>
  <sheetFormatPr defaultColWidth="10.28515625" defaultRowHeight="15.75" x14ac:dyDescent="0.25"/>
  <cols>
    <col min="1" max="1" width="25.140625" style="82" customWidth="1"/>
    <col min="2" max="2" width="11.42578125" style="82" hidden="1" customWidth="1"/>
    <col min="3" max="3" width="14.28515625" style="82" hidden="1" customWidth="1"/>
    <col min="4" max="4" width="13.42578125" style="82" hidden="1" customWidth="1"/>
    <col min="5" max="5" width="12.7109375" style="82" hidden="1" customWidth="1"/>
    <col min="6" max="6" width="13.140625" style="82" hidden="1" customWidth="1"/>
    <col min="7" max="7" width="13" style="82" hidden="1" customWidth="1"/>
    <col min="8" max="8" width="12.7109375" style="82" hidden="1" customWidth="1"/>
    <col min="9" max="10" width="15" style="82" hidden="1" customWidth="1"/>
    <col min="11" max="15" width="14.42578125" style="82" hidden="1" customWidth="1"/>
    <col min="16" max="17" width="14.42578125" style="82" customWidth="1"/>
    <col min="18" max="24" width="14.7109375" style="82" customWidth="1"/>
    <col min="25" max="16384" width="10.28515625" style="82"/>
  </cols>
  <sheetData>
    <row r="1" spans="1:24" x14ac:dyDescent="0.25">
      <c r="A1" s="497" t="s">
        <v>103</v>
      </c>
      <c r="B1" s="497"/>
      <c r="C1" s="497"/>
      <c r="D1" s="497"/>
      <c r="E1" s="497"/>
      <c r="F1" s="497"/>
    </row>
    <row r="2" spans="1:24" ht="22.5" customHeight="1" x14ac:dyDescent="0.25">
      <c r="A2" s="104"/>
      <c r="B2" s="103">
        <v>2001</v>
      </c>
      <c r="C2" s="103">
        <v>2002</v>
      </c>
      <c r="D2" s="103">
        <v>2003</v>
      </c>
      <c r="E2" s="103">
        <v>2004</v>
      </c>
      <c r="F2" s="103">
        <v>2005</v>
      </c>
      <c r="G2" s="103">
        <v>2006</v>
      </c>
      <c r="H2" s="103">
        <v>2007</v>
      </c>
      <c r="I2" s="95">
        <v>2008</v>
      </c>
      <c r="J2" s="94">
        <v>2009</v>
      </c>
      <c r="K2" s="94">
        <v>2010</v>
      </c>
      <c r="L2" s="94">
        <v>2011</v>
      </c>
      <c r="M2" s="94">
        <v>2012</v>
      </c>
      <c r="N2" s="94">
        <v>2013</v>
      </c>
      <c r="O2" s="94">
        <v>2014</v>
      </c>
      <c r="P2" s="94">
        <v>2015</v>
      </c>
      <c r="Q2" s="94">
        <v>2016</v>
      </c>
      <c r="R2" s="94">
        <v>2017</v>
      </c>
      <c r="S2" s="94">
        <v>2018</v>
      </c>
      <c r="T2" s="94">
        <v>2019</v>
      </c>
      <c r="U2" s="94">
        <v>2020</v>
      </c>
      <c r="V2" s="94">
        <v>2021</v>
      </c>
      <c r="W2" s="94">
        <v>2022</v>
      </c>
      <c r="X2" s="94">
        <v>2023</v>
      </c>
    </row>
    <row r="3" spans="1:24" ht="22.5" customHeight="1" x14ac:dyDescent="0.25">
      <c r="A3" s="102" t="s">
        <v>108</v>
      </c>
      <c r="B3" s="101">
        <v>84275</v>
      </c>
      <c r="C3" s="100">
        <v>3960026</v>
      </c>
      <c r="D3" s="100">
        <v>5976481</v>
      </c>
      <c r="E3" s="100">
        <v>2622083</v>
      </c>
      <c r="F3" s="100">
        <v>2804755</v>
      </c>
      <c r="G3" s="100">
        <v>3835304</v>
      </c>
      <c r="H3" s="100">
        <v>3597607</v>
      </c>
      <c r="I3" s="70">
        <v>4148674</v>
      </c>
      <c r="J3" s="77">
        <v>4386633</v>
      </c>
      <c r="K3" s="77">
        <v>4426857</v>
      </c>
      <c r="L3" s="77">
        <v>4548788</v>
      </c>
      <c r="M3" s="77">
        <v>4787612</v>
      </c>
      <c r="N3" s="77">
        <v>4674368</v>
      </c>
      <c r="O3" s="77">
        <v>4749050</v>
      </c>
      <c r="P3" s="77">
        <v>5225653</v>
      </c>
      <c r="Q3" s="77">
        <v>5123867</v>
      </c>
      <c r="R3" s="77">
        <v>5704252</v>
      </c>
      <c r="S3" s="77">
        <v>6456472</v>
      </c>
      <c r="T3" s="77">
        <v>6996283</v>
      </c>
      <c r="U3" s="77">
        <v>7490726</v>
      </c>
      <c r="V3" s="77">
        <v>7002032</v>
      </c>
      <c r="W3" s="77">
        <v>7846903</v>
      </c>
      <c r="X3" s="93">
        <v>9973858</v>
      </c>
    </row>
    <row r="4" spans="1:24" ht="22.5" customHeight="1" x14ac:dyDescent="0.25">
      <c r="A4" s="102" t="s">
        <v>107</v>
      </c>
      <c r="B4" s="101">
        <v>0</v>
      </c>
      <c r="C4" s="100">
        <v>39350</v>
      </c>
      <c r="D4" s="100">
        <v>101795</v>
      </c>
      <c r="E4" s="100">
        <v>290702</v>
      </c>
      <c r="F4" s="100">
        <v>661403</v>
      </c>
      <c r="G4" s="100">
        <v>1357532</v>
      </c>
      <c r="H4" s="100">
        <v>1720337</v>
      </c>
      <c r="I4" s="70">
        <v>3443896</v>
      </c>
      <c r="J4" s="77">
        <v>3154116</v>
      </c>
      <c r="K4" s="77">
        <v>3001307</v>
      </c>
      <c r="L4" s="77">
        <v>3755271</v>
      </c>
      <c r="M4" s="77">
        <v>4231791</v>
      </c>
      <c r="N4" s="77">
        <v>2934954</v>
      </c>
      <c r="O4" s="77">
        <v>3529488</v>
      </c>
      <c r="P4" s="77">
        <v>4470962</v>
      </c>
      <c r="Q4" s="77">
        <v>1689119</v>
      </c>
      <c r="R4" s="77">
        <v>2182178</v>
      </c>
      <c r="S4" s="77">
        <v>2896026</v>
      </c>
      <c r="T4" s="77">
        <v>3288287</v>
      </c>
      <c r="U4" s="77">
        <v>3297170</v>
      </c>
      <c r="V4" s="77">
        <v>2861052</v>
      </c>
      <c r="W4" s="77">
        <v>4146254</v>
      </c>
      <c r="X4" s="93">
        <v>4918380</v>
      </c>
    </row>
    <row r="5" spans="1:24" ht="22.5" customHeight="1" x14ac:dyDescent="0.25">
      <c r="A5" s="99" t="s">
        <v>106</v>
      </c>
      <c r="B5" s="98">
        <f t="shared" ref="B5:S5" si="0">SUM(B3:B4)</f>
        <v>84275</v>
      </c>
      <c r="C5" s="98">
        <f t="shared" si="0"/>
        <v>3999376</v>
      </c>
      <c r="D5" s="98">
        <f t="shared" si="0"/>
        <v>6078276</v>
      </c>
      <c r="E5" s="98">
        <f t="shared" si="0"/>
        <v>2912785</v>
      </c>
      <c r="F5" s="98">
        <f t="shared" si="0"/>
        <v>3466158</v>
      </c>
      <c r="G5" s="98">
        <f t="shared" si="0"/>
        <v>5192836</v>
      </c>
      <c r="H5" s="98">
        <f t="shared" si="0"/>
        <v>5317944</v>
      </c>
      <c r="I5" s="84">
        <f t="shared" si="0"/>
        <v>7592570</v>
      </c>
      <c r="J5" s="83">
        <f t="shared" si="0"/>
        <v>7540749</v>
      </c>
      <c r="K5" s="83">
        <f t="shared" si="0"/>
        <v>7428164</v>
      </c>
      <c r="L5" s="83">
        <f t="shared" si="0"/>
        <v>8304059</v>
      </c>
      <c r="M5" s="83">
        <f t="shared" si="0"/>
        <v>9019403</v>
      </c>
      <c r="N5" s="83">
        <f t="shared" si="0"/>
        <v>7609322</v>
      </c>
      <c r="O5" s="83">
        <f t="shared" si="0"/>
        <v>8278538</v>
      </c>
      <c r="P5" s="83">
        <f t="shared" si="0"/>
        <v>9696615</v>
      </c>
      <c r="Q5" s="83">
        <f t="shared" si="0"/>
        <v>6812986</v>
      </c>
      <c r="R5" s="83">
        <f t="shared" si="0"/>
        <v>7886430</v>
      </c>
      <c r="S5" s="83">
        <f t="shared" si="0"/>
        <v>9352498</v>
      </c>
      <c r="T5" s="83">
        <f>SUM(T3:T4)</f>
        <v>10284570</v>
      </c>
      <c r="U5" s="83">
        <f>SUM(U3:U4)</f>
        <v>10787896</v>
      </c>
      <c r="V5" s="83">
        <f>SUM(V3:V4)</f>
        <v>9863084</v>
      </c>
      <c r="W5" s="83">
        <f>SUM(W3:W4)</f>
        <v>11993157</v>
      </c>
      <c r="X5" s="83">
        <f>SUM(X3:X4)</f>
        <v>14892238</v>
      </c>
    </row>
    <row r="9" spans="1:24" x14ac:dyDescent="0.25">
      <c r="A9" s="97"/>
      <c r="B9" s="96">
        <v>2001</v>
      </c>
      <c r="C9" s="96">
        <v>2002</v>
      </c>
      <c r="D9" s="96">
        <v>2003</v>
      </c>
      <c r="E9" s="96">
        <v>2004</v>
      </c>
      <c r="F9" s="96">
        <v>2005</v>
      </c>
      <c r="G9" s="96">
        <v>2006</v>
      </c>
      <c r="H9" s="96">
        <v>2007</v>
      </c>
      <c r="I9" s="95">
        <v>2008</v>
      </c>
      <c r="J9" s="94">
        <v>2009</v>
      </c>
      <c r="K9" s="94">
        <v>2010</v>
      </c>
      <c r="L9" s="94">
        <v>2011</v>
      </c>
      <c r="M9" s="94">
        <v>2012</v>
      </c>
      <c r="N9" s="94">
        <v>2013</v>
      </c>
      <c r="O9" s="94">
        <v>2014</v>
      </c>
      <c r="P9" s="94">
        <v>2015</v>
      </c>
      <c r="Q9" s="94">
        <v>2016</v>
      </c>
      <c r="R9" s="94">
        <v>2017</v>
      </c>
      <c r="S9" s="94">
        <v>2018</v>
      </c>
      <c r="T9" s="94">
        <v>2019</v>
      </c>
      <c r="U9" s="94">
        <v>2020</v>
      </c>
      <c r="V9" s="94">
        <v>2021</v>
      </c>
      <c r="W9" s="94">
        <v>2022</v>
      </c>
      <c r="X9" s="94">
        <v>2023</v>
      </c>
    </row>
    <row r="10" spans="1:24" x14ac:dyDescent="0.25">
      <c r="A10" s="91" t="s">
        <v>105</v>
      </c>
      <c r="B10" s="90">
        <v>10</v>
      </c>
      <c r="C10" s="89">
        <v>1033100</v>
      </c>
      <c r="D10" s="88">
        <v>1139600</v>
      </c>
      <c r="E10" s="87">
        <v>1152642</v>
      </c>
      <c r="F10" s="87">
        <v>1245018</v>
      </c>
      <c r="G10" s="87">
        <v>3847124</v>
      </c>
      <c r="H10" s="87">
        <v>4045313</v>
      </c>
      <c r="I10" s="70">
        <v>4328690</v>
      </c>
      <c r="J10" s="77">
        <v>4532498</v>
      </c>
      <c r="K10" s="77">
        <v>4121475</v>
      </c>
      <c r="L10" s="77">
        <v>4416300</v>
      </c>
      <c r="M10" s="77">
        <v>4543700</v>
      </c>
      <c r="N10" s="77">
        <v>4302600</v>
      </c>
      <c r="O10" s="77">
        <v>4498900</v>
      </c>
      <c r="P10" s="77">
        <v>4776650</v>
      </c>
      <c r="Q10" s="77">
        <v>5330950</v>
      </c>
      <c r="R10" s="77">
        <v>5771300</v>
      </c>
      <c r="S10" s="77">
        <v>6427050</v>
      </c>
      <c r="T10" s="77">
        <v>7030550</v>
      </c>
      <c r="U10" s="77">
        <v>7340300</v>
      </c>
      <c r="V10" s="77">
        <v>6307200</v>
      </c>
      <c r="W10" s="77">
        <v>7283700</v>
      </c>
      <c r="X10" s="93">
        <v>8580950</v>
      </c>
    </row>
    <row r="11" spans="1:24" x14ac:dyDescent="0.25">
      <c r="A11" s="91" t="s">
        <v>74</v>
      </c>
      <c r="B11" s="90">
        <v>90</v>
      </c>
      <c r="C11" s="89">
        <v>5899</v>
      </c>
      <c r="D11" s="88">
        <v>36891</v>
      </c>
      <c r="E11" s="87">
        <v>45708</v>
      </c>
      <c r="F11" s="87">
        <v>85840</v>
      </c>
      <c r="G11" s="87">
        <v>131499</v>
      </c>
      <c r="H11" s="87">
        <v>208296</v>
      </c>
      <c r="I11" s="70">
        <v>97807</v>
      </c>
      <c r="J11" s="77">
        <v>183697</v>
      </c>
      <c r="K11" s="77">
        <v>169579</v>
      </c>
      <c r="L11" s="77">
        <v>291031</v>
      </c>
      <c r="M11" s="93">
        <v>169400</v>
      </c>
      <c r="N11" s="93">
        <v>184620</v>
      </c>
      <c r="O11" s="93">
        <v>191852</v>
      </c>
      <c r="P11" s="93">
        <v>162937</v>
      </c>
      <c r="Q11" s="93">
        <v>140391</v>
      </c>
      <c r="R11" s="93">
        <v>164820</v>
      </c>
      <c r="S11" s="93">
        <v>613120</v>
      </c>
      <c r="T11" s="93">
        <v>563161</v>
      </c>
      <c r="U11" s="93">
        <v>585252</v>
      </c>
      <c r="V11" s="93">
        <v>581497</v>
      </c>
      <c r="W11" s="93">
        <v>597999</v>
      </c>
      <c r="X11" s="93">
        <v>755536</v>
      </c>
    </row>
    <row r="12" spans="1:24" x14ac:dyDescent="0.25">
      <c r="A12" s="91" t="s">
        <v>75</v>
      </c>
      <c r="B12" s="90">
        <v>0</v>
      </c>
      <c r="C12" s="92">
        <v>0</v>
      </c>
      <c r="D12" s="88">
        <v>20000</v>
      </c>
      <c r="E12" s="87">
        <v>10000</v>
      </c>
      <c r="F12" s="87">
        <v>10300</v>
      </c>
      <c r="G12" s="87">
        <v>40000</v>
      </c>
      <c r="H12" s="87">
        <v>40000</v>
      </c>
      <c r="I12" s="70">
        <v>40500</v>
      </c>
      <c r="J12" s="77">
        <v>58500</v>
      </c>
      <c r="K12" s="77">
        <v>45730</v>
      </c>
      <c r="L12" s="77">
        <v>60230</v>
      </c>
      <c r="M12" s="77">
        <v>79409</v>
      </c>
      <c r="N12" s="77">
        <v>85980</v>
      </c>
      <c r="O12" s="77">
        <v>85980</v>
      </c>
      <c r="P12" s="77">
        <v>55980</v>
      </c>
      <c r="Q12" s="77">
        <v>40980</v>
      </c>
      <c r="R12" s="77">
        <v>55000</v>
      </c>
      <c r="S12" s="77">
        <v>66000</v>
      </c>
      <c r="T12" s="77">
        <v>41450</v>
      </c>
      <c r="U12" s="77">
        <v>36450</v>
      </c>
      <c r="V12" s="77">
        <v>65658</v>
      </c>
      <c r="W12" s="77">
        <v>74079</v>
      </c>
      <c r="X12" s="93">
        <v>52476</v>
      </c>
    </row>
    <row r="13" spans="1:24" x14ac:dyDescent="0.25">
      <c r="A13" s="91" t="s">
        <v>76</v>
      </c>
      <c r="B13" s="90">
        <v>84175</v>
      </c>
      <c r="C13" s="89">
        <v>2960377</v>
      </c>
      <c r="D13" s="88">
        <v>4881785</v>
      </c>
      <c r="E13" s="87">
        <v>1704435</v>
      </c>
      <c r="F13" s="87">
        <v>2089000</v>
      </c>
      <c r="G13" s="87">
        <v>680213</v>
      </c>
      <c r="H13" s="87">
        <v>774335</v>
      </c>
      <c r="I13" s="70">
        <v>1925572.7</v>
      </c>
      <c r="J13" s="77">
        <v>2098388</v>
      </c>
      <c r="K13" s="77">
        <v>1689276</v>
      </c>
      <c r="L13" s="77">
        <v>2313905</v>
      </c>
      <c r="M13" s="77">
        <v>2139590</v>
      </c>
      <c r="N13" s="77">
        <v>1706993</v>
      </c>
      <c r="O13" s="77">
        <v>2169460</v>
      </c>
      <c r="P13" s="77">
        <v>3565454</v>
      </c>
      <c r="Q13" s="77">
        <v>2541011</v>
      </c>
      <c r="R13" s="77">
        <v>974346</v>
      </c>
      <c r="S13" s="77">
        <v>1130957</v>
      </c>
      <c r="T13" s="77">
        <v>1809816</v>
      </c>
      <c r="U13" s="77">
        <v>2233393</v>
      </c>
      <c r="V13" s="77">
        <v>1615456</v>
      </c>
      <c r="W13" s="77">
        <v>1342985</v>
      </c>
      <c r="X13" s="93">
        <v>2454033</v>
      </c>
    </row>
    <row r="14" spans="1:24" ht="20.25" customHeight="1" x14ac:dyDescent="0.25">
      <c r="A14" s="86" t="s">
        <v>104</v>
      </c>
      <c r="B14" s="85">
        <f t="shared" ref="B14:S14" si="1">SUM(B10:B13)</f>
        <v>84275</v>
      </c>
      <c r="C14" s="85">
        <f t="shared" si="1"/>
        <v>3999376</v>
      </c>
      <c r="D14" s="85">
        <f t="shared" si="1"/>
        <v>6078276</v>
      </c>
      <c r="E14" s="76">
        <f t="shared" si="1"/>
        <v>2912785</v>
      </c>
      <c r="F14" s="76">
        <f t="shared" si="1"/>
        <v>3430158</v>
      </c>
      <c r="G14" s="76">
        <f t="shared" si="1"/>
        <v>4698836</v>
      </c>
      <c r="H14" s="76">
        <f t="shared" si="1"/>
        <v>5067944</v>
      </c>
      <c r="I14" s="84">
        <f t="shared" si="1"/>
        <v>6392569.7000000002</v>
      </c>
      <c r="J14" s="83">
        <f t="shared" si="1"/>
        <v>6873083</v>
      </c>
      <c r="K14" s="83">
        <f t="shared" si="1"/>
        <v>6026060</v>
      </c>
      <c r="L14" s="83">
        <f t="shared" si="1"/>
        <v>7081466</v>
      </c>
      <c r="M14" s="83">
        <f t="shared" si="1"/>
        <v>6932099</v>
      </c>
      <c r="N14" s="83">
        <f t="shared" si="1"/>
        <v>6280193</v>
      </c>
      <c r="O14" s="83">
        <f t="shared" si="1"/>
        <v>6946192</v>
      </c>
      <c r="P14" s="83">
        <f t="shared" si="1"/>
        <v>8561021</v>
      </c>
      <c r="Q14" s="83">
        <f t="shared" si="1"/>
        <v>8053332</v>
      </c>
      <c r="R14" s="83">
        <f t="shared" si="1"/>
        <v>6965466</v>
      </c>
      <c r="S14" s="83">
        <f t="shared" si="1"/>
        <v>8237127</v>
      </c>
      <c r="T14" s="83">
        <f>SUM(T10:T13)</f>
        <v>9444977</v>
      </c>
      <c r="U14" s="83">
        <f>SUM(U10:U13)</f>
        <v>10195395</v>
      </c>
      <c r="V14" s="83">
        <f>SUM(V10:V13)</f>
        <v>8569811</v>
      </c>
      <c r="W14" s="83">
        <f>SUM(W10:W13)</f>
        <v>9298763</v>
      </c>
      <c r="X14" s="83">
        <f>SUM(X10:X13)</f>
        <v>11842995</v>
      </c>
    </row>
    <row r="17" spans="2:8" x14ac:dyDescent="0.25">
      <c r="B17" s="52">
        <f>B5-B14</f>
        <v>0</v>
      </c>
      <c r="C17" s="52">
        <f>C5-C14</f>
        <v>0</v>
      </c>
      <c r="D17" s="52">
        <f>D5-D14</f>
        <v>0</v>
      </c>
      <c r="E17" s="52">
        <f>E5-E14</f>
        <v>0</v>
      </c>
      <c r="F17" s="52">
        <f>F5-F14</f>
        <v>36000</v>
      </c>
      <c r="G17" s="52">
        <v>494000</v>
      </c>
      <c r="H17" s="52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I13"/>
  <sheetViews>
    <sheetView workbookViewId="0">
      <selection activeCell="AH9" sqref="AH9"/>
    </sheetView>
  </sheetViews>
  <sheetFormatPr defaultColWidth="10.28515625" defaultRowHeight="15.75" x14ac:dyDescent="0.25"/>
  <cols>
    <col min="1" max="1" width="39.5703125" style="82" customWidth="1"/>
    <col min="2" max="2" width="21.7109375" style="82" hidden="1" customWidth="1"/>
    <col min="3" max="3" width="10.28515625" style="82" hidden="1" customWidth="1"/>
    <col min="4" max="4" width="22.28515625" style="82" hidden="1" customWidth="1"/>
    <col min="5" max="5" width="10.28515625" style="82" hidden="1" customWidth="1"/>
    <col min="6" max="6" width="17.7109375" style="82" hidden="1" customWidth="1"/>
    <col min="7" max="7" width="10.28515625" style="82" hidden="1" customWidth="1"/>
    <col min="8" max="8" width="17.7109375" style="105" hidden="1" customWidth="1"/>
    <col min="9" max="9" width="10.28515625" style="105" hidden="1" customWidth="1"/>
    <col min="10" max="10" width="17.7109375" style="82" hidden="1" customWidth="1"/>
    <col min="11" max="11" width="10.28515625" style="82" hidden="1" customWidth="1"/>
    <col min="12" max="12" width="17.7109375" style="82" hidden="1" customWidth="1"/>
    <col min="13" max="13" width="10.28515625" style="82" hidden="1" customWidth="1"/>
    <col min="14" max="14" width="17.7109375" style="82" hidden="1" customWidth="1"/>
    <col min="15" max="15" width="10.28515625" style="82" hidden="1" customWidth="1"/>
    <col min="16" max="16" width="17.7109375" style="82" hidden="1" customWidth="1"/>
    <col min="17" max="17" width="0" style="82" hidden="1" customWidth="1"/>
    <col min="18" max="18" width="17.7109375" style="82" hidden="1" customWidth="1"/>
    <col min="19" max="19" width="10.28515625" style="82" hidden="1" customWidth="1"/>
    <col min="20" max="20" width="16.42578125" style="82" hidden="1" customWidth="1"/>
    <col min="21" max="21" width="10.28515625" style="82" hidden="1" customWidth="1"/>
    <col min="22" max="22" width="16.42578125" style="82" hidden="1" customWidth="1"/>
    <col min="23" max="23" width="10.28515625" style="82" hidden="1" customWidth="1"/>
    <col min="24" max="24" width="16.42578125" style="82" hidden="1" customWidth="1"/>
    <col min="25" max="25" width="10.28515625" style="82" hidden="1" customWidth="1"/>
    <col min="26" max="26" width="16.42578125" style="82" hidden="1" customWidth="1"/>
    <col min="27" max="27" width="10.28515625" style="82" hidden="1" customWidth="1"/>
    <col min="28" max="28" width="16.42578125" style="82" customWidth="1"/>
    <col min="29" max="29" width="10.28515625" style="82" customWidth="1"/>
    <col min="30" max="30" width="16.42578125" style="82" customWidth="1"/>
    <col min="31" max="31" width="10.28515625" style="82" customWidth="1"/>
    <col min="32" max="32" width="16.42578125" style="82" customWidth="1"/>
    <col min="33" max="33" width="10.28515625" style="82" customWidth="1"/>
    <col min="34" max="34" width="16.42578125" style="82" customWidth="1"/>
    <col min="35" max="16384" width="10.28515625" style="82"/>
  </cols>
  <sheetData>
    <row r="1" spans="1:35" ht="35.25" customHeight="1" x14ac:dyDescent="0.25">
      <c r="A1" s="132" t="s">
        <v>126</v>
      </c>
      <c r="B1" s="131" t="s">
        <v>125</v>
      </c>
      <c r="C1" s="131"/>
      <c r="D1" s="130" t="s">
        <v>124</v>
      </c>
      <c r="E1" s="130"/>
      <c r="F1" s="130" t="s">
        <v>123</v>
      </c>
      <c r="G1" s="130"/>
      <c r="H1" s="130" t="s">
        <v>122</v>
      </c>
      <c r="I1" s="130"/>
      <c r="J1" s="129" t="s">
        <v>121</v>
      </c>
      <c r="K1" s="129"/>
      <c r="L1" s="129" t="s">
        <v>120</v>
      </c>
      <c r="M1" s="129"/>
      <c r="N1" s="129" t="s">
        <v>119</v>
      </c>
      <c r="O1" s="129"/>
      <c r="P1" s="129" t="s">
        <v>118</v>
      </c>
      <c r="Q1" s="129"/>
      <c r="R1" s="129" t="s">
        <v>117</v>
      </c>
      <c r="S1" s="129"/>
      <c r="T1" s="129" t="s">
        <v>116</v>
      </c>
      <c r="U1" s="129"/>
      <c r="V1" s="129" t="s">
        <v>115</v>
      </c>
      <c r="W1" s="129"/>
      <c r="X1" s="129" t="s">
        <v>114</v>
      </c>
      <c r="Y1" s="129"/>
      <c r="Z1" s="129" t="s">
        <v>151</v>
      </c>
      <c r="AA1" s="129"/>
      <c r="AB1" s="129" t="s">
        <v>193</v>
      </c>
      <c r="AC1" s="129"/>
      <c r="AD1" s="129" t="s">
        <v>247</v>
      </c>
      <c r="AE1" s="129"/>
      <c r="AF1" s="129" t="s">
        <v>296</v>
      </c>
      <c r="AG1" s="129"/>
      <c r="AH1" s="129" t="s">
        <v>436</v>
      </c>
      <c r="AI1" s="129"/>
    </row>
    <row r="2" spans="1:35" x14ac:dyDescent="0.25">
      <c r="A2" s="121" t="s">
        <v>74</v>
      </c>
      <c r="B2" s="120">
        <v>208296</v>
      </c>
      <c r="C2" s="119">
        <f>(B2/$B$10)*100</f>
        <v>4.1100690931075796</v>
      </c>
      <c r="D2" s="118">
        <v>97807</v>
      </c>
      <c r="E2" s="117">
        <f t="shared" ref="E2:E8" si="0">(D2/$D$10)*100</f>
        <v>1.5300091856553601</v>
      </c>
      <c r="F2" s="118">
        <v>183697</v>
      </c>
      <c r="G2" s="117">
        <f t="shared" ref="G2:G8" si="1">(F2/$D$10)*100</f>
        <v>2.8735989998398144</v>
      </c>
      <c r="H2" s="118">
        <v>169579</v>
      </c>
      <c r="I2" s="117">
        <f t="shared" ref="I2:I8" si="2">(H2/$H$10)*100</f>
        <v>2.8140941178813357</v>
      </c>
      <c r="J2" s="116">
        <v>291031</v>
      </c>
      <c r="K2" s="115">
        <f t="shared" ref="K2:K7" si="3">(J2/$J$10)*100</f>
        <v>4.1097563696556616</v>
      </c>
      <c r="L2" s="116">
        <v>169400</v>
      </c>
      <c r="M2" s="115">
        <f t="shared" ref="M2:M7" si="4">(L2/$L$10)*100</f>
        <v>2.4437042806226512</v>
      </c>
      <c r="N2" s="116">
        <v>184620</v>
      </c>
      <c r="O2" s="115">
        <f t="shared" ref="O2:O8" si="5">(N2/$N$10)*100</f>
        <v>2.9397185723432386</v>
      </c>
      <c r="P2" s="116">
        <v>191852</v>
      </c>
      <c r="Q2" s="115">
        <f t="shared" ref="Q2:Q8" si="6">P2/$P$10*100</f>
        <v>2.7619737548285448</v>
      </c>
      <c r="R2" s="116">
        <v>162937</v>
      </c>
      <c r="S2" s="115">
        <f t="shared" ref="S2:S8" si="7">R2/$R$10*100</f>
        <v>1.9032426155712034</v>
      </c>
      <c r="T2" s="116">
        <v>140391</v>
      </c>
      <c r="U2" s="115">
        <f t="shared" ref="U2:U8" si="8">T2/$T$10*100</f>
        <v>1.7432660170970227</v>
      </c>
      <c r="V2" s="116">
        <v>164820</v>
      </c>
      <c r="W2" s="115">
        <f t="shared" ref="W2:W8" si="9">V2/$V$10*100</f>
        <v>2.3662451299022922</v>
      </c>
      <c r="X2" s="116">
        <v>613120</v>
      </c>
      <c r="Y2" s="115">
        <f t="shared" ref="Y2:Y8" si="10">X2/$X$10*100</f>
        <v>7.4433719426688461</v>
      </c>
      <c r="Z2" s="116">
        <v>563161</v>
      </c>
      <c r="AA2" s="115">
        <f>Z2/$Z$10*100</f>
        <v>5.9625449590824839</v>
      </c>
      <c r="AB2" s="116">
        <v>585252</v>
      </c>
      <c r="AC2" s="115">
        <f>AB2/$AB$10*100</f>
        <v>5.7403563079213704</v>
      </c>
      <c r="AD2" s="116">
        <v>581497</v>
      </c>
      <c r="AE2" s="115">
        <f>AD2/$AD$10*100</f>
        <v>6.7854121870365631</v>
      </c>
      <c r="AF2" s="116">
        <v>597999</v>
      </c>
      <c r="AG2" s="115">
        <f>AF2/$AF$10*100</f>
        <v>6.4309521599808486</v>
      </c>
      <c r="AH2" s="116">
        <v>755536</v>
      </c>
      <c r="AI2" s="115">
        <f>AH2/$AH$10*100</f>
        <v>6.3796024569798435</v>
      </c>
    </row>
    <row r="3" spans="1:35" x14ac:dyDescent="0.25">
      <c r="A3" s="121" t="s">
        <v>73</v>
      </c>
      <c r="B3" s="120">
        <v>4045313</v>
      </c>
      <c r="C3" s="119">
        <f>(B3/$B$10)*100</f>
        <v>79.82158050680907</v>
      </c>
      <c r="D3" s="118">
        <v>4328690</v>
      </c>
      <c r="E3" s="117">
        <f t="shared" si="0"/>
        <v>67.714329872652286</v>
      </c>
      <c r="F3" s="118">
        <v>4532498</v>
      </c>
      <c r="G3" s="117">
        <f t="shared" si="1"/>
        <v>70.902528182691924</v>
      </c>
      <c r="H3" s="118">
        <v>4121475</v>
      </c>
      <c r="I3" s="117">
        <f t="shared" si="2"/>
        <v>68.394191229426866</v>
      </c>
      <c r="J3" s="116">
        <v>4416300</v>
      </c>
      <c r="K3" s="115">
        <f t="shared" si="3"/>
        <v>62.364205377813008</v>
      </c>
      <c r="L3" s="116">
        <v>4543700</v>
      </c>
      <c r="M3" s="115">
        <f t="shared" si="4"/>
        <v>65.545803659180294</v>
      </c>
      <c r="N3" s="116">
        <v>4302600</v>
      </c>
      <c r="O3" s="115">
        <f t="shared" si="5"/>
        <v>68.510633351554645</v>
      </c>
      <c r="P3" s="116">
        <v>4498900</v>
      </c>
      <c r="Q3" s="115">
        <f t="shared" si="6"/>
        <v>64.767861297240273</v>
      </c>
      <c r="R3" s="116">
        <v>4776650</v>
      </c>
      <c r="S3" s="115">
        <f t="shared" si="7"/>
        <v>55.795330954099988</v>
      </c>
      <c r="T3" s="116">
        <v>5330950</v>
      </c>
      <c r="U3" s="115">
        <f t="shared" si="8"/>
        <v>66.19558215158645</v>
      </c>
      <c r="V3" s="116">
        <v>5771300</v>
      </c>
      <c r="W3" s="115">
        <f t="shared" si="9"/>
        <v>82.85590655384722</v>
      </c>
      <c r="X3" s="116">
        <v>6427050</v>
      </c>
      <c r="Y3" s="115">
        <f t="shared" si="10"/>
        <v>78.02538433606766</v>
      </c>
      <c r="Z3" s="116">
        <v>7030550</v>
      </c>
      <c r="AA3" s="115">
        <f t="shared" ref="AA3:AA8" si="11">Z3/$Z$10*100</f>
        <v>74.436920280483477</v>
      </c>
      <c r="AB3" s="116">
        <v>7340300</v>
      </c>
      <c r="AC3" s="115">
        <f t="shared" ref="AC3:AC8" si="12">AB3/$AB$10*100</f>
        <v>71.996229670356087</v>
      </c>
      <c r="AD3" s="116">
        <v>6307200</v>
      </c>
      <c r="AE3" s="115">
        <f t="shared" ref="AE3:AE8" si="13">AD3/$AD$10*100</f>
        <v>73.597889148313783</v>
      </c>
      <c r="AF3" s="116">
        <v>7283700</v>
      </c>
      <c r="AG3" s="115">
        <f t="shared" ref="AG3:AG8" si="14">AF3/$AF$10*100</f>
        <v>78.329773540846233</v>
      </c>
      <c r="AH3" s="116">
        <v>8580950</v>
      </c>
      <c r="AI3" s="115">
        <f t="shared" ref="AI3:AI8" si="15">AH3/$AH$10*100</f>
        <v>72.455911701389724</v>
      </c>
    </row>
    <row r="4" spans="1:35" x14ac:dyDescent="0.25">
      <c r="A4" s="128" t="s">
        <v>75</v>
      </c>
      <c r="B4" s="122">
        <v>40000</v>
      </c>
      <c r="C4" s="119">
        <f>(B4/$B$10)*100</f>
        <v>0.78927470390359489</v>
      </c>
      <c r="D4" s="118">
        <v>40500</v>
      </c>
      <c r="E4" s="117">
        <f t="shared" si="0"/>
        <v>0.63354741500140166</v>
      </c>
      <c r="F4" s="118">
        <v>58500</v>
      </c>
      <c r="G4" s="117">
        <f t="shared" si="1"/>
        <v>0.9151240438909134</v>
      </c>
      <c r="H4" s="118">
        <v>45730</v>
      </c>
      <c r="I4" s="117">
        <f t="shared" si="2"/>
        <v>0.75887063852666581</v>
      </c>
      <c r="J4" s="116">
        <v>60230</v>
      </c>
      <c r="K4" s="115">
        <f t="shared" si="3"/>
        <v>0.85053010210032787</v>
      </c>
      <c r="L4" s="116">
        <v>79409</v>
      </c>
      <c r="M4" s="115">
        <f t="shared" si="4"/>
        <v>1.1455260520659039</v>
      </c>
      <c r="N4" s="116">
        <v>85980</v>
      </c>
      <c r="O4" s="115">
        <f t="shared" si="5"/>
        <v>1.3690662054494185</v>
      </c>
      <c r="P4" s="116">
        <v>85980</v>
      </c>
      <c r="Q4" s="115">
        <f t="shared" si="6"/>
        <v>1.2378005099772653</v>
      </c>
      <c r="R4" s="116">
        <v>55980</v>
      </c>
      <c r="S4" s="115">
        <f t="shared" si="7"/>
        <v>0.65389396895533836</v>
      </c>
      <c r="T4" s="116">
        <v>40980</v>
      </c>
      <c r="U4" s="115">
        <f t="shared" si="8"/>
        <v>0.50885770014200338</v>
      </c>
      <c r="V4" s="116">
        <v>55000</v>
      </c>
      <c r="W4" s="115">
        <f t="shared" si="9"/>
        <v>0.78960976910948966</v>
      </c>
      <c r="X4" s="116">
        <v>66000</v>
      </c>
      <c r="Y4" s="115">
        <f t="shared" si="10"/>
        <v>0.80125024174083992</v>
      </c>
      <c r="Z4" s="116">
        <v>41450</v>
      </c>
      <c r="AA4" s="115">
        <f t="shared" si="11"/>
        <v>0.43885760653519856</v>
      </c>
      <c r="AB4" s="116">
        <v>36450</v>
      </c>
      <c r="AC4" s="115">
        <f t="shared" si="12"/>
        <v>0.35751434838964063</v>
      </c>
      <c r="AD4" s="116">
        <v>65658</v>
      </c>
      <c r="AE4" s="115">
        <f t="shared" si="13"/>
        <v>0.7661545861396476</v>
      </c>
      <c r="AF4" s="116">
        <v>74079</v>
      </c>
      <c r="AG4" s="115">
        <f t="shared" si="14"/>
        <v>0.79665435069159207</v>
      </c>
      <c r="AH4" s="116">
        <v>52476</v>
      </c>
      <c r="AI4" s="115">
        <f t="shared" si="15"/>
        <v>0.44309737528387033</v>
      </c>
    </row>
    <row r="5" spans="1:35" x14ac:dyDescent="0.25">
      <c r="A5" s="127" t="s">
        <v>113</v>
      </c>
      <c r="B5" s="126">
        <v>176006</v>
      </c>
      <c r="C5" s="119">
        <f>(B5/$B$10)*100</f>
        <v>3.472927088381403</v>
      </c>
      <c r="D5" s="125">
        <v>1640569</v>
      </c>
      <c r="E5" s="117">
        <f t="shared" si="0"/>
        <v>25.663660471146532</v>
      </c>
      <c r="F5" s="125">
        <v>1647849</v>
      </c>
      <c r="G5" s="117">
        <f t="shared" si="1"/>
        <v>25.777542574386285</v>
      </c>
      <c r="H5" s="125">
        <v>1296585</v>
      </c>
      <c r="I5" s="117">
        <f t="shared" si="2"/>
        <v>21.516297547651366</v>
      </c>
      <c r="J5" s="124">
        <f>1995546+1880</f>
        <v>1997426</v>
      </c>
      <c r="K5" s="115">
        <f t="shared" si="3"/>
        <v>28.206391162507877</v>
      </c>
      <c r="L5" s="124">
        <f>1872536+925</f>
        <v>1873461</v>
      </c>
      <c r="M5" s="115">
        <f t="shared" si="4"/>
        <v>27.025883502240806</v>
      </c>
      <c r="N5" s="124">
        <f>1507801+605</f>
        <v>1508406</v>
      </c>
      <c r="O5" s="115">
        <f t="shared" si="5"/>
        <v>24.018465674542167</v>
      </c>
      <c r="P5" s="124">
        <f>1857309+435</f>
        <v>1857744</v>
      </c>
      <c r="Q5" s="115">
        <f t="shared" si="6"/>
        <v>26.744783328764882</v>
      </c>
      <c r="R5" s="116">
        <v>3199577</v>
      </c>
      <c r="S5" s="115">
        <f t="shared" si="7"/>
        <v>37.373778197717307</v>
      </c>
      <c r="T5" s="116">
        <v>2170452</v>
      </c>
      <c r="U5" s="115">
        <f t="shared" si="8"/>
        <v>26.950981283275048</v>
      </c>
      <c r="V5" s="116">
        <v>591823</v>
      </c>
      <c r="W5" s="115">
        <f t="shared" si="9"/>
        <v>8.4965313160670082</v>
      </c>
      <c r="X5" s="116">
        <v>701761</v>
      </c>
      <c r="Y5" s="115">
        <f t="shared" si="10"/>
        <v>8.5194874377923284</v>
      </c>
      <c r="Z5" s="116">
        <v>1327707</v>
      </c>
      <c r="AA5" s="115">
        <f t="shared" si="11"/>
        <v>14.057281452352926</v>
      </c>
      <c r="AB5" s="116">
        <v>1635206</v>
      </c>
      <c r="AC5" s="115">
        <f t="shared" si="12"/>
        <v>16.038672361394532</v>
      </c>
      <c r="AD5" s="116">
        <v>792933</v>
      </c>
      <c r="AE5" s="115">
        <f t="shared" si="13"/>
        <v>9.2526311257039389</v>
      </c>
      <c r="AF5" s="116">
        <v>606358</v>
      </c>
      <c r="AG5" s="115">
        <f t="shared" si="14"/>
        <v>6.5208458372366298</v>
      </c>
      <c r="AH5" s="313">
        <v>1713522</v>
      </c>
      <c r="AI5" s="115">
        <f t="shared" si="15"/>
        <v>14.4686542551103</v>
      </c>
    </row>
    <row r="6" spans="1:35" x14ac:dyDescent="0.25">
      <c r="A6" s="127" t="s">
        <v>112</v>
      </c>
      <c r="B6" s="126"/>
      <c r="C6" s="119"/>
      <c r="D6" s="125">
        <v>0</v>
      </c>
      <c r="E6" s="117">
        <f t="shared" si="0"/>
        <v>0</v>
      </c>
      <c r="F6" s="125">
        <v>0</v>
      </c>
      <c r="G6" s="117">
        <f t="shared" si="1"/>
        <v>0</v>
      </c>
      <c r="H6" s="125">
        <v>198587</v>
      </c>
      <c r="I6" s="117">
        <f t="shared" si="2"/>
        <v>3.295470008595998</v>
      </c>
      <c r="J6" s="124">
        <v>198587</v>
      </c>
      <c r="K6" s="115">
        <f t="shared" si="3"/>
        <v>2.8043204613282051</v>
      </c>
      <c r="L6" s="124">
        <v>153000</v>
      </c>
      <c r="M6" s="115">
        <f t="shared" si="4"/>
        <v>2.2071237009165623</v>
      </c>
      <c r="N6" s="124">
        <v>198587</v>
      </c>
      <c r="O6" s="115">
        <f t="shared" si="5"/>
        <v>3.1621161961105337</v>
      </c>
      <c r="P6" s="124">
        <v>198587</v>
      </c>
      <c r="Q6" s="115">
        <f t="shared" si="6"/>
        <v>2.8589333551390461</v>
      </c>
      <c r="R6" s="116">
        <v>207979</v>
      </c>
      <c r="S6" s="115">
        <f t="shared" si="7"/>
        <v>2.4293714499707453</v>
      </c>
      <c r="T6" s="116">
        <v>208810</v>
      </c>
      <c r="U6" s="115">
        <f t="shared" si="8"/>
        <v>2.5928398332516278</v>
      </c>
      <c r="V6" s="116">
        <v>209438</v>
      </c>
      <c r="W6" s="115">
        <f t="shared" si="9"/>
        <v>3.0068052876864231</v>
      </c>
      <c r="X6" s="116">
        <v>210904</v>
      </c>
      <c r="Y6" s="115">
        <f t="shared" si="10"/>
        <v>2.5604072876380322</v>
      </c>
      <c r="Z6" s="116">
        <v>216176</v>
      </c>
      <c r="AA6" s="115">
        <f t="shared" si="11"/>
        <v>2.2887932919264919</v>
      </c>
      <c r="AB6" s="116">
        <v>312465</v>
      </c>
      <c r="AC6" s="115">
        <f t="shared" si="12"/>
        <v>3.0647660046521001</v>
      </c>
      <c r="AD6" s="116">
        <v>321214</v>
      </c>
      <c r="AE6" s="115">
        <f t="shared" si="13"/>
        <v>3.7482040152344083</v>
      </c>
      <c r="AF6" s="116">
        <v>331493</v>
      </c>
      <c r="AG6" s="115">
        <f t="shared" si="14"/>
        <v>3.5649150322467618</v>
      </c>
      <c r="AH6" s="313">
        <v>344090</v>
      </c>
      <c r="AI6" s="115">
        <f t="shared" si="15"/>
        <v>2.9054305942035779</v>
      </c>
    </row>
    <row r="7" spans="1:35" ht="31.5" x14ac:dyDescent="0.25">
      <c r="A7" s="123" t="s">
        <v>111</v>
      </c>
      <c r="B7" s="122">
        <v>124479</v>
      </c>
      <c r="C7" s="119">
        <f>(B7/$B$10)*100</f>
        <v>2.4562031466803895</v>
      </c>
      <c r="D7" s="118">
        <v>122010</v>
      </c>
      <c r="E7" s="117">
        <f t="shared" si="0"/>
        <v>1.9086202494894078</v>
      </c>
      <c r="F7" s="118">
        <v>129223</v>
      </c>
      <c r="G7" s="117">
        <f t="shared" si="1"/>
        <v>2.0214542619438549</v>
      </c>
      <c r="H7" s="118">
        <v>128864</v>
      </c>
      <c r="I7" s="117">
        <f t="shared" si="2"/>
        <v>2.1384453523529472</v>
      </c>
      <c r="J7" s="116">
        <v>117892</v>
      </c>
      <c r="K7" s="115">
        <f t="shared" si="3"/>
        <v>1.6647965265949169</v>
      </c>
      <c r="L7" s="116">
        <v>113129</v>
      </c>
      <c r="M7" s="115">
        <f t="shared" si="4"/>
        <v>1.6319588049737894</v>
      </c>
      <c r="N7" s="116">
        <v>0</v>
      </c>
      <c r="O7" s="115">
        <f t="shared" si="5"/>
        <v>0</v>
      </c>
      <c r="P7" s="116">
        <v>113129</v>
      </c>
      <c r="Q7" s="115">
        <f t="shared" si="6"/>
        <v>1.6286477540499888</v>
      </c>
      <c r="R7" s="116">
        <v>114252</v>
      </c>
      <c r="S7" s="115">
        <f t="shared" si="7"/>
        <v>1.3345604455356435</v>
      </c>
      <c r="T7" s="116">
        <v>116831</v>
      </c>
      <c r="U7" s="115">
        <f t="shared" si="8"/>
        <v>1.450716299787467</v>
      </c>
      <c r="V7" s="116">
        <v>123989</v>
      </c>
      <c r="W7" s="115">
        <f t="shared" si="9"/>
        <v>1.7800531938566635</v>
      </c>
      <c r="X7" s="116">
        <v>130188</v>
      </c>
      <c r="Y7" s="115">
        <f t="shared" si="10"/>
        <v>1.5805025222993405</v>
      </c>
      <c r="Z7" s="116">
        <v>143207</v>
      </c>
      <c r="AA7" s="115">
        <f t="shared" si="11"/>
        <v>1.5162239145738523</v>
      </c>
      <c r="AB7" s="116">
        <v>156273</v>
      </c>
      <c r="AC7" s="115">
        <f t="shared" si="12"/>
        <v>1.5327802404909276</v>
      </c>
      <c r="AD7" s="116">
        <v>171417</v>
      </c>
      <c r="AE7" s="115">
        <f t="shared" si="13"/>
        <v>2.0002424790931799</v>
      </c>
      <c r="AF7" s="116">
        <v>171417</v>
      </c>
      <c r="AG7" s="115">
        <f t="shared" si="14"/>
        <v>1.8434387455621786</v>
      </c>
      <c r="AH7" s="313">
        <v>195368</v>
      </c>
      <c r="AI7" s="115">
        <f t="shared" si="15"/>
        <v>1.6496502784979643</v>
      </c>
    </row>
    <row r="8" spans="1:35" x14ac:dyDescent="0.25">
      <c r="A8" s="121" t="s">
        <v>110</v>
      </c>
      <c r="B8" s="120">
        <v>473850</v>
      </c>
      <c r="C8" s="119">
        <f>(B8/$B$10)*100</f>
        <v>9.3499454611179598</v>
      </c>
      <c r="D8" s="118">
        <v>163000</v>
      </c>
      <c r="E8" s="117">
        <f t="shared" si="0"/>
        <v>2.5498328060550239</v>
      </c>
      <c r="F8" s="118">
        <v>321316</v>
      </c>
      <c r="G8" s="117">
        <f t="shared" si="1"/>
        <v>5.0263931160145772</v>
      </c>
      <c r="H8" s="118">
        <v>65240</v>
      </c>
      <c r="I8" s="117">
        <f t="shared" si="2"/>
        <v>1.0826311055648301</v>
      </c>
      <c r="J8" s="116">
        <v>0</v>
      </c>
      <c r="K8" s="115">
        <f>(J8/$H$10)*100</f>
        <v>0</v>
      </c>
      <c r="L8" s="116"/>
      <c r="M8" s="115">
        <f>(L8/$H$10)*100</f>
        <v>0</v>
      </c>
      <c r="N8" s="116"/>
      <c r="O8" s="115">
        <f t="shared" si="5"/>
        <v>0</v>
      </c>
      <c r="P8" s="116"/>
      <c r="Q8" s="115">
        <f t="shared" si="6"/>
        <v>0</v>
      </c>
      <c r="R8" s="116">
        <v>43646</v>
      </c>
      <c r="S8" s="115">
        <f t="shared" si="7"/>
        <v>0.50982236814978021</v>
      </c>
      <c r="T8" s="116">
        <v>44918</v>
      </c>
      <c r="U8" s="115">
        <f t="shared" si="8"/>
        <v>0.55775671486038325</v>
      </c>
      <c r="V8" s="116">
        <v>49096</v>
      </c>
      <c r="W8" s="115">
        <f t="shared" si="9"/>
        <v>0.70484874953090004</v>
      </c>
      <c r="X8" s="116">
        <v>88104</v>
      </c>
      <c r="Y8" s="115">
        <f t="shared" si="10"/>
        <v>1.0695962317929539</v>
      </c>
      <c r="Z8" s="116">
        <v>122726</v>
      </c>
      <c r="AA8" s="115">
        <f t="shared" si="11"/>
        <v>1.2993784950455676</v>
      </c>
      <c r="AB8" s="116">
        <v>129449</v>
      </c>
      <c r="AC8" s="115">
        <f t="shared" si="12"/>
        <v>1.2696810667953522</v>
      </c>
      <c r="AD8" s="116">
        <v>329892</v>
      </c>
      <c r="AE8" s="115">
        <f t="shared" si="13"/>
        <v>3.849466458478489</v>
      </c>
      <c r="AF8" s="116">
        <v>233717</v>
      </c>
      <c r="AG8" s="115">
        <f t="shared" si="14"/>
        <v>2.5134203334357483</v>
      </c>
      <c r="AH8" s="313">
        <v>201053</v>
      </c>
      <c r="AI8" s="115">
        <f t="shared" si="15"/>
        <v>1.6976533385347203</v>
      </c>
    </row>
    <row r="9" spans="1:35" x14ac:dyDescent="0.25">
      <c r="B9" s="113"/>
      <c r="D9" s="114"/>
      <c r="E9" s="105"/>
      <c r="F9" s="114"/>
      <c r="G9" s="105"/>
      <c r="H9" s="114"/>
      <c r="J9" s="113"/>
      <c r="L9" s="113"/>
      <c r="N9" s="113"/>
      <c r="P9" s="113"/>
      <c r="R9" s="113"/>
      <c r="T9" s="113"/>
      <c r="V9" s="113"/>
      <c r="X9" s="113"/>
      <c r="Z9" s="113"/>
      <c r="AB9" s="113"/>
      <c r="AD9" s="113"/>
      <c r="AF9" s="113"/>
      <c r="AH9" s="113"/>
    </row>
    <row r="10" spans="1:35" x14ac:dyDescent="0.25">
      <c r="A10" s="112" t="s">
        <v>109</v>
      </c>
      <c r="B10" s="111">
        <f t="shared" ref="B10:Y10" si="16">SUM(B2:B9)</f>
        <v>5067944</v>
      </c>
      <c r="C10" s="110">
        <f t="shared" si="16"/>
        <v>100</v>
      </c>
      <c r="D10" s="109">
        <f t="shared" si="16"/>
        <v>6392576</v>
      </c>
      <c r="E10" s="108">
        <f t="shared" si="16"/>
        <v>100</v>
      </c>
      <c r="F10" s="109">
        <f t="shared" si="16"/>
        <v>6873083</v>
      </c>
      <c r="G10" s="108">
        <f t="shared" si="16"/>
        <v>107.51664117876737</v>
      </c>
      <c r="H10" s="109">
        <f t="shared" si="16"/>
        <v>6026060</v>
      </c>
      <c r="I10" s="108">
        <f t="shared" si="16"/>
        <v>100</v>
      </c>
      <c r="J10" s="107">
        <f t="shared" si="16"/>
        <v>7081466</v>
      </c>
      <c r="K10" s="106">
        <f t="shared" si="16"/>
        <v>99.999999999999972</v>
      </c>
      <c r="L10" s="107">
        <f t="shared" si="16"/>
        <v>6932099</v>
      </c>
      <c r="M10" s="106">
        <f t="shared" si="16"/>
        <v>100.00000000000001</v>
      </c>
      <c r="N10" s="107">
        <f t="shared" si="16"/>
        <v>6280193</v>
      </c>
      <c r="O10" s="106">
        <f t="shared" si="16"/>
        <v>100</v>
      </c>
      <c r="P10" s="107">
        <f t="shared" si="16"/>
        <v>6946192</v>
      </c>
      <c r="Q10" s="106">
        <f t="shared" si="16"/>
        <v>100</v>
      </c>
      <c r="R10" s="107">
        <f t="shared" si="16"/>
        <v>8561021</v>
      </c>
      <c r="S10" s="106">
        <f t="shared" si="16"/>
        <v>100</v>
      </c>
      <c r="T10" s="107">
        <f t="shared" si="16"/>
        <v>8053332</v>
      </c>
      <c r="U10" s="106">
        <f t="shared" si="16"/>
        <v>100.00000000000003</v>
      </c>
      <c r="V10" s="107">
        <f t="shared" si="16"/>
        <v>6965466</v>
      </c>
      <c r="W10" s="106">
        <f t="shared" si="16"/>
        <v>99.999999999999986</v>
      </c>
      <c r="X10" s="107">
        <f t="shared" si="16"/>
        <v>8237127</v>
      </c>
      <c r="Y10" s="106">
        <f t="shared" si="16"/>
        <v>100</v>
      </c>
      <c r="Z10" s="107">
        <f t="shared" ref="Z10:AE10" si="17">SUM(Z2:Z9)</f>
        <v>9444977</v>
      </c>
      <c r="AA10" s="106">
        <f t="shared" si="17"/>
        <v>100</v>
      </c>
      <c r="AB10" s="107">
        <f t="shared" si="17"/>
        <v>10195395</v>
      </c>
      <c r="AC10" s="106">
        <f t="shared" si="17"/>
        <v>100.00000000000001</v>
      </c>
      <c r="AD10" s="107">
        <f t="shared" si="17"/>
        <v>8569811</v>
      </c>
      <c r="AE10" s="106">
        <f t="shared" si="17"/>
        <v>100.00000000000001</v>
      </c>
      <c r="AF10" s="107">
        <f t="shared" ref="AF10:AG10" si="18">SUM(AF2:AF9)</f>
        <v>9298763</v>
      </c>
      <c r="AG10" s="106">
        <f t="shared" si="18"/>
        <v>100</v>
      </c>
      <c r="AH10" s="107">
        <f t="shared" ref="AH10:AI10" si="19">SUM(AH2:AH9)</f>
        <v>11842995</v>
      </c>
      <c r="AI10" s="106">
        <f t="shared" si="19"/>
        <v>99.999999999999986</v>
      </c>
    </row>
    <row r="11" spans="1:35" x14ac:dyDescent="0.25">
      <c r="B11" s="82">
        <v>4697998</v>
      </c>
    </row>
    <row r="12" spans="1:35" x14ac:dyDescent="0.25">
      <c r="B12" s="52">
        <f>B11-B10</f>
        <v>-369946</v>
      </c>
    </row>
    <row r="13" spans="1:35" x14ac:dyDescent="0.25">
      <c r="D13" s="52">
        <f>D7+D5+D8</f>
        <v>1925579</v>
      </c>
      <c r="E13" s="52"/>
      <c r="F13" s="52"/>
      <c r="G13" s="52"/>
      <c r="H13" s="61">
        <f>H7+H5+H8</f>
        <v>1490689</v>
      </c>
      <c r="J13" s="52">
        <f>J7+J5+J8</f>
        <v>2115318</v>
      </c>
      <c r="L13" s="52">
        <f>L7+L5+L8</f>
        <v>1986590</v>
      </c>
      <c r="N13" s="52">
        <f>N7+N5+N8</f>
        <v>1508406</v>
      </c>
      <c r="P13" s="52">
        <f>P5+P6+P7+P8</f>
        <v>2169460</v>
      </c>
      <c r="R13" s="52">
        <f>R5+R6+R7+R8</f>
        <v>3565454</v>
      </c>
      <c r="T13" s="52">
        <f>T5+T6+T7+T8</f>
        <v>2541011</v>
      </c>
      <c r="V13" s="52">
        <f>V5+V6+V7+V8</f>
        <v>974346</v>
      </c>
      <c r="X13" s="52">
        <f>X5+X6+X7+X8</f>
        <v>1130957</v>
      </c>
      <c r="Z13" s="52">
        <f>Z5+Z6+Z7+Z8</f>
        <v>1809816</v>
      </c>
      <c r="AB13" s="52">
        <f>AB5+AB6+AB7+AB8</f>
        <v>2233393</v>
      </c>
      <c r="AD13" s="52">
        <f>AD5+AD6+AD7+AD8</f>
        <v>1615456</v>
      </c>
      <c r="AF13" s="52">
        <f>AF5+AF6+AF7+AF8</f>
        <v>1342985</v>
      </c>
      <c r="AH13" s="52">
        <f>AH5+AH6+AH7+AH8</f>
        <v>2454033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I34"/>
  <sheetViews>
    <sheetView workbookViewId="0">
      <selection activeCell="AK20" sqref="AK20"/>
    </sheetView>
  </sheetViews>
  <sheetFormatPr defaultColWidth="10.28515625" defaultRowHeight="15.75" x14ac:dyDescent="0.25"/>
  <cols>
    <col min="1" max="1" width="48.85546875" style="82" customWidth="1"/>
    <col min="2" max="2" width="18.42578125" style="82" hidden="1" customWidth="1"/>
    <col min="3" max="3" width="10.28515625" style="82" hidden="1" customWidth="1"/>
    <col min="4" max="4" width="17.7109375" style="82" hidden="1" customWidth="1"/>
    <col min="5" max="5" width="15" style="82" hidden="1" customWidth="1"/>
    <col min="6" max="6" width="17.140625" style="105" hidden="1" customWidth="1"/>
    <col min="7" max="7" width="10.28515625" style="105" hidden="1" customWidth="1"/>
    <col min="8" max="8" width="17.140625" style="134" hidden="1" customWidth="1"/>
    <col min="9" max="9" width="10.28515625" style="105" hidden="1" customWidth="1"/>
    <col min="10" max="10" width="17.140625" style="133" hidden="1" customWidth="1"/>
    <col min="11" max="11" width="10.28515625" style="82" hidden="1" customWidth="1"/>
    <col min="12" max="12" width="17.140625" style="133" hidden="1" customWidth="1"/>
    <col min="13" max="13" width="10.28515625" style="82" hidden="1" customWidth="1"/>
    <col min="14" max="14" width="17.140625" style="133" hidden="1" customWidth="1"/>
    <col min="15" max="15" width="10.28515625" style="82" hidden="1" customWidth="1"/>
    <col min="16" max="16" width="17.140625" style="133" hidden="1" customWidth="1"/>
    <col min="17" max="17" width="0" style="82" hidden="1" customWidth="1"/>
    <col min="18" max="18" width="17.140625" style="133" hidden="1" customWidth="1"/>
    <col min="19" max="19" width="11.5703125" style="82" hidden="1" customWidth="1"/>
    <col min="20" max="20" width="17.140625" style="133" hidden="1" customWidth="1"/>
    <col min="21" max="21" width="11.5703125" style="82" hidden="1" customWidth="1"/>
    <col min="22" max="22" width="17.140625" style="133" hidden="1" customWidth="1"/>
    <col min="23" max="23" width="11.5703125" style="82" hidden="1" customWidth="1"/>
    <col min="24" max="24" width="17.140625" style="133" hidden="1" customWidth="1"/>
    <col min="25" max="25" width="11.5703125" style="82" hidden="1" customWidth="1"/>
    <col min="26" max="26" width="17.140625" style="133" hidden="1" customWidth="1"/>
    <col min="27" max="27" width="11.5703125" style="82" hidden="1" customWidth="1"/>
    <col min="28" max="28" width="17.140625" style="133" customWidth="1"/>
    <col min="29" max="29" width="11.5703125" style="82" customWidth="1"/>
    <col min="30" max="30" width="17.140625" style="133" customWidth="1"/>
    <col min="31" max="31" width="11.5703125" style="82" customWidth="1"/>
    <col min="32" max="32" width="17.140625" style="133" customWidth="1"/>
    <col min="33" max="33" width="11.5703125" style="82" customWidth="1"/>
    <col min="34" max="34" width="17.140625" style="133" customWidth="1"/>
    <col min="35" max="35" width="11.5703125" style="82" customWidth="1"/>
    <col min="36" max="16384" width="10.28515625" style="82"/>
  </cols>
  <sheetData>
    <row r="1" spans="1:35" ht="35.25" customHeight="1" x14ac:dyDescent="0.25">
      <c r="A1" s="132" t="s">
        <v>141</v>
      </c>
      <c r="B1" s="131" t="s">
        <v>125</v>
      </c>
      <c r="C1" s="131"/>
      <c r="D1" s="130" t="s">
        <v>124</v>
      </c>
      <c r="E1" s="130"/>
      <c r="F1" s="130" t="s">
        <v>123</v>
      </c>
      <c r="G1" s="130"/>
      <c r="H1" s="164" t="s">
        <v>122</v>
      </c>
      <c r="I1" s="130"/>
      <c r="J1" s="163" t="s">
        <v>121</v>
      </c>
      <c r="K1" s="129"/>
      <c r="L1" s="163" t="s">
        <v>120</v>
      </c>
      <c r="M1" s="129"/>
      <c r="N1" s="163" t="s">
        <v>119</v>
      </c>
      <c r="O1" s="129"/>
      <c r="P1" s="163" t="s">
        <v>118</v>
      </c>
      <c r="Q1" s="129"/>
      <c r="R1" s="163" t="s">
        <v>117</v>
      </c>
      <c r="S1" s="129"/>
      <c r="T1" s="163" t="s">
        <v>116</v>
      </c>
      <c r="U1" s="129"/>
      <c r="V1" s="163" t="s">
        <v>115</v>
      </c>
      <c r="W1" s="129"/>
      <c r="X1" s="163" t="s">
        <v>114</v>
      </c>
      <c r="Y1" s="129"/>
      <c r="Z1" s="163" t="s">
        <v>151</v>
      </c>
      <c r="AA1" s="129"/>
      <c r="AB1" s="163" t="s">
        <v>193</v>
      </c>
      <c r="AC1" s="129"/>
      <c r="AD1" s="163" t="s">
        <v>247</v>
      </c>
      <c r="AE1" s="129"/>
      <c r="AF1" s="163" t="s">
        <v>296</v>
      </c>
      <c r="AG1" s="129"/>
      <c r="AH1" s="163" t="s">
        <v>436</v>
      </c>
      <c r="AI1" s="129"/>
    </row>
    <row r="2" spans="1:35" x14ac:dyDescent="0.25">
      <c r="A2" s="121" t="s">
        <v>140</v>
      </c>
      <c r="B2" s="120">
        <v>33878</v>
      </c>
      <c r="C2" s="119">
        <f>(B2/$B$13)*100</f>
        <v>0.63705070982319489</v>
      </c>
      <c r="D2" s="118">
        <v>39564</v>
      </c>
      <c r="E2" s="117">
        <f>(D2/$D$13)*100</f>
        <v>0.52307207405401746</v>
      </c>
      <c r="F2" s="118">
        <v>42663</v>
      </c>
      <c r="G2" s="117">
        <f>(F2/$D$13)*100</f>
        <v>0.56404367342449069</v>
      </c>
      <c r="H2" s="159">
        <v>40336</v>
      </c>
      <c r="I2" s="117">
        <f t="shared" ref="I2:I11" si="0">(H2/$H$13)*100</f>
        <v>0.54301439763580883</v>
      </c>
      <c r="J2" s="158">
        <v>40321</v>
      </c>
      <c r="K2" s="115">
        <f t="shared" ref="K2:K11" si="1">(J2/$J$13)*100</f>
        <v>0.4855577254448698</v>
      </c>
      <c r="L2" s="158">
        <v>40362</v>
      </c>
      <c r="M2" s="115">
        <f t="shared" ref="M2:M11" si="2">(L2/$L$13)*100</f>
        <v>0.44750190228776782</v>
      </c>
      <c r="N2" s="158">
        <v>40362</v>
      </c>
      <c r="O2" s="115">
        <f t="shared" ref="O2:O11" si="3">(N2/$N$13)*100</f>
        <v>0.53042833513945131</v>
      </c>
      <c r="P2" s="158">
        <v>0</v>
      </c>
      <c r="Q2" s="115">
        <f t="shared" ref="Q2:Q11" si="4">(P2/$P$13)*100</f>
        <v>0</v>
      </c>
      <c r="R2" s="158"/>
      <c r="S2" s="115">
        <f t="shared" ref="S2:S11" si="5">(R2/$R$13)*100</f>
        <v>0</v>
      </c>
      <c r="T2" s="158"/>
      <c r="U2" s="115">
        <f t="shared" ref="U2:U11" si="6">(T2/$T$13)*100</f>
        <v>0</v>
      </c>
      <c r="V2" s="158"/>
      <c r="W2" s="115">
        <f t="shared" ref="W2:W11" si="7">(V2/$V$13)*100</f>
        <v>0</v>
      </c>
      <c r="X2" s="158"/>
      <c r="Y2" s="115">
        <f t="shared" ref="Y2:Y11" si="8">(X2/$X$13)*100</f>
        <v>0</v>
      </c>
      <c r="Z2" s="158"/>
      <c r="AA2" s="115">
        <f>(Z2/$Z$13)*100</f>
        <v>0</v>
      </c>
      <c r="AB2" s="158"/>
      <c r="AC2" s="115">
        <f>(AB2/$AB$13)*100</f>
        <v>0</v>
      </c>
      <c r="AD2" s="158"/>
      <c r="AE2" s="115">
        <f>(AD2/$AD$13)*100</f>
        <v>0</v>
      </c>
      <c r="AF2" s="158"/>
      <c r="AG2" s="115">
        <f>(AF2/$AF$13)*100</f>
        <v>0</v>
      </c>
      <c r="AH2" s="158"/>
      <c r="AI2" s="115">
        <f>(AH2/$AH$13)*100</f>
        <v>0</v>
      </c>
    </row>
    <row r="3" spans="1:35" x14ac:dyDescent="0.25">
      <c r="A3" s="121" t="s">
        <v>139</v>
      </c>
      <c r="B3" s="120">
        <v>325186</v>
      </c>
      <c r="C3" s="119">
        <f>(B3/$B$13)*100</f>
        <v>6.1148819919878816</v>
      </c>
      <c r="D3" s="118">
        <v>345169</v>
      </c>
      <c r="E3" s="117">
        <f>(D3/$D$13)*100</f>
        <v>4.563448203648548</v>
      </c>
      <c r="F3" s="118">
        <v>390214</v>
      </c>
      <c r="G3" s="117">
        <f>(F3/$D$13)*100</f>
        <v>5.158984084139985</v>
      </c>
      <c r="H3" s="159">
        <v>376007</v>
      </c>
      <c r="I3" s="117">
        <f t="shared" si="0"/>
        <v>5.0619103186197822</v>
      </c>
      <c r="J3" s="158">
        <v>368162</v>
      </c>
      <c r="K3" s="115">
        <f t="shared" si="1"/>
        <v>4.4335185961467758</v>
      </c>
      <c r="L3" s="158">
        <v>380226</v>
      </c>
      <c r="M3" s="115">
        <f t="shared" si="2"/>
        <v>4.2156448713955896</v>
      </c>
      <c r="N3" s="158">
        <v>371351</v>
      </c>
      <c r="O3" s="115">
        <f t="shared" si="3"/>
        <v>4.8802114038543776</v>
      </c>
      <c r="P3" s="158">
        <v>454831</v>
      </c>
      <c r="Q3" s="115">
        <f t="shared" si="4"/>
        <v>5.4940981124928099</v>
      </c>
      <c r="R3" s="158">
        <v>462728</v>
      </c>
      <c r="S3" s="115">
        <f t="shared" si="5"/>
        <v>4.7720570528993882</v>
      </c>
      <c r="T3" s="158">
        <f>487135+729</f>
        <v>487864</v>
      </c>
      <c r="U3" s="115">
        <f t="shared" si="6"/>
        <v>7.1607955748037648</v>
      </c>
      <c r="V3" s="158">
        <v>552029</v>
      </c>
      <c r="W3" s="115">
        <f t="shared" si="7"/>
        <v>6.9997324518191375</v>
      </c>
      <c r="X3" s="158">
        <v>611017</v>
      </c>
      <c r="Y3" s="115">
        <f t="shared" si="8"/>
        <v>6.5331957301674919</v>
      </c>
      <c r="Z3" s="158">
        <v>630528</v>
      </c>
      <c r="AA3" s="115">
        <f t="shared" ref="AA3:AA11" si="9">(Z3/$Z$13)*100</f>
        <v>6.1308153865450867</v>
      </c>
      <c r="AB3" s="158">
        <v>675342</v>
      </c>
      <c r="AC3" s="115">
        <f t="shared" ref="AC3:AC11" si="10">(AB3/$AB$13)*100</f>
        <v>6.2601827084725326</v>
      </c>
      <c r="AD3" s="158">
        <v>666171</v>
      </c>
      <c r="AE3" s="115">
        <f t="shared" ref="AE3:AE11" si="11">(AD3/$AD$13)*100</f>
        <v>6.7545389801114686</v>
      </c>
      <c r="AF3" s="158">
        <v>696724</v>
      </c>
      <c r="AG3" s="115">
        <f t="shared" ref="AG3:AG11" si="12">(AF3/$AF$13)*100</f>
        <v>5.8093461129542456</v>
      </c>
      <c r="AH3" s="158">
        <v>771435</v>
      </c>
      <c r="AI3" s="115">
        <f t="shared" ref="AI3:AI11" si="13">(AH3/$AH$13)*100</f>
        <v>5.1801146342141458</v>
      </c>
    </row>
    <row r="4" spans="1:35" x14ac:dyDescent="0.25">
      <c r="A4" s="121" t="s">
        <v>127</v>
      </c>
      <c r="B4" s="120"/>
      <c r="C4" s="119"/>
      <c r="D4" s="118">
        <v>125289</v>
      </c>
      <c r="E4" s="117">
        <f>(D4/$D$13)*100</f>
        <v>1.6564345639003588</v>
      </c>
      <c r="F4" s="118">
        <v>118503</v>
      </c>
      <c r="G4" s="117">
        <f>(F4/$D$13)*100</f>
        <v>1.5667174702159343</v>
      </c>
      <c r="H4" s="159">
        <v>174848</v>
      </c>
      <c r="I4" s="117">
        <f t="shared" si="0"/>
        <v>2.3538521766616891</v>
      </c>
      <c r="J4" s="158">
        <v>292666</v>
      </c>
      <c r="K4" s="115">
        <f t="shared" si="1"/>
        <v>3.5243728398365182</v>
      </c>
      <c r="L4" s="158">
        <v>224176</v>
      </c>
      <c r="M4" s="115">
        <f t="shared" si="2"/>
        <v>2.4854860127660334</v>
      </c>
      <c r="N4" s="158">
        <v>190510</v>
      </c>
      <c r="O4" s="115">
        <f t="shared" si="3"/>
        <v>2.5036396146726347</v>
      </c>
      <c r="P4" s="158">
        <f>208012-6000-3000</f>
        <v>199012</v>
      </c>
      <c r="Q4" s="115">
        <f t="shared" si="4"/>
        <v>2.403951035798833</v>
      </c>
      <c r="R4" s="158">
        <v>224902</v>
      </c>
      <c r="S4" s="115">
        <f t="shared" si="5"/>
        <v>2.3193867138171411</v>
      </c>
      <c r="T4" s="158">
        <v>284745</v>
      </c>
      <c r="U4" s="115">
        <f t="shared" si="6"/>
        <v>4.1794449599632228</v>
      </c>
      <c r="V4" s="158">
        <v>215385</v>
      </c>
      <c r="W4" s="115">
        <f t="shared" si="7"/>
        <v>2.7310836462125447</v>
      </c>
      <c r="X4" s="158">
        <v>230412</v>
      </c>
      <c r="Y4" s="115">
        <f t="shared" si="8"/>
        <v>2.4636412646118719</v>
      </c>
      <c r="Z4" s="158">
        <v>261042</v>
      </c>
      <c r="AA4" s="115">
        <f t="shared" si="9"/>
        <v>2.5381907070494925</v>
      </c>
      <c r="AB4" s="158">
        <v>287965</v>
      </c>
      <c r="AC4" s="115">
        <f t="shared" si="10"/>
        <v>2.6693342242083165</v>
      </c>
      <c r="AD4" s="158">
        <v>265371</v>
      </c>
      <c r="AE4" s="115">
        <f t="shared" si="11"/>
        <v>2.6906886725647925</v>
      </c>
      <c r="AF4" s="158">
        <v>488995</v>
      </c>
      <c r="AG4" s="115">
        <f t="shared" si="12"/>
        <v>4.0772834041945751</v>
      </c>
      <c r="AH4" s="158">
        <v>510742</v>
      </c>
      <c r="AI4" s="115">
        <f t="shared" si="13"/>
        <v>3.4295852644847606</v>
      </c>
    </row>
    <row r="5" spans="1:35" x14ac:dyDescent="0.25">
      <c r="A5" s="121" t="s">
        <v>138</v>
      </c>
      <c r="B5" s="120">
        <v>1394294</v>
      </c>
      <c r="C5" s="119">
        <f>(B5/$B$13)*100</f>
        <v>26.218666462076325</v>
      </c>
      <c r="D5" s="118">
        <f>1495788+150887</f>
        <v>1646675</v>
      </c>
      <c r="E5" s="117">
        <f>(D5/$D$13)*100</f>
        <v>21.770541591924456</v>
      </c>
      <c r="F5" s="118">
        <f>1712209+262884</f>
        <v>1975093</v>
      </c>
      <c r="G5" s="117">
        <f>(F5/$D$13)*100</f>
        <v>26.112526336052255</v>
      </c>
      <c r="H5" s="159">
        <v>1885784</v>
      </c>
      <c r="I5" s="117">
        <f t="shared" si="0"/>
        <v>25.386946222512051</v>
      </c>
      <c r="J5" s="158">
        <v>1869609</v>
      </c>
      <c r="K5" s="115">
        <f t="shared" si="1"/>
        <v>22.514399283531102</v>
      </c>
      <c r="L5" s="158">
        <v>2074408</v>
      </c>
      <c r="M5" s="115">
        <f t="shared" si="2"/>
        <v>22.999393640576876</v>
      </c>
      <c r="N5" s="158">
        <v>1874367</v>
      </c>
      <c r="O5" s="115">
        <f t="shared" si="3"/>
        <v>24.632509966065307</v>
      </c>
      <c r="P5" s="158">
        <f>1820014+113000+6000+3000</f>
        <v>1942014</v>
      </c>
      <c r="Q5" s="115">
        <f t="shared" si="4"/>
        <v>23.45841741621528</v>
      </c>
      <c r="R5" s="158">
        <f>1861624+230600+242000</f>
        <v>2334224</v>
      </c>
      <c r="S5" s="115">
        <f t="shared" si="5"/>
        <v>24.072565529311003</v>
      </c>
      <c r="T5" s="158">
        <f>1987183+273550+20000</f>
        <v>2280733</v>
      </c>
      <c r="U5" s="115">
        <f t="shared" si="6"/>
        <v>33.476261363226051</v>
      </c>
      <c r="V5" s="158">
        <v>2620033</v>
      </c>
      <c r="W5" s="115">
        <f t="shared" si="7"/>
        <v>33.22204089809965</v>
      </c>
      <c r="X5" s="158">
        <v>2943633</v>
      </c>
      <c r="Y5" s="115">
        <f t="shared" si="8"/>
        <v>31.47429702738242</v>
      </c>
      <c r="Z5" s="158">
        <v>3169508</v>
      </c>
      <c r="AA5" s="115">
        <f t="shared" si="9"/>
        <v>30.818089623581734</v>
      </c>
      <c r="AB5" s="158">
        <v>3473523</v>
      </c>
      <c r="AC5" s="115">
        <f t="shared" si="10"/>
        <v>32.198335986924604</v>
      </c>
      <c r="AD5" s="158">
        <v>3368260</v>
      </c>
      <c r="AE5" s="115">
        <f t="shared" si="11"/>
        <v>34.151957177887141</v>
      </c>
      <c r="AF5" s="158">
        <v>3982397</v>
      </c>
      <c r="AG5" s="115">
        <f t="shared" si="12"/>
        <v>33.205577147034766</v>
      </c>
      <c r="AH5" s="158">
        <v>4672832</v>
      </c>
      <c r="AI5" s="115">
        <f t="shared" si="13"/>
        <v>31.377634442855403</v>
      </c>
    </row>
    <row r="6" spans="1:35" x14ac:dyDescent="0.25">
      <c r="A6" s="128" t="s">
        <v>152</v>
      </c>
      <c r="B6" s="120">
        <v>1799286</v>
      </c>
      <c r="C6" s="119">
        <f>(B6/$B$13)*100</f>
        <v>33.834241202991237</v>
      </c>
      <c r="D6" s="118">
        <f>1694248+56311</f>
        <v>1750559</v>
      </c>
      <c r="E6" s="117">
        <f>(D6/$D$13)*100</f>
        <v>23.143982582244636</v>
      </c>
      <c r="F6" s="118">
        <f>1777470+153597</f>
        <v>1931067</v>
      </c>
      <c r="G6" s="117">
        <f>(F6/$D$13)*100</f>
        <v>25.530462562614233</v>
      </c>
      <c r="H6" s="159">
        <v>1988860</v>
      </c>
      <c r="I6" s="117">
        <f t="shared" si="0"/>
        <v>26.774583867561354</v>
      </c>
      <c r="J6" s="158">
        <v>1979289</v>
      </c>
      <c r="K6" s="115">
        <f t="shared" si="1"/>
        <v>23.835199147790256</v>
      </c>
      <c r="L6" s="158">
        <v>2074003</v>
      </c>
      <c r="M6" s="115">
        <f t="shared" si="2"/>
        <v>22.994903321206515</v>
      </c>
      <c r="N6" s="158">
        <v>2033921</v>
      </c>
      <c r="O6" s="115">
        <f t="shared" si="3"/>
        <v>26.729332784182347</v>
      </c>
      <c r="P6" s="158">
        <v>1941642</v>
      </c>
      <c r="Q6" s="115">
        <f t="shared" si="4"/>
        <v>23.453923869166271</v>
      </c>
      <c r="R6" s="158">
        <v>1959543</v>
      </c>
      <c r="S6" s="115">
        <f t="shared" si="5"/>
        <v>20.208526377503901</v>
      </c>
      <c r="T6" s="158">
        <v>2082143</v>
      </c>
      <c r="U6" s="115">
        <f t="shared" si="6"/>
        <v>30.561386739969816</v>
      </c>
      <c r="V6" s="158">
        <v>2161804</v>
      </c>
      <c r="W6" s="115">
        <f t="shared" si="7"/>
        <v>27.411693250304637</v>
      </c>
      <c r="X6" s="158">
        <v>2478254</v>
      </c>
      <c r="Y6" s="115">
        <f t="shared" si="8"/>
        <v>26.498310932544438</v>
      </c>
      <c r="Z6" s="158">
        <v>2746121</v>
      </c>
      <c r="AA6" s="115">
        <f t="shared" si="9"/>
        <v>26.701369138427761</v>
      </c>
      <c r="AB6" s="158">
        <v>2862200</v>
      </c>
      <c r="AC6" s="115">
        <f t="shared" si="10"/>
        <v>26.53158688218722</v>
      </c>
      <c r="AD6" s="158">
        <v>2521387</v>
      </c>
      <c r="AE6" s="115">
        <f t="shared" si="11"/>
        <v>25.565217902680114</v>
      </c>
      <c r="AF6" s="158">
        <v>2841721</v>
      </c>
      <c r="AG6" s="115">
        <f t="shared" si="12"/>
        <v>23.694520133439429</v>
      </c>
      <c r="AH6" s="158">
        <v>3634192</v>
      </c>
      <c r="AI6" s="115">
        <f t="shared" si="13"/>
        <v>24.403262961550844</v>
      </c>
    </row>
    <row r="7" spans="1:35" ht="31.5" x14ac:dyDescent="0.25">
      <c r="A7" s="128" t="s">
        <v>137</v>
      </c>
      <c r="B7" s="120"/>
      <c r="C7" s="119"/>
      <c r="D7" s="118"/>
      <c r="E7" s="117"/>
      <c r="F7" s="118"/>
      <c r="G7" s="117"/>
      <c r="H7" s="159">
        <v>40000</v>
      </c>
      <c r="I7" s="117">
        <f t="shared" si="0"/>
        <v>0.53849107262575246</v>
      </c>
      <c r="J7" s="158">
        <v>70000</v>
      </c>
      <c r="K7" s="115">
        <f t="shared" si="1"/>
        <v>0.84296125545350775</v>
      </c>
      <c r="L7" s="158">
        <v>50000</v>
      </c>
      <c r="M7" s="115">
        <f t="shared" si="2"/>
        <v>0.55436041609405851</v>
      </c>
      <c r="N7" s="158">
        <v>50000</v>
      </c>
      <c r="O7" s="115">
        <f t="shared" si="3"/>
        <v>0.65708876559567331</v>
      </c>
      <c r="P7" s="158">
        <v>90000</v>
      </c>
      <c r="Q7" s="115">
        <f t="shared" si="4"/>
        <v>1.0871484795986925</v>
      </c>
      <c r="R7" s="158">
        <v>70000</v>
      </c>
      <c r="S7" s="115">
        <f t="shared" si="5"/>
        <v>0.72190140579985906</v>
      </c>
      <c r="T7" s="158">
        <v>70000</v>
      </c>
      <c r="U7" s="115">
        <f t="shared" si="6"/>
        <v>1.0274496380882039</v>
      </c>
      <c r="V7" s="158">
        <v>165800</v>
      </c>
      <c r="W7" s="115">
        <f t="shared" si="7"/>
        <v>2.1023454211855048</v>
      </c>
      <c r="X7" s="158">
        <v>236950</v>
      </c>
      <c r="Y7" s="115">
        <f t="shared" si="8"/>
        <v>2.5335477216889006</v>
      </c>
      <c r="Z7" s="158">
        <v>223958</v>
      </c>
      <c r="AA7" s="115">
        <f t="shared" si="9"/>
        <v>2.1776117037464862</v>
      </c>
      <c r="AB7" s="158">
        <v>267428</v>
      </c>
      <c r="AC7" s="115">
        <f t="shared" si="10"/>
        <v>2.4789634605302089</v>
      </c>
      <c r="AD7" s="158">
        <v>150994</v>
      </c>
      <c r="AE7" s="115">
        <f t="shared" si="11"/>
        <v>1.5309805721998571</v>
      </c>
      <c r="AF7" s="158">
        <v>179892</v>
      </c>
      <c r="AG7" s="115">
        <f t="shared" si="12"/>
        <v>1.499955349538074</v>
      </c>
      <c r="AH7" s="158">
        <v>232505</v>
      </c>
      <c r="AI7" s="115">
        <f t="shared" si="13"/>
        <v>1.5612495583269621</v>
      </c>
    </row>
    <row r="8" spans="1:35" x14ac:dyDescent="0.25">
      <c r="A8" s="123" t="s">
        <v>136</v>
      </c>
      <c r="B8" s="118">
        <v>625731</v>
      </c>
      <c r="C8" s="119">
        <f>(B8/$B$13)*100</f>
        <v>11.76640822092147</v>
      </c>
      <c r="D8" s="118">
        <v>630375</v>
      </c>
      <c r="E8" s="117">
        <f>(D8/$D$13)*100</f>
        <v>8.3341309948893265</v>
      </c>
      <c r="F8" s="118">
        <v>716272</v>
      </c>
      <c r="G8" s="117">
        <f>(F8/$D$13)*100</f>
        <v>9.4697674812157313</v>
      </c>
      <c r="H8" s="159">
        <v>579775</v>
      </c>
      <c r="I8" s="117">
        <f t="shared" si="0"/>
        <v>7.8050915407898911</v>
      </c>
      <c r="J8" s="158">
        <v>756498</v>
      </c>
      <c r="K8" s="115">
        <f t="shared" si="1"/>
        <v>9.1099786261152538</v>
      </c>
      <c r="L8" s="158">
        <v>587036</v>
      </c>
      <c r="M8" s="115">
        <f t="shared" si="2"/>
        <v>6.5085904244438346</v>
      </c>
      <c r="N8" s="158">
        <v>506722</v>
      </c>
      <c r="O8" s="115">
        <f t="shared" si="3"/>
        <v>6.6592266696034157</v>
      </c>
      <c r="P8" s="158">
        <v>183261</v>
      </c>
      <c r="Q8" s="115">
        <f t="shared" si="4"/>
        <v>2.2136879724415111</v>
      </c>
      <c r="R8" s="158">
        <v>156739</v>
      </c>
      <c r="S8" s="115">
        <f t="shared" si="5"/>
        <v>1.6164300634809157</v>
      </c>
      <c r="T8" s="158">
        <v>441415</v>
      </c>
      <c r="U8" s="115">
        <f t="shared" si="6"/>
        <v>6.4790240285243508</v>
      </c>
      <c r="V8" s="158">
        <v>623094</v>
      </c>
      <c r="W8" s="115">
        <f t="shared" si="7"/>
        <v>7.9008372609659885</v>
      </c>
      <c r="X8" s="158">
        <v>759267</v>
      </c>
      <c r="Y8" s="115">
        <f t="shared" si="8"/>
        <v>8.1183337328700844</v>
      </c>
      <c r="Z8" s="158">
        <v>1148153</v>
      </c>
      <c r="AA8" s="115">
        <f t="shared" si="9"/>
        <v>11.163840588376567</v>
      </c>
      <c r="AB8" s="158">
        <v>1212471</v>
      </c>
      <c r="AC8" s="115">
        <f t="shared" si="10"/>
        <v>11.239179539736014</v>
      </c>
      <c r="AD8" s="158">
        <v>1501472</v>
      </c>
      <c r="AE8" s="115">
        <f t="shared" si="11"/>
        <v>15.223945730969865</v>
      </c>
      <c r="AF8" s="158">
        <v>2293028</v>
      </c>
      <c r="AG8" s="115">
        <f t="shared" si="12"/>
        <v>19.11946954417423</v>
      </c>
      <c r="AH8" s="158">
        <v>2775440</v>
      </c>
      <c r="AI8" s="115">
        <f t="shared" si="13"/>
        <v>18.636822752899867</v>
      </c>
    </row>
    <row r="9" spans="1:35" x14ac:dyDescent="0.25">
      <c r="A9" s="127" t="s">
        <v>135</v>
      </c>
      <c r="B9" s="162">
        <v>385294</v>
      </c>
      <c r="C9" s="119">
        <f>(B9/$B$13)*100</f>
        <v>7.245168433514908</v>
      </c>
      <c r="D9" s="125">
        <v>2490523</v>
      </c>
      <c r="E9" s="117">
        <f>(D9/$D$13)*100</f>
        <v>32.926979857679548</v>
      </c>
      <c r="F9" s="125">
        <v>2137285</v>
      </c>
      <c r="G9" s="117">
        <f>(F9/$D$13)*100</f>
        <v>28.256852133114464</v>
      </c>
      <c r="H9" s="161">
        <v>2314492</v>
      </c>
      <c r="I9" s="117">
        <f t="shared" si="0"/>
        <v>31.15833199159308</v>
      </c>
      <c r="J9" s="160">
        <v>2908422</v>
      </c>
      <c r="K9" s="115">
        <f t="shared" si="1"/>
        <v>35.024100864408595</v>
      </c>
      <c r="L9" s="160">
        <v>3580869</v>
      </c>
      <c r="M9" s="115">
        <f t="shared" si="2"/>
        <v>39.701840576366308</v>
      </c>
      <c r="N9" s="160">
        <v>2533958</v>
      </c>
      <c r="O9" s="115">
        <f t="shared" si="3"/>
        <v>33.300706685825624</v>
      </c>
      <c r="P9" s="160">
        <v>3467778</v>
      </c>
      <c r="Q9" s="115">
        <f t="shared" si="4"/>
        <v>41.888773114286607</v>
      </c>
      <c r="R9" s="160">
        <v>4488479</v>
      </c>
      <c r="S9" s="115">
        <f t="shared" si="5"/>
        <v>46.289132857187795</v>
      </c>
      <c r="T9" s="158">
        <v>1166086</v>
      </c>
      <c r="U9" s="115">
        <f t="shared" si="6"/>
        <v>17.115637695424589</v>
      </c>
      <c r="V9" s="158">
        <v>1548285</v>
      </c>
      <c r="W9" s="115">
        <f t="shared" si="7"/>
        <v>19.632267071412539</v>
      </c>
      <c r="X9" s="158">
        <v>2092965</v>
      </c>
      <c r="Y9" s="115">
        <f t="shared" si="8"/>
        <v>22.378673590734795</v>
      </c>
      <c r="Z9" s="158">
        <v>2105260</v>
      </c>
      <c r="AA9" s="115">
        <f t="shared" si="9"/>
        <v>20.470082852272871</v>
      </c>
      <c r="AB9" s="158">
        <v>2008967</v>
      </c>
      <c r="AC9" s="115">
        <f t="shared" si="10"/>
        <v>18.6224171979411</v>
      </c>
      <c r="AD9" s="158">
        <v>1388913</v>
      </c>
      <c r="AE9" s="115">
        <f t="shared" si="11"/>
        <v>14.082670963586766</v>
      </c>
      <c r="AF9" s="158">
        <v>1510400</v>
      </c>
      <c r="AG9" s="115">
        <f t="shared" si="12"/>
        <v>12.593848308664683</v>
      </c>
      <c r="AH9" s="158">
        <v>2295092</v>
      </c>
      <c r="AI9" s="115">
        <f t="shared" si="13"/>
        <v>15.411330385668023</v>
      </c>
    </row>
    <row r="10" spans="1:35" hidden="1" x14ac:dyDescent="0.25">
      <c r="A10" s="127" t="s">
        <v>134</v>
      </c>
      <c r="B10" s="162">
        <v>646760</v>
      </c>
      <c r="C10" s="119">
        <f>(B10/$B$13)*100</f>
        <v>12.161842997970645</v>
      </c>
      <c r="D10" s="125">
        <v>485340</v>
      </c>
      <c r="E10" s="117">
        <f>(D10/$D$13)*100</f>
        <v>6.4166363467135987</v>
      </c>
      <c r="F10" s="125">
        <v>221336</v>
      </c>
      <c r="G10" s="117">
        <f>(F10/$D$13)*100</f>
        <v>2.9262632843701351</v>
      </c>
      <c r="H10" s="161">
        <v>20036</v>
      </c>
      <c r="I10" s="117">
        <f t="shared" si="0"/>
        <v>0.26973017827823942</v>
      </c>
      <c r="J10" s="160">
        <v>11067</v>
      </c>
      <c r="K10" s="115">
        <f t="shared" si="1"/>
        <v>0.13327217448719958</v>
      </c>
      <c r="L10" s="160"/>
      <c r="M10" s="115">
        <f t="shared" si="2"/>
        <v>0</v>
      </c>
      <c r="N10" s="160"/>
      <c r="O10" s="115">
        <f t="shared" si="3"/>
        <v>0</v>
      </c>
      <c r="P10" s="160"/>
      <c r="Q10" s="115">
        <f t="shared" si="4"/>
        <v>0</v>
      </c>
      <c r="R10" s="160"/>
      <c r="S10" s="115">
        <f t="shared" si="5"/>
        <v>0</v>
      </c>
      <c r="T10" s="160"/>
      <c r="U10" s="115">
        <f t="shared" si="6"/>
        <v>0</v>
      </c>
      <c r="V10" s="160"/>
      <c r="W10" s="115">
        <f t="shared" si="7"/>
        <v>0</v>
      </c>
      <c r="X10" s="160"/>
      <c r="Y10" s="115">
        <f t="shared" si="8"/>
        <v>0</v>
      </c>
      <c r="Z10" s="160"/>
      <c r="AA10" s="115">
        <f t="shared" si="9"/>
        <v>0</v>
      </c>
      <c r="AB10" s="160"/>
      <c r="AC10" s="115">
        <f t="shared" si="10"/>
        <v>0</v>
      </c>
      <c r="AD10" s="160"/>
      <c r="AE10" s="115">
        <f t="shared" si="11"/>
        <v>0</v>
      </c>
      <c r="AF10" s="160"/>
      <c r="AG10" s="115">
        <f t="shared" si="12"/>
        <v>0</v>
      </c>
      <c r="AH10" s="160"/>
      <c r="AI10" s="115">
        <f t="shared" si="13"/>
        <v>0</v>
      </c>
    </row>
    <row r="11" spans="1:35" x14ac:dyDescent="0.25">
      <c r="A11" s="121" t="s">
        <v>133</v>
      </c>
      <c r="B11" s="120">
        <v>107515</v>
      </c>
      <c r="C11" s="119">
        <f>(B11/$B$13)*100</f>
        <v>2.0217399807143512</v>
      </c>
      <c r="D11" s="118">
        <v>50282</v>
      </c>
      <c r="E11" s="117">
        <f>(D11/$D$13)*100</f>
        <v>0.66477378494550865</v>
      </c>
      <c r="F11" s="118">
        <v>8316</v>
      </c>
      <c r="G11" s="117">
        <f>(F11/$D$13)*100</f>
        <v>0.10994508562918838</v>
      </c>
      <c r="H11" s="159">
        <v>8026</v>
      </c>
      <c r="I11" s="117">
        <f t="shared" si="0"/>
        <v>0.10804823372235724</v>
      </c>
      <c r="J11" s="158">
        <v>8025</v>
      </c>
      <c r="K11" s="115">
        <f t="shared" si="1"/>
        <v>9.6639486785919992E-2</v>
      </c>
      <c r="L11" s="158">
        <v>8323</v>
      </c>
      <c r="M11" s="115">
        <f t="shared" si="2"/>
        <v>9.2278834863016995E-2</v>
      </c>
      <c r="N11" s="158">
        <v>8131</v>
      </c>
      <c r="O11" s="115">
        <f t="shared" si="3"/>
        <v>0.10685577506116839</v>
      </c>
      <c r="P11" s="158">
        <v>0</v>
      </c>
      <c r="Q11" s="115">
        <f t="shared" si="4"/>
        <v>0</v>
      </c>
      <c r="R11" s="158"/>
      <c r="S11" s="115">
        <f t="shared" si="5"/>
        <v>0</v>
      </c>
      <c r="T11" s="158"/>
      <c r="U11" s="115">
        <f t="shared" si="6"/>
        <v>0</v>
      </c>
      <c r="V11" s="158"/>
      <c r="W11" s="115">
        <f t="shared" si="7"/>
        <v>0</v>
      </c>
      <c r="X11" s="158"/>
      <c r="Y11" s="115">
        <f t="shared" si="8"/>
        <v>0</v>
      </c>
      <c r="Z11" s="158"/>
      <c r="AA11" s="115">
        <f t="shared" si="9"/>
        <v>0</v>
      </c>
      <c r="AB11" s="158"/>
      <c r="AC11" s="115">
        <f t="shared" si="10"/>
        <v>0</v>
      </c>
      <c r="AD11" s="158"/>
      <c r="AE11" s="115">
        <f t="shared" si="11"/>
        <v>0</v>
      </c>
      <c r="AF11" s="158"/>
      <c r="AG11" s="115">
        <f t="shared" si="12"/>
        <v>0</v>
      </c>
      <c r="AH11" s="158"/>
      <c r="AI11" s="115">
        <f t="shared" si="13"/>
        <v>0</v>
      </c>
    </row>
    <row r="12" spans="1:35" x14ac:dyDescent="0.25">
      <c r="B12" s="52"/>
      <c r="D12" s="61"/>
      <c r="E12" s="105"/>
      <c r="F12" s="61"/>
      <c r="H12" s="157"/>
      <c r="J12" s="157"/>
      <c r="K12" s="105"/>
      <c r="L12" s="157"/>
      <c r="M12" s="105"/>
      <c r="N12" s="157"/>
      <c r="O12" s="105"/>
      <c r="P12" s="157"/>
      <c r="Q12" s="105"/>
      <c r="R12" s="157"/>
      <c r="S12" s="105"/>
      <c r="T12" s="157"/>
      <c r="U12" s="105"/>
      <c r="V12" s="157"/>
      <c r="W12" s="105"/>
      <c r="X12" s="157"/>
      <c r="Y12" s="105"/>
      <c r="Z12" s="157"/>
      <c r="AA12" s="105"/>
      <c r="AB12" s="157"/>
      <c r="AC12" s="105"/>
      <c r="AD12" s="157"/>
      <c r="AE12" s="105"/>
      <c r="AF12" s="157"/>
      <c r="AG12" s="105"/>
      <c r="AH12" s="157"/>
      <c r="AI12" s="105"/>
    </row>
    <row r="13" spans="1:35" x14ac:dyDescent="0.25">
      <c r="A13" s="112" t="s">
        <v>109</v>
      </c>
      <c r="B13" s="156">
        <f>SUM(B2:B12)</f>
        <v>5317944</v>
      </c>
      <c r="C13" s="110">
        <f>SUM(C2:C11)</f>
        <v>100.00000000000003</v>
      </c>
      <c r="D13" s="155">
        <f>SUM(D2:D12)</f>
        <v>7563776</v>
      </c>
      <c r="E13" s="108">
        <f>SUM(E2:E11)</f>
        <v>100</v>
      </c>
      <c r="F13" s="155">
        <f>SUM(F2:F12)</f>
        <v>7540749</v>
      </c>
      <c r="G13" s="108">
        <f>SUM(G2:G11)</f>
        <v>99.695562110776422</v>
      </c>
      <c r="H13" s="154">
        <f>SUM(H2:H12)</f>
        <v>7428164</v>
      </c>
      <c r="I13" s="108">
        <f>SUM(I2:I11)</f>
        <v>100</v>
      </c>
      <c r="J13" s="153">
        <f>SUM(J2:J12)</f>
        <v>8304059</v>
      </c>
      <c r="K13" s="106">
        <f>SUM(K2:K11)</f>
        <v>100</v>
      </c>
      <c r="L13" s="153">
        <f>SUM(L2:L12)</f>
        <v>9019403</v>
      </c>
      <c r="M13" s="106">
        <f>SUM(M2:M11)</f>
        <v>100</v>
      </c>
      <c r="N13" s="153">
        <f>SUM(N2:N12)</f>
        <v>7609322</v>
      </c>
      <c r="O13" s="106">
        <f>SUM(O2:O11)</f>
        <v>99.999999999999986</v>
      </c>
      <c r="P13" s="153">
        <f>SUM(P2:P12)</f>
        <v>8278538</v>
      </c>
      <c r="Q13" s="106">
        <f>SUM(Q2:Q11)</f>
        <v>100</v>
      </c>
      <c r="R13" s="153">
        <f>SUM(R2:R12)</f>
        <v>9696615</v>
      </c>
      <c r="S13" s="106">
        <f>SUM(S2:S11)</f>
        <v>100</v>
      </c>
      <c r="T13" s="153">
        <f>SUM(T2:T12)</f>
        <v>6812986</v>
      </c>
      <c r="U13" s="106">
        <f>SUM(U2:U11)</f>
        <v>100</v>
      </c>
      <c r="V13" s="153">
        <f>SUM(V2:V12)</f>
        <v>7886430</v>
      </c>
      <c r="W13" s="106">
        <f>SUM(W2:W11)</f>
        <v>100</v>
      </c>
      <c r="X13" s="153">
        <f>SUM(X2:X12)</f>
        <v>9352498</v>
      </c>
      <c r="Y13" s="106">
        <f>SUM(Y2:Y11)</f>
        <v>100</v>
      </c>
      <c r="Z13" s="153">
        <f>SUM(Z2:Z12)</f>
        <v>10284570</v>
      </c>
      <c r="AA13" s="106">
        <f>SUM(AA2:AA11)</f>
        <v>100.00000000000001</v>
      </c>
      <c r="AB13" s="153">
        <f>SUM(AB2:AB12)</f>
        <v>10787896</v>
      </c>
      <c r="AC13" s="106">
        <f>SUM(AC2:AC11)</f>
        <v>100</v>
      </c>
      <c r="AD13" s="153">
        <f>SUM(AD2:AD12)</f>
        <v>9862568</v>
      </c>
      <c r="AE13" s="106">
        <f>SUM(AE2:AE11)</f>
        <v>99.999999999999986</v>
      </c>
      <c r="AF13" s="153">
        <f>SUM(AF2:AF12)</f>
        <v>11993157</v>
      </c>
      <c r="AG13" s="106">
        <f>SUM(AG2:AG11)</f>
        <v>100</v>
      </c>
      <c r="AH13" s="153">
        <f>SUM(AH2:AH12)</f>
        <v>14892238</v>
      </c>
      <c r="AI13" s="106">
        <f>SUM(AI2:AI11)</f>
        <v>100.00000000000001</v>
      </c>
    </row>
    <row r="18" spans="1:35" x14ac:dyDescent="0.25">
      <c r="A18" s="152" t="s">
        <v>132</v>
      </c>
      <c r="B18" s="152">
        <v>2008</v>
      </c>
      <c r="F18" s="151">
        <v>2009</v>
      </c>
      <c r="H18" s="150" t="s">
        <v>97</v>
      </c>
      <c r="J18" s="149" t="s">
        <v>96</v>
      </c>
      <c r="L18" s="149" t="s">
        <v>95</v>
      </c>
      <c r="N18" s="149" t="s">
        <v>94</v>
      </c>
      <c r="P18" s="149" t="s">
        <v>93</v>
      </c>
      <c r="R18" s="149" t="s">
        <v>92</v>
      </c>
      <c r="T18" s="149" t="s">
        <v>91</v>
      </c>
      <c r="V18" s="149" t="s">
        <v>90</v>
      </c>
      <c r="X18" s="149" t="s">
        <v>89</v>
      </c>
      <c r="Z18" s="149" t="s">
        <v>39</v>
      </c>
      <c r="AB18" s="149" t="s">
        <v>51</v>
      </c>
      <c r="AD18" s="149" t="s">
        <v>246</v>
      </c>
      <c r="AF18" s="149" t="s">
        <v>297</v>
      </c>
      <c r="AH18" s="149" t="s">
        <v>198</v>
      </c>
    </row>
    <row r="19" spans="1:35" x14ac:dyDescent="0.25">
      <c r="A19" s="148" t="s">
        <v>131</v>
      </c>
      <c r="B19" s="147">
        <f>SUM(B20:B33)</f>
        <v>2490523</v>
      </c>
      <c r="C19" s="117">
        <f>SUM(C20:C33)</f>
        <v>100</v>
      </c>
      <c r="D19" s="82">
        <f>SUM(D20:D33)</f>
        <v>99.99</v>
      </c>
      <c r="F19" s="147">
        <f t="shared" ref="F19:W19" si="14">SUM(F20:F33)</f>
        <v>2137285</v>
      </c>
      <c r="G19" s="117">
        <f t="shared" si="14"/>
        <v>100.00000000000001</v>
      </c>
      <c r="H19" s="146">
        <f t="shared" si="14"/>
        <v>2314492</v>
      </c>
      <c r="I19" s="117">
        <f t="shared" si="14"/>
        <v>100</v>
      </c>
      <c r="J19" s="145">
        <f t="shared" si="14"/>
        <v>2908422</v>
      </c>
      <c r="K19" s="115">
        <f t="shared" si="14"/>
        <v>100.00000000000003</v>
      </c>
      <c r="L19" s="145">
        <f t="shared" si="14"/>
        <v>3580869</v>
      </c>
      <c r="M19" s="115">
        <f t="shared" si="14"/>
        <v>100</v>
      </c>
      <c r="N19" s="145">
        <f t="shared" si="14"/>
        <v>2533958</v>
      </c>
      <c r="O19" s="115">
        <f t="shared" si="14"/>
        <v>100</v>
      </c>
      <c r="P19" s="145">
        <f t="shared" si="14"/>
        <v>3467778</v>
      </c>
      <c r="Q19" s="115">
        <f t="shared" si="14"/>
        <v>100</v>
      </c>
      <c r="R19" s="145">
        <f t="shared" si="14"/>
        <v>4488479</v>
      </c>
      <c r="S19" s="115">
        <f t="shared" si="14"/>
        <v>100</v>
      </c>
      <c r="T19" s="145">
        <f t="shared" si="14"/>
        <v>1166086</v>
      </c>
      <c r="U19" s="115">
        <f t="shared" si="14"/>
        <v>99.999999999999986</v>
      </c>
      <c r="V19" s="145">
        <f t="shared" si="14"/>
        <v>1548285</v>
      </c>
      <c r="W19" s="115">
        <f t="shared" si="14"/>
        <v>100.00000000000001</v>
      </c>
      <c r="X19" s="145">
        <f t="shared" ref="X19:AC19" si="15">SUM(X20:X34)</f>
        <v>2092965</v>
      </c>
      <c r="Y19" s="115">
        <f t="shared" si="15"/>
        <v>100</v>
      </c>
      <c r="Z19" s="145">
        <f t="shared" si="15"/>
        <v>2105260</v>
      </c>
      <c r="AA19" s="115">
        <f t="shared" si="15"/>
        <v>100</v>
      </c>
      <c r="AB19" s="145">
        <f t="shared" si="15"/>
        <v>2008967</v>
      </c>
      <c r="AC19" s="115">
        <f t="shared" si="15"/>
        <v>99.999999999999986</v>
      </c>
      <c r="AD19" s="145">
        <f t="shared" ref="AD19:AE19" si="16">SUM(AD20:AD34)</f>
        <v>1388913</v>
      </c>
      <c r="AE19" s="115">
        <f t="shared" si="16"/>
        <v>99.999999999999986</v>
      </c>
      <c r="AF19" s="145">
        <f t="shared" ref="AF19:AG19" si="17">SUM(AF20:AF34)</f>
        <v>1510400</v>
      </c>
      <c r="AG19" s="115">
        <f t="shared" si="17"/>
        <v>100</v>
      </c>
      <c r="AH19" s="145">
        <f t="shared" ref="AH19:AI19" si="18">SUM(AH20:AH34)</f>
        <v>2295092</v>
      </c>
      <c r="AI19" s="115">
        <f t="shared" si="18"/>
        <v>100</v>
      </c>
    </row>
    <row r="20" spans="1:35" x14ac:dyDescent="0.25">
      <c r="A20" s="139" t="s">
        <v>209</v>
      </c>
      <c r="B20" s="138">
        <v>1279000</v>
      </c>
      <c r="C20" s="117">
        <f>B20/$B$19*100</f>
        <v>51.354675303139139</v>
      </c>
      <c r="D20" s="82">
        <v>51.35</v>
      </c>
      <c r="F20" s="138">
        <v>796441</v>
      </c>
      <c r="G20" s="117">
        <f>F20/$F$19*100</f>
        <v>37.264145867303611</v>
      </c>
      <c r="H20" s="144">
        <v>1450100</v>
      </c>
      <c r="I20" s="117">
        <f t="shared" ref="I20:I33" si="19">H20/$H$19*100</f>
        <v>62.653057344765074</v>
      </c>
      <c r="J20" s="143">
        <v>1863488</v>
      </c>
      <c r="K20" s="115">
        <f t="shared" ref="K20:K33" si="20">J20/$J$19*100</f>
        <v>64.072132585986481</v>
      </c>
      <c r="L20" s="143">
        <v>2103220</v>
      </c>
      <c r="M20" s="115">
        <f t="shared" ref="M20:M33" si="21">L20/$L$19*100</f>
        <v>58.734904851308443</v>
      </c>
      <c r="N20" s="143">
        <v>1458090</v>
      </c>
      <c r="O20" s="115">
        <f t="shared" ref="O20:O33" si="22">N20/$N$19*100</f>
        <v>57.54199556583022</v>
      </c>
      <c r="P20" s="142">
        <v>1962744</v>
      </c>
      <c r="Q20" s="115">
        <f t="shared" ref="Q20:Q33" si="23">P20/$P$19*100</f>
        <v>56.599470900386365</v>
      </c>
      <c r="R20" s="142">
        <v>2009867</v>
      </c>
      <c r="S20" s="115">
        <f t="shared" ref="S20:S33" si="24">R20/$R$19*100</f>
        <v>44.778353647193178</v>
      </c>
      <c r="T20" s="142">
        <v>386450</v>
      </c>
      <c r="U20" s="115">
        <f t="shared" ref="U20:U33" si="25">T20/$T$19*100</f>
        <v>33.140780354107676</v>
      </c>
      <c r="V20" s="142">
        <v>556055</v>
      </c>
      <c r="W20" s="115">
        <f t="shared" ref="W20:W33" si="26">V20/$V$19*100</f>
        <v>35.914253512757668</v>
      </c>
      <c r="X20" s="142">
        <v>866210</v>
      </c>
      <c r="Y20" s="115">
        <f t="shared" ref="Y20:Y34" si="27">X20/$X$19*100</f>
        <v>41.386740819841705</v>
      </c>
      <c r="Z20" s="142">
        <v>706903</v>
      </c>
      <c r="AA20" s="115">
        <f>Z20/$Z$19*100</f>
        <v>33.577942866914299</v>
      </c>
      <c r="AB20" s="142">
        <v>332328</v>
      </c>
      <c r="AC20" s="115">
        <f>AB20/$AB$19*100</f>
        <v>16.542232898798236</v>
      </c>
      <c r="AD20" s="142">
        <v>627941</v>
      </c>
      <c r="AE20" s="115">
        <f>AD20/$AD$19*100</f>
        <v>45.210967137610488</v>
      </c>
      <c r="AF20" s="142">
        <v>589851</v>
      </c>
      <c r="AG20" s="115">
        <f>AF20/$AF$19*100</f>
        <v>39.052635063559322</v>
      </c>
      <c r="AH20" s="142">
        <v>520700</v>
      </c>
      <c r="AI20" s="115">
        <f>AH20/$AH$19*100</f>
        <v>22.687543680166197</v>
      </c>
    </row>
    <row r="21" spans="1:35" x14ac:dyDescent="0.25">
      <c r="A21" s="139" t="s">
        <v>298</v>
      </c>
      <c r="B21" s="138"/>
      <c r="C21" s="117"/>
      <c r="F21" s="138"/>
      <c r="G21" s="117"/>
      <c r="H21" s="278"/>
      <c r="I21" s="117"/>
      <c r="J21" s="279"/>
      <c r="K21" s="115"/>
      <c r="L21" s="279"/>
      <c r="M21" s="115"/>
      <c r="N21" s="279"/>
      <c r="O21" s="115"/>
      <c r="P21" s="142"/>
      <c r="Q21" s="115"/>
      <c r="R21" s="142"/>
      <c r="S21" s="115"/>
      <c r="T21" s="142"/>
      <c r="U21" s="115"/>
      <c r="V21" s="142"/>
      <c r="W21" s="115"/>
      <c r="X21" s="142"/>
      <c r="Y21" s="115"/>
      <c r="Z21" s="142"/>
      <c r="AA21" s="115"/>
      <c r="AB21" s="142"/>
      <c r="AC21" s="115"/>
      <c r="AD21" s="142"/>
      <c r="AE21" s="115"/>
      <c r="AF21" s="142">
        <v>4407</v>
      </c>
      <c r="AG21" s="115">
        <f>AF21/$AF$19*100</f>
        <v>0.2917770127118644</v>
      </c>
      <c r="AH21" s="142">
        <v>18575</v>
      </c>
      <c r="AI21" s="115">
        <f t="shared" ref="AI21:AI34" si="28">AH21/$AH$19*100</f>
        <v>0.80933574776087414</v>
      </c>
    </row>
    <row r="22" spans="1:35" x14ac:dyDescent="0.25">
      <c r="A22" s="139" t="s">
        <v>20</v>
      </c>
      <c r="B22" s="138">
        <v>60000</v>
      </c>
      <c r="C22" s="117">
        <f>B22/$B$19*100</f>
        <v>2.409132539631234</v>
      </c>
      <c r="D22" s="82">
        <v>2.41</v>
      </c>
      <c r="F22" s="138">
        <v>391001</v>
      </c>
      <c r="G22" s="117">
        <f>F22/$F$19*100</f>
        <v>18.294284571313607</v>
      </c>
      <c r="H22" s="141">
        <v>264859</v>
      </c>
      <c r="I22" s="117">
        <f t="shared" si="19"/>
        <v>11.443504665386616</v>
      </c>
      <c r="J22" s="140">
        <v>22717</v>
      </c>
      <c r="K22" s="115">
        <f t="shared" si="20"/>
        <v>0.78107647377168787</v>
      </c>
      <c r="L22" s="140"/>
      <c r="M22" s="115">
        <f t="shared" si="21"/>
        <v>0</v>
      </c>
      <c r="N22" s="140">
        <v>9330</v>
      </c>
      <c r="O22" s="115">
        <f t="shared" si="22"/>
        <v>0.36819868364037606</v>
      </c>
      <c r="P22" s="142">
        <v>188525</v>
      </c>
      <c r="Q22" s="115">
        <f t="shared" si="23"/>
        <v>5.4364783443461491</v>
      </c>
      <c r="R22" s="142">
        <v>828700</v>
      </c>
      <c r="S22" s="115">
        <f t="shared" si="24"/>
        <v>18.462824489097532</v>
      </c>
      <c r="T22" s="142">
        <v>7000</v>
      </c>
      <c r="U22" s="115">
        <f t="shared" si="25"/>
        <v>0.60029877727714764</v>
      </c>
      <c r="V22" s="142">
        <v>7154</v>
      </c>
      <c r="W22" s="115">
        <f t="shared" si="26"/>
        <v>0.4620596337237653</v>
      </c>
      <c r="X22" s="142">
        <v>5032</v>
      </c>
      <c r="Y22" s="115">
        <f t="shared" si="27"/>
        <v>0.24042446959218144</v>
      </c>
      <c r="Z22" s="142">
        <v>7532</v>
      </c>
      <c r="AA22" s="115">
        <f t="shared" ref="AA22:AA34" si="29">Z22/$Z$19*100</f>
        <v>0.35777053665580499</v>
      </c>
      <c r="AB22" s="142">
        <v>4700</v>
      </c>
      <c r="AC22" s="115">
        <f t="shared" ref="AC22:AC34" si="30">AB22/$AB$19*100</f>
        <v>0.23395108033133447</v>
      </c>
      <c r="AD22" s="142">
        <v>1500</v>
      </c>
      <c r="AE22" s="115">
        <f t="shared" ref="AE22:AE34" si="31">AD22/$AD$19*100</f>
        <v>0.10799812515254735</v>
      </c>
      <c r="AF22" s="142">
        <v>1700</v>
      </c>
      <c r="AG22" s="115">
        <f t="shared" ref="AG22:AG34" si="32">AF22/$AF$19*100</f>
        <v>0.11255296610169492</v>
      </c>
      <c r="AH22" s="142">
        <v>1000</v>
      </c>
      <c r="AI22" s="115">
        <f t="shared" si="28"/>
        <v>4.3571238102873437E-2</v>
      </c>
    </row>
    <row r="23" spans="1:35" x14ac:dyDescent="0.25">
      <c r="A23" s="139" t="s">
        <v>21</v>
      </c>
      <c r="B23" s="138">
        <v>308150</v>
      </c>
      <c r="C23" s="117">
        <f>B23/$B$19*100</f>
        <v>12.372903201456079</v>
      </c>
      <c r="D23" s="82">
        <v>12.37</v>
      </c>
      <c r="F23" s="138">
        <v>420602</v>
      </c>
      <c r="G23" s="117">
        <f>F23/$F$19*100</f>
        <v>19.679265984648747</v>
      </c>
      <c r="H23" s="141">
        <v>17222</v>
      </c>
      <c r="I23" s="117">
        <f t="shared" si="19"/>
        <v>0.7440941683963479</v>
      </c>
      <c r="J23" s="140">
        <v>17200</v>
      </c>
      <c r="K23" s="115">
        <f t="shared" si="20"/>
        <v>0.59138598181419344</v>
      </c>
      <c r="L23" s="140"/>
      <c r="M23" s="115">
        <f t="shared" si="21"/>
        <v>0</v>
      </c>
      <c r="N23" s="140">
        <v>1260</v>
      </c>
      <c r="O23" s="115">
        <f t="shared" si="22"/>
        <v>4.9724581070404478E-2</v>
      </c>
      <c r="P23" s="142">
        <v>24496</v>
      </c>
      <c r="Q23" s="115">
        <f t="shared" si="23"/>
        <v>0.70638893262486813</v>
      </c>
      <c r="R23" s="142">
        <v>44177</v>
      </c>
      <c r="S23" s="115">
        <f t="shared" si="24"/>
        <v>0.98423096108949149</v>
      </c>
      <c r="T23" s="142">
        <v>60000</v>
      </c>
      <c r="U23" s="115">
        <f t="shared" si="25"/>
        <v>5.14541809094698</v>
      </c>
      <c r="V23" s="142">
        <v>150630</v>
      </c>
      <c r="W23" s="115">
        <f t="shared" si="26"/>
        <v>9.7288289946618356</v>
      </c>
      <c r="X23" s="142">
        <v>295049</v>
      </c>
      <c r="Y23" s="115">
        <f t="shared" si="27"/>
        <v>14.097177927007856</v>
      </c>
      <c r="Z23" s="142">
        <v>309059</v>
      </c>
      <c r="AA23" s="115">
        <f t="shared" si="29"/>
        <v>14.680324520486781</v>
      </c>
      <c r="AB23" s="142">
        <v>223383</v>
      </c>
      <c r="AC23" s="115">
        <f t="shared" si="30"/>
        <v>11.119296633543508</v>
      </c>
      <c r="AD23" s="142">
        <v>74044</v>
      </c>
      <c r="AE23" s="115">
        <f t="shared" si="31"/>
        <v>5.3310754525301443</v>
      </c>
      <c r="AF23" s="142">
        <v>93952</v>
      </c>
      <c r="AG23" s="115">
        <f t="shared" si="32"/>
        <v>6.2203389830508469</v>
      </c>
      <c r="AH23" s="142">
        <v>101565</v>
      </c>
      <c r="AI23" s="115">
        <f t="shared" si="28"/>
        <v>4.4253127979183402</v>
      </c>
    </row>
    <row r="24" spans="1:35" x14ac:dyDescent="0.25">
      <c r="A24" s="139" t="s">
        <v>130</v>
      </c>
      <c r="B24" s="138">
        <f>372042+500+5000-5648+1+2</f>
        <v>371897</v>
      </c>
      <c r="C24" s="117">
        <f>B24/$B$19*100</f>
        <v>14.932486068187284</v>
      </c>
      <c r="D24" s="82">
        <v>14.93</v>
      </c>
      <c r="F24" s="138">
        <v>43630</v>
      </c>
      <c r="G24" s="117">
        <f>F24/$F$19*100</f>
        <v>2.041374921921971</v>
      </c>
      <c r="H24" s="141">
        <v>19316</v>
      </c>
      <c r="I24" s="117">
        <f t="shared" si="19"/>
        <v>0.83456758545719756</v>
      </c>
      <c r="J24" s="140">
        <v>15030</v>
      </c>
      <c r="K24" s="115">
        <f t="shared" si="20"/>
        <v>0.51677507596903061</v>
      </c>
      <c r="L24" s="140">
        <v>34567</v>
      </c>
      <c r="M24" s="115">
        <f t="shared" si="21"/>
        <v>0.96532433886858182</v>
      </c>
      <c r="N24" s="140">
        <v>24746</v>
      </c>
      <c r="O24" s="115">
        <f t="shared" si="22"/>
        <v>0.97657498664145193</v>
      </c>
      <c r="P24" s="135">
        <v>44823</v>
      </c>
      <c r="Q24" s="115">
        <f t="shared" si="23"/>
        <v>1.2925567899675239</v>
      </c>
      <c r="R24" s="135">
        <v>41540</v>
      </c>
      <c r="S24" s="115">
        <f t="shared" si="24"/>
        <v>0.92548054697370752</v>
      </c>
      <c r="T24" s="135">
        <v>65098</v>
      </c>
      <c r="U24" s="115">
        <f t="shared" si="25"/>
        <v>5.5826071147411085</v>
      </c>
      <c r="V24" s="135">
        <v>107573</v>
      </c>
      <c r="W24" s="115">
        <f t="shared" si="26"/>
        <v>6.9478810425729103</v>
      </c>
      <c r="X24" s="135">
        <v>61321</v>
      </c>
      <c r="Y24" s="115">
        <f t="shared" si="27"/>
        <v>2.9298626589551189</v>
      </c>
      <c r="Z24" s="135">
        <v>20720</v>
      </c>
      <c r="AA24" s="115">
        <f t="shared" si="29"/>
        <v>0.98420147630221455</v>
      </c>
      <c r="AB24" s="135">
        <v>57819</v>
      </c>
      <c r="AC24" s="115">
        <f t="shared" si="30"/>
        <v>2.8780462795058357</v>
      </c>
      <c r="AD24" s="135">
        <v>40035</v>
      </c>
      <c r="AE24" s="115">
        <f t="shared" si="31"/>
        <v>2.8824699603214885</v>
      </c>
      <c r="AF24" s="135">
        <v>57899</v>
      </c>
      <c r="AG24" s="115">
        <f t="shared" si="32"/>
        <v>3.8333554025423733</v>
      </c>
      <c r="AH24" s="135">
        <v>59948</v>
      </c>
      <c r="AI24" s="115">
        <f t="shared" si="28"/>
        <v>2.6120085817910565</v>
      </c>
    </row>
    <row r="25" spans="1:35" hidden="1" x14ac:dyDescent="0.25">
      <c r="A25" s="139" t="s">
        <v>23</v>
      </c>
      <c r="B25" s="138"/>
      <c r="C25" s="117"/>
      <c r="F25" s="138"/>
      <c r="G25" s="117"/>
      <c r="H25" s="141">
        <v>55523</v>
      </c>
      <c r="I25" s="117">
        <f t="shared" si="19"/>
        <v>2.3989281449233784</v>
      </c>
      <c r="J25" s="140">
        <v>39289</v>
      </c>
      <c r="K25" s="115">
        <f t="shared" si="20"/>
        <v>1.3508699906684793</v>
      </c>
      <c r="L25" s="140">
        <v>38437</v>
      </c>
      <c r="M25" s="115">
        <f t="shared" si="21"/>
        <v>1.0733986638438882</v>
      </c>
      <c r="N25" s="140">
        <v>41699</v>
      </c>
      <c r="O25" s="115">
        <f t="shared" si="22"/>
        <v>1.6456073857577751</v>
      </c>
      <c r="P25" s="135">
        <v>20590</v>
      </c>
      <c r="Q25" s="115">
        <f t="shared" si="23"/>
        <v>0.59375196451445278</v>
      </c>
      <c r="R25" s="135">
        <v>16078</v>
      </c>
      <c r="S25" s="115">
        <f t="shared" si="24"/>
        <v>0.35820597578823477</v>
      </c>
      <c r="T25" s="135">
        <v>7150</v>
      </c>
      <c r="U25" s="115">
        <f t="shared" si="25"/>
        <v>0.61316232250451508</v>
      </c>
      <c r="V25" s="135">
        <v>12100</v>
      </c>
      <c r="W25" s="115">
        <f t="shared" si="26"/>
        <v>0.78150986414000001</v>
      </c>
      <c r="X25" s="135">
        <v>7220</v>
      </c>
      <c r="Y25" s="115">
        <f t="shared" si="27"/>
        <v>0.34496515708576109</v>
      </c>
      <c r="Z25" s="135">
        <v>2620</v>
      </c>
      <c r="AA25" s="115">
        <f t="shared" si="29"/>
        <v>0.12445018667528</v>
      </c>
      <c r="AB25" s="135">
        <v>3620</v>
      </c>
      <c r="AC25" s="115">
        <f t="shared" si="30"/>
        <v>0.18019210868072996</v>
      </c>
      <c r="AD25" s="135">
        <v>0</v>
      </c>
      <c r="AE25" s="115">
        <f t="shared" si="31"/>
        <v>0</v>
      </c>
      <c r="AF25" s="135"/>
      <c r="AG25" s="115">
        <f t="shared" si="32"/>
        <v>0</v>
      </c>
      <c r="AH25" s="135"/>
      <c r="AI25" s="115">
        <f t="shared" si="28"/>
        <v>0</v>
      </c>
    </row>
    <row r="26" spans="1:35" x14ac:dyDescent="0.25">
      <c r="A26" s="139" t="s">
        <v>24</v>
      </c>
      <c r="B26" s="138">
        <v>104688</v>
      </c>
      <c r="C26" s="117">
        <f t="shared" ref="C26:C33" si="33">B26/$B$19*100</f>
        <v>4.2034544551485773</v>
      </c>
      <c r="D26" s="82">
        <v>4.2</v>
      </c>
      <c r="F26" s="138">
        <v>31820</v>
      </c>
      <c r="G26" s="117">
        <f t="shared" ref="G26:G33" si="34">F26/$F$19*100</f>
        <v>1.4888047218784579</v>
      </c>
      <c r="H26" s="141">
        <f>57028+1170</f>
        <v>58198</v>
      </c>
      <c r="I26" s="117">
        <f t="shared" si="19"/>
        <v>2.5145042627064602</v>
      </c>
      <c r="J26" s="140">
        <v>208227</v>
      </c>
      <c r="K26" s="115">
        <f t="shared" si="20"/>
        <v>7.1594493508851196</v>
      </c>
      <c r="L26" s="140">
        <v>304068</v>
      </c>
      <c r="M26" s="115">
        <f t="shared" si="21"/>
        <v>8.4914583582923591</v>
      </c>
      <c r="N26" s="140">
        <v>176970</v>
      </c>
      <c r="O26" s="115">
        <f t="shared" si="22"/>
        <v>6.9839358031980003</v>
      </c>
      <c r="P26" s="135">
        <v>228943</v>
      </c>
      <c r="Q26" s="115">
        <f t="shared" si="23"/>
        <v>6.6020085484134228</v>
      </c>
      <c r="R26" s="135">
        <v>237960</v>
      </c>
      <c r="S26" s="115">
        <f t="shared" si="24"/>
        <v>5.3015732055335452</v>
      </c>
      <c r="T26" s="135">
        <v>13535</v>
      </c>
      <c r="U26" s="115">
        <f t="shared" si="25"/>
        <v>1.1607205643494563</v>
      </c>
      <c r="V26" s="135">
        <v>62827</v>
      </c>
      <c r="W26" s="115">
        <f t="shared" si="26"/>
        <v>4.0578446474647754</v>
      </c>
      <c r="X26" s="135">
        <v>64071</v>
      </c>
      <c r="Y26" s="115">
        <f t="shared" si="27"/>
        <v>3.0612552049365376</v>
      </c>
      <c r="Z26" s="135">
        <v>202028</v>
      </c>
      <c r="AA26" s="115">
        <f t="shared" si="29"/>
        <v>9.596344394516592</v>
      </c>
      <c r="AB26" s="135">
        <v>433119</v>
      </c>
      <c r="AC26" s="115">
        <f t="shared" si="30"/>
        <v>21.559288928090904</v>
      </c>
      <c r="AD26" s="135">
        <v>499557</v>
      </c>
      <c r="AE26" s="115">
        <f t="shared" si="31"/>
        <v>35.967479604554065</v>
      </c>
      <c r="AF26" s="135">
        <v>182774</v>
      </c>
      <c r="AG26" s="115">
        <f t="shared" si="32"/>
        <v>12.10103283898305</v>
      </c>
      <c r="AH26" s="135">
        <v>535969</v>
      </c>
      <c r="AI26" s="115">
        <f t="shared" si="28"/>
        <v>23.352832914758974</v>
      </c>
    </row>
    <row r="27" spans="1:35" x14ac:dyDescent="0.25">
      <c r="A27" s="139" t="s">
        <v>25</v>
      </c>
      <c r="B27" s="138">
        <f>301250+7000</f>
        <v>308250</v>
      </c>
      <c r="C27" s="117">
        <f t="shared" si="33"/>
        <v>12.376918422355466</v>
      </c>
      <c r="D27" s="82">
        <v>12.38</v>
      </c>
      <c r="F27" s="138">
        <v>418475</v>
      </c>
      <c r="G27" s="117">
        <f t="shared" si="34"/>
        <v>19.579747202642604</v>
      </c>
      <c r="H27" s="141">
        <f>255388-258+23964</f>
        <v>279094</v>
      </c>
      <c r="I27" s="117">
        <f t="shared" si="19"/>
        <v>12.058542436093967</v>
      </c>
      <c r="J27" s="140">
        <v>399843</v>
      </c>
      <c r="K27" s="115">
        <f t="shared" si="20"/>
        <v>13.747764251542588</v>
      </c>
      <c r="L27" s="140">
        <v>431871</v>
      </c>
      <c r="M27" s="115">
        <f t="shared" si="21"/>
        <v>12.060508217418734</v>
      </c>
      <c r="N27" s="140">
        <v>405753</v>
      </c>
      <c r="O27" s="115">
        <f t="shared" si="22"/>
        <v>16.012617415126847</v>
      </c>
      <c r="P27" s="135">
        <v>454070</v>
      </c>
      <c r="Q27" s="115">
        <f t="shared" si="23"/>
        <v>13.09397545056229</v>
      </c>
      <c r="R27" s="135">
        <v>605840</v>
      </c>
      <c r="S27" s="115">
        <f t="shared" si="24"/>
        <v>13.497668141033966</v>
      </c>
      <c r="T27" s="135">
        <v>76028</v>
      </c>
      <c r="U27" s="115">
        <f t="shared" si="25"/>
        <v>6.5199307769752828</v>
      </c>
      <c r="V27" s="135">
        <v>90966</v>
      </c>
      <c r="W27" s="115">
        <f t="shared" si="26"/>
        <v>5.8752749009387806</v>
      </c>
      <c r="X27" s="135">
        <v>435288</v>
      </c>
      <c r="Y27" s="115">
        <f t="shared" si="27"/>
        <v>20.797672201876285</v>
      </c>
      <c r="Z27" s="135">
        <v>202853</v>
      </c>
      <c r="AA27" s="115">
        <f t="shared" si="29"/>
        <v>9.6355319532979298</v>
      </c>
      <c r="AB27" s="135">
        <v>145534</v>
      </c>
      <c r="AC27" s="115">
        <f t="shared" si="30"/>
        <v>7.2442205372213682</v>
      </c>
      <c r="AD27" s="135">
        <v>80794</v>
      </c>
      <c r="AE27" s="115">
        <f t="shared" si="31"/>
        <v>5.8170670157166073</v>
      </c>
      <c r="AF27" s="135">
        <v>294965</v>
      </c>
      <c r="AG27" s="115">
        <f t="shared" si="32"/>
        <v>19.528932733050848</v>
      </c>
      <c r="AH27" s="135">
        <v>344705</v>
      </c>
      <c r="AI27" s="115">
        <f t="shared" si="28"/>
        <v>15.019223630250988</v>
      </c>
    </row>
    <row r="28" spans="1:35" ht="15.75" hidden="1" customHeight="1" x14ac:dyDescent="0.25">
      <c r="A28" s="139" t="s">
        <v>129</v>
      </c>
      <c r="B28" s="138">
        <v>1800</v>
      </c>
      <c r="C28" s="117">
        <f t="shared" si="33"/>
        <v>7.2273976188937022E-2</v>
      </c>
      <c r="D28" s="82">
        <v>7.0000000000000007E-2</v>
      </c>
      <c r="F28" s="138">
        <v>3386</v>
      </c>
      <c r="G28" s="117">
        <f t="shared" si="34"/>
        <v>0.15842529190070578</v>
      </c>
      <c r="H28" s="141">
        <v>18000</v>
      </c>
      <c r="I28" s="117">
        <f t="shared" si="19"/>
        <v>0.77770845611045536</v>
      </c>
      <c r="J28" s="140">
        <v>0</v>
      </c>
      <c r="K28" s="115">
        <f t="shared" si="20"/>
        <v>0</v>
      </c>
      <c r="L28" s="140"/>
      <c r="M28" s="115">
        <f t="shared" si="21"/>
        <v>0</v>
      </c>
      <c r="N28" s="140"/>
      <c r="O28" s="115">
        <f t="shared" si="22"/>
        <v>0</v>
      </c>
      <c r="P28" s="133">
        <v>0</v>
      </c>
      <c r="Q28" s="115">
        <f t="shared" si="23"/>
        <v>0</v>
      </c>
      <c r="S28" s="115">
        <f t="shared" si="24"/>
        <v>0</v>
      </c>
      <c r="U28" s="115">
        <f t="shared" si="25"/>
        <v>0</v>
      </c>
      <c r="W28" s="115">
        <f t="shared" si="26"/>
        <v>0</v>
      </c>
      <c r="Y28" s="115">
        <f t="shared" si="27"/>
        <v>0</v>
      </c>
      <c r="AA28" s="115">
        <f t="shared" si="29"/>
        <v>0</v>
      </c>
      <c r="AC28" s="115">
        <f t="shared" si="30"/>
        <v>0</v>
      </c>
      <c r="AE28" s="115">
        <f t="shared" si="31"/>
        <v>0</v>
      </c>
      <c r="AG28" s="115">
        <f t="shared" si="32"/>
        <v>0</v>
      </c>
      <c r="AI28" s="115">
        <f t="shared" si="28"/>
        <v>0</v>
      </c>
    </row>
    <row r="29" spans="1:35" ht="15.75" hidden="1" customHeight="1" x14ac:dyDescent="0.25">
      <c r="A29" s="139"/>
      <c r="B29" s="138"/>
      <c r="C29" s="117"/>
      <c r="F29" s="138"/>
      <c r="G29" s="117"/>
      <c r="H29" s="141"/>
      <c r="I29" s="117"/>
      <c r="J29" s="140"/>
      <c r="K29" s="115"/>
      <c r="L29" s="140"/>
      <c r="M29" s="115"/>
      <c r="N29" s="140"/>
      <c r="O29" s="115"/>
      <c r="Q29" s="115"/>
      <c r="S29" s="115"/>
      <c r="U29" s="115"/>
      <c r="W29" s="115"/>
      <c r="Y29" s="115"/>
      <c r="AA29" s="115"/>
      <c r="AC29" s="115">
        <f t="shared" si="30"/>
        <v>0</v>
      </c>
      <c r="AE29" s="115">
        <f t="shared" si="31"/>
        <v>0</v>
      </c>
      <c r="AG29" s="115">
        <f t="shared" si="32"/>
        <v>0</v>
      </c>
      <c r="AI29" s="115">
        <f t="shared" si="28"/>
        <v>0</v>
      </c>
    </row>
    <row r="30" spans="1:35" ht="15.75" customHeight="1" x14ac:dyDescent="0.25">
      <c r="A30" s="139" t="s">
        <v>129</v>
      </c>
      <c r="B30" s="138"/>
      <c r="C30" s="117"/>
      <c r="F30" s="138"/>
      <c r="G30" s="117"/>
      <c r="H30" s="141"/>
      <c r="I30" s="117"/>
      <c r="J30" s="140"/>
      <c r="K30" s="115"/>
      <c r="L30" s="140"/>
      <c r="M30" s="115"/>
      <c r="N30" s="140"/>
      <c r="O30" s="115"/>
      <c r="Q30" s="115"/>
      <c r="S30" s="115"/>
      <c r="U30" s="115"/>
      <c r="W30" s="115"/>
      <c r="Y30" s="115"/>
      <c r="AA30" s="115"/>
      <c r="AB30" s="135">
        <v>500</v>
      </c>
      <c r="AC30" s="115">
        <f t="shared" si="30"/>
        <v>2.4888412801205791E-2</v>
      </c>
      <c r="AD30" s="135">
        <v>500</v>
      </c>
      <c r="AE30" s="115">
        <f t="shared" si="31"/>
        <v>3.5999375050849117E-2</v>
      </c>
      <c r="AF30" s="135">
        <v>56000</v>
      </c>
      <c r="AG30" s="115">
        <f t="shared" si="32"/>
        <v>3.7076271186440675</v>
      </c>
      <c r="AH30" s="135">
        <v>167095</v>
      </c>
      <c r="AI30" s="115">
        <f t="shared" si="28"/>
        <v>7.2805360307996363</v>
      </c>
    </row>
    <row r="31" spans="1:35" x14ac:dyDescent="0.25">
      <c r="A31" s="139" t="s">
        <v>26</v>
      </c>
      <c r="B31" s="138">
        <v>33000</v>
      </c>
      <c r="C31" s="117">
        <f t="shared" si="33"/>
        <v>1.3250228967971787</v>
      </c>
      <c r="D31" s="82">
        <v>1.33</v>
      </c>
      <c r="F31" s="138">
        <v>10700</v>
      </c>
      <c r="G31" s="117">
        <f t="shared" si="34"/>
        <v>0.50063515160589256</v>
      </c>
      <c r="H31" s="141">
        <v>114431</v>
      </c>
      <c r="I31" s="117">
        <f t="shared" si="19"/>
        <v>4.9441086856208623</v>
      </c>
      <c r="J31" s="140">
        <v>324149</v>
      </c>
      <c r="K31" s="115">
        <f t="shared" si="20"/>
        <v>11.145184570877266</v>
      </c>
      <c r="L31" s="140">
        <v>591057</v>
      </c>
      <c r="M31" s="115">
        <f t="shared" si="21"/>
        <v>16.505965451403</v>
      </c>
      <c r="N31" s="140">
        <v>312314</v>
      </c>
      <c r="O31" s="115">
        <f t="shared" si="22"/>
        <v>12.325145089224051</v>
      </c>
      <c r="P31" s="135">
        <v>418203</v>
      </c>
      <c r="Q31" s="115">
        <f t="shared" si="23"/>
        <v>12.059682021167445</v>
      </c>
      <c r="R31" s="135">
        <v>651384</v>
      </c>
      <c r="S31" s="115">
        <f t="shared" si="24"/>
        <v>14.512354853392429</v>
      </c>
      <c r="T31" s="135">
        <v>36800</v>
      </c>
      <c r="U31" s="115">
        <f t="shared" si="25"/>
        <v>3.1558564291141478</v>
      </c>
      <c r="V31" s="135">
        <v>111988</v>
      </c>
      <c r="W31" s="115">
        <f t="shared" si="26"/>
        <v>7.2330352615958953</v>
      </c>
      <c r="X31" s="135">
        <v>96590</v>
      </c>
      <c r="Y31" s="115">
        <f t="shared" si="27"/>
        <v>4.6149840059437208</v>
      </c>
      <c r="Z31" s="135">
        <v>162298</v>
      </c>
      <c r="AA31" s="115">
        <f t="shared" si="29"/>
        <v>7.7091665637498457</v>
      </c>
      <c r="AB31" s="135">
        <v>74063</v>
      </c>
      <c r="AC31" s="115">
        <f t="shared" si="30"/>
        <v>3.6866210345914094</v>
      </c>
      <c r="AD31" s="135">
        <v>5755</v>
      </c>
      <c r="AE31" s="115">
        <f t="shared" si="31"/>
        <v>0.41435280683527337</v>
      </c>
      <c r="AF31" s="135">
        <v>152537</v>
      </c>
      <c r="AG31" s="115">
        <f t="shared" si="32"/>
        <v>10.099112817796611</v>
      </c>
      <c r="AH31" s="135">
        <v>82389</v>
      </c>
      <c r="AI31" s="115">
        <f t="shared" si="28"/>
        <v>3.5897907360576395</v>
      </c>
    </row>
    <row r="32" spans="1:35" x14ac:dyDescent="0.25">
      <c r="A32" s="139" t="s">
        <v>27</v>
      </c>
      <c r="B32" s="138">
        <v>16738</v>
      </c>
      <c r="C32" s="117">
        <f t="shared" si="33"/>
        <v>0.6720676741391266</v>
      </c>
      <c r="D32" s="82">
        <v>0.67</v>
      </c>
      <c r="F32" s="138">
        <v>20230</v>
      </c>
      <c r="G32" s="117">
        <f t="shared" si="34"/>
        <v>0.94652795485861729</v>
      </c>
      <c r="H32" s="141">
        <v>19305</v>
      </c>
      <c r="I32" s="117">
        <f t="shared" si="19"/>
        <v>0.83409231917846338</v>
      </c>
      <c r="J32" s="140">
        <v>8863</v>
      </c>
      <c r="K32" s="115">
        <f t="shared" si="20"/>
        <v>0.30473569516390675</v>
      </c>
      <c r="L32" s="140">
        <v>10636</v>
      </c>
      <c r="M32" s="115">
        <f t="shared" si="21"/>
        <v>0.2970228734980252</v>
      </c>
      <c r="N32" s="140">
        <v>23446</v>
      </c>
      <c r="O32" s="115">
        <f t="shared" si="22"/>
        <v>0.92527184744182811</v>
      </c>
      <c r="P32" s="135">
        <v>19042</v>
      </c>
      <c r="Q32" s="115">
        <f t="shared" si="23"/>
        <v>0.54911242876562449</v>
      </c>
      <c r="R32" s="135">
        <v>3306</v>
      </c>
      <c r="S32" s="115">
        <f t="shared" si="24"/>
        <v>7.3655240450050008E-2</v>
      </c>
      <c r="T32" s="135">
        <v>511200</v>
      </c>
      <c r="U32" s="115">
        <f t="shared" si="25"/>
        <v>43.838962134868268</v>
      </c>
      <c r="V32" s="135">
        <v>441740</v>
      </c>
      <c r="W32" s="115">
        <f t="shared" si="26"/>
        <v>28.530922924396997</v>
      </c>
      <c r="X32" s="135">
        <v>141727</v>
      </c>
      <c r="Y32" s="115">
        <f t="shared" si="27"/>
        <v>6.7715895870212828</v>
      </c>
      <c r="Z32" s="135">
        <v>406667</v>
      </c>
      <c r="AA32" s="115">
        <f t="shared" si="29"/>
        <v>19.316711475067212</v>
      </c>
      <c r="AB32" s="135">
        <v>730401</v>
      </c>
      <c r="AC32" s="115">
        <f t="shared" si="30"/>
        <v>36.357043196827028</v>
      </c>
      <c r="AD32" s="135">
        <v>57873</v>
      </c>
      <c r="AE32" s="115">
        <f t="shared" si="31"/>
        <v>4.1667836646355818</v>
      </c>
      <c r="AF32" s="135">
        <v>76027</v>
      </c>
      <c r="AG32" s="115">
        <f t="shared" si="32"/>
        <v>5.0335672669491522</v>
      </c>
      <c r="AH32" s="135">
        <v>446505</v>
      </c>
      <c r="AI32" s="115">
        <f t="shared" si="28"/>
        <v>19.454775669123503</v>
      </c>
    </row>
    <row r="33" spans="1:35" x14ac:dyDescent="0.25">
      <c r="A33" s="139" t="s">
        <v>128</v>
      </c>
      <c r="B33" s="138">
        <f>5000+2000</f>
        <v>7000</v>
      </c>
      <c r="C33" s="117">
        <f t="shared" si="33"/>
        <v>0.28106546295697732</v>
      </c>
      <c r="D33" s="82">
        <v>0.28000000000000003</v>
      </c>
      <c r="F33" s="138">
        <v>1000</v>
      </c>
      <c r="G33" s="117">
        <f t="shared" si="34"/>
        <v>4.6788331925784347E-2</v>
      </c>
      <c r="H33" s="137">
        <v>18444</v>
      </c>
      <c r="I33" s="117">
        <f t="shared" si="19"/>
        <v>0.79689193136117997</v>
      </c>
      <c r="J33" s="136">
        <v>9616</v>
      </c>
      <c r="K33" s="115">
        <f t="shared" si="20"/>
        <v>0.33062602332123742</v>
      </c>
      <c r="L33" s="136">
        <v>67013</v>
      </c>
      <c r="M33" s="115">
        <f t="shared" si="21"/>
        <v>1.8714172453669766</v>
      </c>
      <c r="N33" s="136">
        <v>80350</v>
      </c>
      <c r="O33" s="115">
        <f t="shared" si="22"/>
        <v>3.1709286420690477</v>
      </c>
      <c r="P33" s="135">
        <v>106342</v>
      </c>
      <c r="Q33" s="115">
        <f t="shared" si="23"/>
        <v>3.0665746192518668</v>
      </c>
      <c r="R33" s="135">
        <v>49627</v>
      </c>
      <c r="S33" s="115">
        <f t="shared" si="24"/>
        <v>1.1056529394478618</v>
      </c>
      <c r="T33" s="135">
        <v>2825</v>
      </c>
      <c r="U33" s="115">
        <f t="shared" si="25"/>
        <v>0.24226343511542028</v>
      </c>
      <c r="V33" s="135">
        <v>7252</v>
      </c>
      <c r="W33" s="115">
        <f t="shared" si="26"/>
        <v>0.46838921774737857</v>
      </c>
      <c r="X33" s="135">
        <v>67857</v>
      </c>
      <c r="Y33" s="115">
        <f t="shared" si="27"/>
        <v>3.2421469064222288</v>
      </c>
      <c r="Z33" s="135">
        <v>32580</v>
      </c>
      <c r="AA33" s="115">
        <f t="shared" si="29"/>
        <v>1.5475523213284821</v>
      </c>
      <c r="AB33" s="135">
        <v>3500</v>
      </c>
      <c r="AC33" s="115">
        <f t="shared" si="30"/>
        <v>0.17421888960844056</v>
      </c>
      <c r="AD33" s="135">
        <v>914</v>
      </c>
      <c r="AE33" s="115">
        <f t="shared" si="31"/>
        <v>6.5806857592952184E-2</v>
      </c>
      <c r="AF33" s="135">
        <v>288</v>
      </c>
      <c r="AG33" s="115">
        <f t="shared" si="32"/>
        <v>1.9067796610169493E-2</v>
      </c>
      <c r="AH33" s="135">
        <v>16641</v>
      </c>
      <c r="AI33" s="115">
        <f t="shared" si="28"/>
        <v>0.72506897326991682</v>
      </c>
    </row>
    <row r="34" spans="1:35" hidden="1" x14ac:dyDescent="0.25">
      <c r="A34" s="82" t="s">
        <v>127</v>
      </c>
      <c r="X34" s="135">
        <v>52600</v>
      </c>
      <c r="Y34" s="115">
        <f t="shared" si="27"/>
        <v>2.5131810613173178</v>
      </c>
      <c r="Z34" s="135">
        <v>52000</v>
      </c>
      <c r="AA34" s="115">
        <f t="shared" si="29"/>
        <v>2.4700037050055577</v>
      </c>
      <c r="AB34" s="135">
        <v>0</v>
      </c>
      <c r="AC34" s="115">
        <f t="shared" si="30"/>
        <v>0</v>
      </c>
      <c r="AD34" s="135"/>
      <c r="AE34" s="115">
        <f t="shared" si="31"/>
        <v>0</v>
      </c>
      <c r="AF34" s="135"/>
      <c r="AG34" s="115">
        <f t="shared" si="32"/>
        <v>0</v>
      </c>
      <c r="AH34" s="135"/>
      <c r="AI34" s="115">
        <f t="shared" si="28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10C3B-F47C-4C9D-BDE5-9DB6A1D80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49BF98-9325-433B-844A-82ACD5F9068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1c884cfb-4f2a-45da-9f70-0953090e4289"/>
  </ds:schemaRefs>
</ds:datastoreItem>
</file>

<file path=customXml/itemProps3.xml><?xml version="1.0" encoding="utf-8"?>
<ds:datastoreItem xmlns:ds="http://schemas.openxmlformats.org/officeDocument/2006/customXml" ds:itemID="{0CF4617B-8774-455F-9D7A-2C822DF54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9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Dotační programy</vt:lpstr>
      <vt:lpstr>Akce spolufin. z evr.fin.zdrojů</vt:lpstr>
      <vt:lpstr>Akce fin. z úvěrových zdrojů</vt:lpstr>
      <vt:lpstr>Přehled příjmů 2023</vt:lpstr>
      <vt:lpstr>Zdrojová data I.s</vt:lpstr>
      <vt:lpstr>Zdrojová data II. a III. s</vt:lpstr>
      <vt:lpstr>Zdrojová data IV.</vt:lpstr>
      <vt:lpstr>Zdrojová data V.a VI.</vt:lpstr>
      <vt:lpstr>Graf 1. Rozpočet 2019-2023</vt:lpstr>
      <vt:lpstr>Graf 2. Příjmy 2019-2023</vt:lpstr>
      <vt:lpstr>Graf 3. Výdaje B+K 2019-2023</vt:lpstr>
      <vt:lpstr>Graf 4. Příjmy 2023</vt:lpstr>
      <vt:lpstr>Graf 5. Výdaje 2023</vt:lpstr>
      <vt:lpstr>Graf 6. Výdaje EU 2023</vt:lpstr>
      <vt:lpstr>'Akce fin. z úvěrových zdrojů'!Názvy_tisku</vt:lpstr>
      <vt:lpstr>'Akce spolufin. z evr.fin.zdrojů'!Názvy_tisku</vt:lpstr>
      <vt:lpstr>'Dotační programy'!Názvy_tisku</vt:lpstr>
      <vt:lpstr>'Přehled příjmů 2023'!Názvy_tisku</vt:lpstr>
      <vt:lpstr>'Akce spolufin. z evr.fin.zdrojů'!Oblast_tisku</vt:lpstr>
      <vt:lpstr>'Dotační programy'!Oblast_tisku</vt:lpstr>
      <vt:lpstr>'Přehled příjmů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2022-11-24T14:39:25Z</cp:lastPrinted>
  <dcterms:created xsi:type="dcterms:W3CDTF">2017-09-20T06:24:12Z</dcterms:created>
  <dcterms:modified xsi:type="dcterms:W3CDTF">2022-11-30T14:06:07Z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2022-11-21T11:03:31Z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0b67f7d6-c33f-4e46-8b7e-c801359c4264</vt:lpwstr>
  </property>
  <property fmtid="{D5CDD505-2E9C-101B-9397-08002B2CF9AE}" pid="9" name="MSIP_Label_bc18e8b5-cf04-4356-9f73-4b8f937bc4ae_ContentBits">
    <vt:lpwstr>0</vt:lpwstr>
  </property>
</Properties>
</file>