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https://mskraj-my.sharepoint.com/personal/tomas_metelka_msk_cz/Documents/_N_FINANCE/ROZPOČET 2023/12 - MAT do ZK/4MAT do ZK-oprava stránkování/"/>
    </mc:Choice>
  </mc:AlternateContent>
  <xr:revisionPtr revIDLastSave="2" documentId="8_{FE8BFAD4-199B-41BF-B062-7040D8EA9878}" xr6:coauthVersionLast="47" xr6:coauthVersionMax="47" xr10:uidLastSave="{89BF89C0-9BC9-4CFA-909C-7BC3DB0C644B}"/>
  <bookViews>
    <workbookView xWindow="-120" yWindow="-120" windowWidth="29040" windowHeight="15840" tabRatio="730" xr2:uid="{54F4A12B-D903-4848-90E6-597CCB8B3524}"/>
  </bookViews>
  <sheets>
    <sheet name="seznam" sheetId="3" r:id="rId1"/>
    <sheet name="Tab. 1 " sheetId="46" r:id="rId2"/>
    <sheet name="Tab. 1 VÝDAJE" sheetId="47" r:id="rId3"/>
    <sheet name="Tab. 2 " sheetId="49" r:id="rId4"/>
    <sheet name="Tab. 3" sheetId="59" r:id="rId5"/>
    <sheet name="Tab. 4" sheetId="61" r:id="rId6"/>
    <sheet name="Tab. 5" sheetId="60" r:id="rId7"/>
    <sheet name="Tab. 6" sheetId="65" r:id="rId8"/>
    <sheet name="Tab. 7" sheetId="63" r:id="rId9"/>
    <sheet name="Tab. 8" sheetId="62" r:id="rId10"/>
    <sheet name="Tab. 9" sheetId="64" r:id="rId11"/>
  </sheets>
  <externalReferences>
    <externalReference r:id="rId12"/>
    <externalReference r:id="rId13"/>
  </externalReferences>
  <definedNames>
    <definedName name="_xlnm._FilterDatabase" localSheetId="3" hidden="1">'Tab. 2 '!$A$3:$D$57</definedName>
    <definedName name="_xlnm._FilterDatabase" localSheetId="4" hidden="1">'Tab. 3'!$A$4:$I$59</definedName>
    <definedName name="_xlnm._FilterDatabase" localSheetId="5" hidden="1">'Tab. 4'!$A$5:$H$47</definedName>
    <definedName name="DF_GRID_1" localSheetId="1">#REF!</definedName>
    <definedName name="DF_GRID_1" localSheetId="2">#REF!</definedName>
    <definedName name="DF_GRID_1" localSheetId="3">#REF!</definedName>
    <definedName name="DF_GRID_1" localSheetId="4">#REF!</definedName>
    <definedName name="DF_GRID_1" localSheetId="5">#REF!</definedName>
    <definedName name="DF_GRID_1" localSheetId="7">#REF!</definedName>
    <definedName name="DF_GRID_1" localSheetId="8">#REF!</definedName>
    <definedName name="DF_GRID_1" localSheetId="9">#REF!</definedName>
    <definedName name="DF_GRID_1" localSheetId="10">#REF!</definedName>
    <definedName name="DF_GRID_1">#REF!</definedName>
    <definedName name="DF_GRID_2">#REF!</definedName>
    <definedName name="DF_GRID_3">#REF!</definedName>
    <definedName name="kurz" localSheetId="1">[1]rozhodnutí!$N$31</definedName>
    <definedName name="kurz" localSheetId="2">[1]rozhodnutí!$N$31</definedName>
    <definedName name="kurz" localSheetId="3">[1]rozhodnutí!$N$31</definedName>
    <definedName name="kurz" localSheetId="4">[1]rozhodnutí!$N$31</definedName>
    <definedName name="kurz" localSheetId="7">[1]rozhodnutí!$N$31</definedName>
    <definedName name="kurz" localSheetId="9">[2]rozhodnutí!$N$31</definedName>
    <definedName name="kurz">[1]rozhodnutí!$N$31</definedName>
    <definedName name="_xlnm.Print_Titles" localSheetId="1">'Tab. 1 '!$5:$5</definedName>
    <definedName name="_xlnm.Print_Titles" localSheetId="2">'Tab. 1 VÝDAJE'!$2:$3</definedName>
    <definedName name="_xlnm.Print_Titles" localSheetId="3">'Tab. 2 '!$3:$4</definedName>
    <definedName name="_xlnm.Print_Titles" localSheetId="4">'Tab. 3'!$3:$5</definedName>
    <definedName name="_xlnm.Print_Titles" localSheetId="5">'Tab. 4'!$3:$5</definedName>
    <definedName name="_xlnm.Print_Titles" localSheetId="6">'Tab. 5'!$3:$5</definedName>
    <definedName name="_xlnm.Print_Titles" localSheetId="7">'Tab. 6'!$3:$5</definedName>
    <definedName name="_xlnm.Print_Titles" localSheetId="9">'Tab. 8'!$3:$5</definedName>
    <definedName name="_xlnm.Print_Area" localSheetId="1">'Tab. 1 '!$A$1:$H$59</definedName>
    <definedName name="_xlnm.Print_Area" localSheetId="3">'Tab. 2 '!$A$1:$F$81</definedName>
    <definedName name="_xlnm.Print_Area" localSheetId="4">'Tab. 3'!$A$1:$I$61</definedName>
    <definedName name="_xlnm.Print_Area" localSheetId="5">'Tab. 4'!$A$1:$H$62</definedName>
    <definedName name="_xlnm.Print_Area" localSheetId="6">'Tab. 5'!$A$1:$J$172</definedName>
    <definedName name="_xlnm.Print_Area" localSheetId="7">'Tab. 6'!$A$1:$J$93</definedName>
    <definedName name="_xlnm.Print_Area" localSheetId="10">'Tab. 9'!$A$1:$J$52</definedName>
    <definedName name="SAPBEXhrIndnt" hidden="1">"Wide"</definedName>
    <definedName name="SAPsysID" hidden="1">"708C5W7SBKP804JT78WJ0JNKI"</definedName>
    <definedName name="SAPwbID" hidden="1">"ARS"</definedName>
    <definedName name="Z_011A6C4B_2327_4720_A085_B414162D3D4F_.wvu.PrintTitles" localSheetId="3" hidden="1">'Tab. 2 '!$3:$3</definedName>
    <definedName name="Z_101071BA_2FA5_4A0F_9E83_07DE84746187_.wvu.PrintArea" localSheetId="1" hidden="1">'Tab. 1 '!$A$1:$H$57</definedName>
    <definedName name="Z_101071BA_2FA5_4A0F_9E83_07DE84746187_.wvu.PrintTitles" localSheetId="1" hidden="1">'Tab. 1 '!$5:$5</definedName>
    <definedName name="Z_101071BA_2FA5_4A0F_9E83_07DE84746187_.wvu.PrintTitles" localSheetId="2" hidden="1">'Tab. 1 VÝDAJE'!$2:$3</definedName>
    <definedName name="Z_101071BA_2FA5_4A0F_9E83_07DE84746187_.wvu.Rows" localSheetId="1" hidden="1">'Tab. 1 '!$25:$25</definedName>
    <definedName name="Z_101071BA_2FA5_4A0F_9E83_07DE84746187_.wvu.Rows" localSheetId="2" hidden="1">'Tab. 1 VÝDAJE'!#REF!</definedName>
    <definedName name="Z_49829188_FED5_46AD_A01B_AD023612A570_.wvu.Cols" localSheetId="1" hidden="1">'Tab. 1 '!#REF!</definedName>
    <definedName name="Z_49829188_FED5_46AD_A01B_AD023612A570_.wvu.Cols" localSheetId="2" hidden="1">'Tab. 1 VÝDAJE'!#REF!</definedName>
    <definedName name="Z_49829188_FED5_46AD_A01B_AD023612A570_.wvu.PrintArea" localSheetId="1" hidden="1">'Tab. 1 '!$A$5:$A$34</definedName>
    <definedName name="Z_49829188_FED5_46AD_A01B_AD023612A570_.wvu.PrintArea" localSheetId="2" hidden="1">'Tab. 1 VÝDAJE'!#REF!</definedName>
    <definedName name="Z_49829188_FED5_46AD_A01B_AD023612A570_.wvu.Rows" localSheetId="1" hidden="1">'Tab. 1 '!#REF!</definedName>
    <definedName name="Z_49829188_FED5_46AD_A01B_AD023612A570_.wvu.Rows" localSheetId="2" hidden="1">'Tab. 1 VÝDAJE'!#REF!</definedName>
    <definedName name="Z_6667F704_353F_485F_A09F_F23ECB85BB95_.wvu.Cols" localSheetId="7" hidden="1">'Tab. 6'!$B:$B,'Tab. 6'!$D:$D,'Tab. 6'!#REF!,'Tab. 6'!$IM:$IM,'Tab. 6'!$SI:$SI,'Tab. 6'!$ACE:$ACE,'Tab. 6'!$AMA:$AMA,'Tab. 6'!$AVW:$AVW,'Tab. 6'!$BFS:$BFS,'Tab. 6'!$BPO:$BPO,'Tab. 6'!$BZK:$BZK,'Tab. 6'!$CJG:$CJG,'Tab. 6'!$CTC:$CTC,'Tab. 6'!$DCY:$DCY,'Tab. 6'!$DMU:$DMU,'Tab. 6'!$DWQ:$DWQ,'Tab. 6'!$EGM:$EGM,'Tab. 6'!$EQI:$EQI,'Tab. 6'!$FAE:$FAE,'Tab. 6'!$FKA:$FKA,'Tab. 6'!$FTW:$FTW,'Tab. 6'!$GDS:$GDS,'Tab. 6'!$GNO:$GNO,'Tab. 6'!$GXK:$GXK,'Tab. 6'!$HHG:$HHG,'Tab. 6'!$HRC:$HRC,'Tab. 6'!$IAY:$IAY,'Tab. 6'!$IKU:$IKU,'Tab. 6'!$IUQ:$IUQ,'Tab. 6'!$JEM:$JEM,'Tab. 6'!$JOI:$JOI,'Tab. 6'!$JYE:$JYE,'Tab. 6'!$KIA:$KIA,'Tab. 6'!$KRW:$KRW,'Tab. 6'!$LBS:$LBS,'Tab. 6'!$LLO:$LLO,'Tab. 6'!$LVK:$LVK,'Tab. 6'!$MFG:$MFG,'Tab. 6'!$MPC:$MPC,'Tab. 6'!$MYY:$MYY,'Tab. 6'!$NIU:$NIU,'Tab. 6'!$NSQ:$NSQ,'Tab. 6'!$OCM:$OCM,'Tab. 6'!$OMI:$OMI,'Tab. 6'!$OWE:$OWE,'Tab. 6'!$PGA:$PGA,'Tab. 6'!$PPW:$PPW,'Tab. 6'!$PZS:$PZS,'Tab. 6'!$QJO:$QJO,'Tab. 6'!$QTK:$QTK,'Tab. 6'!$RDG:$RDG,'Tab. 6'!$RNC:$RNC,'Tab. 6'!$RWY:$RWY,'Tab. 6'!$SGU:$SGU,'Tab. 6'!$SQQ:$SQQ,'Tab. 6'!$TAM:$TAM,'Tab. 6'!$TKI:$TKI,'Tab. 6'!$TUE:$TUE,'Tab. 6'!$UEA:$UEA,'Tab. 6'!$UNW:$UNW,'Tab. 6'!$UXS:$UXS,'Tab. 6'!$VHO:$VHO,'Tab. 6'!$VRK:$VRK,'Tab. 6'!$WBG:$WBG,'Tab. 6'!$WLC:$WLC,'Tab. 6'!$WUY:$WUY</definedName>
    <definedName name="Z_6667F704_353F_485F_A09F_F23ECB85BB95_.wvu.PrintArea" localSheetId="7" hidden="1">'Tab. 6'!$A$2:$F$93</definedName>
    <definedName name="Z_6667F704_353F_485F_A09F_F23ECB85BB95_.wvu.PrintTitles" localSheetId="7" hidden="1">'Tab. 6'!$3:$5</definedName>
    <definedName name="Z_6773646E_4FE1_4144_9FDF_4FF97C20B4A9_.wvu.PrintArea" localSheetId="1" hidden="1">'Tab. 1 '!$A$5:$C$34</definedName>
    <definedName name="Z_6773646E_4FE1_4144_9FDF_4FF97C20B4A9_.wvu.PrintArea" localSheetId="2" hidden="1">'Tab. 1 VÝDAJE'!#REF!</definedName>
    <definedName name="Z_6773646E_4FE1_4144_9FDF_4FF97C20B4A9_.wvu.Rows" localSheetId="1" hidden="1">'Tab. 1 '!$25:$25</definedName>
    <definedName name="Z_6773646E_4FE1_4144_9FDF_4FF97C20B4A9_.wvu.Rows" localSheetId="2" hidden="1">'Tab. 1 VÝDAJE'!#REF!</definedName>
    <definedName name="Z_8DF5934D_271D_4996_8FBD_8BBE47175559_.wvu.Cols" localSheetId="7" hidden="1">'Tab. 6'!$B:$B,'Tab. 6'!$D:$D,'Tab. 6'!#REF!,'Tab. 6'!$IM:$IM,'Tab. 6'!$SI:$SI,'Tab. 6'!$ACE:$ACE,'Tab. 6'!$AMA:$AMA,'Tab. 6'!$AVW:$AVW,'Tab. 6'!$BFS:$BFS,'Tab. 6'!$BPO:$BPO,'Tab. 6'!$BZK:$BZK,'Tab. 6'!$CJG:$CJG,'Tab. 6'!$CTC:$CTC,'Tab. 6'!$DCY:$DCY,'Tab. 6'!$DMU:$DMU,'Tab. 6'!$DWQ:$DWQ,'Tab. 6'!$EGM:$EGM,'Tab. 6'!$EQI:$EQI,'Tab. 6'!$FAE:$FAE,'Tab. 6'!$FKA:$FKA,'Tab. 6'!$FTW:$FTW,'Tab. 6'!$GDS:$GDS,'Tab. 6'!$GNO:$GNO,'Tab. 6'!$GXK:$GXK,'Tab. 6'!$HHG:$HHG,'Tab. 6'!$HRC:$HRC,'Tab. 6'!$IAY:$IAY,'Tab. 6'!$IKU:$IKU,'Tab. 6'!$IUQ:$IUQ,'Tab. 6'!$JEM:$JEM,'Tab. 6'!$JOI:$JOI,'Tab. 6'!$JYE:$JYE,'Tab. 6'!$KIA:$KIA,'Tab. 6'!$KRW:$KRW,'Tab. 6'!$LBS:$LBS,'Tab. 6'!$LLO:$LLO,'Tab. 6'!$LVK:$LVK,'Tab. 6'!$MFG:$MFG,'Tab. 6'!$MPC:$MPC,'Tab. 6'!$MYY:$MYY,'Tab. 6'!$NIU:$NIU,'Tab. 6'!$NSQ:$NSQ,'Tab. 6'!$OCM:$OCM,'Tab. 6'!$OMI:$OMI,'Tab. 6'!$OWE:$OWE,'Tab. 6'!$PGA:$PGA,'Tab. 6'!$PPW:$PPW,'Tab. 6'!$PZS:$PZS,'Tab. 6'!$QJO:$QJO,'Tab. 6'!$QTK:$QTK,'Tab. 6'!$RDG:$RDG,'Tab. 6'!$RNC:$RNC,'Tab. 6'!$RWY:$RWY,'Tab. 6'!$SGU:$SGU,'Tab. 6'!$SQQ:$SQQ,'Tab. 6'!$TAM:$TAM,'Tab. 6'!$TKI:$TKI,'Tab. 6'!$TUE:$TUE,'Tab. 6'!$UEA:$UEA,'Tab. 6'!$UNW:$UNW,'Tab. 6'!$UXS:$UXS,'Tab. 6'!$VHO:$VHO,'Tab. 6'!$VRK:$VRK,'Tab. 6'!$WBG:$WBG,'Tab. 6'!$WLC:$WLC,'Tab. 6'!$WUY:$WUY</definedName>
    <definedName name="Z_8DF5934D_271D_4996_8FBD_8BBE47175559_.wvu.PrintArea" localSheetId="7" hidden="1">'Tab. 6'!$A$2:$F$93</definedName>
    <definedName name="Z_8DF5934D_271D_4996_8FBD_8BBE47175559_.wvu.PrintTitles" localSheetId="7" hidden="1">'Tab. 6'!$3:$5</definedName>
    <definedName name="Z_AF65B0D2_A89B_4D75_B4AE_5BFEE1615BA9_.wvu.Cols" localSheetId="7" hidden="1">'Tab. 6'!#REF!,'Tab. 6'!$IM:$IM,'Tab. 6'!$SI:$SI,'Tab. 6'!$ACE:$ACE,'Tab. 6'!$AMA:$AMA,'Tab. 6'!$AVW:$AVW,'Tab. 6'!$BFS:$BFS,'Tab. 6'!$BPO:$BPO,'Tab. 6'!$BZK:$BZK,'Tab. 6'!$CJG:$CJG,'Tab. 6'!$CTC:$CTC,'Tab. 6'!$DCY:$DCY,'Tab. 6'!$DMU:$DMU,'Tab. 6'!$DWQ:$DWQ,'Tab. 6'!$EGM:$EGM,'Tab. 6'!$EQI:$EQI,'Tab. 6'!$FAE:$FAE,'Tab. 6'!$FKA:$FKA,'Tab. 6'!$FTW:$FTW,'Tab. 6'!$GDS:$GDS,'Tab. 6'!$GNO:$GNO,'Tab. 6'!$GXK:$GXK,'Tab. 6'!$HHG:$HHG,'Tab. 6'!$HRC:$HRC,'Tab. 6'!$IAY:$IAY,'Tab. 6'!$IKU:$IKU,'Tab. 6'!$IUQ:$IUQ,'Tab. 6'!$JEM:$JEM,'Tab. 6'!$JOI:$JOI,'Tab. 6'!$JYE:$JYE,'Tab. 6'!$KIA:$KIA,'Tab. 6'!$KRW:$KRW,'Tab. 6'!$LBS:$LBS,'Tab. 6'!$LLO:$LLO,'Tab. 6'!$LVK:$LVK,'Tab. 6'!$MFG:$MFG,'Tab. 6'!$MPC:$MPC,'Tab. 6'!$MYY:$MYY,'Tab. 6'!$NIU:$NIU,'Tab. 6'!$NSQ:$NSQ,'Tab. 6'!$OCM:$OCM,'Tab. 6'!$OMI:$OMI,'Tab. 6'!$OWE:$OWE,'Tab. 6'!$PGA:$PGA,'Tab. 6'!$PPW:$PPW,'Tab. 6'!$PZS:$PZS,'Tab. 6'!$QJO:$QJO,'Tab. 6'!$QTK:$QTK,'Tab. 6'!$RDG:$RDG,'Tab. 6'!$RNC:$RNC,'Tab. 6'!$RWY:$RWY,'Tab. 6'!$SGU:$SGU,'Tab. 6'!$SQQ:$SQQ,'Tab. 6'!$TAM:$TAM,'Tab. 6'!$TKI:$TKI,'Tab. 6'!$TUE:$TUE,'Tab. 6'!$UEA:$UEA,'Tab. 6'!$UNW:$UNW,'Tab. 6'!$UXS:$UXS,'Tab. 6'!$VHO:$VHO,'Tab. 6'!$VRK:$VRK,'Tab. 6'!$WBG:$WBG,'Tab. 6'!$WLC:$WLC,'Tab. 6'!$WUY:$WUY</definedName>
    <definedName name="Z_AF65B0D2_A89B_4D75_B4AE_5BFEE1615BA9_.wvu.PrintTitles" localSheetId="7" hidden="1">'Tab. 6'!$3:$5</definedName>
    <definedName name="Z_BCCA6061_3DB5_4487_907E_7813A1F1537A_.wvu.PrintArea" localSheetId="1" hidden="1">'Tab. 1 '!$A$5:$C$34</definedName>
    <definedName name="Z_BCCA6061_3DB5_4487_907E_7813A1F1537A_.wvu.PrintArea" localSheetId="2" hidden="1">'Tab. 1 VÝDAJE'!#REF!</definedName>
    <definedName name="Z_BCCA6061_3DB5_4487_907E_7813A1F1537A_.wvu.Rows" localSheetId="1" hidden="1">'Tab. 1 '!$25:$25</definedName>
    <definedName name="Z_BCCA6061_3DB5_4487_907E_7813A1F1537A_.wvu.Rows" localSheetId="2" hidden="1">'Tab. 1 VÝDAJE'!#REF!</definedName>
    <definedName name="Z_E5D11231_1473_4685_9500_D27714D32333_.wvu.Cols" localSheetId="1" hidden="1">'Tab. 1 '!#REF!</definedName>
    <definedName name="Z_E5D11231_1473_4685_9500_D27714D32333_.wvu.Cols" localSheetId="2" hidden="1">'Tab. 1 VÝDAJE'!#REF!</definedName>
    <definedName name="Z_E5D11231_1473_4685_9500_D27714D32333_.wvu.Rows" localSheetId="1" hidden="1">'Tab. 1 '!#REF!</definedName>
    <definedName name="Z_E5D11231_1473_4685_9500_D27714D32333_.wvu.Rows" localSheetId="2" hidden="1">'Tab. 1 VÝDAJE'!#REF!</definedName>
    <definedName name="Z_FFF09864_B75B_45CC_8A23_7ED56E2D3858_.wvu.Cols" localSheetId="7" hidden="1">'Tab. 6'!#REF!,'Tab. 6'!$IM:$IM,'Tab. 6'!$SI:$SI,'Tab. 6'!$ACE:$ACE,'Tab. 6'!$AMA:$AMA,'Tab. 6'!$AVW:$AVW,'Tab. 6'!$BFS:$BFS,'Tab. 6'!$BPO:$BPO,'Tab. 6'!$BZK:$BZK,'Tab. 6'!$CJG:$CJG,'Tab. 6'!$CTC:$CTC,'Tab. 6'!$DCY:$DCY,'Tab. 6'!$DMU:$DMU,'Tab. 6'!$DWQ:$DWQ,'Tab. 6'!$EGM:$EGM,'Tab. 6'!$EQI:$EQI,'Tab. 6'!$FAE:$FAE,'Tab. 6'!$FKA:$FKA,'Tab. 6'!$FTW:$FTW,'Tab. 6'!$GDS:$GDS,'Tab. 6'!$GNO:$GNO,'Tab. 6'!$GXK:$GXK,'Tab. 6'!$HHG:$HHG,'Tab. 6'!$HRC:$HRC,'Tab. 6'!$IAY:$IAY,'Tab. 6'!$IKU:$IKU,'Tab. 6'!$IUQ:$IUQ,'Tab. 6'!$JEM:$JEM,'Tab. 6'!$JOI:$JOI,'Tab. 6'!$JYE:$JYE,'Tab. 6'!$KIA:$KIA,'Tab. 6'!$KRW:$KRW,'Tab. 6'!$LBS:$LBS,'Tab. 6'!$LLO:$LLO,'Tab. 6'!$LVK:$LVK,'Tab. 6'!$MFG:$MFG,'Tab. 6'!$MPC:$MPC,'Tab. 6'!$MYY:$MYY,'Tab. 6'!$NIU:$NIU,'Tab. 6'!$NSQ:$NSQ,'Tab. 6'!$OCM:$OCM,'Tab. 6'!$OMI:$OMI,'Tab. 6'!$OWE:$OWE,'Tab. 6'!$PGA:$PGA,'Tab. 6'!$PPW:$PPW,'Tab. 6'!$PZS:$PZS,'Tab. 6'!$QJO:$QJO,'Tab. 6'!$QTK:$QTK,'Tab. 6'!$RDG:$RDG,'Tab. 6'!$RNC:$RNC,'Tab. 6'!$RWY:$RWY,'Tab. 6'!$SGU:$SGU,'Tab. 6'!$SQQ:$SQQ,'Tab. 6'!$TAM:$TAM,'Tab. 6'!$TKI:$TKI,'Tab. 6'!$TUE:$TUE,'Tab. 6'!$UEA:$UEA,'Tab. 6'!$UNW:$UNW,'Tab. 6'!$UXS:$UXS,'Tab. 6'!$VHO:$VHO,'Tab. 6'!$VRK:$VRK,'Tab. 6'!$WBG:$WBG,'Tab. 6'!$WLC:$WLC,'Tab. 6'!$WUY:$WUY</definedName>
    <definedName name="Z_FFF09864_B75B_45CC_8A23_7ED56E2D3858_.wvu.PrintTitles" localSheetId="7" hidden="1">'Tab. 6'!$3:$5</definedName>
  </definedNames>
  <calcPr calcId="191029"/>
  <customWorkbookViews>
    <customWorkbookView name="Metelka Tomáš – osobní zobrazení" guid="{101071BA-2FA5-4A0F-9E83-07DE84746187}" mergeInterval="0" personalView="1" maximized="1" xWindow="-8" yWindow="-8" windowWidth="1936" windowHeight="105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1" i="65" l="1"/>
  <c r="I91" i="65"/>
  <c r="H91" i="65"/>
  <c r="G91" i="65"/>
  <c r="I82" i="65"/>
  <c r="H82" i="65"/>
  <c r="G82" i="65"/>
  <c r="J81" i="65"/>
  <c r="J82" i="65" s="1"/>
  <c r="J76" i="65"/>
  <c r="I76" i="65"/>
  <c r="H76" i="65"/>
  <c r="G76" i="65"/>
  <c r="J73" i="65"/>
  <c r="I73" i="65"/>
  <c r="H73" i="65"/>
  <c r="G73" i="65"/>
  <c r="I52" i="65"/>
  <c r="H52" i="65"/>
  <c r="G52" i="65"/>
  <c r="J51" i="65"/>
  <c r="J50" i="65"/>
  <c r="J48" i="65"/>
  <c r="J52" i="65" s="1"/>
  <c r="J41" i="65"/>
  <c r="I41" i="65"/>
  <c r="H41" i="65"/>
  <c r="G41" i="65"/>
  <c r="J38" i="65"/>
  <c r="I38" i="65"/>
  <c r="H38" i="65"/>
  <c r="G38" i="65"/>
  <c r="J35" i="65"/>
  <c r="I35" i="65"/>
  <c r="H35" i="65"/>
  <c r="G35" i="65"/>
  <c r="J18" i="65"/>
  <c r="I18" i="65"/>
  <c r="H18" i="65"/>
  <c r="G18" i="65"/>
  <c r="J15" i="65"/>
  <c r="I15" i="65"/>
  <c r="H15" i="65"/>
  <c r="G15" i="65"/>
  <c r="J12" i="65"/>
  <c r="I12" i="65"/>
  <c r="H12" i="65"/>
  <c r="G12" i="65"/>
  <c r="G93" i="65" l="1"/>
  <c r="H93" i="65"/>
  <c r="I93" i="65"/>
  <c r="J93" i="65"/>
  <c r="J48" i="64"/>
  <c r="I48" i="64"/>
  <c r="H48" i="64"/>
  <c r="G48" i="64"/>
  <c r="F48" i="64"/>
  <c r="E48" i="64"/>
  <c r="C48" i="64"/>
  <c r="D47" i="64"/>
  <c r="D48" i="64" s="1"/>
  <c r="C47" i="64"/>
  <c r="G34" i="64"/>
  <c r="F34" i="64"/>
  <c r="D34" i="64"/>
  <c r="C34" i="64"/>
  <c r="G31" i="64"/>
  <c r="F31" i="64"/>
  <c r="D31" i="64"/>
  <c r="C31" i="64"/>
  <c r="G27" i="64"/>
  <c r="F27" i="64"/>
  <c r="D27" i="64"/>
  <c r="C27" i="64"/>
  <c r="G21" i="64"/>
  <c r="F21" i="64"/>
  <c r="D21" i="64"/>
  <c r="C21" i="64"/>
  <c r="G20" i="64"/>
  <c r="F20" i="64"/>
  <c r="D20" i="64"/>
  <c r="C20" i="64"/>
  <c r="G19" i="64"/>
  <c r="G22" i="64" s="1"/>
  <c r="G36" i="64" s="1"/>
  <c r="G40" i="64" s="1"/>
  <c r="D19" i="64"/>
  <c r="D22" i="64" s="1"/>
  <c r="D36" i="64" s="1"/>
  <c r="D40" i="64" s="1"/>
  <c r="C19" i="64"/>
  <c r="D12" i="64"/>
  <c r="C12" i="64"/>
  <c r="J10" i="64"/>
  <c r="J12" i="64" s="1"/>
  <c r="I10" i="64"/>
  <c r="I12" i="64" s="1"/>
  <c r="H10" i="64"/>
  <c r="H12" i="64" s="1"/>
  <c r="G10" i="64"/>
  <c r="G12" i="64" s="1"/>
  <c r="E10" i="64"/>
  <c r="E12" i="64" s="1"/>
  <c r="F7" i="64"/>
  <c r="F10" i="64" s="1"/>
  <c r="F12" i="64" s="1"/>
  <c r="G39" i="64" l="1"/>
  <c r="G38" i="64"/>
  <c r="C22" i="64"/>
  <c r="C36" i="64" s="1"/>
  <c r="C40" i="64" s="1"/>
  <c r="C39" i="64"/>
  <c r="D39" i="64"/>
  <c r="C38" i="64"/>
  <c r="D38" i="64"/>
  <c r="F19" i="64"/>
  <c r="F22" i="64" s="1"/>
  <c r="F36" i="64" s="1"/>
  <c r="F40" i="64" s="1"/>
  <c r="S18" i="63"/>
  <c r="R18" i="63"/>
  <c r="S17" i="63"/>
  <c r="R17" i="63"/>
  <c r="S16" i="63"/>
  <c r="R16" i="63"/>
  <c r="S15" i="63"/>
  <c r="R15" i="63"/>
  <c r="S14" i="63"/>
  <c r="R14" i="63"/>
  <c r="S13" i="63"/>
  <c r="R13" i="63"/>
  <c r="S12" i="63"/>
  <c r="R12" i="63"/>
  <c r="S11" i="63"/>
  <c r="R11" i="63"/>
  <c r="S10" i="63"/>
  <c r="R10" i="63"/>
  <c r="S9" i="63"/>
  <c r="R9" i="63"/>
  <c r="S8" i="63"/>
  <c r="R8" i="63"/>
  <c r="K8" i="63"/>
  <c r="K9" i="63" s="1"/>
  <c r="S7" i="63"/>
  <c r="R7" i="63"/>
  <c r="H7" i="63"/>
  <c r="H8" i="63" s="1"/>
  <c r="B7" i="63"/>
  <c r="F38" i="64" l="1"/>
  <c r="F39" i="64"/>
  <c r="Q7" i="63"/>
  <c r="B8" i="63"/>
  <c r="Q8" i="63" s="1"/>
  <c r="K10" i="63"/>
  <c r="Q9" i="63"/>
  <c r="K11" i="63" l="1"/>
  <c r="Q10" i="63"/>
  <c r="K12" i="63" l="1"/>
  <c r="Q11" i="63"/>
  <c r="K13" i="63" l="1"/>
  <c r="Q12" i="63"/>
  <c r="K14" i="63" l="1"/>
  <c r="Q13" i="63"/>
  <c r="K15" i="63" l="1"/>
  <c r="Q14" i="63"/>
  <c r="K16" i="63" l="1"/>
  <c r="Q15" i="63"/>
  <c r="K17" i="63" l="1"/>
  <c r="Q16" i="63"/>
  <c r="K18" i="63" l="1"/>
  <c r="Q18" i="63" s="1"/>
  <c r="Q17" i="63"/>
  <c r="G48" i="46" l="1"/>
  <c r="F47" i="46"/>
  <c r="H67" i="47"/>
  <c r="G67" i="47"/>
  <c r="F54" i="47"/>
  <c r="G54" i="47"/>
  <c r="H54" i="47"/>
  <c r="F55" i="47"/>
  <c r="G55" i="47"/>
  <c r="H55" i="47"/>
  <c r="F56" i="47"/>
  <c r="G56" i="47"/>
  <c r="F57" i="47"/>
  <c r="G57" i="47"/>
  <c r="H57" i="47"/>
  <c r="F58" i="47"/>
  <c r="G58" i="47"/>
  <c r="H58" i="47"/>
  <c r="F59" i="47"/>
  <c r="G59" i="47"/>
  <c r="H59" i="47"/>
  <c r="F60" i="47"/>
  <c r="G60" i="47"/>
  <c r="H60" i="47"/>
  <c r="F61" i="47"/>
  <c r="F62" i="47"/>
  <c r="G62" i="47"/>
  <c r="H62" i="47"/>
  <c r="F63" i="47"/>
  <c r="G63" i="47"/>
  <c r="H63" i="47"/>
  <c r="F53" i="47"/>
  <c r="G53" i="47"/>
  <c r="F43" i="47"/>
  <c r="F44" i="47"/>
  <c r="G44" i="47"/>
  <c r="H44" i="47"/>
  <c r="F45" i="47"/>
  <c r="G45" i="47"/>
  <c r="H45" i="47"/>
  <c r="F46" i="47"/>
  <c r="G46" i="47"/>
  <c r="H46" i="47"/>
  <c r="F47" i="47"/>
  <c r="G47" i="47"/>
  <c r="H47" i="47"/>
  <c r="F48" i="47"/>
  <c r="G48" i="47"/>
  <c r="H48" i="47"/>
  <c r="F49" i="47"/>
  <c r="G49" i="47"/>
  <c r="H49" i="47"/>
  <c r="F50" i="47"/>
  <c r="G50" i="47"/>
  <c r="H50" i="47"/>
  <c r="F36" i="47"/>
  <c r="F37" i="47"/>
  <c r="G37" i="47"/>
  <c r="H37" i="47"/>
  <c r="G88" i="62" l="1"/>
  <c r="D88" i="62"/>
  <c r="D89" i="62" s="1"/>
  <c r="H87" i="62"/>
  <c r="H86" i="62"/>
  <c r="E86" i="62"/>
  <c r="F85" i="62"/>
  <c r="H85" i="62" s="1"/>
  <c r="E85" i="62"/>
  <c r="H84" i="62"/>
  <c r="H83" i="62"/>
  <c r="F83" i="62"/>
  <c r="E83" i="62"/>
  <c r="F82" i="62"/>
  <c r="F88" i="62" s="1"/>
  <c r="F89" i="62" s="1"/>
  <c r="E82" i="62"/>
  <c r="H82" i="62" s="1"/>
  <c r="H81" i="62"/>
  <c r="H80" i="62"/>
  <c r="H79" i="62"/>
  <c r="H78" i="62"/>
  <c r="H77" i="62"/>
  <c r="H76" i="62"/>
  <c r="H75" i="62"/>
  <c r="H74" i="62"/>
  <c r="G72" i="62"/>
  <c r="D72" i="62"/>
  <c r="H71" i="62"/>
  <c r="H70" i="62"/>
  <c r="H69" i="62"/>
  <c r="H68" i="62"/>
  <c r="F67" i="62"/>
  <c r="H67" i="62" s="1"/>
  <c r="E67" i="62"/>
  <c r="F66" i="62"/>
  <c r="E66" i="62"/>
  <c r="H66" i="62" s="1"/>
  <c r="H65" i="62"/>
  <c r="E65" i="62"/>
  <c r="H64" i="62"/>
  <c r="F64" i="62"/>
  <c r="F72" i="62" s="1"/>
  <c r="E64" i="62"/>
  <c r="H63" i="62"/>
  <c r="H62" i="62"/>
  <c r="H61" i="62"/>
  <c r="F60" i="62"/>
  <c r="E60" i="62"/>
  <c r="H60" i="62" s="1"/>
  <c r="H59" i="62"/>
  <c r="F59" i="62"/>
  <c r="E59" i="62"/>
  <c r="H58" i="62"/>
  <c r="E57" i="62"/>
  <c r="H57" i="62" s="1"/>
  <c r="H56" i="62"/>
  <c r="H55" i="62"/>
  <c r="H54" i="62"/>
  <c r="E54" i="62"/>
  <c r="H53" i="62"/>
  <c r="E53" i="62"/>
  <c r="E72" i="62" s="1"/>
  <c r="H52" i="62"/>
  <c r="H51" i="62"/>
  <c r="H50" i="62"/>
  <c r="H49" i="62"/>
  <c r="H48" i="62"/>
  <c r="H47" i="62"/>
  <c r="H46" i="62"/>
  <c r="G44" i="62"/>
  <c r="F44" i="62"/>
  <c r="D44" i="62"/>
  <c r="H43" i="62"/>
  <c r="H42" i="62"/>
  <c r="H41" i="62"/>
  <c r="E41" i="62"/>
  <c r="E44" i="62" s="1"/>
  <c r="H40" i="62"/>
  <c r="H39" i="62"/>
  <c r="H38" i="62"/>
  <c r="H44" i="62" s="1"/>
  <c r="D36" i="62"/>
  <c r="F35" i="62"/>
  <c r="H35" i="62" s="1"/>
  <c r="E35" i="62"/>
  <c r="H34" i="62"/>
  <c r="H36" i="62" s="1"/>
  <c r="G34" i="62"/>
  <c r="G36" i="62" s="1"/>
  <c r="F34" i="62"/>
  <c r="F36" i="62" s="1"/>
  <c r="E34" i="62"/>
  <c r="E36" i="62" s="1"/>
  <c r="G32" i="62"/>
  <c r="F32" i="62"/>
  <c r="D32" i="62"/>
  <c r="H31" i="62"/>
  <c r="F30" i="62"/>
  <c r="E30" i="62"/>
  <c r="E32" i="62" s="1"/>
  <c r="H29" i="62"/>
  <c r="H28" i="62"/>
  <c r="H27" i="62"/>
  <c r="G23" i="62"/>
  <c r="G22" i="62"/>
  <c r="F22" i="62"/>
  <c r="E22" i="62"/>
  <c r="H22" i="62" s="1"/>
  <c r="D22" i="62"/>
  <c r="H21" i="62"/>
  <c r="G19" i="62"/>
  <c r="F19" i="62"/>
  <c r="E19" i="62"/>
  <c r="D19" i="62"/>
  <c r="H18" i="62"/>
  <c r="H17" i="62"/>
  <c r="H16" i="62"/>
  <c r="H15" i="62"/>
  <c r="H19" i="62" s="1"/>
  <c r="G13" i="62"/>
  <c r="F13" i="62"/>
  <c r="E13" i="62"/>
  <c r="D13" i="62"/>
  <c r="H12" i="62"/>
  <c r="F11" i="62"/>
  <c r="H11" i="62" s="1"/>
  <c r="H13" i="62" s="1"/>
  <c r="G9" i="62"/>
  <c r="F9" i="62"/>
  <c r="F23" i="62" s="1"/>
  <c r="E9" i="62"/>
  <c r="E23" i="62" s="1"/>
  <c r="D9" i="62"/>
  <c r="D23" i="62" s="1"/>
  <c r="H8" i="62"/>
  <c r="H9" i="62" s="1"/>
  <c r="H23" i="62" s="1"/>
  <c r="G89" i="62" l="1"/>
  <c r="G91" i="62" s="1"/>
  <c r="D91" i="62"/>
  <c r="H88" i="62"/>
  <c r="E91" i="62"/>
  <c r="H32" i="62"/>
  <c r="F91" i="62"/>
  <c r="H72" i="62"/>
  <c r="H30" i="62"/>
  <c r="E88" i="62"/>
  <c r="E89" i="62" s="1"/>
  <c r="H89" i="62" l="1"/>
  <c r="H91" i="62" s="1"/>
  <c r="D33" i="49"/>
  <c r="E61" i="59" l="1"/>
  <c r="F61" i="59"/>
  <c r="H61" i="59"/>
  <c r="H10" i="59"/>
  <c r="G10" i="59"/>
  <c r="G61" i="59" s="1"/>
  <c r="F10" i="59"/>
  <c r="E10" i="59"/>
  <c r="D9" i="59"/>
  <c r="D8" i="59"/>
  <c r="D7" i="59"/>
  <c r="D10" i="59" l="1"/>
  <c r="D61" i="59" s="1"/>
  <c r="D43" i="60" l="1"/>
  <c r="E43" i="60"/>
  <c r="F43" i="60"/>
  <c r="G43" i="60"/>
  <c r="G164" i="60"/>
  <c r="F164" i="60"/>
  <c r="E164" i="60"/>
  <c r="D164" i="60"/>
  <c r="C164" i="60"/>
  <c r="C163" i="60"/>
  <c r="G158" i="60"/>
  <c r="F158" i="60"/>
  <c r="E158" i="60"/>
  <c r="D158" i="60"/>
  <c r="C157" i="60"/>
  <c r="C156" i="60"/>
  <c r="C155" i="60"/>
  <c r="C154" i="60"/>
  <c r="C153" i="60"/>
  <c r="C152" i="60"/>
  <c r="C151" i="60"/>
  <c r="C150" i="60"/>
  <c r="G148" i="60"/>
  <c r="F148" i="60"/>
  <c r="E148" i="60"/>
  <c r="D148" i="60"/>
  <c r="C147" i="60"/>
  <c r="C146" i="60"/>
  <c r="C145" i="60"/>
  <c r="C144" i="60"/>
  <c r="C143" i="60"/>
  <c r="C142" i="60"/>
  <c r="C141" i="60"/>
  <c r="C140" i="60"/>
  <c r="G138" i="60"/>
  <c r="F138" i="60"/>
  <c r="E138" i="60"/>
  <c r="D138" i="60"/>
  <c r="C137" i="60"/>
  <c r="C138" i="60" s="1"/>
  <c r="G135" i="60"/>
  <c r="F135" i="60"/>
  <c r="E135" i="60"/>
  <c r="D135" i="60"/>
  <c r="C134" i="60"/>
  <c r="C133" i="60"/>
  <c r="C132" i="60"/>
  <c r="C131" i="60"/>
  <c r="C130" i="60"/>
  <c r="C129" i="60"/>
  <c r="G127" i="60"/>
  <c r="F127" i="60"/>
  <c r="E127" i="60"/>
  <c r="D127" i="60"/>
  <c r="C126" i="60"/>
  <c r="C127" i="60" s="1"/>
  <c r="G124" i="60"/>
  <c r="F124" i="60"/>
  <c r="E124" i="60"/>
  <c r="D123" i="60"/>
  <c r="C123" i="60" s="1"/>
  <c r="C122" i="60"/>
  <c r="C121" i="60"/>
  <c r="C120" i="60"/>
  <c r="C119" i="60"/>
  <c r="C118" i="60"/>
  <c r="C117" i="60"/>
  <c r="C116" i="60"/>
  <c r="C115" i="60"/>
  <c r="C114" i="60"/>
  <c r="G112" i="60"/>
  <c r="F112" i="60"/>
  <c r="E112" i="60"/>
  <c r="D112" i="60"/>
  <c r="C111" i="60"/>
  <c r="C110" i="60"/>
  <c r="C109" i="60"/>
  <c r="C108" i="60"/>
  <c r="C107" i="60"/>
  <c r="C106" i="60"/>
  <c r="C105" i="60"/>
  <c r="C104" i="60"/>
  <c r="C103" i="60"/>
  <c r="C102" i="60"/>
  <c r="C101" i="60"/>
  <c r="C100" i="60"/>
  <c r="C99" i="60"/>
  <c r="C98" i="60"/>
  <c r="C97" i="60"/>
  <c r="C96" i="60"/>
  <c r="C95" i="60"/>
  <c r="C94" i="60"/>
  <c r="G92" i="60"/>
  <c r="F92" i="60"/>
  <c r="E92" i="60"/>
  <c r="D92" i="60"/>
  <c r="C91" i="60"/>
  <c r="C92" i="60" s="1"/>
  <c r="G89" i="60"/>
  <c r="F89" i="60"/>
  <c r="E89" i="60"/>
  <c r="D89" i="60"/>
  <c r="C88" i="60"/>
  <c r="C89" i="60" s="1"/>
  <c r="G86" i="60"/>
  <c r="F86" i="60"/>
  <c r="E86" i="60"/>
  <c r="D86" i="60"/>
  <c r="C85" i="60"/>
  <c r="C86" i="60" s="1"/>
  <c r="G83" i="60"/>
  <c r="F83" i="60"/>
  <c r="E83" i="60"/>
  <c r="D83" i="60"/>
  <c r="C82" i="60"/>
  <c r="C81" i="60"/>
  <c r="C83" i="60" s="1"/>
  <c r="C80" i="60"/>
  <c r="G77" i="60"/>
  <c r="F77" i="60"/>
  <c r="E77" i="60"/>
  <c r="D77" i="60"/>
  <c r="C76" i="60"/>
  <c r="C75" i="60"/>
  <c r="C74" i="60"/>
  <c r="C73" i="60"/>
  <c r="C72" i="60"/>
  <c r="C71" i="60"/>
  <c r="G70" i="60"/>
  <c r="F70" i="60"/>
  <c r="E70" i="60"/>
  <c r="D70" i="60"/>
  <c r="C70" i="60"/>
  <c r="C69" i="60"/>
  <c r="G68" i="60"/>
  <c r="F68" i="60"/>
  <c r="D68" i="60"/>
  <c r="C67" i="60"/>
  <c r="C66" i="60"/>
  <c r="C65" i="60"/>
  <c r="C64" i="60"/>
  <c r="C63" i="60"/>
  <c r="C62" i="60"/>
  <c r="C61" i="60"/>
  <c r="C60" i="60"/>
  <c r="C59" i="60"/>
  <c r="C58" i="60"/>
  <c r="C57" i="60"/>
  <c r="C56" i="60"/>
  <c r="C55" i="60"/>
  <c r="C54" i="60"/>
  <c r="C53" i="60"/>
  <c r="C52" i="60"/>
  <c r="C51" i="60"/>
  <c r="C50" i="60"/>
  <c r="C49" i="60"/>
  <c r="C48" i="60"/>
  <c r="C47" i="60"/>
  <c r="C46" i="60"/>
  <c r="E45" i="60"/>
  <c r="C45" i="60" s="1"/>
  <c r="E44" i="60"/>
  <c r="E68" i="60" s="1"/>
  <c r="C44" i="60"/>
  <c r="C42" i="60"/>
  <c r="C43" i="60" s="1"/>
  <c r="C41" i="60"/>
  <c r="E40" i="60"/>
  <c r="C40" i="60" s="1"/>
  <c r="E39" i="60"/>
  <c r="C38" i="60"/>
  <c r="C37" i="60"/>
  <c r="E34" i="60"/>
  <c r="C34" i="60" s="1"/>
  <c r="E33" i="60"/>
  <c r="D33" i="60"/>
  <c r="C33" i="60"/>
  <c r="E32" i="60"/>
  <c r="C32" i="60"/>
  <c r="E31" i="60"/>
  <c r="C31" i="60"/>
  <c r="E30" i="60"/>
  <c r="D30" i="60"/>
  <c r="C36" i="60"/>
  <c r="C35" i="60"/>
  <c r="G28" i="60"/>
  <c r="D28" i="60"/>
  <c r="C27" i="60"/>
  <c r="C26" i="60"/>
  <c r="C25" i="60"/>
  <c r="C24" i="60"/>
  <c r="E23" i="60"/>
  <c r="C23" i="60"/>
  <c r="E22" i="60"/>
  <c r="C22" i="60" s="1"/>
  <c r="E21" i="60"/>
  <c r="C21" i="60"/>
  <c r="E20" i="60"/>
  <c r="C20" i="60" s="1"/>
  <c r="C19" i="60"/>
  <c r="E18" i="60"/>
  <c r="C18" i="60"/>
  <c r="E17" i="60"/>
  <c r="C17" i="60" s="1"/>
  <c r="C16" i="60"/>
  <c r="F15" i="60"/>
  <c r="F28" i="60" s="1"/>
  <c r="E15" i="60"/>
  <c r="D15" i="60"/>
  <c r="C15" i="60" s="1"/>
  <c r="C14" i="60"/>
  <c r="G12" i="60"/>
  <c r="F12" i="60"/>
  <c r="D12" i="60"/>
  <c r="C11" i="60"/>
  <c r="E10" i="60"/>
  <c r="C10" i="60" s="1"/>
  <c r="C9" i="60"/>
  <c r="C8" i="60"/>
  <c r="E7" i="60"/>
  <c r="D78" i="60" l="1"/>
  <c r="F78" i="60"/>
  <c r="F166" i="60" s="1"/>
  <c r="C158" i="60"/>
  <c r="C77" i="60"/>
  <c r="C124" i="60"/>
  <c r="E28" i="60"/>
  <c r="E78" i="60"/>
  <c r="E166" i="60" s="1"/>
  <c r="C68" i="60"/>
  <c r="E12" i="60"/>
  <c r="C30" i="60"/>
  <c r="G78" i="60"/>
  <c r="C112" i="60"/>
  <c r="C135" i="60"/>
  <c r="C148" i="60"/>
  <c r="G166" i="60"/>
  <c r="C28" i="60"/>
  <c r="D124" i="60"/>
  <c r="C7" i="60"/>
  <c r="C12" i="60" s="1"/>
  <c r="C39" i="60"/>
  <c r="C78" i="60" s="1"/>
  <c r="D166" i="60" l="1"/>
  <c r="C166" i="60"/>
  <c r="F21" i="59"/>
  <c r="H59" i="59"/>
  <c r="G59" i="59"/>
  <c r="F59" i="59"/>
  <c r="E59" i="59"/>
  <c r="D56" i="59"/>
  <c r="D59" i="59" s="1"/>
  <c r="D55" i="59"/>
  <c r="D58" i="59"/>
  <c r="D57" i="59"/>
  <c r="D54" i="59"/>
  <c r="H52" i="59"/>
  <c r="G52" i="59"/>
  <c r="F52" i="59"/>
  <c r="E52" i="59"/>
  <c r="D51" i="59"/>
  <c r="D50" i="59"/>
  <c r="H48" i="59"/>
  <c r="G48" i="59"/>
  <c r="F48" i="59"/>
  <c r="E48" i="59"/>
  <c r="D47" i="59"/>
  <c r="D46" i="59"/>
  <c r="D48" i="59" s="1"/>
  <c r="H44" i="59"/>
  <c r="G44" i="59"/>
  <c r="F44" i="59"/>
  <c r="E44" i="59"/>
  <c r="D43" i="59"/>
  <c r="D42" i="59"/>
  <c r="D41" i="59"/>
  <c r="D40" i="59"/>
  <c r="D39" i="59"/>
  <c r="D38" i="59"/>
  <c r="D37" i="59"/>
  <c r="D36" i="59"/>
  <c r="H34" i="59"/>
  <c r="G34" i="59"/>
  <c r="F34" i="59"/>
  <c r="E34" i="59"/>
  <c r="D34" i="59"/>
  <c r="H31" i="59"/>
  <c r="G31" i="59"/>
  <c r="F31" i="59"/>
  <c r="E31" i="59"/>
  <c r="D30" i="59"/>
  <c r="D29" i="59"/>
  <c r="D28" i="59"/>
  <c r="D27" i="59"/>
  <c r="D26" i="59"/>
  <c r="D25" i="59"/>
  <c r="D24" i="59"/>
  <c r="D23" i="59"/>
  <c r="D31" i="59" s="1"/>
  <c r="D19" i="59"/>
  <c r="H20" i="59"/>
  <c r="H21" i="59" s="1"/>
  <c r="G20" i="59"/>
  <c r="G21" i="59" s="1"/>
  <c r="F20" i="59"/>
  <c r="E20" i="59"/>
  <c r="E21" i="59" s="1"/>
  <c r="H17" i="59"/>
  <c r="G17" i="59"/>
  <c r="F17" i="59"/>
  <c r="E17" i="59"/>
  <c r="D16" i="59"/>
  <c r="D15" i="59"/>
  <c r="D14" i="59"/>
  <c r="D13" i="59"/>
  <c r="D12" i="59"/>
  <c r="D17" i="59" l="1"/>
  <c r="D44" i="59"/>
  <c r="D20" i="59"/>
  <c r="D21" i="59" s="1"/>
  <c r="D52" i="59"/>
  <c r="F58" i="49"/>
  <c r="E58" i="49"/>
  <c r="D58" i="49"/>
  <c r="C58" i="49"/>
  <c r="D45" i="49" l="1"/>
  <c r="E45" i="49"/>
  <c r="F45" i="49"/>
  <c r="C45" i="49"/>
  <c r="E33" i="49" l="1"/>
  <c r="D41" i="47" l="1"/>
  <c r="C41" i="47"/>
  <c r="B41" i="47"/>
  <c r="C34" i="47"/>
  <c r="D34" i="47"/>
  <c r="E34" i="47"/>
  <c r="B34" i="47"/>
  <c r="E41" i="47" l="1"/>
  <c r="D7" i="49"/>
  <c r="E7" i="49"/>
  <c r="F7" i="49"/>
  <c r="C7" i="49"/>
  <c r="D42" i="49" l="1"/>
  <c r="E42" i="49"/>
  <c r="F42" i="49"/>
  <c r="C42" i="49"/>
  <c r="D73" i="49" l="1"/>
  <c r="E73" i="49"/>
  <c r="F73" i="49"/>
  <c r="C73" i="49"/>
  <c r="C16" i="46" l="1"/>
  <c r="D16" i="46"/>
  <c r="E16" i="46"/>
  <c r="C23" i="46"/>
  <c r="D23" i="46"/>
  <c r="E23" i="46"/>
  <c r="C24" i="46"/>
  <c r="D24" i="46"/>
  <c r="E24" i="46"/>
  <c r="B24" i="46"/>
  <c r="B23" i="46"/>
  <c r="B16" i="46"/>
  <c r="F57" i="49" l="1"/>
  <c r="F38" i="49"/>
  <c r="E38" i="49"/>
  <c r="D38" i="49"/>
  <c r="C38" i="49"/>
  <c r="F36" i="49"/>
  <c r="E36" i="49"/>
  <c r="D36" i="49"/>
  <c r="C36" i="49"/>
  <c r="F25" i="49"/>
  <c r="F5" i="49" s="1"/>
  <c r="E25" i="49"/>
  <c r="E5" i="49" s="1"/>
  <c r="D25" i="49"/>
  <c r="D5" i="49" s="1"/>
  <c r="C25" i="49"/>
  <c r="C5" i="49" s="1"/>
  <c r="E57" i="49" l="1"/>
  <c r="E34" i="49" s="1"/>
  <c r="F34" i="49"/>
  <c r="C57" i="49"/>
  <c r="C34" i="49" s="1"/>
  <c r="D57" i="49"/>
  <c r="D34" i="49" s="1"/>
  <c r="F81" i="49" l="1"/>
  <c r="E81" i="49"/>
  <c r="C81" i="49"/>
  <c r="D81" i="49"/>
  <c r="H65" i="47"/>
  <c r="G65" i="47"/>
  <c r="F65" i="47"/>
  <c r="E52" i="47"/>
  <c r="E22" i="46" s="1"/>
  <c r="D52" i="47"/>
  <c r="D22" i="46" s="1"/>
  <c r="C52" i="47"/>
  <c r="B52" i="47"/>
  <c r="B22" i="46" s="1"/>
  <c r="H42" i="47"/>
  <c r="G42" i="47"/>
  <c r="F42" i="47"/>
  <c r="E21" i="46"/>
  <c r="D21" i="46"/>
  <c r="C21" i="46"/>
  <c r="B21" i="46"/>
  <c r="H39" i="47"/>
  <c r="G39" i="47"/>
  <c r="F39" i="47"/>
  <c r="H35" i="47"/>
  <c r="G35" i="47"/>
  <c r="F35" i="47"/>
  <c r="E20" i="46"/>
  <c r="D20" i="46"/>
  <c r="B20" i="46"/>
  <c r="H33" i="47"/>
  <c r="G33" i="47"/>
  <c r="F33" i="47"/>
  <c r="H32" i="47"/>
  <c r="G32" i="47"/>
  <c r="F32" i="47"/>
  <c r="H31" i="47"/>
  <c r="G31" i="47"/>
  <c r="F31" i="47"/>
  <c r="H30" i="47"/>
  <c r="G30" i="47"/>
  <c r="F30" i="47"/>
  <c r="H29" i="47"/>
  <c r="G29" i="47"/>
  <c r="F29" i="47"/>
  <c r="H28" i="47"/>
  <c r="G28" i="47"/>
  <c r="F28" i="47"/>
  <c r="E27" i="47"/>
  <c r="E19" i="46" s="1"/>
  <c r="D27" i="47"/>
  <c r="D19" i="46" s="1"/>
  <c r="C27" i="47"/>
  <c r="B27" i="47"/>
  <c r="B19" i="46" s="1"/>
  <c r="H26" i="47"/>
  <c r="G26" i="47"/>
  <c r="F26" i="47"/>
  <c r="H25" i="47"/>
  <c r="G25" i="47"/>
  <c r="F25" i="47"/>
  <c r="H24" i="47"/>
  <c r="G24" i="47"/>
  <c r="F24" i="47"/>
  <c r="H23" i="47"/>
  <c r="G23" i="47"/>
  <c r="F23" i="47"/>
  <c r="H22" i="47"/>
  <c r="G22" i="47"/>
  <c r="F22" i="47"/>
  <c r="H21" i="47"/>
  <c r="G21" i="47"/>
  <c r="F21" i="47"/>
  <c r="H20" i="47"/>
  <c r="G20" i="47"/>
  <c r="F20" i="47"/>
  <c r="H19" i="47"/>
  <c r="G19" i="47"/>
  <c r="F19" i="47"/>
  <c r="H18" i="47"/>
  <c r="G18" i="47"/>
  <c r="F18" i="47"/>
  <c r="H17" i="47"/>
  <c r="G17" i="47"/>
  <c r="F17" i="47"/>
  <c r="H16" i="47"/>
  <c r="G16" i="47"/>
  <c r="F16" i="47"/>
  <c r="H15" i="47"/>
  <c r="G15" i="47"/>
  <c r="F15" i="47"/>
  <c r="H14" i="47"/>
  <c r="G14" i="47"/>
  <c r="F14" i="47"/>
  <c r="H13" i="47"/>
  <c r="G13" i="47"/>
  <c r="F13" i="47"/>
  <c r="E12" i="47"/>
  <c r="D12" i="47"/>
  <c r="D18" i="46" s="1"/>
  <c r="C12" i="47"/>
  <c r="C18" i="46" s="1"/>
  <c r="B12" i="47"/>
  <c r="B18" i="46" s="1"/>
  <c r="H11" i="47"/>
  <c r="G11" i="47"/>
  <c r="F11" i="47"/>
  <c r="H10" i="47"/>
  <c r="G10" i="47"/>
  <c r="F10" i="47"/>
  <c r="H9" i="47"/>
  <c r="G9" i="47"/>
  <c r="F9" i="47"/>
  <c r="H8" i="47"/>
  <c r="G8" i="47"/>
  <c r="F8" i="47"/>
  <c r="H7" i="47"/>
  <c r="G7" i="47"/>
  <c r="F7" i="47"/>
  <c r="H6" i="47"/>
  <c r="G6" i="47"/>
  <c r="F6" i="47"/>
  <c r="E5" i="47"/>
  <c r="D5" i="47"/>
  <c r="D17" i="46" s="1"/>
  <c r="C5" i="47"/>
  <c r="B5" i="47"/>
  <c r="B17" i="46" s="1"/>
  <c r="H4" i="47"/>
  <c r="G4" i="47"/>
  <c r="F4" i="47"/>
  <c r="H58" i="46"/>
  <c r="G58" i="46"/>
  <c r="F58" i="46"/>
  <c r="H57" i="46"/>
  <c r="G57" i="46"/>
  <c r="F57" i="46"/>
  <c r="H56" i="46"/>
  <c r="G56" i="46"/>
  <c r="F56" i="46"/>
  <c r="H55" i="46"/>
  <c r="G55" i="46"/>
  <c r="F55" i="46"/>
  <c r="H54" i="46"/>
  <c r="G54" i="46"/>
  <c r="F54" i="46"/>
  <c r="E53" i="46"/>
  <c r="E10" i="46" s="1"/>
  <c r="D53" i="46"/>
  <c r="D10" i="46" s="1"/>
  <c r="C53" i="46"/>
  <c r="B53" i="46"/>
  <c r="B10" i="46" s="1"/>
  <c r="H52" i="46"/>
  <c r="G52" i="46"/>
  <c r="F52" i="46"/>
  <c r="H51" i="46"/>
  <c r="G51" i="46"/>
  <c r="F51" i="46"/>
  <c r="E50" i="46"/>
  <c r="E9" i="46" s="1"/>
  <c r="D50" i="46"/>
  <c r="C50" i="46"/>
  <c r="C9" i="46" s="1"/>
  <c r="B50" i="46"/>
  <c r="B9" i="46" s="1"/>
  <c r="H49" i="46"/>
  <c r="G49" i="46"/>
  <c r="F49" i="46"/>
  <c r="H46" i="46"/>
  <c r="G46" i="46"/>
  <c r="F46" i="46"/>
  <c r="H45" i="46"/>
  <c r="G45" i="46"/>
  <c r="F45" i="46"/>
  <c r="H44" i="46"/>
  <c r="G44" i="46"/>
  <c r="F44" i="46"/>
  <c r="H43" i="46"/>
  <c r="G43" i="46"/>
  <c r="F43" i="46"/>
  <c r="H42" i="46"/>
  <c r="G42" i="46"/>
  <c r="F42" i="46"/>
  <c r="H41" i="46"/>
  <c r="G41" i="46"/>
  <c r="F41" i="46"/>
  <c r="H40" i="46"/>
  <c r="G40" i="46"/>
  <c r="F40" i="46"/>
  <c r="H39" i="46"/>
  <c r="G39" i="46"/>
  <c r="F39" i="46"/>
  <c r="E38" i="46"/>
  <c r="E8" i="46" s="1"/>
  <c r="D38" i="46"/>
  <c r="D8" i="46" s="1"/>
  <c r="C38" i="46"/>
  <c r="C8" i="46" s="1"/>
  <c r="B38" i="46"/>
  <c r="B8" i="46" s="1"/>
  <c r="H37" i="46"/>
  <c r="G37" i="46"/>
  <c r="F37" i="46"/>
  <c r="H36" i="46"/>
  <c r="G36" i="46"/>
  <c r="F36" i="46"/>
  <c r="H35" i="46"/>
  <c r="G35" i="46"/>
  <c r="F35" i="46"/>
  <c r="H34" i="46"/>
  <c r="G34" i="46"/>
  <c r="F34" i="46"/>
  <c r="H33" i="46"/>
  <c r="G33" i="46"/>
  <c r="F33" i="46"/>
  <c r="E32" i="46"/>
  <c r="D32" i="46"/>
  <c r="C32" i="46"/>
  <c r="B32" i="46"/>
  <c r="E11" i="46"/>
  <c r="D11" i="46"/>
  <c r="C11" i="46"/>
  <c r="B11" i="46"/>
  <c r="D15" i="46" l="1"/>
  <c r="D59" i="46"/>
  <c r="C59" i="46"/>
  <c r="B59" i="46"/>
  <c r="F27" i="47"/>
  <c r="C19" i="46"/>
  <c r="F5" i="47"/>
  <c r="C17" i="46"/>
  <c r="G50" i="46"/>
  <c r="H5" i="47"/>
  <c r="E17" i="46"/>
  <c r="F34" i="47"/>
  <c r="C20" i="46"/>
  <c r="E59" i="46"/>
  <c r="H12" i="47"/>
  <c r="E18" i="46"/>
  <c r="B15" i="46"/>
  <c r="B69" i="47"/>
  <c r="F52" i="47"/>
  <c r="C22" i="46"/>
  <c r="H52" i="47"/>
  <c r="C7" i="46"/>
  <c r="D9" i="46"/>
  <c r="F50" i="46"/>
  <c r="H41" i="47"/>
  <c r="B7" i="46"/>
  <c r="B6" i="46" s="1"/>
  <c r="H27" i="47"/>
  <c r="E7" i="46"/>
  <c r="E6" i="46" s="1"/>
  <c r="G38" i="46"/>
  <c r="F53" i="46"/>
  <c r="H38" i="46"/>
  <c r="D7" i="46"/>
  <c r="H53" i="46"/>
  <c r="F12" i="47"/>
  <c r="G27" i="47"/>
  <c r="G52" i="47"/>
  <c r="G12" i="47"/>
  <c r="G34" i="47"/>
  <c r="D69" i="47"/>
  <c r="F41" i="47"/>
  <c r="G41" i="47"/>
  <c r="E69" i="47"/>
  <c r="H34" i="47"/>
  <c r="C69" i="47"/>
  <c r="G5" i="47"/>
  <c r="F38" i="46"/>
  <c r="H50" i="46"/>
  <c r="F32" i="46"/>
  <c r="H32" i="46"/>
  <c r="G53" i="46"/>
  <c r="C10" i="46"/>
  <c r="G32" i="46"/>
  <c r="E15" i="46" l="1"/>
  <c r="E25" i="46" s="1"/>
  <c r="C15" i="46"/>
  <c r="G59" i="46"/>
  <c r="H59" i="46"/>
  <c r="F59" i="46"/>
  <c r="C6" i="46"/>
  <c r="B25" i="46"/>
  <c r="D6" i="46"/>
  <c r="D25" i="46" s="1"/>
  <c r="H69" i="47"/>
  <c r="F69" i="47"/>
  <c r="G69" i="47"/>
  <c r="C25" i="46" l="1"/>
</calcChain>
</file>

<file path=xl/sharedStrings.xml><?xml version="1.0" encoding="utf-8"?>
<sst xmlns="http://schemas.openxmlformats.org/spreadsheetml/2006/main" count="1530" uniqueCount="1014">
  <si>
    <t>BILANCE v tis. Kč</t>
  </si>
  <si>
    <t xml:space="preserve">PŘÍJMY CELKEM </t>
  </si>
  <si>
    <t>Daňové příjmy</t>
  </si>
  <si>
    <t>Nedaňové příjmy</t>
  </si>
  <si>
    <t>Kapitálové příjmy</t>
  </si>
  <si>
    <t>FINANCOVÁNÍ CELKEM (další zdroje rozpočtu)</t>
  </si>
  <si>
    <t>x</t>
  </si>
  <si>
    <t>VÝDAJE CELKEM</t>
  </si>
  <si>
    <t>Běžné výdaje na zastupitelstvo kraje a krajský úřad</t>
  </si>
  <si>
    <t>Finance a správa majetku</t>
  </si>
  <si>
    <t>Příspěvek na provoz příspěvkovým organizacím</t>
  </si>
  <si>
    <t>SALDO ROZPOČTU CELKEM</t>
  </si>
  <si>
    <t>PŘÍJMY v tis. Kč</t>
  </si>
  <si>
    <t xml:space="preserve"> - příjmy ze sdílených daní celkem</t>
  </si>
  <si>
    <t xml:space="preserve"> - daň z příjmů právnických osob za kraj</t>
  </si>
  <si>
    <t xml:space="preserve"> - správní poplatky</t>
  </si>
  <si>
    <t xml:space="preserve"> - příjmy z úroků</t>
  </si>
  <si>
    <t xml:space="preserve"> - příspěvek od HMMC na zabezpečení úkolů jednotky požární ochrany </t>
  </si>
  <si>
    <t xml:space="preserve"> - poplatky za odběr podzemní vody</t>
  </si>
  <si>
    <t xml:space="preserve"> - příjmy za věcná břemena</t>
  </si>
  <si>
    <t xml:space="preserve"> - ostatní nedaňové příjmy</t>
  </si>
  <si>
    <t xml:space="preserve"> - příjmy z prodeje nemovitostí</t>
  </si>
  <si>
    <t>Přijaté transfery</t>
  </si>
  <si>
    <t>VÝDAJE v tis. Kč</t>
  </si>
  <si>
    <t xml:space="preserve"> - platby daní</t>
  </si>
  <si>
    <t xml:space="preserve"> - hrazené úroky z úvěrů</t>
  </si>
  <si>
    <t xml:space="preserve"> - pojištění majetku a odpovědnosti kraje</t>
  </si>
  <si>
    <t xml:space="preserve"> - rezerva na mimořádné akce a akce s nedořešeným financováním</t>
  </si>
  <si>
    <t xml:space="preserve"> - ostatní</t>
  </si>
  <si>
    <t xml:space="preserve"> - krizové řízení</t>
  </si>
  <si>
    <t xml:space="preserve"> - kultura</t>
  </si>
  <si>
    <t xml:space="preserve"> - prezentace kraje a ediční plán</t>
  </si>
  <si>
    <t xml:space="preserve"> - regionální rozvoj</t>
  </si>
  <si>
    <t xml:space="preserve"> - cestovní ruch</t>
  </si>
  <si>
    <t xml:space="preserve"> - sociální věci</t>
  </si>
  <si>
    <t xml:space="preserve"> - školství</t>
  </si>
  <si>
    <t xml:space="preserve"> - územní plánování a stavební řád</t>
  </si>
  <si>
    <t xml:space="preserve"> - zdravotnictví</t>
  </si>
  <si>
    <t xml:space="preserve"> - životní prostředí</t>
  </si>
  <si>
    <t xml:space="preserve">Reprodukce majetku kraje vyjma akcí spolufinancovaných z evr. fin. zdrojů </t>
  </si>
  <si>
    <t xml:space="preserve"> - finance a správa majetku</t>
  </si>
  <si>
    <t xml:space="preserve"> - dotace na akce spolufinancované z evropských fin. zdrojů</t>
  </si>
  <si>
    <t>PŘÍJMY CELKEM</t>
  </si>
  <si>
    <t>Výhled</t>
  </si>
  <si>
    <t>Čerpání úvěrů</t>
  </si>
  <si>
    <t>Splátky úvěrů</t>
  </si>
  <si>
    <t>Ostatní (zapojení zůstatku minulého roku, fondů)</t>
  </si>
  <si>
    <t>Tabulka č. 1</t>
  </si>
  <si>
    <t>Samosprávné a jiné činnosti zajišťované prostřednictvím KÚ</t>
  </si>
  <si>
    <t>Reprodukce majetku kraje vyjma akcí spolufinancovaných z evr.fin.zdrojů</t>
  </si>
  <si>
    <t>Výdaje na akce spolufinancované z evropských finančních zdrojů</t>
  </si>
  <si>
    <t>Návratné finanční výpomoci příspěvkovým organizacím</t>
  </si>
  <si>
    <t>Akce spolufinancované z evropských finančních zdrojů</t>
  </si>
  <si>
    <t xml:space="preserve"> - vrácené prostředky na základě operačních smluv s Fondy rozvoje měst</t>
  </si>
  <si>
    <t xml:space="preserve"> - krajský úřad a zastupitelstvo kraje</t>
  </si>
  <si>
    <t>Očekávané účelové dotace ze státního rozpočtu</t>
  </si>
  <si>
    <t>Střednědobý výhled rozpočtu Moravskoslezského kraje</t>
  </si>
  <si>
    <t>Tabulka č. 2</t>
  </si>
  <si>
    <t>Tabulka č. 3</t>
  </si>
  <si>
    <t>Tabulka č. 4</t>
  </si>
  <si>
    <t>Tabulka č. 5</t>
  </si>
  <si>
    <t>Tabulka č. 6</t>
  </si>
  <si>
    <t>Tabulka č. 7</t>
  </si>
  <si>
    <t>Tabulka č. 8</t>
  </si>
  <si>
    <t>TABULKOVÁ ČÁST</t>
  </si>
  <si>
    <t>Přehled splácení jistiny a úroků z úvěrů čerpaných Moravskoslezským krajem</t>
  </si>
  <si>
    <t>Ukazatel zadluženosti dle Moody´s Investors Service</t>
  </si>
  <si>
    <t>Fiskální pravidlo dle zákona č. 23/2017 Sb., o pravidlech rozpočtové odpovědnosti</t>
  </si>
  <si>
    <t>Účel dotace</t>
  </si>
  <si>
    <t>ÚZ</t>
  </si>
  <si>
    <t>Očekávaná výše dotace (v tis. Kč)</t>
  </si>
  <si>
    <t>Dotace zahrnuté do schvalovaných rozpočtů MSK celkem</t>
  </si>
  <si>
    <t xml:space="preserve"> - z toho:</t>
  </si>
  <si>
    <t>Očekávané účelové dotace ze státního rozpočtu nezapojované do schvalovaných rozpočtů MSK celkem</t>
  </si>
  <si>
    <t>Podpora koordinátorů romských poradců</t>
  </si>
  <si>
    <t>ÚŘAD VLÁDY</t>
  </si>
  <si>
    <t>Neinvestiční nedávkové transfery podle zákona č. 108/2006 Sb., o sociálních službách (§ 101, § 102 a § 103)</t>
  </si>
  <si>
    <t>Transfery na státní příspěvek zřizovatelům zařízení pro děti vyžadující okamžitou pomoc</t>
  </si>
  <si>
    <t>MINISTERSTVO PRÁCE A SOCIÁLNÍCH VĚCÍ</t>
  </si>
  <si>
    <t>Připravenost poskytovatele ZZS na řešení mimořádných událostí a krizových situací</t>
  </si>
  <si>
    <t>Specializační vzdělávání zdravotnických pracovníků - rezidenční místa - neinvestice a Specializační vzdělávání nelékařů</t>
  </si>
  <si>
    <t>35015, 35019</t>
  </si>
  <si>
    <t>MINISTERSTVO ZDRAVOTNICTVÍ</t>
  </si>
  <si>
    <t>Dotace pro soukromé školy</t>
  </si>
  <si>
    <t>Program sociální prevence a prevence kriminality</t>
  </si>
  <si>
    <t>Projekty romské komunity</t>
  </si>
  <si>
    <t>Přímé náklady na vzdělávání</t>
  </si>
  <si>
    <t>Přímé náklady na vzdělávání - sportovní gymnázia</t>
  </si>
  <si>
    <t>Soutěže</t>
  </si>
  <si>
    <t>Spolupráce s francouzskými, vlámskými a španělskými školami</t>
  </si>
  <si>
    <t>Kulturní aktivity</t>
  </si>
  <si>
    <t>Veřejné informační služby knihoven</t>
  </si>
  <si>
    <t>34053, 34544</t>
  </si>
  <si>
    <t>Program restaurování movitých kulturních památek</t>
  </si>
  <si>
    <t>Program státní podpory profesionálních divadel a stálých profesionálních symfonických orchestrů a pěveckých sborů</t>
  </si>
  <si>
    <t>MINISTERSTVO KULTURY</t>
  </si>
  <si>
    <t xml:space="preserve">CELKEM </t>
  </si>
  <si>
    <t>PŘEHLED VÝDAJŮ NA ZAJIŠTĚNÍ UDRŽITELNOSTI AKCÍ SPOLUFINANCOVANÝCH Z EVROPSKÝCH FINANČNÍCH ZDROJŮ</t>
  </si>
  <si>
    <t>v tis. Kč</t>
  </si>
  <si>
    <t>Celkové výdaje na akci (způsobilé a nezpůsobilé)</t>
  </si>
  <si>
    <t>Výdaje na udržitelnost</t>
  </si>
  <si>
    <t>ODVĚTVÍ FINANCÍ A SPRÁVY MAJETKU:</t>
  </si>
  <si>
    <t>ODVĚTVÍ FINANCÍ A SPRÁVY MAJETKU CELKEM</t>
  </si>
  <si>
    <t>ODVĚTVÍ KULTURY:</t>
  </si>
  <si>
    <t>Muzeum automobilů TATRA</t>
  </si>
  <si>
    <t>Rekonstrukce výstavní budovy a nová expozice Muzea Těšínska</t>
  </si>
  <si>
    <t>Zámek Nová Horka - muzeum pro veřejnost</t>
  </si>
  <si>
    <t>ODVĚTVÍ KULTURY CELKEM</t>
  </si>
  <si>
    <t>ODVĚTVÍ CESTOVNÍHO RUCHU:</t>
  </si>
  <si>
    <t>ODVĚTVÍ CESTOVNÍHO RUCHU CELKEM</t>
  </si>
  <si>
    <t>ODVĚTVÍ REGIONÁLNÍHO ROZVOJE:</t>
  </si>
  <si>
    <t>ODVĚTVÍ REGIONÁLNÍHO ROZVOJE CELKEM</t>
  </si>
  <si>
    <t>ODVĚTVÍ SOCIÁLNÍCH VĚCÍ:</t>
  </si>
  <si>
    <t>Domov pro osoby se zdravotním postižením Harmonie, p. o.</t>
  </si>
  <si>
    <t>Domov pro osoby se zdravotním postižením organizace Sagapo v Bruntále</t>
  </si>
  <si>
    <t>Chráněné bydlení organizace Sagapo v Bruntále</t>
  </si>
  <si>
    <t>Sociálně terapeutické dílny a zázemí pro vedení organizace Sagapo v Bruntále</t>
  </si>
  <si>
    <t>Sociální služby pro osoby s duševním onemocněním v Suchdolu nad Odrou</t>
  </si>
  <si>
    <t>ODVĚTVÍ SOCIÁLNÍCH VĚCÍ CELKEM</t>
  </si>
  <si>
    <t>ODVĚTVÍ ŠKOLSTVÍ:</t>
  </si>
  <si>
    <t>ODVĚTVÍ ŠKOLSTVÍ CELKEM</t>
  </si>
  <si>
    <t>ODVĚTVÍ ZDRAVOTNICTVÍ:</t>
  </si>
  <si>
    <t>ODVĚTVÍ ZDRAVOTNICTVÍ CELKEM</t>
  </si>
  <si>
    <t>EVL Hukvaldy, tvorba biotopu páchníka hnědého</t>
  </si>
  <si>
    <t>EVL Paskov, tvorba biotopu páchníka hnědého</t>
  </si>
  <si>
    <t>EVL Šilheřovice, tvorba biotopu páchníka hnědého</t>
  </si>
  <si>
    <t>i-AIR REGION</t>
  </si>
  <si>
    <t>ODVĚTVÍ ŽIVOTNÍHO PROSTŘEDÍ CELKEM</t>
  </si>
  <si>
    <t>CELKEM</t>
  </si>
  <si>
    <t>Instituce</t>
  </si>
  <si>
    <t>Celkem</t>
  </si>
  <si>
    <t>rok</t>
  </si>
  <si>
    <t>dlužná částka
na konci roku</t>
  </si>
  <si>
    <t>splátka jistiny</t>
  </si>
  <si>
    <t>úrok</t>
  </si>
  <si>
    <t>dlužná částka na konci roku</t>
  </si>
  <si>
    <t>Název akce</t>
  </si>
  <si>
    <t>Číslo akce</t>
  </si>
  <si>
    <t>Závazky celkem</t>
  </si>
  <si>
    <t xml:space="preserve">Poznámka                                                    </t>
  </si>
  <si>
    <t>ODVĚTVÍ KRIZOVÉHO ŘÍZENÍ:</t>
  </si>
  <si>
    <t>ODVĚTVÍ KRIZOVÉHO ŘÍZENÍ CELKEM</t>
  </si>
  <si>
    <t>Výstavba domova pro seniory a domova se zvláštním režimem Kopřivnice</t>
  </si>
  <si>
    <t>Nemocnice s poliklinikou v Novém Jičíně – reinvestiční část nájemného a opravy</t>
  </si>
  <si>
    <t>Pavilon L - stavební úpravy (Slezská nemocnice v Opavě, příspěvková organizace)</t>
  </si>
  <si>
    <t xml:space="preserve">Poznámka                                                           </t>
  </si>
  <si>
    <t>ODVĚTVÍ VLASTNÍ SPRÁVNÍ ČINNOST KRAJE A ČINNOST ZASTUPITELSTVA KRAJE:</t>
  </si>
  <si>
    <t>ODVĚTVÍ VLASTNÍ SPRÁVNÍ ČINNOST KRAJE A ČINNOST ZASTUPITELSTVA KRAJE CELKEM</t>
  </si>
  <si>
    <t>Vybudování expozice muzea Těšínska v Jablunkově "Muzeum Trojmezí"</t>
  </si>
  <si>
    <t>ODVĚTVÍ ŽIVOTNÍHO PROSTŘEDÍ:</t>
  </si>
  <si>
    <t>Zpracovaní ratingu Moravskoslezského kraje</t>
  </si>
  <si>
    <t>Zajištění centrálního pojištění nemovitého, movitého majetku, vozidel a odpovědnosti Moravskoslezského kraje a jeho organizací</t>
  </si>
  <si>
    <t>Smlouva o financování projektu Moravia-Silesia Regional Infra II - úvěrový rámce od Evropské investiční banky II - splátky jistin</t>
  </si>
  <si>
    <t>Smlouva o financování projektu Moravia-Silesia Regional Infra II - úvěrový rámce od Evropské investiční banky II - platba úroků</t>
  </si>
  <si>
    <t>Zajištění financování drážní dopravy - prodloužení termínu platnosti Smlouvy o závazku veřejné služby v drážní dopravě k zajištění dopravní obslužnosti - linky zajišťované vozidly pořízenými s využitím prostředků z ERDF</t>
  </si>
  <si>
    <t>Zajištění financování drážní dopravy - prodloužení termínu platnosti Smlouvy o závazku veřejné služby v drážní dopravě k zajištění dopravní obslužnosti - ve vztahu k lince S2 Bohumín - Mošnov, Ostrava Airport</t>
  </si>
  <si>
    <t>Zajištění dopravní obslužnosti linkovou dopravou - oblast Jablunkovsko - Třinecko</t>
  </si>
  <si>
    <t>Zajištění dopravní obslužnosti linkovou dopravou - oblast Českotěšínsko</t>
  </si>
  <si>
    <t>Smlouva o finanční spolupráci ve veřejné linkové dopravě mezi Moravskoslezským krajem a Olomouckým krajem</t>
  </si>
  <si>
    <t>Zajištění dopravní obslužnosti linkovou dopravou - oblast Karvinsko</t>
  </si>
  <si>
    <t>Zajištění dopravní obslužnosti linkovou dopravou - oblast Orlovsko</t>
  </si>
  <si>
    <t>Zajištění dopravní obslužnosti linkovou dopravou - oblast Frýdlantsko</t>
  </si>
  <si>
    <t>Zajištění dopravní obslužnosti linkovou dopravou - oblast Novojičínsko východ</t>
  </si>
  <si>
    <t>Zajištění dopravní obslužnosti linkovou dopravou - oblast Novojičínsko západ</t>
  </si>
  <si>
    <t>Zajištění dopravní obslužnosti linkovou dopravou - oblast Bílovecko</t>
  </si>
  <si>
    <t>Zajištění dopravní obslužnosti linkovou dopravou - oblast Hlučínsko</t>
  </si>
  <si>
    <t>Zajištění dopravní obslužnosti linkovou dopravou - oblast Krnovsko</t>
  </si>
  <si>
    <t>Zajištění dopravní obslužnosti linkovou dopravou - oblast Opavsko</t>
  </si>
  <si>
    <t>Zajištění dopravní obslužnosti linkovou dopravou - oblast Rýmařovsko</t>
  </si>
  <si>
    <t>Zajištění dopravní obslužnosti linkovou dopravou - oblast Vítkovsko</t>
  </si>
  <si>
    <t>Zajištění dopravní obslužnosti linkovou dopravou - oblast Bruntálsko</t>
  </si>
  <si>
    <t>Závazek  k technickému zhodnocení majetku "I. etapa stará interna" (Nemocnice Nový Jičín)</t>
  </si>
  <si>
    <t>Vypořádání zůstatkové hodnoty technického zhodnocení majetku v rámci stavby "Rekonstrukce budovy ředitelství - umístění veřejné lékárny" (Nemocnice Nový Jičín)</t>
  </si>
  <si>
    <t>Chráněné části přírody</t>
  </si>
  <si>
    <t>Požadavek na rozpočet kraje</t>
  </si>
  <si>
    <t>Zálohové platby u projektů spolufinancovaných zálohově
z evropských finančních zdrojů</t>
  </si>
  <si>
    <t>Výdaje financované z očekávaných účelových dotací ze státního rozpočtu mimo zálohové platby</t>
  </si>
  <si>
    <t xml:space="preserve">Závazek Moravskoslezského kraje vznikl na základě Smlouvy o nájmu podniku č. 02262/2011/ZDR, vč. dodatků. Závazek trvá do roku 2032.   </t>
  </si>
  <si>
    <t>Členský příspěvek v Evropskému seskupení pro územní spolupráci TRITIA</t>
  </si>
  <si>
    <t>Členský příspěvek v zájmovém sdružení právnických osob Trojhalí Karolina</t>
  </si>
  <si>
    <t>Členský příspěvek v zájmovém sdružení právnických osob Evropská kulturní stezka sv. Cyrila a Metoděje</t>
  </si>
  <si>
    <t>Závazek Moravskoslezského kraje byl schválen usnesením zastupitelstva kraje č. 2/91 ze dne 20.12.2012. K datu řádného ukončení smlouvy o nájmu podniku k 31.12.2031 činí závazek ve výši 31 mil. Kč.</t>
  </si>
  <si>
    <t>název</t>
  </si>
  <si>
    <r>
      <t>2019</t>
    </r>
    <r>
      <rPr>
        <b/>
        <vertAlign val="superscript"/>
        <sz val="10"/>
        <rFont val="Tahoma"/>
        <family val="2"/>
        <charset val="238"/>
      </rPr>
      <t xml:space="preserve"> 1)</t>
    </r>
  </si>
  <si>
    <r>
      <t>2020</t>
    </r>
    <r>
      <rPr>
        <b/>
        <vertAlign val="superscript"/>
        <sz val="10"/>
        <rFont val="Tahoma"/>
        <family val="2"/>
        <charset val="238"/>
      </rPr>
      <t xml:space="preserve"> 1)</t>
    </r>
  </si>
  <si>
    <t>daňové příjmy</t>
  </si>
  <si>
    <t>nedaňové příjmy</t>
  </si>
  <si>
    <t>provozní dotace vč. provozního přebytku minulých let</t>
  </si>
  <si>
    <t>PROVOZNÍ PŘÍJMY</t>
  </si>
  <si>
    <t>Provozní příjmy</t>
  </si>
  <si>
    <r>
      <t>DLUH</t>
    </r>
    <r>
      <rPr>
        <sz val="10"/>
        <rFont val="Tahoma"/>
        <family val="2"/>
        <charset val="238"/>
      </rPr>
      <t xml:space="preserve">, tj. zůstatky nesplacených úvěrů a návratných finančních výpomocí k rozvahovému dni 31.12.20xx </t>
    </r>
  </si>
  <si>
    <t>DLUH K PROVOZNÍM PŘÍJMŮM</t>
  </si>
  <si>
    <t>Celková zadluženost (v %)</t>
  </si>
  <si>
    <t>1)</t>
  </si>
  <si>
    <t>Pro léta 2013 a 2014 se jedná o očekávanou skutečnost k 31.12.20xx</t>
  </si>
  <si>
    <t>2)</t>
  </si>
  <si>
    <t>Pro léta 2015 až 2017 jsou uváděny hodnoty rozpočtového výhledu</t>
  </si>
  <si>
    <t>finanční závazky</t>
  </si>
  <si>
    <t>poskytnuté záruky</t>
  </si>
  <si>
    <t>fin. leasing</t>
  </si>
  <si>
    <t>CELKOVÉ ZADLUŽENÍ</t>
  </si>
  <si>
    <t>uhrazené splátky jistin úvěrů, dluhopisů a splátky fin. leasingu</t>
  </si>
  <si>
    <t xml:space="preserve">platby úroků </t>
  </si>
  <si>
    <t>VÝDAJE NA DLUHOVOU SLUŽBU</t>
  </si>
  <si>
    <t>běžné výdaje</t>
  </si>
  <si>
    <t>PROVOZNÍ VÝDAJE</t>
  </si>
  <si>
    <t>HRUBÝ PROVOZNÍ PŘEBYTEK</t>
  </si>
  <si>
    <t>CELKOVÉ ZADLUŽENÍ K PROVOZNÍM PŘÍJMŮM 
(&lt; 50%)</t>
  </si>
  <si>
    <t>výdaje na dluhovou službu k provozním příjmům 
(&lt; 15% )</t>
  </si>
  <si>
    <t>hrubý provozní přebytek ke splátkám úroků 
( &gt; 150% )</t>
  </si>
  <si>
    <t>CELKOVÉ PŘÍJMY k 31.12.</t>
  </si>
  <si>
    <t>Průměr příjmů za poslední 4 roky</t>
  </si>
  <si>
    <t>DLUH k 31.12.</t>
  </si>
  <si>
    <t>PODÍL DLUHU K PRŮMĚRU PŘÍJMŮ</t>
  </si>
  <si>
    <t>Obsah:</t>
  </si>
  <si>
    <t>str.</t>
  </si>
  <si>
    <t>v mil. Kč</t>
  </si>
  <si>
    <t>Bankovní poplatky za vedení účtů a provedené bankovní operace u peněžních ústavů, které plynou z uzavřených smluv na dobu neurčitou a všeobecných platebních podmínek.</t>
  </si>
  <si>
    <t>RUČITELSKÉ ZÁVAZKY CELKEM</t>
  </si>
  <si>
    <t>Výstavba výjezdového stanoviště v Novém Jičíně</t>
  </si>
  <si>
    <t xml:space="preserve">Přehled závazků kraje u akcí reprodukce majetku kraje </t>
  </si>
  <si>
    <t>Přehled ostatních dlouhodobých závazků kraje</t>
  </si>
  <si>
    <t xml:space="preserve">PŘEHLED ZÁVAZKŮ KRAJE U AKCÍ SPOLUFINANCOVANÝCH Z EVROPSKÝCH FINANČNÍCH ZDROJŮ </t>
  </si>
  <si>
    <t>Přehled výdajů na zajištění udržitelnosti akcí spolufinancovaných z evropských finančních zdrojů</t>
  </si>
  <si>
    <t xml:space="preserve">Ukazatele zadluženosti </t>
  </si>
  <si>
    <t xml:space="preserve">PŘEHLED ZÁVAZKŮ KRAJE U AKCÍ REPRODUKCE MAJETKU KRAJE </t>
  </si>
  <si>
    <t xml:space="preserve">Přehled závazků kraje u akcí spolufinancovaných z evropských finančních zdrojů </t>
  </si>
  <si>
    <t xml:space="preserve"> - dotace ze státního rozpočtu</t>
  </si>
  <si>
    <t xml:space="preserve"> - dotace od obcí a krajů</t>
  </si>
  <si>
    <t>STÁTNÍ ROZPOČET</t>
  </si>
  <si>
    <t xml:space="preserve">Ministerstvo financí - příspěvek na výkon státní správy </t>
  </si>
  <si>
    <t>Ministerstvo dopravy - příspěvek na ztrátu dopravce z provozu veřejné osobní drážní dopravy</t>
  </si>
  <si>
    <t>Olomoucký a Zlínský kraj - příspěvek na dopravní obslužnost linkovou</t>
  </si>
  <si>
    <t xml:space="preserve">DOTACE NA AKCE SPOLUFINANCOVANÉ Z EVROPSKÝCH FINANČNÍCH ZDROJŮ  </t>
  </si>
  <si>
    <t xml:space="preserve">ISO D Preventivní ochrana před vlivy prostředí </t>
  </si>
  <si>
    <t xml:space="preserve">Záchrana architektonického dědictví - neinvestice </t>
  </si>
  <si>
    <t>Zálohové platby u projektů spolufinancovaných zálohově
z evropských finančních zdrojů celkem</t>
  </si>
  <si>
    <t xml:space="preserve">Památník J. A. Komenského ve Fulneku - živé muzeum </t>
  </si>
  <si>
    <t>Rekonstrukce a výstavba Domova Březiny</t>
  </si>
  <si>
    <t>Moderní metody pěstování rostlin</t>
  </si>
  <si>
    <t>Podpora technických a řemeslných oborů v MSK</t>
  </si>
  <si>
    <t>Přírodní vědy v technických oborech</t>
  </si>
  <si>
    <t>Revitalizace EVL Děhylovský potok - Štěpán</t>
  </si>
  <si>
    <t>Revitalizace přírodní památky Stará řeka</t>
  </si>
  <si>
    <t>Rekonstrukce budovy na ulici Praskova čp. 411 v Opavě (Základní škola, Opava, Havlíčkova 1, příspěvková organizace)</t>
  </si>
  <si>
    <t>Rekonstrukce objektů Polského gymnázia (Polské gymnázium - Polskie Gimnazjum im. Juliusza Słowackiego, Český Těšín, příspěvková organizace)</t>
  </si>
  <si>
    <t>Rekonstrukce objektu SŠ a domova mládeže (Střední škola společného stravování, Ostrava-Hrabůvka, příspěvková organizace)</t>
  </si>
  <si>
    <t>Členský příspěvek Asociaci krajů České republiky</t>
  </si>
  <si>
    <t>Zajištění služeb souvisejících s provozem a činností KÚ</t>
  </si>
  <si>
    <t xml:space="preserve">Vypořádání zůstatkové hodnoty technického zhodnocení majetku provedené na vlastní náklady Letiště Ostrava, a. s. </t>
  </si>
  <si>
    <t>Smlouva o poskytnutí finančního příspěvku na zajištění dopravní obslužnosti území Moravskoslezského kraje městskou hromadnou dopravou - Statutární město Frýdek-Místek</t>
  </si>
  <si>
    <t>Smlouva o poskytnutí finančního příspěvku na zajištění dopravní obslužnosti území Moravskoslezského kraje městskou hromadnou dopravou - Statutární město Opava</t>
  </si>
  <si>
    <t>Smlouva o poskytnutí finančního příspěvku na zajištění dopravní obslužnosti území Moravskoslezského kraje městskou hromadnou dopravou - Statutární město Ostrava</t>
  </si>
  <si>
    <t>Smlouva o finanční spolupráci ve veřejné linkové dopravě mezi Moravskoslezským krajem a Zlínským krajem</t>
  </si>
  <si>
    <t>Zajištění dopravní obslužnosti linkovou dopravou - oblast Frýdecko-Místecko</t>
  </si>
  <si>
    <t xml:space="preserve">Zajištění činnosti krizového štábu </t>
  </si>
  <si>
    <t>Členství Moravskoslezského kraje v zájmovém sdružení právnických osob Evropská kulturní stezka sv. Cyrila a Metoděje na dobu neurčitou schválilo zastupitelstvo kraje usnesením č. 12/1085 ze dne 11.12.2014. Závazek Moravskoslezského kraje byl schválen usnesením zastupitelstva kraje č. 6/520 ze dne 14.12.2017.</t>
  </si>
  <si>
    <t>Technická údržba, podpora a služby k software v odvětví zdravotnictví</t>
  </si>
  <si>
    <r>
      <t>Členství Moravskoslezského kraje v zájmovém sdružení  je</t>
    </r>
    <r>
      <rPr>
        <b/>
        <sz val="8"/>
        <rFont val="Tahoma"/>
        <family val="2"/>
        <charset val="238"/>
      </rPr>
      <t xml:space="preserve"> </t>
    </r>
    <r>
      <rPr>
        <sz val="8"/>
        <rFont val="Tahoma"/>
        <family val="2"/>
        <charset val="238"/>
      </rPr>
      <t>na dobu neurčitou schválilo zastupitelstvo kraje usnesením č. 3/259 ze dne 21.3.2013. Závazek Moravskoslezského kraje byl schválen usnesením zastupitelstva kraje č. 6/520 ze dne 14.12.2017.</t>
    </r>
  </si>
  <si>
    <r>
      <t>2022</t>
    </r>
    <r>
      <rPr>
        <b/>
        <vertAlign val="superscript"/>
        <sz val="10"/>
        <rFont val="Tahoma"/>
        <family val="2"/>
        <charset val="238"/>
      </rPr>
      <t xml:space="preserve"> 1)</t>
    </r>
  </si>
  <si>
    <t xml:space="preserve"> v mil. Kč</t>
  </si>
  <si>
    <t>Obce MSK - příspěvek na dopravní obslužnost linkovou</t>
  </si>
  <si>
    <t>Zateplení a stavební úpravy správní budovy, pavilonu E a F Domova Březiny</t>
  </si>
  <si>
    <t xml:space="preserve"> - splátky jistin půjčených prostředků od obcí v rámci Jessica II</t>
  </si>
  <si>
    <t>MINISTERSTVO PRO MÍSTNÍ ROZVOJ</t>
  </si>
  <si>
    <t>IROP – Integrovaný regionální OP – program č. 117030 - individuální projekty nemocnic</t>
  </si>
  <si>
    <t>IROP – Integrovaný regionální OP – program č. 117030 - individuální projekty škol</t>
  </si>
  <si>
    <t>Vybudování dílen pro praktické vyučování (Střední odborná škola, Frýdek-Místek, příspěvková organizace)</t>
  </si>
  <si>
    <t>Energetické úspory v ZŠ Čkalovova</t>
  </si>
  <si>
    <t>Energetické úspory v ZUŠ L. Janáčka Havířov</t>
  </si>
  <si>
    <t>Energetické úspory v ZUŠ Klimkovice</t>
  </si>
  <si>
    <t>Zlepšenie dostupnosti ku kultúrnym pamiatkam na slovenskej a českej strane</t>
  </si>
  <si>
    <t>Modernizace škol a školských poradenských zařízení v rámci výzvy č. 86</t>
  </si>
  <si>
    <t>Subjekt (IČO)</t>
  </si>
  <si>
    <t>Číslo smlouvy</t>
  </si>
  <si>
    <t>0005</t>
  </si>
  <si>
    <t>0004, 0005</t>
  </si>
  <si>
    <t>01547/2006/KŘ</t>
  </si>
  <si>
    <t>Evropská investiční banka</t>
  </si>
  <si>
    <t>02432/2010/FIN</t>
  </si>
  <si>
    <t>08462/2018/FIN</t>
  </si>
  <si>
    <t>02137/2019/FIN</t>
  </si>
  <si>
    <t>00607/2019/DSH</t>
  </si>
  <si>
    <t>02118/2006/DSH</t>
  </si>
  <si>
    <t>02372/2019/DSH</t>
  </si>
  <si>
    <t>02128/2019/DSH</t>
  </si>
  <si>
    <t>02435/2019/DSH</t>
  </si>
  <si>
    <t xml:space="preserve">Provozování železniční dráhy </t>
  </si>
  <si>
    <t>00530/2014/KŘ</t>
  </si>
  <si>
    <t xml:space="preserve">Závazek Moravskoslezského kraje byl schválen usnesením zastupitelstva kraje č. 8/684 ze dne 27.2.2014. Jedná se o smlouvu na dobu neurčitou. </t>
  </si>
  <si>
    <t>0671/2004/POR</t>
  </si>
  <si>
    <t xml:space="preserve">Vypořádání zůstatkové hodnoty technického zhodnocení majetku realizovaného Letištěm Ostrava, a.s.,  z vlastních zdrojů se souhlasem Moravskoslezského kraje v případě realizace majetku. Vyčíslený závazek bude každoročně ponížen o hodnotu odpisů. </t>
  </si>
  <si>
    <t xml:space="preserve">Zajištění provozu leteckého spojení Ostrava – Varšava </t>
  </si>
  <si>
    <t>ČSAD Vsetín, a.s. (45192120)</t>
  </si>
  <si>
    <t>02071/2015/DSH</t>
  </si>
  <si>
    <t>ČSAD Havířov, a.s. (45192081)</t>
  </si>
  <si>
    <t>00865/2016/DSH</t>
  </si>
  <si>
    <t>03415/2017/DSH</t>
  </si>
  <si>
    <t>03411/2017/DSH</t>
  </si>
  <si>
    <t>06336/2018/DSH</t>
  </si>
  <si>
    <t>06337/2018/DSH</t>
  </si>
  <si>
    <t>06335/2018/DSH</t>
  </si>
  <si>
    <t>Transdev Morava s.r.o. (06738346)</t>
  </si>
  <si>
    <t>07928/2018/DSH</t>
  </si>
  <si>
    <t>07173/2018/DSH</t>
  </si>
  <si>
    <t>07174/2018/DSH</t>
  </si>
  <si>
    <t>06626/2018/DSH</t>
  </si>
  <si>
    <t>06334/2018/DSH</t>
  </si>
  <si>
    <t>06279/2018/DSH</t>
  </si>
  <si>
    <t>07172/2018/DSH</t>
  </si>
  <si>
    <t>06227/2019/DSH</t>
  </si>
  <si>
    <t>Statutární město Frýdek-Místek (00296643)</t>
  </si>
  <si>
    <t>08209/2018/DSH</t>
  </si>
  <si>
    <t>07602/2018/DSH</t>
  </si>
  <si>
    <t>07604/2018/DSH</t>
  </si>
  <si>
    <t>00698/2017/DSH</t>
  </si>
  <si>
    <t>05491/2016/DSH</t>
  </si>
  <si>
    <t>0122</t>
  </si>
  <si>
    <t>02380/2011/KH</t>
  </si>
  <si>
    <t xml:space="preserve">Členský příspěvek v zájmové sdružení Národní síť zdravých měst České republiky </t>
  </si>
  <si>
    <t>Evropské seskupení pro územní spolupráci TRITIA</t>
  </si>
  <si>
    <t>Služby Moravskoslezského paktu zaměstnanosti, z.s.</t>
  </si>
  <si>
    <t xml:space="preserve">obce  </t>
  </si>
  <si>
    <t>více smluv</t>
  </si>
  <si>
    <t>upravovatelé LBT</t>
  </si>
  <si>
    <t>02262/2011/ZDR</t>
  </si>
  <si>
    <t>Závazek Moravskoslezského kraje byl schválen usnesením zastupitelstva kraje č. 16/1584 ze dne 25.9.2015. K datu řádného ukončení smlouvy o nájmu podniku k 31.12.2031 bude závazek ve výši 9,8 mil. Kč</t>
  </si>
  <si>
    <t>Smlouva o zajištění činnosti nezávislých odborných komisí a o úhradě nákladů spojených s jejich činností</t>
  </si>
  <si>
    <t>02135/2013/ZDR</t>
  </si>
  <si>
    <t>0516</t>
  </si>
  <si>
    <t>03554/2018/ZDR</t>
  </si>
  <si>
    <t>ODVĚTVÍ ÚZEMNÍHO PLÁNOVÁNÍ A STAVEBNÍHO ŘÁDU:</t>
  </si>
  <si>
    <t>2024</t>
  </si>
  <si>
    <t>VaK Bruntál, a.s.                                       (47675861)</t>
  </si>
  <si>
    <r>
      <t xml:space="preserve">UCB
</t>
    </r>
    <r>
      <rPr>
        <sz val="10"/>
        <rFont val="Tahoma"/>
        <family val="2"/>
        <charset val="238"/>
      </rPr>
      <t xml:space="preserve">(smlouva o úvěru 
</t>
    </r>
    <r>
      <rPr>
        <b/>
        <sz val="10"/>
        <rFont val="Tahoma"/>
        <family val="2"/>
        <charset val="238"/>
      </rPr>
      <t>ve výši 1,0 mld. Kč</t>
    </r>
    <r>
      <rPr>
        <sz val="10"/>
        <rFont val="Tahoma"/>
        <family val="2"/>
        <charset val="238"/>
      </rPr>
      <t>)</t>
    </r>
  </si>
  <si>
    <r>
      <t>2023</t>
    </r>
    <r>
      <rPr>
        <b/>
        <vertAlign val="superscript"/>
        <sz val="10"/>
        <rFont val="Tahoma"/>
        <family val="2"/>
        <charset val="238"/>
      </rPr>
      <t xml:space="preserve"> 1)</t>
    </r>
  </si>
  <si>
    <t>Ukazatel zadluženosti dle EIB</t>
  </si>
  <si>
    <t>Podíl MSK  (pouze způsobilé výdaje)</t>
  </si>
  <si>
    <r>
      <t xml:space="preserve">EIB
</t>
    </r>
    <r>
      <rPr>
        <sz val="10"/>
        <rFont val="Tahoma"/>
        <family val="2"/>
        <charset val="238"/>
      </rPr>
      <t xml:space="preserve">(smlouva z r. 2010 na poskytnutí úvěrového rámce </t>
    </r>
    <r>
      <rPr>
        <b/>
        <sz val="10"/>
        <rFont val="Tahoma"/>
        <family val="2"/>
        <charset val="238"/>
      </rPr>
      <t xml:space="preserve">
ve výši 2 mld. Kč</t>
    </r>
    <r>
      <rPr>
        <sz val="10"/>
        <rFont val="Tahoma"/>
        <family val="2"/>
        <charset val="238"/>
      </rPr>
      <t>)</t>
    </r>
  </si>
  <si>
    <r>
      <t xml:space="preserve">UCB II
</t>
    </r>
    <r>
      <rPr>
        <sz val="10"/>
        <rFont val="Tahoma"/>
        <family val="2"/>
        <charset val="238"/>
      </rPr>
      <t xml:space="preserve">(smlouva o úvěru 
</t>
    </r>
    <r>
      <rPr>
        <b/>
        <sz val="10"/>
        <rFont val="Tahoma"/>
        <family val="2"/>
        <charset val="238"/>
      </rPr>
      <t>ve výši 1,0097 mld. Kč</t>
    </r>
    <r>
      <rPr>
        <sz val="10"/>
        <rFont val="Tahoma"/>
        <family val="2"/>
        <charset val="238"/>
      </rPr>
      <t>) - Úvěr na refinancovaní 3 vybraných úvěrových tranší načerpaných od EIB</t>
    </r>
  </si>
  <si>
    <t>2025</t>
  </si>
  <si>
    <t>Geoportál MSK - část dopravní infrastruktura</t>
  </si>
  <si>
    <t>Rozvoj architektury ICT Moravskoslezského kraje</t>
  </si>
  <si>
    <t>Realizace bezpečnostních opatření podle zákona o kybernetické bezpečnosti</t>
  </si>
  <si>
    <t>Revitalizace zámku ve Frýdku včetně obnovy expozice</t>
  </si>
  <si>
    <t>Na bicykli k susedom</t>
  </si>
  <si>
    <t>-</t>
  </si>
  <si>
    <t>Efektivní naplňování střednědobého plánu v podmínkách MSK</t>
  </si>
  <si>
    <t>Nákup bytů pro chráněné bydlení</t>
  </si>
  <si>
    <t>Elektrolaboratoře</t>
  </si>
  <si>
    <t>Laboratoře technických měření</t>
  </si>
  <si>
    <t>Modernizace výuky přírodovědných předmětů I</t>
  </si>
  <si>
    <t>Modernizace výuky přírodovědných předmětů II (SVL)</t>
  </si>
  <si>
    <t>Modernizace výuky svařování</t>
  </si>
  <si>
    <t>Odborné, kariérové a polytechnické vzdělávání v MSK II</t>
  </si>
  <si>
    <t>Podpora výuky CNC obrábění</t>
  </si>
  <si>
    <t>Specializované laboratoře na SPŠ chemické akad. Heyrovského v Ostravě</t>
  </si>
  <si>
    <t>Výuka pro Průmysl 4.0</t>
  </si>
  <si>
    <t xml:space="preserve">Laboratoře virtuální reality </t>
  </si>
  <si>
    <t>Podpora jazykového vzdělávání v SŠ MSK</t>
  </si>
  <si>
    <t>Podpora digitálního vzdělávání v SŠ MSK</t>
  </si>
  <si>
    <t>Budova dílen pro obor Opravář zemědělských strojů ve Střední odborné škole Bruntál</t>
  </si>
  <si>
    <t>Energetické úspory ve VOŠ zdravotnická Ostrava</t>
  </si>
  <si>
    <t>Systém pomoci na vyžádání</t>
  </si>
  <si>
    <t>Vybavení vzdělávacího střediska Zdravotnické záchranné služby Moravskoslezského kraje, p.o.</t>
  </si>
  <si>
    <t>Elektronizace procesů jako podpora sdílení dat a komunikace ve zdravotnictví a zároveň zvýšení bezpečí a kvality poskytované péče</t>
  </si>
  <si>
    <t>Implementace soustavy Natura 2000 v Moravskoslezském kraji, 2. vlna</t>
  </si>
  <si>
    <t>River Continuum</t>
  </si>
  <si>
    <t>Krajský akční plán pro oblast ochrany ovzduší</t>
  </si>
  <si>
    <t>Digitální technická mapa Moravskoslezského kraje</t>
  </si>
  <si>
    <t>3468</t>
  </si>
  <si>
    <t>Asociace krajů ČR
(70933146)</t>
  </si>
  <si>
    <t>VÍTKOVICE IT SOLUTIONS
 a.s. 
 (28606582)</t>
  </si>
  <si>
    <t>06585/2020/INF</t>
  </si>
  <si>
    <t>Ostatní výdaje související s nakládáním s majetkem</t>
  </si>
  <si>
    <t>Výdaje spojené s projektem Finanční zdraví obcí</t>
  </si>
  <si>
    <t>Slezská univerzita v Opavě
(47813059)</t>
  </si>
  <si>
    <t>00093/2021/FIN</t>
  </si>
  <si>
    <t xml:space="preserve">O uzavření smlouvy o poskytnutí úvěrového rámce mezi UniCredit Bank Czech Republic and Slovakia, a.s. ve výši 1.000 mil. Kč rozhodlo zastupitelstvo kraje svým usnesením č. 10/1084 ze dne 13.12.2018 </t>
  </si>
  <si>
    <t>UniCredit Bank Czech Republic and Slovakia, a.s.
(64948242)</t>
  </si>
  <si>
    <t>08357/2020/FIN</t>
  </si>
  <si>
    <t>Zastupitelstvo kraje usnesením č. 2/20 ze dne 17. 12. 2020 rozhodlo o uzavření smlouvy o úvěru s Českou spořitelnou, a.s. ve výši 3 mld. Kč s úrokovou sazbou 6měsíční PRIBOR se zápornou odchylkou. Předmětem úvěrové smlouvy je financování investičních akcí realizovaných krajem a jeho příspěvkovými organizacemi v letech 2021 – 2024. Úvěr bude splácen v letech 2026 - 2035.</t>
  </si>
  <si>
    <t>ODVĚTVÍ DOPRAVY:</t>
  </si>
  <si>
    <t>Závazek Moravskoslezského kraje byl schválen usnesením zastupitelstva kraje č. 10/1068 v min. výši 64 mil. Kč ze dne 13.12.2018. Závazek trvá od prosince 2019 do prosince 2025.</t>
  </si>
  <si>
    <t>České dráhy, a.s.
(70994226)</t>
  </si>
  <si>
    <t>Závazek Moravskoslezského kraje byl schválen usnesením zastupitelstva kraje č. 12/1399 ze dne 13.6.2019 v max. výši 5,5 mil. Kč. Závazek trvá od července 2019 do prosince 2025.</t>
  </si>
  <si>
    <t>08225/2020/DSH</t>
  </si>
  <si>
    <t>České dráhy, a.s.
(70994226),
Koordinátor ODIS, s.r.o. 
(64613895)</t>
  </si>
  <si>
    <t>Dopravní obslužnost - drážní doprava</t>
  </si>
  <si>
    <t>Závazek Moravskoslezského kraje byl schválen usnesením zastupitelstva kraje č. 15/1485 ze dne 25.6.2015 v min. výši 556.283.000 Kč. Finanční prostředky na zajištění financování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Zastupitelstvo kraje usnesením č. 16/1914 ze dne 4.6.2020 rozhodlo postupovat vůči dopravci ČSAD Havířov a.s. dle varianty C ve věci úpravě mezd řidičů, vyvolané změnou příslušné právní úpravy. Navýšení závazku Moravskoslezského kraje v celkové výši 28.110.704 Kč (z toho 2020: 1.756.919 Kč, 2021-2025: 26.353.785 Kč).</t>
  </si>
  <si>
    <t>Závazek Moravskoslezského kraje byl schválen usnesením zastupitelstva kraje č. 16/1564 ze dne 25.9.2015 v min. výši 894.289.000 Kč. Závazek trvá do roku 2026. Finanční prostředky na zajištění financování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Zastupitelstvo kraje usnesením č. 16/1914 ze dne 4.6.2020 rozhodlo postupovat vůči dopravci ČSAD Havířov a.s. dle varianty C ve věci úpravě mezd řidičů, vyvolané změnou příslušné právní úpravy. Navýšení závazku Moravskoslezského kraje v celkové výši 50.459.782 Kč  (z toho 2020: 2.655.778 Kč, 2021-2026: 47.804.004 Kč).</t>
  </si>
  <si>
    <t>ČSAD Karviná, a.s.
(45192090)</t>
  </si>
  <si>
    <t xml:space="preserve">Závazek Moravskoslezského kraje byl schválen usnesením zastupitelstva kraje č. 3/132 ze dne 16.3.2017 v min. výši 766.976.184 Kč. Závazek trvá do června 2028. Finanční prostředky na zajištění financování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t>
  </si>
  <si>
    <t>Závazek Moravskoslezského kraje byl schválen usnesením zastupitelstva kraje č.  3/132 ze dne 16.3.2017 v min. výši 1.051.495.848 Kč. Závazek trvá do června 2028. Finanční prostředky na zajištění financování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2028.</t>
  </si>
  <si>
    <t xml:space="preserve">Závazek Moravskoslezského kraje byl schválen usnesením zastupitelstva kraje č. 3/132 ze dne 16.3.2017 v min. výši 335.673.000 Kč, který byl následně změněn usnesením zastupitelstva kraje č. 6/542 ze dne 14.12.2017 na min. výši 412.490.000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t>
  </si>
  <si>
    <t>ČSAD Vsetín, a.s.
(45192120)</t>
  </si>
  <si>
    <t xml:space="preserve">Závazek Moravskoslezského kraje byl schválen usnesením zastupitelstva kraje č. 3/132 ze dne 16.3.2017 v min. výši 1.825.200.000 Kč, který byl následně změněn usnesením zastupitelstva kraje č. 6/542 ze dne 14.12.2017 na min. výši 1.945.866.000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t>
  </si>
  <si>
    <t>Závazek Moravskoslezského kraje byl schválen usnesením zastupitelstva kraje č. 3/132 ze dne 16.3.2017 v min. výši 1.357.200.000 Kč, který byl následně změněn usnesením zastupitelstva kraje č. 6/542 ze dne 14.12.2017 na min. výši 1.543.256.000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2028.</t>
  </si>
  <si>
    <t>Závazek Moravskoslezského kraje byl schválen usnesením zastupitelstva kraje č. 4/253 ze dne 15.6.2017 v min. výši 1.076.400.000 Kč, který byl následně změněn usnesením zastupitelstva kraje č. 6/542 ze dne 14.12.2017 na min. výši 1.215.734.000 Kč.  Závazek trvá do roku 2029.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2029.</t>
  </si>
  <si>
    <t>Závazek Moravskoslezského kraje byl schválen usnesením zastupitelstva kraje č. 4/253 ze dne 15.6.2017 v min. výši 702.000.000 Kč, který byl následně změněn usnesením zastupitelstva kraje č. 6/542 ze dne 14.12.2017 na min. výši 731.120.000 Kč. Závazek trvá do roku 2029.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t>
  </si>
  <si>
    <t>Závazek Moravskoslezského kraje byl schválen usnesením zastupitelstva kraje č. 5/420 ze dne 14.9.2017 v min. výši 538.200.000 Kč, který byl následně změněn usnesením zastupitelstva kraje č. 6/542 ze dne 14.12.2017 na min. výši 568.100.000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2028.</t>
  </si>
  <si>
    <t>Závazek Moravskoslezského kraje byl schválen usnesením zastupitelstva kraje č. 5/420 ze dne 14.9.2017 v min. výši 959.400.000 Kč, který byl následně změněn usnesením zastupitelstva kraje č. 6/542 ze dne 14.12.2017 na min. výši 1.012.700.000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2028.</t>
  </si>
  <si>
    <t>Závazek Moravskoslezského kraje byl schválen usnesením zastupitelstva kraje č. 5/420 ze dne 14.9.2017 v min. výši 678.600.000 Kč, který byl následně změněn usnesením zastupitelstva kraje č. 6/542 ze dne 14.12.2017 na min. výši 716.300.000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2028.</t>
  </si>
  <si>
    <t>Závazek Moravskoslezského kraje byl schválen usnesením zastupitelstva kraje č. 6/553 ze dne 14.12.2017 v min. výši 1.050.244.000 Kč.. Závazek trvá do roku 2029.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2029.</t>
  </si>
  <si>
    <t>ČSAD Havířov, a.s.
(45192081)</t>
  </si>
  <si>
    <r>
      <t>Závazek Moravskoslezského kraje byl schválen usnesením zastupitelstva kraje č. 4/253 ze dne 15.6.2017 (min. výše 1.123.200.000 Kč), č. 6/542 ze dne 14.12.2017 (min. výše 1.185.600.000 Kč) , který byl následně změněn usnesením zastupitelstva kraje č. 11/1228 ze dne 13.3.2019 na minimální výši 1.310.400.000 Kč.</t>
    </r>
    <r>
      <rPr>
        <b/>
        <sz val="8"/>
        <rFont val="Tahoma"/>
        <family val="2"/>
        <charset val="238"/>
      </rPr>
      <t xml:space="preserve"> </t>
    </r>
    <r>
      <rPr>
        <sz val="8"/>
        <rFont val="Tahoma"/>
        <family val="2"/>
        <charset val="238"/>
      </rPr>
      <t>Závazek trvá do roku 2030.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2030.</t>
    </r>
  </si>
  <si>
    <t>Závazek Moravskoslezského kraje byl schválen usnesením zastupitelstva kraje č.9/966 ze dne 13.9.2018 v min. výši 202.190.000 Kč. Závazek trvá od roku 2019 do roku 2028.</t>
  </si>
  <si>
    <t>Závazek Moravskoslezského kraje byl schválen usnesením zastupitelstva kraje č. 9/966 ze dne 13.9.2018 v min. výši 19.782.500 Kč. Závazek trvá od roku 2019 do roku 2028.</t>
  </si>
  <si>
    <t>Závazek Moravskoslezského kraje byl schválen usnesením zastupitelstva kraje č. 9/966 ze dne 13.9.2018 v min. výši 106.708.686 Kč. Závazek trvá od roku 2019 do roku 2024.</t>
  </si>
  <si>
    <t>Olomoucký kraj
(60609460)</t>
  </si>
  <si>
    <t>Zastupitelstvo kraje svým usnesením č. 3/131 ze dne 16.3.2017 rozhodlo o uzavření smlouvy o finanční spolupráci ve veřejné linkové osobní dopravě mezi Moravskoslezským krajem a Olomouckým krajem. Dále usnesením zastupitelstva kraje č. 6/541 ze dne 14.12.2017 byl schválen závazek v min. výši 56 mil. Kč. Závazek trvá od 1.1.2018 do 31.12.2027.</t>
  </si>
  <si>
    <t>Zajištění dopravní obslužnosti linkovou dopravou - oblast Havířovsko 1</t>
  </si>
  <si>
    <t>01347/2020/DSH</t>
  </si>
  <si>
    <t>Závazek Moravskoslezského kraje byl schválen usnesením zastupitelstva kraje č. 12/1405 ze dne 13.6.2019  v max. výši 1.947.322.000 Kč pro oblast Havířovsko 1 + Havířovsko 2. Závazek bude trvat do roku 2030. Finanční prostředky na zajištění financování konkrétní smlouvy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t>
  </si>
  <si>
    <t>Zajištění dopravní obslužnosti linkovou dopravou - oblast Havířovsko 2</t>
  </si>
  <si>
    <t>01350/2020/DSH</t>
  </si>
  <si>
    <t>Závazek Moravskoslezského kraje byl schválen usnesením zastupitelstva kraje č. 12/1405 ze dne 13.6.2019 v max. výši 1.947.322.000 Kč pro oblast Havířovsko 1 + Havířovsko 2. Finanční prostředky na zajištění financování konkrétní smlouvy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t>
  </si>
  <si>
    <t>Zajištění dopravní obslužnosti linkovou dopravou - oblast Havířovsko 3</t>
  </si>
  <si>
    <t>Dopravní obslužnost - linková doprava</t>
  </si>
  <si>
    <t>Polskie Linie Lotnicze "LOT" S.A.</t>
  </si>
  <si>
    <t>00617/2020/DSH</t>
  </si>
  <si>
    <t>Dopravní obslužnost - letecká doprava</t>
  </si>
  <si>
    <t>Doprava - ostatní</t>
  </si>
  <si>
    <t>ODVĚTVÍ CHYTRÉHO REGIONU:</t>
  </si>
  <si>
    <t>ODVĚTVÍ  CHYTRÉHO REGIONU CELKEM</t>
  </si>
  <si>
    <t>Moravskoslezský pakt zaměstnanosti, z.s.
(07864507)</t>
  </si>
  <si>
    <t>více subjektů</t>
  </si>
  <si>
    <t>Evropská kulturní stezka sv. Cyrila a Metoděje
(02057531)</t>
  </si>
  <si>
    <t>Statutární město Ostrava
(00845451),
ČSAD Ostrava, a.s.
(45192057), 
Spolek na podporu sportu, dětí a mládeže, z.s.
(06560750)</t>
  </si>
  <si>
    <t>01129/2020/ŠMS</t>
  </si>
  <si>
    <t>06454/2020/ŠMS</t>
  </si>
  <si>
    <t>Usnesením ZK č. 17/2118 ze dne 3.9.2020 byla schválena Dohoda o společném postupu při řešení převodu činnosti zabezpečované příspěvkovou organizací kraje Střední odborná škola waldorfská, Ostrava, příspěvková organizace, IČO 70947911. Součástí dohody je závazek kraje poskytnout částku 1,5 mil. Kč ročně po dobu 6 let za splnění podmínky, že bude převáděná činnost vykonávána od prvního ročníku střední školy.</t>
  </si>
  <si>
    <t>OR-CZ spol. s r.o.
(48168921)</t>
  </si>
  <si>
    <t>Zajištění ohledání těl zemřelých</t>
  </si>
  <si>
    <t>ODVĚTVÍ ÚZEMNÍHO PLÁNOVÁNÍ A STAVEBNÍHO ŘÁDU CELKEM</t>
  </si>
  <si>
    <t xml:space="preserve"> - </t>
  </si>
  <si>
    <t xml:space="preserve">Poznámka              </t>
  </si>
  <si>
    <t>ODVĚTVÍ CHYTRÉHO REGIONU CELKEM</t>
  </si>
  <si>
    <t>Rekonstrukce vzletové a přistávací dráhy a navazujících provozních ploch Letiště Leoše Janáčka Ostrava</t>
  </si>
  <si>
    <t>Silnice II/478 Nová Krmelínská Ostrava a Mostní II. etapa</t>
  </si>
  <si>
    <t>Zámek Nová Horka - dobudování infrastruktury (Muzeum Novojičínska, příspěvková organizace)</t>
  </si>
  <si>
    <t>Zámek Bruntál - revitalizace objektu (Muzeum v Bruntále, příspěvková organizace)</t>
  </si>
  <si>
    <t>Stavební úpravy části školy pro potřeby Vzdělávacího a výcvikového střediska a umístění sídla Správy silnic MSK v Ostravě-Zábřeh (Střední škola stavební a dřevozpracující, Ostrava, příspěvková organizace)</t>
  </si>
  <si>
    <t>Rekonstrukce školního dvora (Matiční gymnázium, Ostrava, příspěvková organizace)</t>
  </si>
  <si>
    <t>Rekonstrukce střechy a zateplení fasády (Gymnázium Třinec, příspěvková organizace)</t>
  </si>
  <si>
    <t>Vybavení rekonstruovaných objektů Polského gymnázia (Polské gymnázium - Polskie Gimnazjum im. Juliusza Słowackiego, Český Těšín, příspěvková organizace)</t>
  </si>
  <si>
    <t>Využití objektu v Bílé (Vzdělávací a sportovní centrum, Bílá, příspěvková organizace)</t>
  </si>
  <si>
    <t>Sportovní areál na ul. Komenského, Opava (Mendelovo gymnázium, Opava, příspěvková organizace)</t>
  </si>
  <si>
    <t>Oprava izolačních vrstev střešního pláště (Střední škola prof. Zdeňka Matějčka, Ostrava-Poruba, příspěvková organizace)</t>
  </si>
  <si>
    <t>ODVĚTVÍ DOPRAVY CELKEM</t>
  </si>
  <si>
    <t>Výhled 2024</t>
  </si>
  <si>
    <t>Výhled 2025</t>
  </si>
  <si>
    <t>Nespecifikované výdaje</t>
  </si>
  <si>
    <t>%
Výhled 25 / Výhled 24</t>
  </si>
  <si>
    <t xml:space="preserve"> - vrácené návratné finanční výpomoci od příspěvkových organizací</t>
  </si>
  <si>
    <t xml:space="preserve"> - vrácené návratné finanční výpomoci od jiných subjektů</t>
  </si>
  <si>
    <t xml:space="preserve"> - příjmy z pronájmu</t>
  </si>
  <si>
    <t xml:space="preserve"> - doprava - dopravní obslužnost drážní</t>
  </si>
  <si>
    <t xml:space="preserve"> - doprava - dopravní obslužnost linková</t>
  </si>
  <si>
    <t xml:space="preserve"> - doprava - ostatní</t>
  </si>
  <si>
    <t xml:space="preserve"> - chytrý region</t>
  </si>
  <si>
    <t xml:space="preserve"> - doprava</t>
  </si>
  <si>
    <t>Výdaje financované z očekávaných účelových dotací ze státního rozpočtu</t>
  </si>
  <si>
    <t>Výdaje financované ze zálohových plateb u projektů spolufinancovaných zálohově z evr. fin. zdrojů</t>
  </si>
  <si>
    <t>Výstavba domova pro seniory a domova se zvláštním režimem Kopřivnice - ISPROFIN</t>
  </si>
  <si>
    <t>Rekonstrukce budovy a spojovací chodby Máchova (Domov Duha, příspěvková organizace, Nový Jičín) - ISPROFIN</t>
  </si>
  <si>
    <t>Rekonstrukce vzletové a přistávací dráhy a navazujících provozních ploch Letiště Leoše Janáčka Ostrava</t>
  </si>
  <si>
    <t>OBCE A KRAJE</t>
  </si>
  <si>
    <t>Příspěvek na výkon sociální práce (s výjimkou sociálně-právní ochrany dětí)</t>
  </si>
  <si>
    <t>Podpora expozičních a výstavních projektů</t>
  </si>
  <si>
    <t>Program ochrany měkkých cílů v oblasti kultury</t>
  </si>
  <si>
    <t>ISO II/D preventivní ochrana před nepříznivými vlivy prostředí - neinvestiční</t>
  </si>
  <si>
    <t>Program regenerace městských památkových rezervací a městských památkových zón - neinvestice</t>
  </si>
  <si>
    <t>ISO II/A zabezpečení objektů - investiční</t>
  </si>
  <si>
    <t>Podpora standardizovaných veřejných služeb muzeí a galerií</t>
  </si>
  <si>
    <t>Akviziční fond – IV</t>
  </si>
  <si>
    <t>ISO C Výkupy předmětů kulturní hodnoty mimořádného významu – investiční</t>
  </si>
  <si>
    <r>
      <t xml:space="preserve">ČS
</t>
    </r>
    <r>
      <rPr>
        <sz val="10"/>
        <rFont val="Tahoma"/>
        <family val="2"/>
        <charset val="238"/>
      </rPr>
      <t xml:space="preserve">(smlouva o úvěru 
</t>
    </r>
    <r>
      <rPr>
        <b/>
        <sz val="10"/>
        <rFont val="Tahoma"/>
        <family val="2"/>
        <charset val="238"/>
      </rPr>
      <t>ve výši 3 mld. Kč</t>
    </r>
    <r>
      <rPr>
        <sz val="10"/>
        <rFont val="Tahoma"/>
        <family val="2"/>
        <charset val="238"/>
      </rPr>
      <t>)</t>
    </r>
  </si>
  <si>
    <r>
      <t xml:space="preserve">NOVÝ ÚVĚR </t>
    </r>
    <r>
      <rPr>
        <sz val="10"/>
        <rFont val="Tahoma"/>
        <family val="2"/>
        <charset val="238"/>
      </rPr>
      <t>(předfinancování projektů EU) - pro bilanci Střednědobého výhledu rozpočtu</t>
    </r>
  </si>
  <si>
    <r>
      <t>2024</t>
    </r>
    <r>
      <rPr>
        <b/>
        <vertAlign val="superscript"/>
        <sz val="10"/>
        <rFont val="Tahoma"/>
        <family val="2"/>
        <charset val="238"/>
      </rPr>
      <t xml:space="preserve"> 1)</t>
    </r>
  </si>
  <si>
    <r>
      <t>2025</t>
    </r>
    <r>
      <rPr>
        <b/>
        <vertAlign val="superscript"/>
        <sz val="10"/>
        <rFont val="Tahoma"/>
        <family val="2"/>
        <charset val="238"/>
      </rPr>
      <t xml:space="preserve"> 1)</t>
    </r>
  </si>
  <si>
    <t>Závazek kraje vyplývající z členství Moravskoslezského kraje v Asociaci krajů České republiky. Členství bylo schváleno usnesením zastupitelstva kraje č. 47/M1 ze dne 12.2.2001 a to na dobu neurčitou. Navýšení příspěvku z 800 tis. Kč na 900 tis. Kč z důvodu  zvýšených nákladů provozu videokonferenčního systému AKČR (usnesení AKČR).</t>
  </si>
  <si>
    <t>PŘEHLED SPLÁCENÍ JISTINY A ÚROKŮ Z ÚVĚRŮ ČERPANÝCH MORAVSKOSLEZSKÝM KRAJEM</t>
  </si>
  <si>
    <t>Usnesením rady kraje č. 96/8408 ze dne 21.9.2020 bylo rozhodnuto o uzavření smlouvy se subjektem  VÍTKOVICE IT SOLUTIONS  a.s. na nákup a servis serverů. Servisní podpora bude hrazena ročně po dobu pěti let před začátkem ročního období.</t>
  </si>
  <si>
    <t>Servisní podpora související s nákupem nových serverů</t>
  </si>
  <si>
    <t xml:space="preserve">Poznámka                                                         </t>
  </si>
  <si>
    <t>MINISTERSTVO ŠKOLSTVÍ, MLÁDEŽE A TĚLOVÝCHOVY</t>
  </si>
  <si>
    <t>OP JAK – individuální projekty škol</t>
  </si>
  <si>
    <t>IROP 2021 - 2027 - individuální projekty škol</t>
  </si>
  <si>
    <t>34070 + ORJ 13</t>
  </si>
  <si>
    <t>MŽP</t>
  </si>
  <si>
    <t>MPO</t>
  </si>
  <si>
    <t>Město Frenštát pod Radhoštěm - Novostavba sportovní haly a multifunkčního sportoviště (Gymnázium a Střední průmyslová škola elektrotechniky a informatiky, Frenštát pod Radhoštěm, příspěvková organizace)</t>
  </si>
  <si>
    <t>Ministerstvo životního prostředí - Podpora přípravy strategických projektů</t>
  </si>
  <si>
    <t>Ministerstvo průmyslu a obchodu - Podpora provozu venkovských prodejen v Moravskoslezském kraji</t>
  </si>
  <si>
    <t>Obce MSK - Kotlíkové dotace v Moravskoslezském kraji - 3. grantové schéma AMO</t>
  </si>
  <si>
    <t>Očekávaná skutečnost</t>
  </si>
  <si>
    <t>Rekonstrukce objektu Na Pomezí (Sírius, příspěvková organizace, Opava)</t>
  </si>
  <si>
    <t>Rekonstrukce objektu (Základní škola, Hlučín, Gen. Svobody 8, příspěvková organizace)</t>
  </si>
  <si>
    <t>Modernizace Odborného léčebného ústavu Metylovice (Odborný léčebný ústav Metylovice - Moravskoslezské sanatorium, příspěvková organizace)</t>
  </si>
  <si>
    <t>Národní sportovní agentura - Novostavba sportovní haly a multifunkčního sportoviště (Gymnázium a Střední průmyslová škola elektrotechniky a informatiky, Frenštát pod Radhoštěm, příspěvková organizace)</t>
  </si>
  <si>
    <t>Multifunkční pavilon s možností izolačního režimu (Nemocnice ve Frýdku-Místku, příspěvková organizace)</t>
  </si>
  <si>
    <t>Zastupitelstvo kraje rozhodlo profinancovat a kofinancovat projekt dne 17. 3. 2021 usnesením č. 3/185. Projekt je financován formou záloh.</t>
  </si>
  <si>
    <t xml:space="preserve">PŘEHLED AKCÍ FINANCOVANÝCH Z ÚVĚRU ČESKÉ SPOŘITELNY, a. s. </t>
  </si>
  <si>
    <t>AKCE SPOLUFINANCOVANÉ Z EVROPSKÝCH FINANČNÍCH ZDROJŮ REALIZOVANÉ KRAJEM</t>
  </si>
  <si>
    <t>Digitálně technická mapa Moravskoslezského kraje</t>
  </si>
  <si>
    <t>CELKEM ZA AKCE SPOLUFINANCOVANÉ Z EVROPSKÝCH FINANČNÍCH ZDROJŮ REALIZOVANÉ KRAJEM</t>
  </si>
  <si>
    <t>REPRODUKCE MAJETKU KRAJE VYJMA AKCÍ SPOLUFINANCOVANÝCH Z EVROPSKÝCH FINANČNÍCH ZDROJŮ</t>
  </si>
  <si>
    <t>Letiště Leoše Janáčka Ostrava, výstavba odbavovací plochy APN S3</t>
  </si>
  <si>
    <t>Rekonstrukce silnice III/47811, II/478 Ostrava, ulice Mitrovická</t>
  </si>
  <si>
    <t>Rekonstrukce mostů ev. č. 486-011, 012 Hukvaldy (Správa silnic Moravskoslezského kraje, příspěvková organizace, Ostrava)</t>
  </si>
  <si>
    <t>Rekonstrukce mostu ev. č. 4804-2 Košatka (Správa silnic Moravskoslezského kraje, příspěvková organizace, Ostrava)</t>
  </si>
  <si>
    <t>Rekonstrukce budovy a spojovací chodby Máchova (Domov Duha, příspěvková organizace, Nový Jičín)</t>
  </si>
  <si>
    <t>Nákup budov a pozemků v Opavě (Sírius, příspěvková organizace, Opava)</t>
  </si>
  <si>
    <t xml:space="preserve">Nákup budovy a pozemků ve Skotnici (Domov NaNovo, příspěvková organizace) </t>
  </si>
  <si>
    <t>Stavební úpravy budovy na ul. Rybářská 27 (Domov Bílá Opava, příspěvková organizace)</t>
  </si>
  <si>
    <t>Dům pro volnočasové aktivity seniorů se zahradním parterem (Domov Letokruhy, příspěvková organizace, Budišov nad Budišovkou)</t>
  </si>
  <si>
    <t>Rekonstrukce elektroinstalace (Mendelovo gymnázium, Opava, příspěvková organizace)</t>
  </si>
  <si>
    <t>Rekonstrukce objektu na ul. B. Němcové, Opava (Střední odborné učiliště stavební, Opava, příspěvková organizace)</t>
  </si>
  <si>
    <t>Rekultivace vnitrobloku a zpevněné plochy (Polské gymnázium - Polskie Gimnazjum im. Juliusza Słowackiego, Český Těšín, příspěvková organizace)</t>
  </si>
  <si>
    <t>Demolice budov a výstavba sportoviště (Střední průmyslová škola a Obchodní akademie, Bruntál, příspěvková organizace)</t>
  </si>
  <si>
    <t>Rekonstrukce školní kuchyně a výdejny (Základní škola, Ostrava - Poruba, Čkalovova 942, příspěvková organizace)</t>
  </si>
  <si>
    <t>Modernizace Školního statku v Opavě (Školní statek, Opava, příspěvková organizace)</t>
  </si>
  <si>
    <t>Rekonstrukce elektroinstalace hlavní budovy školy (Slezské gymnázium, Opava, příspěvková organizace)</t>
  </si>
  <si>
    <t>Přístavba tělocvičny (Gymnázium, Třinec, příspěvková organizace)</t>
  </si>
  <si>
    <t>Stavební úpravy tělocvičny (Střední škola průmyslová, Krnov, příspěvková organiazce)</t>
  </si>
  <si>
    <t>Rekonstrukce střechy budov dílen (Střední průmyslová škola, Ostrava - Vítkovice, příspěvková organizace)</t>
  </si>
  <si>
    <t>Rekonstrukce prostor dílen (Střední průmyslová škola, Ostrava-Vítkovice, příspěvková organizace)</t>
  </si>
  <si>
    <t>Přístavba a nástavba rehabilitace (Nemocnice Třinec, příspěvková organizace)</t>
  </si>
  <si>
    <t>Nemocnice Havířov - ČOV (Nemocnice Havířov, příspěvková organizace)</t>
  </si>
  <si>
    <t>Pavilon F - stavební úpravy 1.NP pro rehabilitaci (Slezská nemocnice v Opavě, příspěvková organizace)</t>
  </si>
  <si>
    <t>Výstavba operačních sálů a dospávacího pokoje (Nemocnice s poliklinikou Karviná-Ráj, příspěvková organizace)</t>
  </si>
  <si>
    <t>Pavilon H - stavební úpravy a přístavba (Slezská nemocnice v Opavě, příspěvková organizace)</t>
  </si>
  <si>
    <t>Rekonstrukce hemodialýzy v budově S (Nemocnice ve Frýdku-Místku, příspěvková organizace)</t>
  </si>
  <si>
    <t>Rekonstrukce podkroví (Odborný léčebný ústav Metylovice - Moravskoslezské sanatorium, příspěvková organizace)</t>
  </si>
  <si>
    <t>Domov sester - přístavba výtahu a stavební úpravy (Slezská nemocnice v Opavě, příspěvková organizace)</t>
  </si>
  <si>
    <t>CELKEM ZA AKCE REPRODUKCE MAJETKU KRAJE VYJMA AKCÍ SPOLUFINANCOVANÝCH Z EVROPSKÝCH FINANČNÍCH ZDROJŮ</t>
  </si>
  <si>
    <t>Tabulka č. 9</t>
  </si>
  <si>
    <t>Přehled akcí financovaných z úvěru České spořitelny, a. s.</t>
  </si>
  <si>
    <t>rok 2024</t>
  </si>
  <si>
    <t>rok 2025</t>
  </si>
  <si>
    <t>ODVĚTVÍ  DOPRAVY:</t>
  </si>
  <si>
    <t>ORJ</t>
  </si>
  <si>
    <t xml:space="preserve">Operativní leasing osobních automobilů II. </t>
  </si>
  <si>
    <t>ARVAL CZ s.r.o. (26726998)</t>
  </si>
  <si>
    <t>04013/2021/KŘ</t>
  </si>
  <si>
    <t>Zastupitelstvo kraje usnesením č. 2/128 ze dne 17.12.2020 rozhodlo zařadit finanční prostředky na zajištění financování operativního leasingu do rozpočtu kraje roku 2022, 2023, 2024, 2025. Rada kraje usnesením č. 22/1401 ze dne 19.7.2021 rozhodla o uzavření smlouvy s ARVAL CZ s.r.o.</t>
  </si>
  <si>
    <t>2, 7</t>
  </si>
  <si>
    <t>Zpracování dat a zajištění služeb souvisejících s informačními a komunikačními technologiemi</t>
  </si>
  <si>
    <t xml:space="preserve">Kooperativa pojišťovna, a.s., Vienna Insurance Group
(47116617),
 Generali Česká pojišťovna, a.s.
(45272956)      </t>
  </si>
  <si>
    <t>7</t>
  </si>
  <si>
    <t>Moody's Investors Service EMEA Limited
(03093859)</t>
  </si>
  <si>
    <t>GW TRAIN REGIO, a.s.
(28664116)</t>
  </si>
  <si>
    <t xml:space="preserve">Závazek Moravskoslezského kraje byl v min. výši 240,24 mil. Kč schválen usnesením zastupitelstva kraje č. 4/289 ze dne 17.6.2021. Závazek trvá od prosince 2023 do prosince 2027 na základě uzavřené Smlouvy o veřejných službách v přepravě cestujících k zajištění dopravní obslužnosti kraje veřejnou drážní osobní dopravou. </t>
  </si>
  <si>
    <t>MBM rail s.r.o., Jaroměř
(25277171)</t>
  </si>
  <si>
    <t>Dohoda o zapojení a podmínkách integrace vlaků dopravce do Integrovaného dopravního systému ODIS</t>
  </si>
  <si>
    <t>RegioJet a.s.,
(28333187)</t>
  </si>
  <si>
    <t>Závazek Moravskoslezského kraje byl schválen usnesením zastupitelstva kraje č. 5/399 ze dne 16.9.2021 v max. výši 1,2 mil. Kč k úhradě protarifovací ztráty na základě Dohody o zapojení a podmínkách integrace vlaků dopravce do Integrovaného dopravního systému ODIS. Závazek bude trvat do roku 2027.</t>
  </si>
  <si>
    <t>01059/2021/DSH</t>
  </si>
  <si>
    <t>Transdev Morava s.r.o.
(06738346)</t>
  </si>
  <si>
    <t>Závazek Moravskoslezského kraje byl schválen usnesením zastupitelstva kraje č. 4/253 ze dne 15.6.2017 v min. výši 1.638.000.000 Kč, který byl následně změněn usnesením zastupitelstva kraje č. 6/542 ze dne 14.12.2017 na min. výši 1.729.000.000 Kč. závazek trvá do roku 2029.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2029.</t>
  </si>
  <si>
    <t>Zajištění dopravní obslužnosti linkovou dopravou - oblast Opavsko (Ostrava - Šumperk)</t>
  </si>
  <si>
    <t>Statutární město Opava
(00300535)</t>
  </si>
  <si>
    <t>Statutární město Ostrava
(00845451)</t>
  </si>
  <si>
    <t>Zlínský kraj
(70891320)</t>
  </si>
  <si>
    <t>Závazek Moravskoslezského kraje byl schválen usnesením zastupitelstva kraje č. 12/1400 ze dne 13.6.2019 a usnesením č. 14/1674 ze dne 12.12.2019 byla schválena jeho aktualizace. Aktualizovaný závazek byl schválen v max. výši 800 tis. EUR/ rok na dobu 5 let od zahájení  leteckého spojení. Rada kraje usnesením č.  25/1691 ze dne 13.9.2021 projednala přerušení smlouvy na období cca 1/2 roku, čímž došlo k prodloužení trvání smlouvy.</t>
  </si>
  <si>
    <t>Letiště Ostrava, a.s.
(26827719)</t>
  </si>
  <si>
    <t>Čištění komunikací</t>
  </si>
  <si>
    <t>Centrum veřejných energetiků (Moravskoslezské energetické centrum, příspěvková organizace, Ostrava)</t>
  </si>
  <si>
    <t>Certifikace ISO 50001 (certifikovaný systém hospodaření s energií), včetně dozorových auditů</t>
  </si>
  <si>
    <t>Z.L.D. s.r.o.
(25631365)</t>
  </si>
  <si>
    <t>Závazek vyplývající ze smlouvy č. 02380/2011/KH uzavřené s dodavatelem na poskytování servisní a uživatelské podpory aplikace ECC na dobu neurčitou.</t>
  </si>
  <si>
    <t>ODVĚTVÍ PREZENTACE KRAJE A EDIČNÍ PLÁN:</t>
  </si>
  <si>
    <t>Ostrava !!! EFEKT (architektonicky významné stavby města Ostravy ve sběrném dokumentu České televize)</t>
  </si>
  <si>
    <t>0104</t>
  </si>
  <si>
    <t>ČESKÁ TELEVIZE
(00027383)</t>
  </si>
  <si>
    <t xml:space="preserve">04813/2021/KH </t>
  </si>
  <si>
    <t>Smlouva o spolupráci č. 04813/2021/KH uzavřená mezi Moravskoslezským krajem, statutárním městem Ostrava a Českou televizí Ostrava při výrobě unikátního televizního časosběrného dokumentu, který  by mapoval přípravu a výstavbu významných architektonických staveb v Ostravě.</t>
  </si>
  <si>
    <t>ODVĚTVÍ PREZENTACE KRAJE A EDIČNÍ PLÁN CELKEM</t>
  </si>
  <si>
    <t>Trojhalí Karolina
(72089237)</t>
  </si>
  <si>
    <t>Národní síť zdravých měst České republiky
(61385247)</t>
  </si>
  <si>
    <t>Spolufinancování provozu Moravskoslezského inovačního centra Ostrava, a.s.</t>
  </si>
  <si>
    <t>Moravskoslezské inovační centrum Ostrava, a.s.
(25379631)</t>
  </si>
  <si>
    <t>VŠB-TUO
(61989100),
Slezská univerzita v Opavě
(47813059),
Ostravská univerzita
(61988987)</t>
  </si>
  <si>
    <t>Závazek dofinancovat výplatu druhých splátek dotací po předložení závěrečných vyúčtování v roce 2025 je vyvolán zařazením dotačního programu do rozpočtu kraje na rok 2022.</t>
  </si>
  <si>
    <t>Dotační program – Úprava lyžařských běžeckých tras v Moravskoslezském kraji 2022/2023, 2023/2024 a 2024/2025</t>
  </si>
  <si>
    <t>Multifunkční sportovní hala v Ostravě</t>
  </si>
  <si>
    <t>Částečná kompenzace nákladů spojených s převodem činnosti Střední odborné školy waldorfská, Ostrava, příspěvková organizace</t>
  </si>
  <si>
    <t>Mistrovství světa v ledním hokeji 2024</t>
  </si>
  <si>
    <t>Fakultní nemocnice Ostrava
(00843989)</t>
  </si>
  <si>
    <t>Závazek kraje vyplývající ze smlouvy č. 03554/2018/ZDR na technickou a servisní podporu v rámci elektronizace procesů podpory sdílení dat a komunikace ve zdravotnictví.</t>
  </si>
  <si>
    <t xml:space="preserve">Kybernetická bezpečnost – příspěvkové organizace kraje </t>
  </si>
  <si>
    <t>8503</t>
  </si>
  <si>
    <t>Informační systém o znečištění ovzduší</t>
  </si>
  <si>
    <t>Dotační program – Podpora návrhu řešení nakládání s vodami na území, příp. části území, obce</t>
  </si>
  <si>
    <t>Dotační program – Podpora vzdělávání a poradenství v oblasti životního prostředí</t>
  </si>
  <si>
    <t>Dotační program - Podpora odpadového hospodářství</t>
  </si>
  <si>
    <t>Propagace v oblasti životního prostředí</t>
  </si>
  <si>
    <t>Osvětová činnost</t>
  </si>
  <si>
    <t>Subjekt</t>
  </si>
  <si>
    <t>Osazení a správa pachových ohradníků na vybraných úsecích silnic II. a III. tříd v Moravskoslezském kraji (Správa silnic Moravskoslezského kraje, příspěvková organizace, Ostrava)</t>
  </si>
  <si>
    <t>Financování akce bylo schváleno usnesením zastupitelstva kraje č. 4/291 ze 17. 6. 2021.</t>
  </si>
  <si>
    <t>Dynamický systém rezervace parkovacích míst u budov KÚ MSK</t>
  </si>
  <si>
    <t>Stabilizace zdiva hradu Hukvaldy (Muzeum Beskyd Frýdek-Místek, příspěvková organizace)</t>
  </si>
  <si>
    <t>Rekonstrukce sportovní haly včetně zázemí (Střední průmyslová škola, Obchodní akademie a Jazyková škola s právem státní jazykové zkoušky, Frýdek-Místek, příspěvková organizace)</t>
  </si>
  <si>
    <t>Oprava krovů a střešního pláště budov školního statku (Školní statek, Opava, příspěvková organizace)</t>
  </si>
  <si>
    <t>Zřízení nového gastrocentra (Střední škola prof. Zdeňka Matějčka, Ostrava-Poruba, příspěvková organizace)</t>
  </si>
  <si>
    <t>Rekonstrukce kanalizace - Karviná (Nemocnice s poliklinikou Karviná-Ráj, příspěvková organizace)</t>
  </si>
  <si>
    <t>Plán rozvoje vodovodů a kanalizací MSK - webová aplikace</t>
  </si>
  <si>
    <t>I/56 Ostrava – prodloužená Místecká, III. stavba</t>
  </si>
  <si>
    <t>Novostavba Dětského centra (Dětské centrum Pluto, příspěvková organizace, Havířov)</t>
  </si>
  <si>
    <t>Česká spořitelna, a.s.
(45244782)</t>
  </si>
  <si>
    <t>Přístavba Domu umění - Galerie 21. století (Galerie výtvarného umění v Ostravě, příspěvková organizace)</t>
  </si>
  <si>
    <t>Výstavba sportovní haly pro Gymnázium a SPŠEI ve Frenštátě pod Radhoštěm (Gymnázium a Střední průmyslová škola elektrotechniky a informatiky, Frenštát pod Radhoštěm, příspěvková organizace)</t>
  </si>
  <si>
    <t>Výdaje financované z úvěru ČS</t>
  </si>
  <si>
    <t>PŘEHLED OČEKÁVANÝCH ÚČELOVÝCH DOTACÍ V LETECH 2024-2026</t>
  </si>
  <si>
    <t>Olomoucký a Zlínský kraj - příspěvek na dopravní obslužnost drážní</t>
  </si>
  <si>
    <t>Státní fond životního prostředí - Plán pro zvládání sucha a nedostatku vody</t>
  </si>
  <si>
    <t>Národní sportovní agentura - Výstavba sportovního plaveckého bazénu při Sportovním gymnáziu Dany a Emila Zátopkových v Ostravě</t>
  </si>
  <si>
    <t>Statutární město Ostrava - dotace na akci "Propagace Moravskoslezského kraje prostřednictvím letecké reklamy"</t>
  </si>
  <si>
    <t xml:space="preserve">NOP - EU – Národní plán obnovy - doučování </t>
  </si>
  <si>
    <t xml:space="preserve">NOP - EU - Národní plán obnovy – pořízení učebních pomůcek využitelných pro rozvoj informatického myšlení dětí a jejich digitálních kompetencí </t>
  </si>
  <si>
    <t>NOP - EU – Národní plán obnovy - pořízení mobilních digitálních technologií pro znevýhodněné žáky</t>
  </si>
  <si>
    <t>Programy přeshraniční spolupráce - individuální projekty škol</t>
  </si>
  <si>
    <t>Žerotínský zámek - revitalizace objektu (Muzeum Novojičínska, příspěvková organizace)</t>
  </si>
  <si>
    <t>Novostavba výukových prostor včetně venkovních úprav (Střední škola teleinformatiky, Ostrava, příspěvková organizace)</t>
  </si>
  <si>
    <t>ORG</t>
  </si>
  <si>
    <t>ZÁLOHOVÝ</t>
  </si>
  <si>
    <t>2026</t>
  </si>
  <si>
    <t>po r. 2026</t>
  </si>
  <si>
    <t xml:space="preserve">MOTUS-Integrating spatial planning with new green mobility solutions to enhance connectivity in rural and peripheral regions of Central Europe“ – „MOTUS- Integrace prostorového plánování s novými řešeními zelené mobility pro lepší propojení venkovských a okrajových oblastí střední Evropy“ </t>
  </si>
  <si>
    <t>Zastupitelstvo kraje rozhodlo o profinancování a kofinancování projektu dne 16.12.2021 usnesením č. 6/517 a usnesením č. 7/634 ze dne 16.3.2022 rozhodlo zastupitelstvo kraje o navýšení kofinancování a profinancování.</t>
  </si>
  <si>
    <t>Rekonstrukce a modernizace silnice II/442 VD Kružberk – Svatoňovice – Čermná ve Slezsku</t>
  </si>
  <si>
    <t>Zastupitelstvo kraje rozhodlo o profinancování a kofinancování projektu 16. 6. 2022 usnesením č. 8/749.</t>
  </si>
  <si>
    <t>Rekonstrukce a modernizace silnice II/443 Štáblovice – Otice</t>
  </si>
  <si>
    <t>Rekonstrukce a modernizace silnice II/472 Karviná, ul. Borovského</t>
  </si>
  <si>
    <t>Rekonstrukce silnic II/445 a II/370 (Rýmařov)</t>
  </si>
  <si>
    <t>Rozhodnutí o kofinancování a profinancování projektu bude předloženo ke schválení na zasedání zastupitelstva kraje 15.12.2022.</t>
  </si>
  <si>
    <t>POHO Park Gabriela</t>
  </si>
  <si>
    <t>Zastupitelstvo kraje rozhodlo o profinancování a kofinancování projektu 15. 9. 2022 usnesením č. 9/888.</t>
  </si>
  <si>
    <t>Černá kostka – Centrum digitalizace, vědy a inovací</t>
  </si>
  <si>
    <t>Zastupitelstvo kraje rozhodlo profinancovat a kofinancovat projekt dne 15. 9. 2022 usnesením č. 9/886.</t>
  </si>
  <si>
    <t>Digitalizace kulturního dědictví Moravskoslezského kraje</t>
  </si>
  <si>
    <t xml:space="preserve">Zastupitelstvo kraje rozhodlo profinancovat a kofinancovat projekt dne 15. 9. 2022 usnesením č. 9/884.  </t>
  </si>
  <si>
    <t>Nová Horka - centrum tradic a zážitků</t>
  </si>
  <si>
    <t>Zastupitelstvo kraje rozhodlo profinancovat a kofinancovat projekt dne 16. 3. 2022 usnesením č. 7/635  a usnesením č. 8/743 ze dne 16.6.2022 rozhodlo zastupitelstvo kraje o zvýšení profinancování a kofinancování.</t>
  </si>
  <si>
    <t>Novostavba depozitáře Muzeum v Bruntále</t>
  </si>
  <si>
    <t>Zastupitelstvo kraje rozhodlo profinancovat a kofinancovat projekt dne 15.9.2022 usnesením č. 9/877 a navýšení kofinancování a profinancování projektu bude předloženo zastupitelstvu na jeho zasedání dne 15.12.2022.</t>
  </si>
  <si>
    <t>Rekonstrukce depozitáře Muzea Beskyd Frýdek-Místek</t>
  </si>
  <si>
    <t xml:space="preserve">Zastupitelstvo kraje rozhodlo o profinancování a kofinancování projektu dne 15.9.2022 usnesením č. 9/884.  </t>
  </si>
  <si>
    <t xml:space="preserve">Těšínské divadelní a kulturní centrum </t>
  </si>
  <si>
    <t>Zastupitelstvo kraje rozhodlo o profinancování a kofinancování projektu dne 16.3.2022 usnesením č. 7/635 a usnesením č. 8/743 ze dne 16.6.2022 rozhodlo zastupitelstvo kraje o navýšení profinancování a kofinancování.</t>
  </si>
  <si>
    <t xml:space="preserve">Zámek Bruntál - revitalizace objektu </t>
  </si>
  <si>
    <t>Žerotínský zámek – centrum relaxace a poznání</t>
  </si>
  <si>
    <t xml:space="preserve">Zastupitelstvo kraje rozhodlo o profinancování a kofinancování projektu dne 15.9.2022 usnesením č. 9/877.  </t>
  </si>
  <si>
    <t>Smart akcelerátor MSK</t>
  </si>
  <si>
    <t>ANO</t>
  </si>
  <si>
    <t>Chráněné bydlení Okrajová</t>
  </si>
  <si>
    <t>Zastupitelstvo kraje rozhodlo o profinancování a kofinancování projektu dne 15. 9. 2022 usnesením č. 9/878.</t>
  </si>
  <si>
    <t>Podpora (Ne)formální péče v Moravskoslezském kraji</t>
  </si>
  <si>
    <t>Zastupitelstvo kraje rozhodlo o profinancování a kofinancování projektu dne 15. 9. 2022 usnesením č. 9/875. Projekt bude financován formou záloh.</t>
  </si>
  <si>
    <t>Podpora komunitní práce v MSK III</t>
  </si>
  <si>
    <t>Zastupitelstvo kraje rozhodlo o profinancování a kofinancování projektu dne 16. 6. 2022 usnesením č. 8/771 ve znění usnesení č. 9/887 ze dne 15.9.2022 . Projekt bude financován formou záloh.</t>
  </si>
  <si>
    <t>Podpora návazných aktivit sociálních služeb v MSK</t>
  </si>
  <si>
    <t>Podpora procesu plánování sociálních služeb na území MSK</t>
  </si>
  <si>
    <t>Zastupitelstvo kraje rozhodlo o profinancování a kofinancování projektu dne 16. 6. 2022 usnesením č. 8/771 ve znění usnesení č. 9/887 ze dne 15. 9. 2022. Projekt je financován formou záloh.</t>
  </si>
  <si>
    <t>Podpora služeb sociální prevence 2022+</t>
  </si>
  <si>
    <t>Zastupitelstvo kraje rozhodlo o profinancování a kofinancování projektu dne 16. 3. 2022 usnesením č. 7/633. Projekt je financován formou záloh.</t>
  </si>
  <si>
    <t>Profesionalizace systému péče o ohrožené děti v Moravskoslezském kraji</t>
  </si>
  <si>
    <t xml:space="preserve">Zastupitelstvo kraje rozhodlo o profinancování a kofinancování projektu dne 16. 6. 2022 usnesením č. 8/771 a usnesením č. 9/887 ze dne 15. 9. 2022 rozhodlo zastupitelstvo kraje o jeho navýšení. Projekt je financován formou záloh. </t>
  </si>
  <si>
    <t>Žít normálně II</t>
  </si>
  <si>
    <t>Zastupitelstvo kraje rozhodlo o profinancování a kofinancování projektu dne 16. 6. 2022 usnesením č. 8/771 a usnesením č. 9/875 ze dne 15. 9. 2022 rozhodlo zastupitelstvo kraje o jeho navýšení. Projekt je financován formou záloh.</t>
  </si>
  <si>
    <t>Rozšíření a modernizace výukových prostor na JG PT Ostrava-Poruba</t>
  </si>
  <si>
    <t>Zastupitelstvo kraje rozhodlo o profinancování a kofinancování projektu dne 15. 9. 2022 usnesením č. 9/874.</t>
  </si>
  <si>
    <t>TPA – Inovační centrum pro transformaci vzdělávání</t>
  </si>
  <si>
    <t xml:space="preserve">Zastupitelstvo kraje rozhodlo o profinancování a kofinancování projektu dne 15. 9.  2022 usnesením č. 9/892. </t>
  </si>
  <si>
    <t>Obnova vozového parku sanitních vozidel ZZS MSK</t>
  </si>
  <si>
    <t>Zastupitelstvo kraje rozhodlo o profinancování a kofinancování projektu dne 16. 6. 2022 usnesením č. 8/750.</t>
  </si>
  <si>
    <t>Výstavba výjezdového stanoviště Nový Jičín</t>
  </si>
  <si>
    <t xml:space="preserve">Zastupitelstvo kraje rozhodlo o zahájení realizace projektu a jeho profinancování a kofinancování dne 22. 9. 2016 usnesením č. 21/2254 ve znění usnesení č. 7/638 ze dne 16. 3. 2022. </t>
  </si>
  <si>
    <t>IP LIFE for Coal Mining Landscape Adaptation (IP LIFE pro adaptaci pohornické krajiny)</t>
  </si>
  <si>
    <t>Zastupitelstvo kraje rozhodlo profinancovat a kofinancovat projekt dne 13. 6. 2019 usnesením č. 12/1435. Projekt je financován formou záloh</t>
  </si>
  <si>
    <t>Kotlíkové dotace v Moravskoslezském kraji – 4. grantové schéma</t>
  </si>
  <si>
    <t>Zastupitelstvo kraje 6/562 ze dne 16.12.2021 rozhodlo zajistit financování závazku kraje na období 2022 – 2027 ve výši 7.500 Kč všem konečným uživatelům v dotačních programech zaměřených na výměnu zdrojů tepla na území Moravskoslezského kraje financovaných z Operačního programu Životní prostředí 2021 – 2027, tj. maximálně 61 mil. Kč</t>
  </si>
  <si>
    <t>Předfinancování příspěvku vybraných obcí konečným žadatelům v dotačním programu zaměřeném na výměnu zdrojů tepla na území Moravskoslezského kraje financovaného z Operačního programu Životní prostředí 2021 – 2027.  Celková předpokládaná výše předfinancování činí 40.000 tis. Kč v letech 2022-2026. S obcemi budou uzavřeny smlouvy, na základě kterých tyto prostředky kraj obdrží zpět, ovšem až po vyplacení dotace konečnému žadateli. Zastupitelstvo kraje usnesením č.  6/475 ze dne 16.12.2021 schválilo předfinancování příspěvků obcí. Prostředky na EU podíl kraj obdrží formou záloh.</t>
  </si>
  <si>
    <t xml:space="preserve">Zastupitelstvo kraje rozhodlo profinancovat a kofinancovat projekt dne 3. 9. 2020 usnesením č. 17/2087. Projekt je financován formou záloh. </t>
  </si>
  <si>
    <t>PŘEHLED OSTATNÍCH DLOUHODOBÝCH ZÁVAZKŮ KRAJE</t>
  </si>
  <si>
    <t xml:space="preserve">Závazek kraje vyplývající z dodavatelských smluv uzavřených krajem na dobu neurčitou. Jedná se o smlouvy na zajištění dodávek tepla, TUV, vodné a stočné, telekomunikační služby, odvoz odpadu, úklid a ostraha budov, revize výtahů, EZS, EPS, nákup kolků apod. v rámci činnosti krajského úřadu. V roce 2022 byl vysoutěžen nový dodavatel elektřiny v rámci sdružených služeb dodávky elektřiny na období 1/2 roku. Nová cen za 1 MWh činí 16.200 Kč, což představuje nárůst o 14.894 Kč/1 MWh oproti roku 2022, kdy byla cena 1.306 Kč/1 MWh. </t>
  </si>
  <si>
    <t xml:space="preserve">Závazek kraje vyplývající z dodavatelských smluv uzavřených krajem na dobu neurčitou. Jedná se o smlouvy na technickou a zákaznickou podporu (maintenance), na aktualizace a obnovu dat, služby k IT systémům a softwarové zpracování výstupů IT, apod. v rámci činnosti krajského úřadu. V roce 2022 byla uzavřena smlouva na poskytování servisní a technické podpory SW produktů Microsoft po dobu 5 let s výpovědnou lhjůtou 3 měsíců. </t>
  </si>
  <si>
    <t>07785/2020/IM, 07781/2020/IM, 07782/2020/IM, 07784/2020/IM</t>
  </si>
  <si>
    <t xml:space="preserve">Závazek Moravskoslezského kraje byl schválen usnesením zastupitelstva kraje č. 16/1926 ze dne 4. 6.2020 ve výši 260 mil. Kč na období od 1.7.2021-30.6.2026. S ohledem na vysoutěženou cenu byl usnesením zastupitelstva č. 17/2063 ze dne 3.9.2020 navýšen na částku 295 mil. Kč. </t>
  </si>
  <si>
    <t>01329/2012/IM, 01471/2011/IM, 02465/2013/IM, 03511/2016/IM, 08063/2018/IM, 07969/2020/IM, 03764/2021/IM</t>
  </si>
  <si>
    <t>Smart Innovation Center, s.r.o.
(65409574),
Veolia Energie ČR a.s.
(45193410), 
OVaK a.s.
(45193673)</t>
  </si>
  <si>
    <t>07969/2020/IM, 0102/2001/LP/4, 04987/2021/IM, 04988/2021/IM, 04989/2021/IM, 04990/2021/IM</t>
  </si>
  <si>
    <t>Moravskoslezský kraj uzavřel smlouvu č. 07969/2020/IM na služby spojené s pronájmem prostor pro příspěvkovou organizaci Moravskoslezské energetické centrum ve výši 1.272 tis. Kč ročně a smlouvy 0102/2001/LP/4 a 04987-90/2021/IM na služby a energie v prostorách Dr. Malého ve výši 1.200 tis. Kč ročně.</t>
  </si>
  <si>
    <t>Závazek na zpracování ratingu Moravskoslezského kraje vyplývá z uzavřených smluv s EIB na základě usnesení zastupitelstva č. 5/209 ze dne 23.6.2005 a č. 15/1270 ze dne 10.11.2010. O uzavření smlouvy s Moody´s rozhodla rada kraje usnesením č. 80/2952 ze dne 2.8.2006, smlouva sjednána na dobu neurčitou. Ve výhledu je počítáno s navýšením o inflace.  Jelikož ratingové hodnocení kraje je významné mimo jiné při získávání úvěrových zdrojů, je vhodné realizovat ratingové hodnocení i v dalších letech.</t>
  </si>
  <si>
    <t>Operace spojené s bankovními produkty (pouze část akce týkající se poplatků z bankovních účtů)</t>
  </si>
  <si>
    <t>ČNB, Česká spořitelna,
J &amp; T Banka, 
Komerční banka, 
Oberbank AG, 
Raiffeisenbank, 
 UniCredit Bank</t>
  </si>
  <si>
    <t>V rámci projektu (navazuje na projekt dle smlouvy č. 02027/2017/FIN) "Vytvoření metodiky a nástrojů sledování finančního zdraví obcí" navazujeme na akci, která dále pokračuje jako udržování funkčnosti aplikace. Jde o úplatné poskytování servisních úkonů Slezskou univerzitou v Opavě, které jsou nezbytné pro řádnou funkci webové aplikace. Tato aplikace bude provozována na serveru Slezské univerzity v Opavě, Obchodně podnikatelské fakulty v Karviné, kdy bude zajištěna dostupnost webové aplikace, servisní činnost a její správná funkčnost, včetně každoroční aktualizace dat za všechny municipality Moravskoslezského kraje.</t>
  </si>
  <si>
    <t xml:space="preserve">O uzavření smlouvy o financování projektu "Moravia-Silesia Regional Infra II (CZ)" ve výši 2.000 mil. Kč,  rozhodlo zastupitelstvo kraje svým usnesením č. 15/1270 ze dne 10.11.2010. Novou smlouvou o úvěru s UniCredit Bank Czech Republic and Slovakia, a. s. došlo ke splacení podstatné části jistiny úvěru od EIB (předčasné splacení 2., 3. a 4. tranše) ve výši 1.178 mil. Kč a rozpočet kraje dále počítá s pravidelnou splátkou zbývajících 2 tranší (1. a 5. tranše) ve výši 76,7 mil. Kč. </t>
  </si>
  <si>
    <t>Smlouva o poskytnutí úvěrového rámce ve výši 1.000.000 tis. Kč mezi UniCredit Bank Czech Republic and Slovakia, a.s. a Moravskoslezským krajem - splátky jistin</t>
  </si>
  <si>
    <t>UniCredit Bank Czech Republic and Slovakia, a.s. 
(64948242)</t>
  </si>
  <si>
    <t>Smlouva o poskytnutí úvěrového rámce ve výši 1.000.000 tis. Kč mezi UniCredit Bank Czech Republic and Slovakia, a.s. a Moravskoslezským krajem - platba úroků</t>
  </si>
  <si>
    <t>Smlouva o poskytnutí úvěrového rámce ve výši 1.009.700 tis. Kč mezi UniCredit Bank Czech Republic and Slovakia, a. s. a Moravskoslezským krajem II - refinancování úvěru EIB - splátky jistin</t>
  </si>
  <si>
    <t>O uzavření smlouvy o úvěru s UniCredit Bank Czech Republic and Slovakia, a.s. ve výši 1.009.700 tis. Kč rozhodlo zastupitelstvo kraje svým usnesením č. 12/1411 ze dne 13.6.2019. Předmětem úvěrové smlouvy je refinancování vybraných tranší (2., 3. a 4. tranše) úvěrového rámce od EIB, kdy cílem předčasného splacení je snížení úrokových nákladů placených krajem. Úvěr od UniCredit Bank bude splácen v letech 2020 – 2025.</t>
  </si>
  <si>
    <t>Smlouva o poskytnutí úvěrového rámce ve výši 1.009.700 tis. Kč mezi UniCredit Bank Czech Republic and Slovakia, a. s. a Moravskoslezským krajem II - refinancování úvěru EIB - platba úroků</t>
  </si>
  <si>
    <t>Smlouva o poskytnutí úvěrového rámce ve výši 3 mld. Kč mezi Českou spořitelnou, a. s. a Moravskoslezským krajem - splátky jistin</t>
  </si>
  <si>
    <t>Smlouva o poskytnutí úvěrového rámce ve výši 3 mld. Kč mezi Českou spořitelnou, a. s. a Moravskoslezským krajem - platba úroků</t>
  </si>
  <si>
    <t xml:space="preserve">Zajištění dopravní obslužnosti v Moravskoslezském kraji veřejnou drážní osobní dopravou na vybraných traťových linkách a úsecích v Moravskoslezském kraji – provozní soubor Ostravsko na území Moravskoslezského kraje s přesahem do Olomouckého, Zlínského a Žilinského kraje (SK) a Slezského vojvodství (PL), od prosince 2023 do prosince 2033 </t>
  </si>
  <si>
    <t>Závazek Moravskoslezského kraje bude předložen na zasedání  zastupitelstva kraje dne 15.12.2022. Závazek bude trvat od prosince 2023 do prosince 2033 na základě schválené smlouvy o zajištění dopravní obslužnosti v Moravskoslezském kraji veřejnou drážní osobní dopravou na vybraných traťových linkách a úsecích v Moravskoslezském kraji – provozní soubor Ostravsko na území Moravskoslezského kraje s přesahem do Olomouckého, Zlínského a Žilinského kraje (SK). 
Finanční prostředky na zajištění financování v případě jednotlivých let tak budou nárokovány v rámci návrhu rozpočtu Moravskoslezského kraje pro jednotlivé roky, na základě schváleného usnesení zastupitelstvem kraje, avšak vždy poníženy o předpokládané ovlivňující další faktory (výše tržeb, inflace/deflace).</t>
  </si>
  <si>
    <t>Zajištění dopravní obslužnosti v Moravskoslezském kraji veřejnou drážní osobní dopravou s na vybraných traťových linkách a úsecích v Moravskoslezském kraji, od prosince 2023 do prosince 2025.</t>
  </si>
  <si>
    <t>Závazek Moravskoslezského kraje bude předložen na zasedání  zastupitelstva kraje dne 15.12.2022. Závazek bude trvat od prosince 2023 do prosince 2025 na základě uzavřeného dodatku ke smlouvě o veřejných službách v přepravě cestujících k zajištění dopravní obslužnosti kraje veřejnou drážní osobní dopravou. 
Finanční prostředky na zajištění financování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t>
  </si>
  <si>
    <r>
      <t xml:space="preserve">Zajištění dopravní obslužnosti v Moravskoslezském kraji veřejnou drážní osobní dopravou vybraných vlaků na lince </t>
    </r>
    <r>
      <rPr>
        <b/>
        <sz val="8"/>
        <rFont val="Tahoma"/>
        <family val="2"/>
        <charset val="238"/>
      </rPr>
      <t>S6</t>
    </r>
    <r>
      <rPr>
        <sz val="8"/>
        <rFont val="Tahoma"/>
        <family val="2"/>
        <charset val="238"/>
      </rPr>
      <t xml:space="preserve"> Ostrava hl. n. – Frýdek-Místek – Frenštát pod Radhoštěm město na trati 323 Ostrava – Valašské Meziříčí od prosince roku 2023 do prosince roku 2027 - </t>
    </r>
    <r>
      <rPr>
        <b/>
        <sz val="8"/>
        <rFont val="Tahoma"/>
        <family val="2"/>
        <charset val="238"/>
      </rPr>
      <t>1. Provozní soubor</t>
    </r>
  </si>
  <si>
    <t xml:space="preserve">02191/2022/DSH
</t>
  </si>
  <si>
    <t xml:space="preserve">Závazek Moravskoslezského kraje byl schválen usnesením zastupitelstva kraje č. 3/167 ze dne 17. 3. 2021 v max. výši 810 mil. Kč  a usnesením č. 6/496 ze dne 16. 12. 2021 byl tento závazek změněn na max. výši 903 mil. Kč. Závazek bude trvat v období od prosince 2023 do prosince 2027. </t>
  </si>
  <si>
    <r>
      <t xml:space="preserve">Zajištění dopravní obslužnosti v Moravskoslezském kraji veřejnou drážní osobní dopravou na úseku linky </t>
    </r>
    <r>
      <rPr>
        <b/>
        <sz val="8"/>
        <rFont val="Tahoma"/>
        <family val="2"/>
        <charset val="238"/>
      </rPr>
      <t>S1</t>
    </r>
    <r>
      <rPr>
        <sz val="8"/>
        <rFont val="Tahoma"/>
        <family val="2"/>
        <charset val="238"/>
      </rPr>
      <t xml:space="preserve">, tratě 321  - </t>
    </r>
    <r>
      <rPr>
        <b/>
        <sz val="8"/>
        <rFont val="Tahoma"/>
        <family val="2"/>
        <charset val="238"/>
      </rPr>
      <t>2. Provozní soubor</t>
    </r>
  </si>
  <si>
    <r>
      <t>Zajištění dopravní obslužnosti v Moravskoslezském kraji veřejnou drážní osobní dopravou na trati 313 Milotice nad Opavou – Vrbno pod Pradědem v Moravskoslezském kraji, od prosince 2019 do prosince 2025 -</t>
    </r>
    <r>
      <rPr>
        <b/>
        <sz val="8"/>
        <rFont val="Tahoma"/>
        <family val="2"/>
        <charset val="238"/>
      </rPr>
      <t xml:space="preserve"> 4. Provozní soubor</t>
    </r>
  </si>
  <si>
    <r>
      <t>Zajištění dopravní obslužnosti v Moravskoslezském kraji veřejnou drážní osobní dopravou na trať 312 Bruntál - Malá Morávka, „Prázdninový provoz“ na území Moravskoslezského kraje od července 2019 do prosince 2025 -</t>
    </r>
    <r>
      <rPr>
        <b/>
        <sz val="8"/>
        <rFont val="Tahoma"/>
        <family val="2"/>
        <charset val="238"/>
      </rPr>
      <t xml:space="preserve"> 6. provozní soubor</t>
    </r>
  </si>
  <si>
    <t>04650/2021/DSH</t>
  </si>
  <si>
    <t>ČSAD Frýdek-Místek, a.s. 
(45192073)</t>
  </si>
  <si>
    <t>Usnesením zastupitelstva kraje č. 12/1408 ze dne 13.6.2019 byl schválen závazek kraje v max. výši 274.393.324 Kč na zajištění dopravní obslužnosti Moravskoslezského kraje v relaci Ostrava – Šumperk, a to na období 8,5 let od data zahájení poskytování veřejných služeb v přepravě cestujících veřejnou linkovou osobní dopravou v dané oblasti. Pro tuto oblast byla využita opce v rámci již uzavřené smlouvy na oblast Opavsko.</t>
  </si>
  <si>
    <t xml:space="preserve">Zastupitelstvo kraje svým usnesením č. 21/2211 ze dne 22.9.2016 rozhodlo o uzavření smlouvy o finanční spolupráci ve veřejné linkové osobní dopravě mezi Moravskoslezským krajem a Zlínským krajem. Dále usnesením zastupitelstva kraje č. 10/1083 ze dne 13.12.2018 byl schválen závazek v min. výši 24 mil. Kč. Závazek trvá od 9.12.2018 do 31.12.2028. </t>
  </si>
  <si>
    <t>Závazek Moravskoslezského kraje byl schválen usnesením zastupitelstva kraje č. 17/2041 ze dne 3.9.2020 v max. výši 1.039.486.500 Kč. Závazek bude trvat po dobu 10 let od zahájení služeb.  Finanční prostředky na zajištění financování konkrétní smlouvy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V současné době vyhlášená veřejná zakázka, ukončení podání nabídek je leden 2023.</t>
  </si>
  <si>
    <t>Správa železniční dopravní cesty, státní organizace 
(70994234)</t>
  </si>
  <si>
    <t>Memorandum o spolupráci při podpoře přípravy a realizace záměru souboru dopravních staveb „Modernizace ulice Na Karolině"</t>
  </si>
  <si>
    <t>02438/2022/DSH</t>
  </si>
  <si>
    <t>Závazek Moravskoslezského kraje byl schválen usnesením zastupitelstva kraje č. 8/734 ze dne 16.6.2022.</t>
  </si>
  <si>
    <t>Memorandum o spolupráci při realizaci stavby "Odvedení splaškových vod z lokality Krnov - Ježník"</t>
  </si>
  <si>
    <t>Město Krnov
(00296139)</t>
  </si>
  <si>
    <t>Závazek Moravskoslezského kraje bude schválen usnesením zastupitelstva kraje dne 15.12.2022.</t>
  </si>
  <si>
    <t>Správa silnic Moravskoslezského kraje, příspěvková organizace, Ostrava
(00095711)</t>
  </si>
  <si>
    <t>Technická údržba, podpora a služby k software v odvětví územního plánování a stavebního řádu</t>
  </si>
  <si>
    <t>0513</t>
  </si>
  <si>
    <t>VARS BRNO a.s.
 (63481901),
  GEOREAL s.r.o.
 (40527514),
 T-MAPY s.r.o.
 (47451084)</t>
  </si>
  <si>
    <t>08344/2020/DSH</t>
  </si>
  <si>
    <t xml:space="preserve">Zastupitelstvo kraje usnesením č. 5/455 ze dne  14.9.2017 rozhodlo zajistit udržitelnost projektu Geoportál MSK - část dopravní infrastruktura financovaného z Integrovaného regionálního operačního programu v letech 2022 - 2026. </t>
  </si>
  <si>
    <t>Povinnost zpracování Energetických auditů, případně povinnost zavedení certifikovaného systému hospodaření s energií dle normy ČSN EN ISO 50001:2019, a to na základě zákona č. 406/2000 Sb., o hospodaření energií.</t>
  </si>
  <si>
    <t>Centrum energetických a environmentálních technologií – explorer</t>
  </si>
  <si>
    <t>VŠB-TUO
(61989100)</t>
  </si>
  <si>
    <t>Závazek dofinancovat projekt "Centrum energetických a enviromentálních technologií - explorer" v roce 2024 je vyvolán zařazením individuální dotace (Vysoké škole báňské – Technické univerzitě Ostrava) do rozpočtu kraje na rok 2023.</t>
  </si>
  <si>
    <t xml:space="preserve">Rozvoj vodíkových technologií </t>
  </si>
  <si>
    <t>Moravskoslezský Vodíkový Klastr
(17464781)</t>
  </si>
  <si>
    <t xml:space="preserve">Členství Moravskoslezského kraje v zájmovém spolku na dobu neurčitou schválilo zastupitelstvo kraje usnesením č. 8/722 ze dne 16.6.2022. </t>
  </si>
  <si>
    <t xml:space="preserve">Výstavba nového koncertního sálu jako přístavba Domu kultury města Ostravy </t>
  </si>
  <si>
    <t>04849/2018/KPP
02452/2022/KPP</t>
  </si>
  <si>
    <t>Závazek Moravskoslezského kraje č. 8/729 ze dne 16.6.2022,  realizuje statutární město Ostrava, a to z rozpočtu kraje na rok 2023 ve výši 100 mil. Kč, na rok 2024 ve výši 100 mil. Kč a na rok 2026 ve výši 100 mil. Kč.</t>
  </si>
  <si>
    <t>Členství Moravskoslezského kraje v zájmovém sdružení na dobu neurčitou schválilo zastupitelstvo kraje usnesením č. 18/1535 ze dne 23.3.2011. Zastupitelstvu kraje bude předloženo ke schválení navýšení členského příspěvku na 6.500 tis. Kč na zasedání dne 15.12.2022.</t>
  </si>
  <si>
    <t>Členství na dobu neurčitou schválilo zastupitelstvo kraje usnesením č. 11/946 ze dne 21.4.2010. Zastupitelstvou kraje bude předloženo ke schválení navýšení členského příspěvku na 1.364 tis. Kč na zasedání dne 15.12.2022.</t>
  </si>
  <si>
    <t>Členství Moravskoslezského kraje v zájmovém sdružení na dobu neurčitou schválilo zastupitelstvo kraje usnesením č. 10/1116 ze dne 13.12.2018. Zastupitelstvou kraje bude předloženo ke schválení navýšení členského příspěvku na 50 tis. EUR na zasedání dne 15.12.2022.</t>
  </si>
  <si>
    <t>Podpora rozvojových aktivit v oblasti regionálního rozvoje - Nákup pozemků pro přípravu realizace projektu EDEN SILESIA</t>
  </si>
  <si>
    <t>Statutární město Karviná (00297534)</t>
  </si>
  <si>
    <t>Usnesením zastupitelstva kraje č. 9/885 ze dne 15.9.2022 bylo rozhodnuto o poskytnutí dotace statutárnímu městu Karviná a dále o závazku alokovat finanční prostředky na výplatu dotace v rozpočtu kraje na rok 2024.</t>
  </si>
  <si>
    <t>05088/2021/RRC</t>
  </si>
  <si>
    <t>Usnesením zastupitelstva kraje č. 6/535 ze dne 16.12.2021 bylo rozhodnuto o pověření poskytování služeb obecného hospodářského zájmu a závazku dofinancovat činnosti vymezené ve smlouvě v jednotlivých letech.</t>
  </si>
  <si>
    <t>Podpora odborného vzdělávání na vysokých školách v Moravskoslezském kraji</t>
  </si>
  <si>
    <t>Podpora přípravy strategických projektů</t>
  </si>
  <si>
    <t>Usnesením zastupitelstva kraje č. 7/645 ze dne 16.3.2022 bylo rozhodnuto o poskytnutí dotací na předprojektovou přípravu a závazku dofinancovat výplatu druhých a třetích splátek dotací v jednotlivých letech.</t>
  </si>
  <si>
    <t>Dotační program – Podpora obnovy a rozvoje venkova Moravskoslezského kraje 2023</t>
  </si>
  <si>
    <t>Závazek dofinancovat výplatu druhých splátek dotací po předložení závěrečných vyúčtování v roce 2024 je vyvolán zařazením dotačního programu do rozpočtu kraje na rok 2023.</t>
  </si>
  <si>
    <t>Usnesením zastupitelstva kraje č. 8/777 ze dne 16.6.2022 bylo rozhodnuto o poskytnutí dotací v rámci dotačního programu a závazku dofinancovat výplatu druhých splátek dotací po předložení závěrečných vyúčtování.</t>
  </si>
  <si>
    <t>Závazek dofinancovat výplatu druhých splátek dotací po předložení závěrečných vyúčtování v roce 2025 je vyvolán zařazením dotačního programu do rozpočtu kraje na rok 2023.</t>
  </si>
  <si>
    <t>Usnesením zastupitelstva kraje č. 6/523 ze dne 16.12.2021 bylo rozhodnuto o poskytnutí dotací v rámci dotačního programu a závazku dofinancovat výplatu druhých splátek dotací po předložení závěrečných vyúčtování.</t>
  </si>
  <si>
    <t>Závazek dofinancovat výplatu druhých splátek dotací po předložení závěrečných vyúčtování v roce 2026 je vyvolán zařazením dotačního programu do rozpočtu kraje na rok 2022.</t>
  </si>
  <si>
    <t>Dotační program – Podpora podnikání v Moravskoslezském kraji 2023</t>
  </si>
  <si>
    <t>Dotační program – Program na podporu stáží žáků a studentů ve firmách 2023</t>
  </si>
  <si>
    <t>Dotační program – Podpora znevýhodněných oblastí Moravskoslezského kraje 2023</t>
  </si>
  <si>
    <t>Rozšířené zájmové území Mošnov (pozemky)</t>
  </si>
  <si>
    <t>vlastníci pozemků</t>
  </si>
  <si>
    <t>Zastupitelstvo kraje svým usnesením č. 17/2054 ze dne 3. 9. 2020 (materiál č. 7/2) souhlasilo s pokračováním dalších aktivit směřujících k rozšíření zájmového území Mošnov v souladu s Rozvojovou studií rozšířeného zájmového území Mošnov (tzv. Velký Mošnov).</t>
  </si>
  <si>
    <t>Podpora významných akcí cestovního ruchu - Provoz lodní dopravy na Slezské Hartě 2022 - 2024</t>
  </si>
  <si>
    <t>Mikroregion Slezská Harta 
(1193821)</t>
  </si>
  <si>
    <t>00617/2022/RRC</t>
  </si>
  <si>
    <t>Závazek dofinancovat výplatu druhé a třetí splátky dotace rozhodlo zastupitelstvo kraje usnesením č. 7/651 ze dne 16.3.2022.</t>
  </si>
  <si>
    <t>Podpora významných akcí cestovního ruchu - Provoz parních vlaků Slezských zemských drah v letech 2022 - 2024</t>
  </si>
  <si>
    <t>Slezské zemské dráhy, o.p.s. (26819856)</t>
  </si>
  <si>
    <t>01048/2022/RRC</t>
  </si>
  <si>
    <t>Podpora významných akcí cestovního ruchu - Hvozdnický expres - zajištění vlakové dopravy na trati č. 314 (Opava-Svobodné Heřmanice) v období 2022 - 2024</t>
  </si>
  <si>
    <t>Mikroregion Hvozdnice (71194410)</t>
  </si>
  <si>
    <t>01847/2022/RRC</t>
  </si>
  <si>
    <t>Podpora významných akcí cestovního ruchu - Výletní vlaky Slezského železničního spolku 2022-2024</t>
  </si>
  <si>
    <t>SLEZSKÝ ŽELEZNIČNÍ SPOLEK (05424089)</t>
  </si>
  <si>
    <t>01437/2022/RRC</t>
  </si>
  <si>
    <t>Podpora významných akcí cestovního ruchu - ÚPRAVA LYŽAŘSKÝCH BĚŽECKÝCH TRAS V MORAVSKOSLEZSKÉM KRAJI V ZIMNÍCH SEZÓNÁCH 2022/2023, 2023/2024 A 2024/2025</t>
  </si>
  <si>
    <t>Oddíl lyžování Budišov nad Budišovkou, z.s. (26614782)</t>
  </si>
  <si>
    <t>04768/2022/RRC</t>
  </si>
  <si>
    <t>Usnesením zastupitelstva kraje č. 9/903 ze dne 15.9.2022 bylo rozhodnuto o poskytnutí dotace a závazku dofinancovat výplatu dalších splátek dotací v jednotlivých zimních sezónách.</t>
  </si>
  <si>
    <t>Usnesením zastupitelstva kraje č. 8/758 ze dne 16.6.2022 bylo rozhodnuto o poskytnutí dotací v rámci dotačního programu závazku dofinancovat výplatu dalších splátek dotací v jednotlivých zimních sezónách.</t>
  </si>
  <si>
    <t>Dotační program –Podpora infrastruktury a propagace cestovního ruchu v Moravskoslezském kraji</t>
  </si>
  <si>
    <t>Dotační program – Podpora kempování v Moravskoslezském kraji</t>
  </si>
  <si>
    <t>Usneseními zastupitelstva kraje č. 8/772 ze dne 16.6.2022 a č. 9/873 ze dne 15. 9. 2022 bylo rozhodnuto o poskytnutí dotací v rámci dotačního programu a závazku dofinancovat výplatu druhých splátek dotací po předložení závěrečných vyúčtování.</t>
  </si>
  <si>
    <t>Členský příspěvek Asociaci poskytovatelů sociálních služeb České republiky</t>
  </si>
  <si>
    <t>Asociace poskytovatelů sociálních služeb České republiky, z.s. (60445831)</t>
  </si>
  <si>
    <t>Členství Moravskoslezského kraje v Asociaci poskytovatelů sociálních služeb České republiky na dobu neurčitou schválilo zastupitelstvo kraje usnesení č. 8/809 ze dne 16.6.2022.</t>
  </si>
  <si>
    <t>Technická a podnikatelská akademie (TPA) a Moravskoslezská Technologická Akademie (MTA)</t>
  </si>
  <si>
    <t>Moravskoslezská Technologická Akademie, z. s. (17445191)</t>
  </si>
  <si>
    <t>Usnesením ZK č. 8/821 ze dne 16. 6. 2022 bylo rozhodnuto o závazku Moravskoslezského kraje ve výši celkem 8.500 tis. Kč na období let 2023 - 2025 a od roku 2026 ve výši 4.000 tis. Kč ročně za účelem úhrady příspěvku Hlavního zakladatele spolku Moravskoslezská Technologická Akademie, z. s. (na dobu neurčitou).</t>
  </si>
  <si>
    <t>Usnesením ZK č. 15/1879 ze dne 5.3.2020 byl schválen závazek kraje v maximální výši 80 mil. Kč k zajištění podpory k vybudování Multifunkční sportovní haly v Ostravě na ulici U Stadiónu v Ostravě - Moravské Ostravě, a to na období let 2021 - 2023. Usnesením ZK č. 4/357 ze dne 17.6.2021 bylo rozhodnuto o změně období schváleného závazku, a to na období let 2022-2025. Usnesením ZK č. 9/928 ze dne 15.9.2022 bylo rozhodnuto vypustit v usnesení období schváleného závazku (Memorandum o vzájemné spolupráci a finanční podpoře).</t>
  </si>
  <si>
    <t>Statutární město Ostrava- městský obvod Poruba
(00845451)</t>
  </si>
  <si>
    <t>Český svaz ledního hokeje z.s.
(00536440)</t>
  </si>
  <si>
    <t>00142/2022/ŠMS</t>
  </si>
  <si>
    <t xml:space="preserve">Technická údržba, podpora a služby k software v odvětví školství </t>
  </si>
  <si>
    <t>0514</t>
  </si>
  <si>
    <t>SoftwareONE Czech Republic s.r.o. (24207519)</t>
  </si>
  <si>
    <t>04898/2022/ŠMS</t>
  </si>
  <si>
    <t>Usnesením zastupitelstva kraje č. 8/817 ze dne 16.6.2022 bylo rozhodnuto o závazku kraje ve výši 24,9 mil. Kč na zajištění užívacích práv (licencí) pro využívání produktů společnosti Microsoft Corporation a souvisejících služeb v letech 2023 – 2025 pro organizace zřizované krajem v odvětví školství (předpokládané výdaje v jednotlivých letech 8,3 mil. Kč). Usnesením rady kraje č. 54/3814 ze dne 10.10.2022 bylo rozhodnuto uzavřít smlouvu za cenu nejvýše přípustnou 42,64 EUR bez DPH za poskytnutí jedné licence.</t>
  </si>
  <si>
    <t>Hry "Olympiády dětí a mládeže"</t>
  </si>
  <si>
    <t xml:space="preserve">Usnesením zastupitelstva kraje č. 7/689 ze dne 16.3.2022 byl schválen závazek kraje ve výši maximálně 30 mil. Kč na období let 2024 - 2025 vyvolaný podáním kandidatury na pořádání zimní olympiády dětí a mládeže v roce 2025 v Moravskoslezském kraji. </t>
  </si>
  <si>
    <t>0520</t>
  </si>
  <si>
    <t>ICZ a.s.
(25145444)</t>
  </si>
  <si>
    <t>00736/2022/INF</t>
  </si>
  <si>
    <t>Zastupitelstvo kraje usnesením č. 2/55 ze dne  17.12.2020 rozhodlo zajistit udržitelnost projektu  Digitální technická mapa Moravskoslezského kraje financovaného z Operačního programu Podnikání a inovace pro konkurenceschopnost v letech 2024 - 2028.</t>
  </si>
  <si>
    <t>Nemocnice Nový Jičín a.s.
(25886207)</t>
  </si>
  <si>
    <t>Nemocnice Nový Jičín a.s.
 (25886207)</t>
  </si>
  <si>
    <t>Smlouva na  zajištění činnosti nezávislých odborných komisí a o úhradě nákladů spojených s jejich činností je uzavřena na dobu neurčitou.</t>
  </si>
  <si>
    <t xml:space="preserve">Moravskoslezské datové centrum, p. o.
(06839517)
příspěvkové organizace v odvětví zdravotnictví </t>
  </si>
  <si>
    <t>Usnesením č. 8/738 ze dne 16.6.2022 - Zajištění aktivní kybernetické bezpečnosti pro 7 krajských nemocnic s cílem eliminovat nebo snížit rizika související s možným narušením důvěrnosti, integrity a dostupnosti informací v období 2023 - 2026.</t>
  </si>
  <si>
    <t>Dle § 110 odst. 1 zákona č. 372/2011 Sb., o zdravotních službách a podmínkách jejich poskytování, ve znění pozdějších předpisů, odpovídá kraj za organizaci a zajištění prohlídek těl zemřelých mimo zdravotnické zařízení na svém území.</t>
  </si>
  <si>
    <t>Zajištění lékařské pohotovostní služby</t>
  </si>
  <si>
    <t>919</t>
  </si>
  <si>
    <t>Městská nemocnice Ostrava, příspěvková organizace
(00635162)
AJNA dental clinic s.r.o. 
(0671493)</t>
  </si>
  <si>
    <t>02023/2020/ZDR, 00542/2020/ZDR, 00543/2020/ZDR</t>
  </si>
  <si>
    <t>Usnesením č. 7/621 ze dne 16. 3. 2022 rozhodlo zastupitelstvo kraje o závazku kraje ve výši 12.000.000 Kč ročně k zajištění lékařské pohotovostní služby a pohotovostní služby v oboru zubní lékařství na území okresu Ostrava-město.</t>
  </si>
  <si>
    <t>Memorandum o spolupráci se Slezskou univerzitou v Opavě, Fakultou veřejných politik</t>
  </si>
  <si>
    <t>8103</t>
  </si>
  <si>
    <t>02041/2022/ZDR</t>
  </si>
  <si>
    <t>Usnesením č. 8/737 ze dne 16.6.2022 , Rada kraje č. 43/2911 ze dne 25.4.2022 rozhodla uzavřít Memorandum o spolupráci se Slezskou univerzitou v Opavě, Fakultou veřejných politik, IČO 47813059, k plánu rozšíření akreditovaného studijního programu Všeobecné ošetřovatelství do Nemocnice Karviná-Ráj, příspěvková organizace.</t>
  </si>
  <si>
    <t xml:space="preserve">Moravskoslezský kraj zajišťuje údržbu chráněných části přírody na území kraje vyplývající z obecně právních předpisů. V návaznosti na to jsou uzavřené dlouhodobé smlouvy nebo smlouvy na dobu neurčitou s jednotlivými subjekty na tyto činnosti. Závazek Moravskoslezského kraje byl schválen usnesením zasedání zastupitelstva kraje č. 6/520 dne 14.12.2017 a byl upraven na jednání zastupitelstva kraje č. 6/475 dne 16.12.2021.                                                                   </t>
  </si>
  <si>
    <t xml:space="preserve">Usnesením zastupitelstva kraje č. 6/562 ze dne 16.12.2021 byl schválen závazek na období 2022 - 2024 ve výši 2 mil. Kč ročně na podporu regionálního monitoringu kvality ovzduší nad rámec celostátního monitoringu kvality ovzduší.                                                     </t>
  </si>
  <si>
    <t xml:space="preserve">obce </t>
  </si>
  <si>
    <t>Usnesením zastupitelstva kraje č. 6/562 ze dne 16.12.2021 byl schválen závazek na období 2022 - 2024 ve výši 2 mil. Kč ročně účelově určený na zlepšení nakládání se srážkovými nebo odpadními vodami na území obcí.</t>
  </si>
  <si>
    <t xml:space="preserve"> více subjektů </t>
  </si>
  <si>
    <t>Usnesením zastupitelstva kraje č. 6/562 ze dne 16.12.2021 byl schválen závazek na období 2022 - 2024 ve výši 2 mil. Kč ročně účelově určený k podpoře projektů zvyšujících environmentální povědomí obyvatel kraje.</t>
  </si>
  <si>
    <t>Usnesením zastupitelstva kraje č. 6/562 ze dne 16.12.2021 byl schválen závazek na období 2022 - 2024 ve výši 3 mil. Kč  účelově určený na flektivnější nakládání s komunálními odpady v obcích.</t>
  </si>
  <si>
    <t>Usnesením zastupitelstva kraje č. 6/562 ze dne 16.12.2021 byl schválen závazek na období 2022 - 2024 ve výši 350 tis. Kč ročně v oblasti ochrany lesa finančně podpořit kulturně vzdělávací akce pro děti a veřejnost částkou 100 tis. Kč a festival dřeva částkou 200 tis. Kč, za účelem podpory myslivosti přispěje kraj ze svého rozpočtu každoročně v letech 2022 - 2024 na chovatelské přehlídky částkou 50 tis. Kč.</t>
  </si>
  <si>
    <t>Ochrana druhů a stanovišť</t>
  </si>
  <si>
    <t>Závazek na období od 2023 - 2025 ve výši 744,15 tis. Kč ročně bude projednán zastupitelstvem kraje dne 15.12.2022. Účelově určené prostředky na provádění záchranného přenosu zvláště chráněných živočichů - obojživelníků na území Moravskoslezského kraje v letech 2023 – 2025. Jedná se o lokality HRADEC NAD MORAVICÍ (Kajlovec), TŘINEC (Lyžbice), FRÝDEK – MÍSTEK (Lysůvky), HÁJ VE SLEZSKU (Chabičov), MĚSTO ALBRECHTICE na základě následně uzavřených smluv o dílo.  Jedná se o výkon státní správy v přenesené působnosti, a to konkrétně zajištění obecné péče volně žijících živočichů a zvláštní ochrany těch druhů, které jsou vzácné či ohrožené. Zákon č. 114/1992 Sb., o ochraně přírody a krajiny, ve znění pozdějších předpisů.</t>
  </si>
  <si>
    <t xml:space="preserve">Usnesením zastupitelstva kraje č. 6/562 ze dne 16.12.2021 byl schválen závazek na období 2022 - 2024 ve výši 20 tis. Kč ročně účelově určený na zvýšení osvěty a podpory dobrovolnické činnosti (akce typu „Ukliďme si kousek svého kraje“, „Den čisté mobility“, „Den bez aut“, „Dny zdraví“). </t>
  </si>
  <si>
    <t>Ručitelský závazek MSK za závazky společnosti VaK Bruntál, a.s. - stav k 31.12.2021</t>
  </si>
  <si>
    <t xml:space="preserve">V souvislosti s žádostí společnosti VaK Bruntál, a. s. a na základě usnesením č. 5/277 ze dne 17.6.2009 rozhodlo zastupitelstvo kraje o převzetí ručitelského závazku za všechny dluhy obchodní společnosti VaK Bruntál a. s., a vydání prohlášení ručitele ve smyslu § 546 zákona č. 40/1964 Sb., občanský zákoník, ve znění pozdějších předpisů. Moravskoslezský kraj převzal ručení s ohledem na ust. § 143 odst. 4 insolvenčního zákona, když takový krok vyššího územního samosprávného celku je zákonným důvodem pro zamítnutí insolvenčního návrhu podaného věřitelem. Ve věci zajištění ručitelského závazku Moravskoslezského kraje je uzavřena smlouva o budoucí smlouvě zástavní se společností VaK Bruntál, a. s. Zachování majetkové účasti Moravskoslezského kraje ve společnosti VaK Bruntál, a. s., a ručitelského závazku je účelné až do doby dořešení sporů týkajících se údajných pohledávek společnosti FOCUS METAL, s.r.o., ke kterému probíhá soudní řízení. Ručitelský závazek je aktualizován pololetně podle údajů z účetnictví společnosti VaK Bruntál, a. s. 
Aktuálně je nařízeno odvolací řízení k vydanému rozsudku, které se bude konat 12.12.2022. </t>
  </si>
  <si>
    <t>Pronájem pozemků a staveb</t>
  </si>
  <si>
    <r>
      <t>Pronájem pozemků vyplývající z uzavřených smluv (01329/2012/IM, 01471/2011/IM, 02465/2013/IM, 03511/2016/IM,</t>
    </r>
    <r>
      <rPr>
        <b/>
        <sz val="8"/>
        <rFont val="Tahoma"/>
        <family val="2"/>
        <charset val="238"/>
      </rPr>
      <t xml:space="preserve"> </t>
    </r>
    <r>
      <rPr>
        <sz val="8"/>
        <rFont val="Tahoma"/>
        <family val="2"/>
        <charset val="238"/>
      </rPr>
      <t xml:space="preserve">08063/2018/IM), pronájem nebytových prostor pro příspěvkovou organizaci Moravskoslezské energetické centrum dle nájemní smlouvy č. 07969/2020/IM a pronájem skladovacích prostor v Ostravě Kunčičkách. Jedná se o smlouvy na dobu určitou i neurčitou. </t>
    </r>
  </si>
  <si>
    <r>
      <t>Zajištění dopravní obslužnosti v Moravskoslezském kraji veřejnou drážní osobní dopravou na vybraných traťových linkách a úsecích v Moravskoslezském kraji, od prosince 2019 do prosince 2025 -</t>
    </r>
    <r>
      <rPr>
        <b/>
        <i/>
        <sz val="8"/>
        <rFont val="Tahoma"/>
        <family val="2"/>
        <charset val="238"/>
      </rPr>
      <t xml:space="preserve"> 2. Provozní soubor</t>
    </r>
  </si>
  <si>
    <t>Závazek Moravskoslezského kraje byl v min. výši 4.400 mil. Kč schválen usnesením zastupitelstva kraje č. 8/834 ze dne 14.6.2018. Závazek trvá od prosince 2019 do prosince 2025 na základě uzavřené Smlouvy o veřejných službách v přepravě cestujících k zajištění dopravní obslužnosti kraje veřejnou drážní osobní dopravou. 
Zrušení závazku za podmínky schválení závazku zastupitelstvem kraje dne 15.12.2022  u provozního souboru Ostravsko na území Moravskoslezského kraje s přesahem do Olomouckého, Zlínského a Žilinského kraje (SK) a Slezského vojvodství (PL) a závazku k nového dodatku smlouvy 00607/2019/DSH.</t>
  </si>
  <si>
    <t>Závazek Moravskoslezského kraje byl schválen usnesením zastupitelstva kraje č. 12/1022 ze dne 11.12.2014 v min. výši 1.038.008.807 Kč. Závazek trvá od roku 2020 do roku 2025 na základě uzavřené smlouvy. 
Zrušení závazku za podmínky schválení závazku zastupitelstvem kraje dne 15.12.2022 u provozního souboru Ostravsko na území Moravskoslezského kraje s přesahem do Olomouckého, Zlínského a Žilinského kraje (SK) a Slezského vojvodství (PL).</t>
  </si>
  <si>
    <t>Závazek Moravskoslezského kraje byl schválen usnesením zastupitelstva kraje č. 13/1128 ze dne 5.3.2015 v min. výši 224.028.985 Kč. Závazek trvá od roku 2020 do roku 2027 na základě uzavřené smlouvy.
Zrušení závazku za podmínky schválení závazku zastupitelstvem kraje dne 15.12.2022 u provozního souboru Ostravsko na území Moravskoslezského kraje s přesahem do Olomouckého, Zlínského a Žilinského kraje (SK) a Slezského vojvodství (PL).</t>
  </si>
  <si>
    <r>
      <t xml:space="preserve">Zajištění dopravní obslužnosti v Moravskoslezském kraji veřejnou drážní osobní dopravou na části tratě 270 a části tratě 320 bez provozu vozidel z ROP v Moravskoslezském kraji, od prosince 2019 do prosince 2025 - </t>
    </r>
    <r>
      <rPr>
        <b/>
        <i/>
        <sz val="8"/>
        <rFont val="Tahoma"/>
        <family val="2"/>
        <charset val="238"/>
      </rPr>
      <t>3. Provozní soubor</t>
    </r>
  </si>
  <si>
    <t>Závazek Moravskoslezského kraje byl schválen usnesením zastupitelstva kraje č. 11/1225 ze dne 13.3.2019 v min. výši 393 mil. Kč. Závazek trvá od prosince 2019 do prosince 2025 na základě uzavřené smlouvy. 
Zrušení závazku za podmínky schválení závazku zastupitelstvem kraje dne 15.12.2022 u provozního souboru Ostravsko na území Moravskoslezského kraje s přesahem do Olomouckého, Zlínského a Žilinského kraje (SK) a Slezského vojvodství (PL).</t>
  </si>
  <si>
    <r>
      <t xml:space="preserve">Zajištění dopravní obslužnosti v Moravskoslezském kraji veřejnou drážní osobní dopravou na území Zlínského kraje na trati 323 Ostrava – Valašské Meziříčí od prosince 2020 do prosince 2025 - </t>
    </r>
    <r>
      <rPr>
        <b/>
        <i/>
        <sz val="8"/>
        <rFont val="Tahoma"/>
        <family val="2"/>
        <charset val="238"/>
      </rPr>
      <t>5. provozní soubor</t>
    </r>
  </si>
  <si>
    <t>Závazek Moravskoslezského kraje byl schválen usnesením zastupitelstva kraje č. 17/2043 ze dne 3.9.2020 ve výši 35 mil. Kč. Závazek trvá do roku 2025.
Zrušení závazku za podmínky schválení závazku zastupitelstvem kraje dne 15.12.2022 u provozního souboru Ostravsko na území Moravskoslezského kraje s přesahem do Olomouckého, Zlínského a Žilinského kraje (SK) a Slezského vojvodství (PL).</t>
  </si>
  <si>
    <t>Usnesením zastupitelstva kraje č. 4/356 ze dne 17.6.2021 byl schválen závazek kraje v celkové výši 30 mil. Kč k zajištění finanční podpory Mistrovství světa IIHF v ledním hokeji 2024 v České republice, a to na období let 2022–2024. Usnesením zastupitelstva kraje č. 6/557 ze dne 16.12.2021 bylo rozhodnuto o poskytnutí dotace ve výši 30 mil. Kč na realizaci projektu "Mistrovství světa IIHF v ledním hokeji 2024".</t>
  </si>
  <si>
    <t>Ochrana zálohovaných dat krajské korporace proti škodlivému kódu</t>
  </si>
  <si>
    <t>Návrh na rozhodnutí o profinancování a kofinancování projektu bude zastupitelstvu kraje předložen na zasedání dne 15.12.2022.</t>
  </si>
  <si>
    <t>Otevřený úřad – otevřené rozhraní pro přístup k datům</t>
  </si>
  <si>
    <t>Realizace bezpečnostních opatření podle zákona o kybernetické bezpečnosti II</t>
  </si>
  <si>
    <t>Statutární město Ostrava - dotace na spolufinancování projektu Černá kostka - centrum digitalizace, vědy a inovací</t>
  </si>
  <si>
    <t>RUČITELSKÉ ZÁVAZKY:</t>
  </si>
  <si>
    <t>Pozn.: Řádky uvedené kurzívou se do součtových řádků nenačítají (závazky k zajištění dopravní obslužnosti veřejnou drážní osobní dopravou, které jsou předloženy zastupitelstvu kraje dne 15.12.2022 ke zrušení).</t>
  </si>
  <si>
    <t>Závazek na období 2022-2024 ve výši 12 mil. Kč ročně byl schválen zastupitelstvem kraje usnesením č. 6/562 dne 16.12.2021.</t>
  </si>
  <si>
    <t xml:space="preserve"> 2026</t>
  </si>
  <si>
    <t xml:space="preserve">Memorandum o spolupráci na přípravě a realizaci stavby okružní křižovatky v Klimkovicích </t>
  </si>
  <si>
    <t xml:space="preserve">Memorandum o spolupráci na přípravě a realizaci stavby okružní křižovatky silnic II/464, III/46428 a MK Nová Horka ve Studénce </t>
  </si>
  <si>
    <t xml:space="preserve">Financování akce bylo schváleno usnesením zastupitelstva kraje č. 6/475 ze dne 16. 12. 2021. </t>
  </si>
  <si>
    <t>Příprava výstavby tramvajové tratě Ostrava – Orlová – Karviná (Správa silnic Moravskoslezského kraje)</t>
  </si>
  <si>
    <t>Financování akce bude předloženo ke schválení na jednání zastupitelstva kraje dne 15. 12. 2022 v rámci schvalování rozpočtu kraje na rok 2023.</t>
  </si>
  <si>
    <t>Silnice II/470, příprava stavby „Komunikace – Severní spoj“ v Ostravě (Správa silnic Moravskoslezského kraje)</t>
  </si>
  <si>
    <t>Financování akce bylo schváleno usnesením zastupitelstva kraje č. 4/338 ze dne 17. 6. 2021 a poslední úprava závazku  provedena usnesením č. 6/475 ze dne 16. 12. 2021.</t>
  </si>
  <si>
    <t>Financování akce bylo schváleno usnesením zastupitelstva kraje č. 4/1652 ze dne 12. 12. 2019 a poslední úprava závazku  provedena usnesením č. 6/475 ze dne 16. 12. 2021.</t>
  </si>
  <si>
    <t>Vysokorychlostní datová síť (Moravskoslezské datové centrum, příspěvková organizace, Ostrava)</t>
  </si>
  <si>
    <t>Financování akce bylo schváleno usnesením zastupitelstva kraje č. 2/21 ze dne 17. 12. 2020 a poslední úprava závazku  provedena usnesením 6/475 ze dne 16. 12. 2021.</t>
  </si>
  <si>
    <t xml:space="preserve">Financování realizace akce bylo schváleno na jednání zastupitelstva kraje usnesením č. 6/520 ze dne 14. 12. 2017. Memorandum o spolupráci při přípravě a realizaci projektu s ČR - Ministerstvem kultury (300 mil. Kč) a statutárním městem Ostrava (150 mil. Kč) bylo uzavřeno dne 25. 4. 2018. Poslední úprava závazku provedena usnesením č. 5/440 ze dne 16. 9. 2021. </t>
  </si>
  <si>
    <t>Financování akce bylo schváleno usnesením zastupitelstva kraje č. 10/1083 ze dne 13. 12. 2018 a poslední úprava závazku  provedena usnesením č. 9/915 ze dne 15. 9. 2022.</t>
  </si>
  <si>
    <t>Financování akce bylo schváleno usnesením zastupitelstva kraje č. 2/21 ze dne 17. 12. 2020 a poslední úprava závazku  provedena usnesením 8/794 ze dne 16. 6. 2022.</t>
  </si>
  <si>
    <t xml:space="preserve">Podpora rozvoje muzejnictví v Moravskoslezském kraji - příspěvkové organizace MSK </t>
  </si>
  <si>
    <t>Financování akce bylo schváleno usnesením zastupitelstva kraje č. 10/1083 ze dne 13. 12. 2018 a poslední úprava závazku provedena usnesením č. 6/475 ze dne 16. 12. 2021.</t>
  </si>
  <si>
    <t>Financování akce bylo schváleno usnesením zastupitelstva kraje č. 6/520 ze dne 14. 12. 2017 a poslední úprava závazku  provedena usnesením č. 9/915 ze dne 15.9. 2022..</t>
  </si>
  <si>
    <t>Revitalizace Slezského gymnázia (Slezské gymnázium, Opava, příspěvková organizace)</t>
  </si>
  <si>
    <t>Financování akce bylo schváleno usnesením zastupitelstva kraje č. 8/794 ze dne 16. 6. 2022.</t>
  </si>
  <si>
    <t>Rekonstrukce školní kuchyně a výdejny (Střední škola techniky a služeb, Karviná, příspěvková organizace)</t>
  </si>
  <si>
    <t>Financování akce bylo schváleno usnesením zastupitelstva kraje č. 4/338 ze dne 17. 6. 2021 a poslední úprava závazku  provedena usnesením č. 9/915 ze dne 15.9. 2022.</t>
  </si>
  <si>
    <t>Úprava parkovacích ploch (Střední škola, Základní škola a Mateřská škola, Karviná, příspěvková organizace)</t>
  </si>
  <si>
    <t>Financování akce bylo schváleno usnesením zastupitelstva kraje č. 10/1083 ze dne 13. 12. 2018 a poslední úprava závazku provedena usnesením č. 9/915 ze dne 15.9. 2022.</t>
  </si>
  <si>
    <t>Financování akce bylo schváleno usnesením zastupitelstva kraje č. 4/338 ze dne 17. 6. 2021 a poslední úprava závazku  provedena usnesením č. 9/915 ze dne 15. 9. 2022.</t>
  </si>
  <si>
    <t>Financování akce bylo schváleno usnesením zastupitelstva kraje č. 10/1083 ze dne 13. 12. 2018 a poslední úprava závazku  provedena usnesením č. 9/915 ze dne 15.9. 2022.</t>
  </si>
  <si>
    <t>Rekonstrukce a modernizace varny (Střední průmyslová škola chemická akademika Heyrovského, Ostrava, příspěvková organizace)</t>
  </si>
  <si>
    <t>Rekonstrukce tělocvičny (Gymnázium, Havířov-Podlesí, příspěvková organizace)</t>
  </si>
  <si>
    <t>Rekonstrukce elektroinstalace (Obchodní akademie, Český Těšín, příspěvková organizace)</t>
  </si>
  <si>
    <t>Rekonstrukce elektroinstalace (Gymnázium Josefa Kainara, Hlučín, příspěvková organizace)</t>
  </si>
  <si>
    <t>Modernizace koncertního sálu (Janáčkova konzervatoř v Ostravě, příspěvková organizace)</t>
  </si>
  <si>
    <t>Optimalizace využívaných prostor SŠP Krnov (Střední škola průmyslová, Krnov, příspěvková organizace)</t>
  </si>
  <si>
    <t>Závazek profinancovat a kofinancovat projekt byl schválen zastupitelstvem kraje dne 16. 9. 2021 usnesením č. 5/410 a usnesením č. 9/901 ze dne 15. 9. 2022 rozhodlo zastupitelstvo kraje o zvýšení profinancování a kofinancování.</t>
  </si>
  <si>
    <t>Výstavba sportovního plaveckého bazénu při Sportovním gymnáziu Dany a Emila Zátopkových v Ostravě (Sportovní gymnázium Dany a Emila Zátopkových, Ostrava, příspěvková organizace)</t>
  </si>
  <si>
    <t>Příprava projektu byla schválena usnesením zastpitelstva kraje č. 8/751 ze dne 16. 6. 2022. Financování akce bude předloženo ke schválení na jednání zastupitelstva kraje dne 15. 12. 2022 v rámci schvalování rozpočtu kraje na rok 2023.</t>
  </si>
  <si>
    <t>Rekonstrukce JIP neoperačních oborů (Nemocnice ve Frýdku-Místku, příspěvková organizace)</t>
  </si>
  <si>
    <t>Financování akce bude předloženo ke schválení na jednání zastupitelstva kraje dne 15. 12. 2022 v rámci schvalování rozpočtu kraje na rok 2022.</t>
  </si>
  <si>
    <t>Příprava projektu byla schválena usnesením zastpitelstva kraje č. 5/438 ze dne 16. 9. 2021. Financování akce bude předloženo ke schválení na jednání zastupitelstva kraje dne 15. 12. 2022 v rámci schvalování rozpočtu kraje na rok 2022.</t>
  </si>
  <si>
    <t>Kybernetická bezpečnost</t>
  </si>
  <si>
    <t>Usnesením  č. 8/738 ze dne 16. 6. 2022 - Zajištění aktivní kybernetické bezpečnosti pro 7 krajských nemocnic s cílem eliminovat nebo snížit rizika související s možným narušením důvěrnosti, integrity a dostupnosti informací v období 2023 - 2026.</t>
  </si>
  <si>
    <t>Závazek vznikl uzavřením Smlouvy o dílo a servisní smlouvy č. 03749/2020/ŽPZ na zhotovení aplikace pro webovou prezentaci a správu Plánu rozvoje vodovodů a kanalizací Moravskoslezského kraje.</t>
  </si>
  <si>
    <t>Závazek Moravskoslezského kraje byl schválen usnesením zastupitelstva kraje č. 9/858 ze dne 15.9.2022.</t>
  </si>
  <si>
    <t>Závazek Moravskoslezského kraje byl schválen usnesením zastupitelstva kraje č. 9/859 ze dne 15.9.2022.</t>
  </si>
  <si>
    <t xml:space="preserve">Financování akce bylo schváleno usnesením zastupitelstva kraje č. 4/338 ze dne 17. 6. 2021 a poslední úprava závazku provedena usnesením č. 8/793 ze dne 16. 6. 2022. </t>
  </si>
  <si>
    <t>číslo akce</t>
  </si>
  <si>
    <t>Odbor</t>
  </si>
  <si>
    <t>3555</t>
  </si>
  <si>
    <t>EP</t>
  </si>
  <si>
    <t>3425</t>
  </si>
  <si>
    <t>3445</t>
  </si>
  <si>
    <t>3450</t>
  </si>
  <si>
    <t>3448</t>
  </si>
  <si>
    <t>3449</t>
  </si>
  <si>
    <t>4190</t>
  </si>
  <si>
    <t>DSH</t>
  </si>
  <si>
    <t>4192</t>
  </si>
  <si>
    <t>4079</t>
  </si>
  <si>
    <t>IM</t>
  </si>
  <si>
    <t>4081</t>
  </si>
  <si>
    <t>5954</t>
  </si>
  <si>
    <t>5955</t>
  </si>
  <si>
    <t>5748</t>
  </si>
  <si>
    <t>4051</t>
  </si>
  <si>
    <t>5851</t>
  </si>
  <si>
    <t>5957</t>
  </si>
  <si>
    <t>4139</t>
  </si>
  <si>
    <t>5758</t>
  </si>
  <si>
    <t>5737</t>
  </si>
  <si>
    <t>4013</t>
  </si>
  <si>
    <t>5905</t>
  </si>
  <si>
    <t>5754</t>
  </si>
  <si>
    <t>5866</t>
  </si>
  <si>
    <t>Rekonstrukce cvičné kuchyně v prostorách Tyršova 34, Opava (Základní škola, Opava, Havlíčkova 1, příspěvková organizace)</t>
  </si>
  <si>
    <t>4028</t>
  </si>
  <si>
    <t>4036</t>
  </si>
  <si>
    <t>5914</t>
  </si>
  <si>
    <t>5947</t>
  </si>
  <si>
    <t>5879</t>
  </si>
  <si>
    <t>5884</t>
  </si>
  <si>
    <t>5867</t>
  </si>
  <si>
    <t>5750</t>
  </si>
  <si>
    <t>IM, ŠMS</t>
  </si>
  <si>
    <t>4105</t>
  </si>
  <si>
    <t xml:space="preserve"> ŠMS</t>
  </si>
  <si>
    <t>5730</t>
  </si>
  <si>
    <t>4002</t>
  </si>
  <si>
    <t>4012</t>
  </si>
  <si>
    <t>5456</t>
  </si>
  <si>
    <t>5971</t>
  </si>
  <si>
    <t>4027</t>
  </si>
  <si>
    <t>5681</t>
  </si>
  <si>
    <t>5834</t>
  </si>
  <si>
    <t>4004</t>
  </si>
  <si>
    <t>4007</t>
  </si>
  <si>
    <t>Úpravy venkovních ploch (Mateřská školka Klíček, Karviná-Hranice, Einsteinova 2849, příspěvková organizace)</t>
  </si>
  <si>
    <t>4096</t>
  </si>
  <si>
    <t>Rekonstrukce venkovního sportovního areálu (Střední průmyslová škola, Ostrava-Vítkovice, příspěvková organizace)</t>
  </si>
  <si>
    <t>4252</t>
  </si>
  <si>
    <t>4162</t>
  </si>
  <si>
    <t>4301</t>
  </si>
  <si>
    <t>5988</t>
  </si>
  <si>
    <t>5594</t>
  </si>
  <si>
    <t>5984</t>
  </si>
  <si>
    <t>5921</t>
  </si>
  <si>
    <t>5765</t>
  </si>
  <si>
    <t>5761</t>
  </si>
  <si>
    <t>5690</t>
  </si>
  <si>
    <t>4496</t>
  </si>
  <si>
    <t>Pavilon T - stavební úpravy a přístavba odd. onkologie (Slezská nemocnice v Opavě, příspěvková organizace)</t>
  </si>
  <si>
    <t>4372</t>
  </si>
  <si>
    <t>Výstavba nadzemních koridorů (Slezská nemocnice v Opavě, příspěvková organizace)</t>
  </si>
  <si>
    <t>5482</t>
  </si>
  <si>
    <t>Rekonstrukce dětského oddělení vč. DIP (Nemocnice ve Frýdku Místku, příspěvková organizace)</t>
  </si>
  <si>
    <t>4408</t>
  </si>
  <si>
    <t>Šatny pro zaměstnance v 1.PP budovy PCHO (Nemocnice ve Frýdku Místku, příspěvková organizace)</t>
  </si>
  <si>
    <t>4410</t>
  </si>
  <si>
    <t>Rekonstrukce JIP neoperačních oborů (Nemocnice ve Frýdku-Místku, příspěvková organizace )</t>
  </si>
  <si>
    <t>4485</t>
  </si>
  <si>
    <t>Usnesením zastupitelstva kraje č. 7/641 ze dne 16.3.2022 bylo rozhodnuto o poskytnutí dotace na realizaci projektu „Podpora vzniku nového studijního programu Zubní lékařství na Ostravské univerzitě (MSK)“ a závazku dofinancovat výplatu druhé splátky dotace ve výši 1.936 tis. Kč po předložení závěrečného vyúčtování. Zastupitelstvou kraje bude předloženo ke schválení poskytnutí dotací vysokým školám na zasedání dne 15.12.2022 se závazkem dofinancovat výplatu druhých splátek dotací v roce 2026.</t>
  </si>
  <si>
    <t>vysoké školy</t>
  </si>
  <si>
    <t>Dotační program - Program na podporu přípravy projektové dokumentace 2022</t>
  </si>
  <si>
    <t>Dotační program - Program na podporu přípravy projektové dokumentace 2023</t>
  </si>
  <si>
    <t>Dotační program - Podpora vědy a výzkumu v Moravskoslezském kraji 2021</t>
  </si>
  <si>
    <t>Dotační program - Podpora vědy a výzkumu v Moravskoslezském kraji 2022</t>
  </si>
  <si>
    <t>Dotační program - Podpora vědy a výzkumu v Moravskoslezském kraji 2023</t>
  </si>
  <si>
    <t>Dotační program - Podpora cykloturistiky v Moravskoslezském kraji 2022+</t>
  </si>
  <si>
    <t>Rekonstrukce a modernizace silnice II/478, III/47811 Ostrava, ul. Mitrovická</t>
  </si>
  <si>
    <t>%
Výhled 24 / 
Oček.skut. 23</t>
  </si>
  <si>
    <t>%
Výhled 26 / Výhled 25</t>
  </si>
  <si>
    <t xml:space="preserve"> - operace spojené s bankovními produkty</t>
  </si>
  <si>
    <t>×</t>
  </si>
  <si>
    <t xml:space="preserve"> - poplatky za znečišťování ovzduší</t>
  </si>
  <si>
    <t xml:space="preserve"> - dopravní obslužnost linková - zúčtování zálohových palivových příplatků</t>
  </si>
  <si>
    <t>BILANCE PŘÍJMŮ A VÝDAJŮ V LETECH 2024-2026</t>
  </si>
  <si>
    <t xml:space="preserve"> - úhrada pohledávky od Sberbank CZ, a.s. v likvidaci</t>
  </si>
  <si>
    <t>na léta 2024-2026</t>
  </si>
  <si>
    <t xml:space="preserve">Bilance příjmů a výdajů v letech 2024-2026 </t>
  </si>
  <si>
    <t>Přehled očekávaných účelových dotací v letech 2024-2026</t>
  </si>
  <si>
    <r>
      <t>2026</t>
    </r>
    <r>
      <rPr>
        <b/>
        <vertAlign val="superscript"/>
        <sz val="10"/>
        <rFont val="Tahoma"/>
        <family val="2"/>
        <charset val="238"/>
      </rPr>
      <t xml:space="preserve"> 1)</t>
    </r>
  </si>
  <si>
    <t>1) Pro léta 2022 až 2026 se jedná o očekávanou skutečnost k 31.12.20xx</t>
  </si>
  <si>
    <r>
      <t>UKAZATELE ZADLUŽENOSTI (</t>
    </r>
    <r>
      <rPr>
        <b/>
        <i/>
        <sz val="12"/>
        <rFont val="Tahoma"/>
        <family val="2"/>
        <charset val="238"/>
      </rPr>
      <t>včetně dalšího plánovaného úvěru na předfinancování evropských dotací od roku 2024</t>
    </r>
    <r>
      <rPr>
        <b/>
        <sz val="12"/>
        <rFont val="Tahoma"/>
        <family val="2"/>
        <charset val="238"/>
      </rPr>
      <t>)</t>
    </r>
  </si>
  <si>
    <t>Název akce - projekt</t>
  </si>
  <si>
    <t>číslo projektu</t>
  </si>
  <si>
    <t>od</t>
  </si>
  <si>
    <t>do</t>
  </si>
  <si>
    <t>rok 2026</t>
  </si>
  <si>
    <t>Otevřený úřad - otevřené rozhraní pro přístup k datům</t>
  </si>
  <si>
    <t>Černá kostka - Centrum digitalizace, vědy a inovací</t>
  </si>
  <si>
    <t>Těšínské divadelní a kulturní centrum</t>
  </si>
  <si>
    <t>Gastro vybavení Domova Březiny v Petřvaldě</t>
  </si>
  <si>
    <t>Dílny pro Střední školu stavební a dřevozpracující, Ostrava, příspěvková organizace</t>
  </si>
  <si>
    <t>TPA - Inovační centrum pro transformaci vzdělávání</t>
  </si>
  <si>
    <t>NKP Zámek Bruntál - Revitalizace objektu "saly terreny"</t>
  </si>
  <si>
    <t>Závazek Moravskoslezského kraje byl schválen usnesením zastupitelstva kraje č. 3/169 ze dne 17.3.2021 v max. výši 30 mil. Kč k úhradě protarifovací ztráty na základě Dohody o zapojení a podmínkách integrace vlaků dopravce do Integrovaného dopravního systému ODIS. Závazek bude trvat do roku 2027. Tento závazek bude na jednání zastupitelstva kraje dne 15.12.2022 navýšen o 5 mil. Kč na období od 1.1.2023 do 31.12.2027.</t>
  </si>
  <si>
    <t>Očekávaná skutečnost 2023</t>
  </si>
  <si>
    <t>Výhled 2026</t>
  </si>
  <si>
    <t>Období realizace
akce v letech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</si>
</sst>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_K_č"/>
    <numFmt numFmtId="166" formatCode="#,##0\ _K_č;\-#,##0\_\K_č"/>
    <numFmt numFmtId="167" formatCode="0000"/>
  </numFmts>
  <fonts count="97"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Tahoma"/>
      <family val="2"/>
      <charset val="238"/>
    </font>
    <font>
      <b/>
      <sz val="12"/>
      <name val="Tahoma"/>
      <family val="2"/>
      <charset val="238"/>
    </font>
    <font>
      <sz val="10"/>
      <name val="Tahoma"/>
      <family val="2"/>
      <charset val="238"/>
    </font>
    <font>
      <i/>
      <sz val="10"/>
      <name val="Tahoma"/>
      <family val="2"/>
      <charset val="238"/>
    </font>
    <font>
      <b/>
      <sz val="10"/>
      <name val="Tahoma"/>
      <family val="2"/>
      <charset val="238"/>
    </font>
    <font>
      <b/>
      <sz val="12"/>
      <color indexed="60"/>
      <name val="Tahoma"/>
      <family val="2"/>
      <charset val="238"/>
    </font>
    <font>
      <i/>
      <sz val="8"/>
      <name val="Tahoma"/>
      <family val="2"/>
      <charset val="238"/>
    </font>
    <font>
      <b/>
      <i/>
      <sz val="10"/>
      <name val="Tahoma"/>
      <family val="2"/>
      <charset val="238"/>
    </font>
    <font>
      <i/>
      <sz val="12"/>
      <name val="Tahoma"/>
      <family val="2"/>
      <charset val="238"/>
    </font>
    <font>
      <b/>
      <sz val="12"/>
      <color indexed="10"/>
      <name val="Tahoma"/>
      <family val="2"/>
      <charset val="238"/>
    </font>
    <font>
      <b/>
      <i/>
      <sz val="12"/>
      <color indexed="10"/>
      <name val="Tahoma"/>
      <family val="2"/>
      <charset val="238"/>
    </font>
    <font>
      <b/>
      <sz val="8"/>
      <color indexed="10"/>
      <name val="Tahoma"/>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9"/>
      <name val="Calibri"/>
      <family val="2"/>
      <charset val="238"/>
    </font>
    <font>
      <sz val="11"/>
      <color indexed="60"/>
      <name val="Calibri"/>
      <family val="2"/>
      <charset val="238"/>
    </font>
    <font>
      <sz val="10"/>
      <color theme="1"/>
      <name val="Arial"/>
      <family val="2"/>
      <charset val="238"/>
    </font>
    <font>
      <sz val="10"/>
      <name val="Arial CE"/>
      <charset val="238"/>
    </font>
    <font>
      <sz val="11"/>
      <color indexed="52"/>
      <name val="Calibri"/>
      <family val="2"/>
      <charset val="238"/>
    </font>
    <font>
      <b/>
      <sz val="11"/>
      <color indexed="8"/>
      <name val="Calibri"/>
      <family val="2"/>
      <charset val="238"/>
    </font>
    <font>
      <sz val="11"/>
      <color indexed="10"/>
      <name val="Calibri"/>
      <family val="2"/>
      <charset val="238"/>
    </font>
    <font>
      <b/>
      <sz val="18"/>
      <color indexed="56"/>
      <name val="Cambria"/>
      <family val="2"/>
      <charset val="238"/>
    </font>
    <font>
      <i/>
      <sz val="11"/>
      <color indexed="23"/>
      <name val="Calibri"/>
      <family val="2"/>
      <charset val="238"/>
    </font>
    <font>
      <sz val="11"/>
      <color indexed="20"/>
      <name val="Calibri"/>
      <family val="2"/>
      <charset val="238"/>
    </font>
    <font>
      <b/>
      <sz val="10"/>
      <name val="Tahoma"/>
      <family val="2"/>
    </font>
    <font>
      <sz val="10"/>
      <name val="Tahoma"/>
      <family val="2"/>
    </font>
    <font>
      <sz val="12"/>
      <name val="Times New Roman"/>
      <family val="1"/>
    </font>
    <font>
      <sz val="10"/>
      <name val="Times New Roman"/>
      <family val="1"/>
    </font>
    <font>
      <b/>
      <sz val="14"/>
      <name val="Tahoma"/>
      <family val="2"/>
    </font>
    <font>
      <b/>
      <sz val="12"/>
      <name val="Tahoma"/>
      <family val="2"/>
    </font>
    <font>
      <b/>
      <sz val="9"/>
      <name val="Tahoma"/>
      <family val="2"/>
    </font>
    <font>
      <sz val="9"/>
      <name val="Tahoma"/>
      <family val="2"/>
    </font>
    <font>
      <b/>
      <sz val="9"/>
      <name val="Tahoma"/>
      <family val="2"/>
      <charset val="238"/>
    </font>
    <font>
      <sz val="9"/>
      <name val="Tahoma"/>
      <family val="2"/>
      <charset val="238"/>
    </font>
    <font>
      <b/>
      <sz val="8"/>
      <name val="Tahoma"/>
      <family val="2"/>
      <charset val="238"/>
    </font>
    <font>
      <sz val="8"/>
      <name val="Tahoma"/>
      <family val="2"/>
      <charset val="238"/>
    </font>
    <font>
      <b/>
      <sz val="10"/>
      <name val="Arial CE"/>
      <charset val="238"/>
    </font>
    <font>
      <sz val="8"/>
      <name val="Arial"/>
      <family val="2"/>
      <charset val="238"/>
    </font>
    <font>
      <sz val="11"/>
      <name val="Calibri"/>
      <family val="2"/>
      <charset val="238"/>
      <scheme val="minor"/>
    </font>
    <font>
      <sz val="8"/>
      <color rgb="FFFF0000"/>
      <name val="Tahoma"/>
      <family val="2"/>
      <charset val="238"/>
    </font>
    <font>
      <b/>
      <sz val="11"/>
      <name val="Tahoma"/>
      <family val="2"/>
      <charset val="238"/>
    </font>
    <font>
      <b/>
      <vertAlign val="superscript"/>
      <sz val="10"/>
      <name val="Tahoma"/>
      <family val="2"/>
      <charset val="238"/>
    </font>
    <font>
      <b/>
      <sz val="10"/>
      <name val="Arial"/>
      <family val="2"/>
      <charset val="238"/>
    </font>
    <font>
      <sz val="12"/>
      <color indexed="10"/>
      <name val="Tahoma"/>
      <family val="2"/>
      <charset val="238"/>
    </font>
    <font>
      <b/>
      <sz val="10"/>
      <color rgb="FFFF0000"/>
      <name val="Tahoma"/>
      <family val="2"/>
      <charset val="238"/>
    </font>
    <font>
      <sz val="10"/>
      <color rgb="FFFF0000"/>
      <name val="Tahoma"/>
      <family val="2"/>
      <charset val="238"/>
    </font>
    <font>
      <sz val="10"/>
      <color rgb="FFFF0000"/>
      <name val="Arial"/>
      <family val="2"/>
      <charset val="238"/>
    </font>
    <font>
      <sz val="9"/>
      <color rgb="FF0070C0"/>
      <name val="Tahoma"/>
      <family val="2"/>
      <charset val="238"/>
    </font>
    <font>
      <b/>
      <sz val="9"/>
      <color rgb="FF0070C0"/>
      <name val="Tahoma"/>
      <family val="2"/>
      <charset val="238"/>
    </font>
    <font>
      <i/>
      <sz val="8"/>
      <color rgb="FF0070C0"/>
      <name val="Tahoma"/>
      <family val="2"/>
      <charset val="238"/>
    </font>
    <font>
      <b/>
      <sz val="8"/>
      <name val="Arial"/>
      <family val="2"/>
      <charset val="238"/>
    </font>
    <font>
      <b/>
      <sz val="11"/>
      <name val="Calibri"/>
      <family val="2"/>
      <charset val="238"/>
      <scheme val="minor"/>
    </font>
    <font>
      <i/>
      <sz val="10"/>
      <color rgb="FFFF0000"/>
      <name val="Tahoma"/>
      <family val="2"/>
      <charset val="238"/>
    </font>
    <font>
      <b/>
      <i/>
      <sz val="12"/>
      <name val="Tahoma"/>
      <family val="2"/>
      <charset val="238"/>
    </font>
    <font>
      <sz val="10"/>
      <color theme="1"/>
      <name val="Tahoma"/>
      <family val="2"/>
      <charset val="238"/>
    </font>
    <font>
      <b/>
      <sz val="8"/>
      <color theme="1"/>
      <name val="Tahoma"/>
      <family val="2"/>
      <charset val="238"/>
    </font>
    <font>
      <b/>
      <sz val="8"/>
      <color indexed="8"/>
      <name val="Tahoma"/>
      <family val="2"/>
      <charset val="238"/>
    </font>
    <font>
      <sz val="8"/>
      <color theme="1"/>
      <name val="Tahoma"/>
      <family val="2"/>
      <charset val="238"/>
    </font>
    <font>
      <b/>
      <sz val="10"/>
      <color theme="1"/>
      <name val="Tahoma"/>
      <family val="2"/>
      <charset val="238"/>
    </font>
    <font>
      <sz val="10"/>
      <color theme="1"/>
      <name val="Calibri"/>
      <family val="2"/>
      <charset val="238"/>
      <scheme val="minor"/>
    </font>
    <font>
      <sz val="8"/>
      <color indexed="8"/>
      <name val="Tahoma"/>
      <family val="2"/>
      <charset val="238"/>
    </font>
    <font>
      <sz val="8"/>
      <color rgb="FF000000"/>
      <name val="Tahoma"/>
      <family val="2"/>
      <charset val="238"/>
    </font>
    <font>
      <sz val="8"/>
      <color rgb="FFFF0000"/>
      <name val="Arial"/>
      <family val="2"/>
      <charset val="238"/>
    </font>
    <font>
      <sz val="8"/>
      <color theme="3" tint="0.39997558519241921"/>
      <name val="Tahoma"/>
      <family val="2"/>
      <charset val="238"/>
    </font>
    <font>
      <sz val="10"/>
      <name val="Times New Roman CE"/>
      <family val="1"/>
      <charset val="238"/>
    </font>
    <font>
      <b/>
      <sz val="9"/>
      <color rgb="FFFF0000"/>
      <name val="Tahoma"/>
      <family val="2"/>
    </font>
    <font>
      <sz val="9"/>
      <color rgb="FFFF0000"/>
      <name val="Tahoma"/>
      <family val="2"/>
    </font>
    <font>
      <sz val="9"/>
      <color theme="1"/>
      <name val="Tahoma"/>
      <family val="2"/>
    </font>
    <font>
      <b/>
      <sz val="9"/>
      <color theme="1"/>
      <name val="Tahoma"/>
      <family val="2"/>
    </font>
    <font>
      <sz val="11"/>
      <color rgb="FFFF0000"/>
      <name val="Calibri"/>
      <family val="2"/>
      <charset val="238"/>
      <scheme val="minor"/>
    </font>
    <font>
      <sz val="8"/>
      <color rgb="FF0070C0"/>
      <name val="Tahoma"/>
      <family val="2"/>
      <charset val="238"/>
    </font>
    <font>
      <sz val="11"/>
      <color rgb="FF0070C0"/>
      <name val="Tahoma"/>
      <family val="2"/>
      <charset val="238"/>
    </font>
    <font>
      <sz val="10"/>
      <color rgb="FF0070C0"/>
      <name val="Tahoma"/>
      <family val="2"/>
      <charset val="238"/>
    </font>
    <font>
      <b/>
      <sz val="14"/>
      <color rgb="FFFF0000"/>
      <name val="Tahoma"/>
      <family val="2"/>
      <charset val="238"/>
    </font>
    <font>
      <b/>
      <i/>
      <sz val="8"/>
      <name val="Tahoma"/>
      <family val="2"/>
      <charset val="238"/>
    </font>
    <font>
      <i/>
      <sz val="8"/>
      <color theme="1"/>
      <name val="Tahoma"/>
      <family val="2"/>
      <charset val="238"/>
    </font>
    <font>
      <b/>
      <sz val="8"/>
      <color theme="3" tint="0.39997558519241921"/>
      <name val="Tahoma"/>
      <family val="2"/>
      <charset val="238"/>
    </font>
    <font>
      <sz val="9"/>
      <color rgb="FFFF0000"/>
      <name val="Tahoma"/>
      <family val="2"/>
      <charset val="238"/>
    </font>
    <font>
      <sz val="9"/>
      <color theme="3" tint="0.39997558519241921"/>
      <name val="Tahoma"/>
      <family val="2"/>
      <charset val="238"/>
    </font>
    <font>
      <sz val="12"/>
      <color rgb="FFFF0000"/>
      <name val="Tahoma"/>
      <family val="2"/>
      <charset val="238"/>
    </font>
  </fonts>
  <fills count="29">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1"/>
      </patternFill>
    </fill>
    <fill>
      <patternFill patternType="solid">
        <fgColor indexed="44"/>
      </patternFill>
    </fill>
    <fill>
      <patternFill patternType="solid">
        <fgColor indexed="29"/>
      </patternFill>
    </fill>
    <fill>
      <patternFill patternType="solid">
        <fgColor indexed="51"/>
      </patternFill>
    </fill>
    <fill>
      <patternFill patternType="solid">
        <fgColor indexed="36"/>
      </patternFill>
    </fill>
    <fill>
      <patternFill patternType="solid">
        <fgColor indexed="52"/>
      </patternFill>
    </fill>
    <fill>
      <patternFill patternType="solid">
        <fgColor indexed="30"/>
      </patternFill>
    </fill>
    <fill>
      <patternFill patternType="solid">
        <fgColor indexed="49"/>
      </patternFill>
    </fill>
    <fill>
      <patternFill patternType="solid">
        <fgColor indexed="55"/>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7"/>
        <bgColor indexed="64"/>
      </patternFill>
    </fill>
    <fill>
      <patternFill patternType="solid">
        <fgColor theme="0"/>
        <bgColor indexed="64"/>
      </patternFill>
    </fill>
    <fill>
      <patternFill patternType="solid">
        <fgColor rgb="FFFFCC99"/>
        <bgColor indexed="64"/>
      </patternFill>
    </fill>
    <fill>
      <patternFill patternType="solid">
        <fgColor rgb="FFFFFF99"/>
        <bgColor indexed="64"/>
      </patternFill>
    </fill>
  </fills>
  <borders count="88">
    <border>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82">
    <xf numFmtId="0" fontId="0" fillId="0" borderId="0"/>
    <xf numFmtId="0" fontId="15" fillId="0" borderId="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0" borderId="0" applyNumberFormat="0" applyBorder="0" applyAlignment="0" applyProtection="0"/>
    <xf numFmtId="0" fontId="28" fillId="7" borderId="0" applyNumberFormat="0" applyBorder="0" applyAlignment="0" applyProtection="0"/>
    <xf numFmtId="0" fontId="28" fillId="11" borderId="0" applyNumberFormat="0" applyBorder="0" applyAlignment="0" applyProtection="0"/>
    <xf numFmtId="0" fontId="28" fillId="13"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2"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5" borderId="0" applyNumberFormat="0" applyBorder="0" applyAlignment="0" applyProtection="0"/>
    <xf numFmtId="0" fontId="30" fillId="6" borderId="0" applyNumberFormat="0" applyBorder="0" applyAlignment="0" applyProtection="0"/>
    <xf numFmtId="0" fontId="31" fillId="18" borderId="27" applyNumberFormat="0" applyAlignment="0" applyProtection="0"/>
    <xf numFmtId="0" fontId="32" fillId="19" borderId="0" applyNumberFormat="0" applyBorder="0" applyAlignment="0" applyProtection="0"/>
    <xf numFmtId="0" fontId="15" fillId="0" borderId="0"/>
    <xf numFmtId="0" fontId="15" fillId="0" borderId="0"/>
    <xf numFmtId="0" fontId="15" fillId="0" borderId="0"/>
    <xf numFmtId="0" fontId="15" fillId="0" borderId="0"/>
    <xf numFmtId="0" fontId="33" fillId="0" borderId="0"/>
    <xf numFmtId="0" fontId="15" fillId="0" borderId="0"/>
    <xf numFmtId="0" fontId="34" fillId="0" borderId="0"/>
    <xf numFmtId="0" fontId="28" fillId="20" borderId="28" applyNumberFormat="0" applyFont="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5"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24" borderId="0" applyNumberFormat="0" applyBorder="0" applyAlignment="0" applyProtection="0"/>
    <xf numFmtId="0" fontId="15" fillId="0" borderId="0"/>
    <xf numFmtId="0" fontId="15" fillId="0" borderId="0"/>
    <xf numFmtId="0" fontId="14" fillId="0" borderId="0"/>
    <xf numFmtId="0" fontId="15" fillId="0" borderId="0"/>
    <xf numFmtId="9" fontId="15" fillId="0" borderId="0" applyFont="0" applyFill="0" applyBorder="0" applyAlignment="0" applyProtection="0"/>
    <xf numFmtId="0" fontId="28" fillId="0" borderId="0"/>
    <xf numFmtId="0" fontId="13"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7" fillId="0" borderId="0"/>
    <xf numFmtId="0" fontId="7" fillId="0" borderId="0"/>
    <xf numFmtId="0" fontId="6" fillId="0" borderId="0"/>
    <xf numFmtId="0" fontId="5" fillId="0" borderId="0"/>
    <xf numFmtId="0" fontId="15" fillId="0" borderId="0">
      <alignment wrapText="1"/>
    </xf>
    <xf numFmtId="0" fontId="4" fillId="0" borderId="0"/>
    <xf numFmtId="0" fontId="33" fillId="0" borderId="0"/>
    <xf numFmtId="0" fontId="4" fillId="0" borderId="0"/>
    <xf numFmtId="0" fontId="4" fillId="0" borderId="0"/>
    <xf numFmtId="0" fontId="3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782">
    <xf numFmtId="0" fontId="0" fillId="0" borderId="0" xfId="0"/>
    <xf numFmtId="0" fontId="16" fillId="0" borderId="0" xfId="1" applyFont="1" applyAlignment="1">
      <alignment vertical="center"/>
    </xf>
    <xf numFmtId="0" fontId="18" fillId="0" borderId="0" xfId="1" applyFont="1" applyAlignment="1">
      <alignment vertical="center"/>
    </xf>
    <xf numFmtId="0" fontId="17" fillId="0" borderId="0" xfId="1" applyFont="1" applyAlignment="1">
      <alignment vertical="center"/>
    </xf>
    <xf numFmtId="0" fontId="21" fillId="2" borderId="0" xfId="1" applyFont="1" applyFill="1" applyAlignment="1">
      <alignment vertical="center"/>
    </xf>
    <xf numFmtId="0" fontId="17" fillId="0" borderId="0" xfId="1" applyFont="1" applyAlignment="1">
      <alignment horizontal="center" vertical="center" wrapText="1"/>
    </xf>
    <xf numFmtId="164" fontId="18" fillId="0" borderId="0" xfId="1" applyNumberFormat="1" applyFont="1" applyAlignment="1">
      <alignment vertical="center"/>
    </xf>
    <xf numFmtId="4" fontId="18" fillId="0" borderId="0" xfId="1" applyNumberFormat="1" applyFont="1" applyAlignment="1">
      <alignment vertical="center"/>
    </xf>
    <xf numFmtId="0" fontId="17" fillId="0" borderId="0" xfId="1" applyFont="1" applyAlignment="1">
      <alignment vertical="center" wrapText="1"/>
    </xf>
    <xf numFmtId="0" fontId="25" fillId="0" borderId="0" xfId="1" applyFont="1" applyAlignment="1">
      <alignment vertical="center"/>
    </xf>
    <xf numFmtId="0" fontId="26" fillId="0" borderId="0" xfId="1" applyFont="1" applyAlignment="1">
      <alignment vertical="center"/>
    </xf>
    <xf numFmtId="1" fontId="41" fillId="25" borderId="17" xfId="1" applyNumberFormat="1" applyFont="1" applyFill="1" applyBorder="1" applyAlignment="1">
      <alignment horizontal="center" vertical="center" wrapText="1"/>
    </xf>
    <xf numFmtId="1" fontId="41" fillId="25" borderId="16" xfId="1" applyNumberFormat="1" applyFont="1" applyFill="1" applyBorder="1" applyAlignment="1">
      <alignment horizontal="center" vertical="center" wrapText="1"/>
    </xf>
    <xf numFmtId="0" fontId="41" fillId="25" borderId="25" xfId="1" applyFont="1" applyFill="1" applyBorder="1" applyAlignment="1">
      <alignment horizontal="center" vertical="center" wrapText="1"/>
    </xf>
    <xf numFmtId="0" fontId="41" fillId="25" borderId="24" xfId="1" applyFont="1" applyFill="1" applyBorder="1" applyAlignment="1">
      <alignment horizontal="center" vertical="center" wrapText="1"/>
    </xf>
    <xf numFmtId="0" fontId="41" fillId="25" borderId="23" xfId="1" applyFont="1" applyFill="1" applyBorder="1" applyAlignment="1">
      <alignment horizontal="center" vertical="center" wrapText="1"/>
    </xf>
    <xf numFmtId="0" fontId="41" fillId="25" borderId="22" xfId="1" applyFont="1" applyFill="1" applyBorder="1" applyAlignment="1">
      <alignment horizontal="center" vertical="center" wrapText="1"/>
    </xf>
    <xf numFmtId="3" fontId="23" fillId="3" borderId="4" xfId="1" applyNumberFormat="1" applyFont="1" applyFill="1" applyBorder="1" applyAlignment="1">
      <alignment horizontal="right"/>
    </xf>
    <xf numFmtId="49" fontId="20" fillId="3" borderId="19" xfId="1" applyNumberFormat="1" applyFont="1" applyFill="1" applyBorder="1" applyAlignment="1">
      <alignment vertical="center"/>
    </xf>
    <xf numFmtId="3" fontId="20" fillId="3" borderId="22" xfId="1" applyNumberFormat="1" applyFont="1" applyFill="1" applyBorder="1" applyAlignment="1">
      <alignment horizontal="right" vertical="center"/>
    </xf>
    <xf numFmtId="3" fontId="23" fillId="3" borderId="5" xfId="1" applyNumberFormat="1" applyFont="1" applyFill="1" applyBorder="1" applyAlignment="1">
      <alignment horizontal="right"/>
    </xf>
    <xf numFmtId="0" fontId="18" fillId="0" borderId="0" xfId="1" applyFont="1"/>
    <xf numFmtId="0" fontId="15" fillId="0" borderId="0" xfId="1"/>
    <xf numFmtId="164" fontId="15" fillId="0" borderId="0" xfId="1" applyNumberFormat="1"/>
    <xf numFmtId="3" fontId="15" fillId="0" borderId="0" xfId="1" applyNumberFormat="1"/>
    <xf numFmtId="49" fontId="18" fillId="0" borderId="0" xfId="1" applyNumberFormat="1" applyFont="1"/>
    <xf numFmtId="0" fontId="43" fillId="0" borderId="0" xfId="1" applyFont="1"/>
    <xf numFmtId="164" fontId="43" fillId="0" borderId="0" xfId="1" applyNumberFormat="1" applyFont="1"/>
    <xf numFmtId="3" fontId="44" fillId="0" borderId="0" xfId="1" applyNumberFormat="1" applyFont="1"/>
    <xf numFmtId="0" fontId="44" fillId="0" borderId="0" xfId="1" applyFont="1"/>
    <xf numFmtId="164" fontId="45" fillId="0" borderId="0" xfId="1" applyNumberFormat="1" applyFont="1" applyAlignment="1">
      <alignment horizontal="center" vertical="center" wrapText="1"/>
    </xf>
    <xf numFmtId="3" fontId="45" fillId="0" borderId="0" xfId="1" applyNumberFormat="1" applyFont="1" applyAlignment="1">
      <alignment horizontal="center" vertical="center" wrapText="1"/>
    </xf>
    <xf numFmtId="0" fontId="16" fillId="0" borderId="0" xfId="0" applyFont="1"/>
    <xf numFmtId="0" fontId="16" fillId="0" borderId="0" xfId="0" applyFont="1" applyAlignment="1">
      <alignment wrapText="1"/>
    </xf>
    <xf numFmtId="0" fontId="16" fillId="0" borderId="0" xfId="0" applyFont="1" applyAlignment="1">
      <alignment horizontal="justify" vertical="center" wrapText="1"/>
    </xf>
    <xf numFmtId="0" fontId="16" fillId="0" borderId="0" xfId="0" applyFont="1" applyAlignment="1">
      <alignment vertical="top"/>
    </xf>
    <xf numFmtId="0" fontId="17" fillId="0" borderId="0" xfId="0" applyFont="1" applyAlignment="1">
      <alignment vertical="center"/>
    </xf>
    <xf numFmtId="0" fontId="15" fillId="0" borderId="0" xfId="51"/>
    <xf numFmtId="0" fontId="15" fillId="0" borderId="0" xfId="51" applyAlignment="1">
      <alignment vertical="center"/>
    </xf>
    <xf numFmtId="0" fontId="49" fillId="25" borderId="3" xfId="34" applyFont="1" applyFill="1" applyBorder="1" applyAlignment="1">
      <alignment horizontal="left" vertical="center" wrapText="1"/>
    </xf>
    <xf numFmtId="0" fontId="49" fillId="25" borderId="4" xfId="34" applyFont="1" applyFill="1" applyBorder="1" applyAlignment="1">
      <alignment horizontal="left" vertical="center" wrapText="1"/>
    </xf>
    <xf numFmtId="0" fontId="49" fillId="25" borderId="14" xfId="34" applyFont="1" applyFill="1" applyBorder="1" applyAlignment="1">
      <alignment horizontal="left" vertical="center" wrapText="1"/>
    </xf>
    <xf numFmtId="0" fontId="49" fillId="25" borderId="42" xfId="34" applyFont="1" applyFill="1" applyBorder="1" applyAlignment="1">
      <alignment horizontal="left" vertical="center" wrapText="1"/>
    </xf>
    <xf numFmtId="0" fontId="18" fillId="0" borderId="0" xfId="37" applyFont="1"/>
    <xf numFmtId="166" fontId="18" fillId="0" borderId="0" xfId="37" applyNumberFormat="1" applyFont="1" applyAlignment="1">
      <alignment horizontal="right"/>
    </xf>
    <xf numFmtId="0" fontId="18" fillId="0" borderId="0" xfId="37" applyFont="1" applyAlignment="1">
      <alignment horizontal="right"/>
    </xf>
    <xf numFmtId="0" fontId="18" fillId="0" borderId="3" xfId="37" applyFont="1" applyBorder="1" applyAlignment="1">
      <alignment horizontal="center" vertical="center" wrapText="1"/>
    </xf>
    <xf numFmtId="0" fontId="18" fillId="0" borderId="3" xfId="37" applyFont="1" applyBorder="1" applyAlignment="1">
      <alignment horizontal="center" vertical="center"/>
    </xf>
    <xf numFmtId="3" fontId="18" fillId="0" borderId="4" xfId="37" applyNumberFormat="1" applyFont="1" applyBorder="1" applyAlignment="1">
      <alignment vertical="center"/>
    </xf>
    <xf numFmtId="3" fontId="18" fillId="0" borderId="2" xfId="37" applyNumberFormat="1" applyFont="1" applyBorder="1" applyAlignment="1">
      <alignment vertical="center"/>
    </xf>
    <xf numFmtId="3" fontId="18" fillId="0" borderId="49" xfId="37" applyNumberFormat="1" applyFont="1" applyBorder="1" applyAlignment="1">
      <alignment vertical="center"/>
    </xf>
    <xf numFmtId="3" fontId="18" fillId="0" borderId="5" xfId="37" applyNumberFormat="1" applyFont="1" applyBorder="1" applyAlignment="1">
      <alignment vertical="center"/>
    </xf>
    <xf numFmtId="3" fontId="18" fillId="0" borderId="42" xfId="37" applyNumberFormat="1" applyFont="1" applyBorder="1" applyAlignment="1">
      <alignment vertical="center"/>
    </xf>
    <xf numFmtId="3" fontId="18" fillId="0" borderId="58" xfId="37" applyNumberFormat="1" applyFont="1" applyBorder="1" applyAlignment="1">
      <alignment vertical="center"/>
    </xf>
    <xf numFmtId="3" fontId="18" fillId="0" borderId="43" xfId="37" applyNumberFormat="1" applyFont="1" applyBorder="1" applyAlignment="1">
      <alignment vertical="center"/>
    </xf>
    <xf numFmtId="49" fontId="51" fillId="25" borderId="42" xfId="55" applyNumberFormat="1" applyFont="1" applyFill="1" applyBorder="1" applyAlignment="1">
      <alignment horizontal="center" vertical="center" wrapText="1"/>
    </xf>
    <xf numFmtId="0" fontId="18" fillId="0" borderId="0" xfId="52" applyFont="1" applyAlignment="1">
      <alignment vertical="center"/>
    </xf>
    <xf numFmtId="0" fontId="51" fillId="0" borderId="0" xfId="52" applyFont="1" applyAlignment="1">
      <alignment vertical="center" wrapText="1"/>
    </xf>
    <xf numFmtId="4" fontId="51" fillId="0" borderId="0" xfId="52" applyNumberFormat="1" applyFont="1" applyAlignment="1">
      <alignment horizontal="right" vertical="center"/>
    </xf>
    <xf numFmtId="0" fontId="52" fillId="0" borderId="0" xfId="52" applyFont="1" applyAlignment="1">
      <alignment vertical="center"/>
    </xf>
    <xf numFmtId="0" fontId="51" fillId="25" borderId="15" xfId="52" applyFont="1" applyFill="1" applyBorder="1" applyAlignment="1">
      <alignment vertical="center" wrapText="1"/>
    </xf>
    <xf numFmtId="3" fontId="51" fillId="25" borderId="18" xfId="52" applyNumberFormat="1" applyFont="1" applyFill="1" applyBorder="1" applyAlignment="1">
      <alignment vertical="center" wrapText="1"/>
    </xf>
    <xf numFmtId="0" fontId="52" fillId="25" borderId="16" xfId="52" applyFont="1" applyFill="1" applyBorder="1" applyAlignment="1">
      <alignment horizontal="justify" vertical="center"/>
    </xf>
    <xf numFmtId="0" fontId="51" fillId="25" borderId="55" xfId="52" applyFont="1" applyFill="1" applyBorder="1" applyAlignment="1">
      <alignment vertical="center" wrapText="1"/>
    </xf>
    <xf numFmtId="0" fontId="51" fillId="25" borderId="16" xfId="52" applyFont="1" applyFill="1" applyBorder="1" applyAlignment="1">
      <alignment horizontal="justify" vertical="center"/>
    </xf>
    <xf numFmtId="3" fontId="51" fillId="25" borderId="18" xfId="52" applyNumberFormat="1" applyFont="1" applyFill="1" applyBorder="1" applyAlignment="1">
      <alignment horizontal="right" vertical="center" wrapText="1"/>
    </xf>
    <xf numFmtId="0" fontId="51" fillId="25" borderId="55" xfId="52" applyFont="1" applyFill="1" applyBorder="1" applyAlignment="1">
      <alignment horizontal="left" vertical="center" wrapText="1"/>
    </xf>
    <xf numFmtId="49" fontId="52" fillId="25" borderId="16" xfId="52" applyNumberFormat="1" applyFont="1" applyFill="1" applyBorder="1" applyAlignment="1">
      <alignment horizontal="justify" vertical="center"/>
    </xf>
    <xf numFmtId="0" fontId="17" fillId="0" borderId="0" xfId="0" applyFont="1" applyAlignment="1">
      <alignment horizontal="center"/>
    </xf>
    <xf numFmtId="0" fontId="57" fillId="0" borderId="0" xfId="51" applyFont="1"/>
    <xf numFmtId="0" fontId="51" fillId="0" borderId="0" xfId="51" applyFont="1" applyAlignment="1">
      <alignment horizontal="right"/>
    </xf>
    <xf numFmtId="0" fontId="20" fillId="0" borderId="18" xfId="51" applyFont="1" applyBorder="1" applyAlignment="1">
      <alignment horizontal="center" vertical="center" wrapText="1"/>
    </xf>
    <xf numFmtId="0" fontId="20" fillId="0" borderId="17" xfId="51" applyFont="1" applyBorder="1" applyAlignment="1">
      <alignment horizontal="center" vertical="center" wrapText="1"/>
    </xf>
    <xf numFmtId="0" fontId="20" fillId="0" borderId="16" xfId="51" applyFont="1" applyBorder="1" applyAlignment="1">
      <alignment horizontal="center" vertical="center" wrapText="1"/>
    </xf>
    <xf numFmtId="4" fontId="18" fillId="0" borderId="10" xfId="51" applyNumberFormat="1" applyFont="1" applyBorder="1" applyAlignment="1">
      <alignment horizontal="right" vertical="center"/>
    </xf>
    <xf numFmtId="4" fontId="18" fillId="0" borderId="4" xfId="51" applyNumberFormat="1" applyFont="1" applyBorder="1" applyAlignment="1">
      <alignment horizontal="right" vertical="center"/>
    </xf>
    <xf numFmtId="4" fontId="18" fillId="0" borderId="2" xfId="51" applyNumberFormat="1" applyFont="1" applyBorder="1" applyAlignment="1">
      <alignment horizontal="right" vertical="center"/>
    </xf>
    <xf numFmtId="4" fontId="18" fillId="0" borderId="5" xfId="51" applyNumberFormat="1" applyFont="1" applyBorder="1" applyAlignment="1">
      <alignment horizontal="right" vertical="center"/>
    </xf>
    <xf numFmtId="4" fontId="20" fillId="0" borderId="4" xfId="51" applyNumberFormat="1" applyFont="1" applyBorder="1" applyAlignment="1">
      <alignment vertical="center"/>
    </xf>
    <xf numFmtId="4" fontId="20" fillId="0" borderId="5" xfId="51" applyNumberFormat="1" applyFont="1" applyBorder="1" applyAlignment="1">
      <alignment vertical="center"/>
    </xf>
    <xf numFmtId="10" fontId="20" fillId="25" borderId="18" xfId="51" applyNumberFormat="1" applyFont="1" applyFill="1" applyBorder="1" applyAlignment="1">
      <alignment vertical="center"/>
    </xf>
    <xf numFmtId="10" fontId="20" fillId="25" borderId="16" xfId="51" applyNumberFormat="1" applyFont="1" applyFill="1" applyBorder="1" applyAlignment="1">
      <alignment vertical="center"/>
    </xf>
    <xf numFmtId="0" fontId="50" fillId="0" borderId="0" xfId="51" applyFont="1" applyAlignment="1">
      <alignment horizontal="right"/>
    </xf>
    <xf numFmtId="0" fontId="50" fillId="0" borderId="0" xfId="51" applyFont="1"/>
    <xf numFmtId="0" fontId="22" fillId="0" borderId="0" xfId="51" applyFont="1"/>
    <xf numFmtId="4" fontId="18" fillId="0" borderId="24" xfId="51" applyNumberFormat="1" applyFont="1" applyBorder="1" applyAlignment="1">
      <alignment horizontal="right" vertical="center"/>
    </xf>
    <xf numFmtId="4" fontId="18" fillId="0" borderId="36" xfId="51" applyNumberFormat="1" applyFont="1" applyBorder="1" applyAlignment="1">
      <alignment horizontal="right" vertical="center"/>
    </xf>
    <xf numFmtId="4" fontId="18" fillId="0" borderId="25" xfId="51" applyNumberFormat="1" applyFont="1" applyBorder="1" applyAlignment="1">
      <alignment horizontal="right" vertical="center"/>
    </xf>
    <xf numFmtId="4" fontId="20" fillId="0" borderId="57" xfId="51" applyNumberFormat="1" applyFont="1" applyBorder="1" applyAlignment="1">
      <alignment horizontal="right" vertical="center"/>
    </xf>
    <xf numFmtId="4" fontId="20" fillId="0" borderId="43" xfId="51" applyNumberFormat="1" applyFont="1" applyBorder="1" applyAlignment="1">
      <alignment horizontal="right" vertical="center"/>
    </xf>
    <xf numFmtId="1" fontId="18" fillId="0" borderId="15" xfId="51" applyNumberFormat="1" applyFont="1" applyBorder="1" applyAlignment="1">
      <alignment vertical="center"/>
    </xf>
    <xf numFmtId="1" fontId="18" fillId="0" borderId="53" xfId="51" applyNumberFormat="1" applyFont="1" applyBorder="1" applyAlignment="1">
      <alignment vertical="center"/>
    </xf>
    <xf numFmtId="1" fontId="18" fillId="0" borderId="17" xfId="51" applyNumberFormat="1" applyFont="1" applyBorder="1" applyAlignment="1">
      <alignment vertical="center"/>
    </xf>
    <xf numFmtId="1" fontId="18" fillId="0" borderId="16" xfId="51" applyNumberFormat="1" applyFont="1" applyBorder="1" applyAlignment="1">
      <alignment vertical="center"/>
    </xf>
    <xf numFmtId="4" fontId="20" fillId="0" borderId="75" xfId="51" applyNumberFormat="1" applyFont="1" applyBorder="1" applyAlignment="1">
      <alignment horizontal="right" vertical="center"/>
    </xf>
    <xf numFmtId="4" fontId="20" fillId="0" borderId="77" xfId="51" applyNumberFormat="1" applyFont="1" applyBorder="1" applyAlignment="1">
      <alignment horizontal="right" vertical="center"/>
    </xf>
    <xf numFmtId="1" fontId="18" fillId="0" borderId="78" xfId="51" applyNumberFormat="1" applyFont="1" applyBorder="1" applyAlignment="1">
      <alignment vertical="center"/>
    </xf>
    <xf numFmtId="1" fontId="18" fillId="0" borderId="79" xfId="51" applyNumberFormat="1" applyFont="1" applyBorder="1" applyAlignment="1">
      <alignment vertical="center"/>
    </xf>
    <xf numFmtId="1" fontId="18" fillId="0" borderId="80" xfId="51" applyNumberFormat="1" applyFont="1" applyBorder="1" applyAlignment="1">
      <alignment vertical="center"/>
    </xf>
    <xf numFmtId="1" fontId="18" fillId="0" borderId="81" xfId="51" applyNumberFormat="1" applyFont="1" applyBorder="1" applyAlignment="1">
      <alignment vertical="center"/>
    </xf>
    <xf numFmtId="10" fontId="20" fillId="25" borderId="25" xfId="51" applyNumberFormat="1" applyFont="1" applyFill="1" applyBorder="1" applyAlignment="1">
      <alignment horizontal="right" vertical="center"/>
    </xf>
    <xf numFmtId="10" fontId="20" fillId="25" borderId="36" xfId="51" applyNumberFormat="1" applyFont="1" applyFill="1" applyBorder="1" applyAlignment="1">
      <alignment horizontal="right" vertical="center"/>
    </xf>
    <xf numFmtId="10" fontId="20" fillId="0" borderId="2" xfId="51" applyNumberFormat="1" applyFont="1" applyBorder="1" applyAlignment="1">
      <alignment horizontal="right" vertical="center"/>
    </xf>
    <xf numFmtId="10" fontId="20" fillId="0" borderId="5" xfId="51" applyNumberFormat="1" applyFont="1" applyBorder="1" applyAlignment="1">
      <alignment horizontal="right" vertical="center"/>
    </xf>
    <xf numFmtId="10" fontId="20" fillId="0" borderId="57" xfId="51" applyNumberFormat="1" applyFont="1" applyBorder="1" applyAlignment="1">
      <alignment horizontal="right" vertical="center"/>
    </xf>
    <xf numFmtId="10" fontId="20" fillId="0" borderId="43" xfId="51" applyNumberFormat="1" applyFont="1" applyBorder="1" applyAlignment="1">
      <alignment horizontal="right" vertical="center"/>
    </xf>
    <xf numFmtId="0" fontId="52" fillId="0" borderId="0" xfId="51" applyFont="1" applyAlignment="1">
      <alignment horizontal="left"/>
    </xf>
    <xf numFmtId="0" fontId="50" fillId="0" borderId="0" xfId="51" applyFont="1" applyAlignment="1">
      <alignment horizontal="left"/>
    </xf>
    <xf numFmtId="0" fontId="16" fillId="0" borderId="0" xfId="34" applyFont="1"/>
    <xf numFmtId="0" fontId="50" fillId="0" borderId="0" xfId="34" applyFont="1"/>
    <xf numFmtId="0" fontId="43" fillId="0" borderId="0" xfId="34" applyFont="1" applyFill="1"/>
    <xf numFmtId="0" fontId="16" fillId="0" borderId="0" xfId="34" applyFont="1" applyFill="1" applyAlignment="1"/>
    <xf numFmtId="0" fontId="43" fillId="0" borderId="0" xfId="34" applyFont="1" applyAlignment="1"/>
    <xf numFmtId="0" fontId="43" fillId="0" borderId="0" xfId="34" applyFont="1"/>
    <xf numFmtId="0" fontId="52" fillId="0" borderId="39" xfId="52" applyFont="1" applyBorder="1" applyAlignment="1">
      <alignment vertical="center" wrapText="1"/>
    </xf>
    <xf numFmtId="0" fontId="18" fillId="0" borderId="0" xfId="0" applyFont="1"/>
    <xf numFmtId="0" fontId="18" fillId="27" borderId="4" xfId="37" applyFont="1" applyFill="1" applyBorder="1" applyAlignment="1">
      <alignment horizontal="center" vertical="center" wrapText="1"/>
    </xf>
    <xf numFmtId="0" fontId="18" fillId="27" borderId="2" xfId="37" applyFont="1" applyFill="1" applyBorder="1" applyAlignment="1">
      <alignment horizontal="center" vertical="center" wrapText="1"/>
    </xf>
    <xf numFmtId="0" fontId="18" fillId="27" borderId="49" xfId="37" applyFont="1" applyFill="1" applyBorder="1" applyAlignment="1">
      <alignment horizontal="center" vertical="center" wrapText="1"/>
    </xf>
    <xf numFmtId="0" fontId="18" fillId="27" borderId="5" xfId="37" applyFont="1" applyFill="1" applyBorder="1" applyAlignment="1">
      <alignment horizontal="center" vertical="center" wrapText="1"/>
    </xf>
    <xf numFmtId="3" fontId="15" fillId="0" borderId="0" xfId="51" applyNumberFormat="1" applyAlignment="1">
      <alignment vertical="center"/>
    </xf>
    <xf numFmtId="49" fontId="51" fillId="0" borderId="0" xfId="52" applyNumberFormat="1" applyFont="1" applyAlignment="1">
      <alignment vertical="center"/>
    </xf>
    <xf numFmtId="0" fontId="63" fillId="0" borderId="0" xfId="51" applyFont="1" applyAlignment="1">
      <alignment vertical="center"/>
    </xf>
    <xf numFmtId="0" fontId="51" fillId="25" borderId="83" xfId="52" applyFont="1" applyFill="1" applyBorder="1" applyAlignment="1">
      <alignment horizontal="center" vertical="center" wrapText="1"/>
    </xf>
    <xf numFmtId="0" fontId="51" fillId="25" borderId="84" xfId="52" applyFont="1" applyFill="1" applyBorder="1" applyAlignment="1">
      <alignment horizontal="center" vertical="center" wrapText="1"/>
    </xf>
    <xf numFmtId="0" fontId="51" fillId="25" borderId="54" xfId="52" applyFont="1" applyFill="1" applyBorder="1" applyAlignment="1">
      <alignment vertical="center" wrapText="1"/>
    </xf>
    <xf numFmtId="3" fontId="52" fillId="0" borderId="8" xfId="52" applyNumberFormat="1" applyFont="1" applyBorder="1" applyAlignment="1">
      <alignment vertical="center"/>
    </xf>
    <xf numFmtId="3" fontId="51" fillId="25" borderId="18" xfId="52" applyNumberFormat="1" applyFont="1" applyFill="1" applyBorder="1" applyAlignment="1">
      <alignment horizontal="center" vertical="center" wrapText="1"/>
    </xf>
    <xf numFmtId="3" fontId="52" fillId="0" borderId="4" xfId="52" applyNumberFormat="1" applyFont="1" applyBorder="1" applyAlignment="1">
      <alignment vertical="center"/>
    </xf>
    <xf numFmtId="3" fontId="52" fillId="0" borderId="5" xfId="52" applyNumberFormat="1" applyFont="1" applyBorder="1" applyAlignment="1">
      <alignment vertical="center"/>
    </xf>
    <xf numFmtId="0" fontId="51" fillId="25" borderId="18" xfId="52" applyFont="1" applyFill="1" applyBorder="1" applyAlignment="1">
      <alignment vertical="center" wrapText="1"/>
    </xf>
    <xf numFmtId="0" fontId="51" fillId="26" borderId="37" xfId="52" applyFont="1" applyFill="1" applyBorder="1" applyAlignment="1">
      <alignment vertical="center" wrapText="1"/>
    </xf>
    <xf numFmtId="0" fontId="52" fillId="26" borderId="70" xfId="52" applyFont="1" applyFill="1" applyBorder="1" applyAlignment="1">
      <alignment horizontal="justify" vertical="center"/>
    </xf>
    <xf numFmtId="49" fontId="52" fillId="0" borderId="4" xfId="52" applyNumberFormat="1" applyFont="1" applyBorder="1" applyAlignment="1">
      <alignment horizontal="center" vertical="center" wrapText="1"/>
    </xf>
    <xf numFmtId="3" fontId="52" fillId="0" borderId="4" xfId="52" applyNumberFormat="1" applyFont="1" applyBorder="1" applyAlignment="1">
      <alignment horizontal="right" vertical="center"/>
    </xf>
    <xf numFmtId="3" fontId="52" fillId="0" borderId="4" xfId="52" applyNumberFormat="1" applyFont="1" applyBorder="1" applyAlignment="1">
      <alignment horizontal="center" vertical="center" wrapText="1"/>
    </xf>
    <xf numFmtId="3" fontId="52" fillId="0" borderId="4" xfId="52" applyNumberFormat="1" applyFont="1" applyBorder="1" applyAlignment="1">
      <alignment horizontal="center" vertical="center"/>
    </xf>
    <xf numFmtId="0" fontId="52" fillId="0" borderId="45" xfId="52" applyFont="1" applyBorder="1" applyAlignment="1">
      <alignment horizontal="justify" vertical="center" wrapText="1"/>
    </xf>
    <xf numFmtId="0" fontId="52" fillId="0" borderId="0" xfId="52" applyFont="1" applyAlignment="1">
      <alignment horizontal="center" vertical="center" wrapText="1"/>
    </xf>
    <xf numFmtId="3" fontId="52" fillId="0" borderId="8" xfId="52" applyNumberFormat="1" applyFont="1" applyBorder="1" applyAlignment="1">
      <alignment horizontal="right" vertical="center"/>
    </xf>
    <xf numFmtId="0" fontId="52" fillId="0" borderId="46" xfId="52" applyFont="1" applyBorder="1" applyAlignment="1">
      <alignment horizontal="justify" vertical="center" wrapText="1"/>
    </xf>
    <xf numFmtId="3" fontId="51" fillId="25" borderId="17" xfId="52" applyNumberFormat="1" applyFont="1" applyFill="1" applyBorder="1" applyAlignment="1">
      <alignment horizontal="center" vertical="center" wrapText="1"/>
    </xf>
    <xf numFmtId="0" fontId="52" fillId="0" borderId="4" xfId="52" applyFont="1" applyBorder="1" applyAlignment="1">
      <alignment horizontal="center" vertical="center" wrapText="1"/>
    </xf>
    <xf numFmtId="3" fontId="52" fillId="0" borderId="4" xfId="52" applyNumberFormat="1" applyFont="1" applyBorder="1" applyAlignment="1">
      <alignment horizontal="right" vertical="center" wrapText="1"/>
    </xf>
    <xf numFmtId="0" fontId="52" fillId="0" borderId="49" xfId="52" applyFont="1" applyBorder="1" applyAlignment="1">
      <alignment horizontal="left" vertical="center" wrapText="1"/>
    </xf>
    <xf numFmtId="3" fontId="52" fillId="0" borderId="2" xfId="52" applyNumberFormat="1" applyFont="1" applyBorder="1" applyAlignment="1">
      <alignment horizontal="center" vertical="center" wrapText="1"/>
    </xf>
    <xf numFmtId="0" fontId="52" fillId="0" borderId="4" xfId="52" applyFont="1" applyBorder="1" applyAlignment="1" applyProtection="1">
      <alignment horizontal="center" vertical="center" wrapText="1"/>
      <protection locked="0"/>
    </xf>
    <xf numFmtId="3" fontId="52" fillId="0" borderId="4" xfId="52" applyNumberFormat="1" applyFont="1" applyBorder="1" applyAlignment="1" applyProtection="1">
      <alignment horizontal="right" vertical="center" wrapText="1"/>
      <protection locked="0"/>
    </xf>
    <xf numFmtId="0" fontId="52" fillId="0" borderId="5" xfId="52" applyFont="1" applyBorder="1" applyAlignment="1" applyProtection="1">
      <alignment horizontal="justify" vertical="center" wrapText="1"/>
      <protection locked="0"/>
    </xf>
    <xf numFmtId="3" fontId="52" fillId="0" borderId="7" xfId="52" applyNumberFormat="1" applyFont="1" applyBorder="1" applyAlignment="1">
      <alignment horizontal="center" vertical="center" wrapText="1"/>
    </xf>
    <xf numFmtId="3" fontId="52" fillId="0" borderId="8" xfId="52" applyNumberFormat="1" applyFont="1" applyBorder="1" applyAlignment="1">
      <alignment horizontal="center" vertical="center" wrapText="1"/>
    </xf>
    <xf numFmtId="0" fontId="51" fillId="27" borderId="4" xfId="52" applyFont="1" applyFill="1" applyBorder="1" applyAlignment="1">
      <alignment horizontal="center" vertical="center" wrapText="1"/>
    </xf>
    <xf numFmtId="3" fontId="51" fillId="27" borderId="4" xfId="52" applyNumberFormat="1" applyFont="1" applyFill="1" applyBorder="1" applyAlignment="1">
      <alignment vertical="center" wrapText="1"/>
    </xf>
    <xf numFmtId="4" fontId="52" fillId="0" borderId="45" xfId="54" applyNumberFormat="1" applyFont="1" applyBorder="1" applyAlignment="1">
      <alignment horizontal="justify" vertical="center" wrapText="1"/>
    </xf>
    <xf numFmtId="0" fontId="52" fillId="0" borderId="72" xfId="52" applyFont="1" applyBorder="1" applyAlignment="1">
      <alignment horizontal="justify" vertical="center" wrapText="1"/>
    </xf>
    <xf numFmtId="0" fontId="52" fillId="0" borderId="8" xfId="52" applyFont="1" applyBorder="1" applyAlignment="1">
      <alignment horizontal="center" vertical="center" wrapText="1"/>
    </xf>
    <xf numFmtId="0" fontId="52" fillId="0" borderId="38" xfId="52" applyFont="1" applyBorder="1" applyAlignment="1">
      <alignment horizontal="justify" vertical="center" wrapText="1"/>
    </xf>
    <xf numFmtId="3" fontId="51" fillId="25" borderId="23" xfId="52" applyNumberFormat="1" applyFont="1" applyFill="1" applyBorder="1" applyAlignment="1">
      <alignment horizontal="center" vertical="center" wrapText="1"/>
    </xf>
    <xf numFmtId="0" fontId="52" fillId="25" borderId="21" xfId="52" applyFont="1" applyFill="1" applyBorder="1" applyAlignment="1">
      <alignment horizontal="justify" vertical="center"/>
    </xf>
    <xf numFmtId="0" fontId="52" fillId="0" borderId="5" xfId="52" applyFont="1" applyBorder="1" applyAlignment="1">
      <alignment horizontal="justify" vertical="center" wrapText="1"/>
    </xf>
    <xf numFmtId="0" fontId="52" fillId="0" borderId="8" xfId="52" applyFont="1" applyBorder="1" applyAlignment="1">
      <alignment horizontal="center" vertical="center"/>
    </xf>
    <xf numFmtId="0" fontId="52" fillId="0" borderId="61" xfId="52" applyFont="1" applyBorder="1" applyAlignment="1">
      <alignment vertical="center" wrapText="1"/>
    </xf>
    <xf numFmtId="3" fontId="52" fillId="0" borderId="8" xfId="52" applyNumberFormat="1" applyFont="1" applyBorder="1" applyAlignment="1">
      <alignment horizontal="right" vertical="center" wrapText="1"/>
    </xf>
    <xf numFmtId="0" fontId="52" fillId="0" borderId="4" xfId="52" applyFont="1" applyBorder="1" applyAlignment="1">
      <alignment horizontal="center" vertical="center"/>
    </xf>
    <xf numFmtId="0" fontId="52" fillId="0" borderId="3" xfId="52" applyFont="1" applyBorder="1" applyAlignment="1">
      <alignment horizontal="justify" vertical="center" wrapText="1"/>
    </xf>
    <xf numFmtId="3" fontId="52" fillId="0" borderId="10" xfId="52" applyNumberFormat="1" applyFont="1" applyBorder="1" applyAlignment="1">
      <alignment horizontal="center" vertical="center" wrapText="1"/>
    </xf>
    <xf numFmtId="0" fontId="52" fillId="0" borderId="49" xfId="52" applyFont="1" applyBorder="1" applyAlignment="1">
      <alignment vertical="center" wrapText="1"/>
    </xf>
    <xf numFmtId="0" fontId="52" fillId="0" borderId="50" xfId="52" applyFont="1" applyBorder="1" applyAlignment="1">
      <alignment horizontal="center" vertical="center" wrapText="1"/>
    </xf>
    <xf numFmtId="3" fontId="52" fillId="0" borderId="2" xfId="52" applyNumberFormat="1" applyFont="1" applyBorder="1" applyAlignment="1">
      <alignment horizontal="right" vertical="center" wrapText="1"/>
    </xf>
    <xf numFmtId="0" fontId="52" fillId="0" borderId="61" xfId="52" applyFont="1" applyBorder="1" applyAlignment="1">
      <alignment horizontal="left" vertical="center" wrapText="1"/>
    </xf>
    <xf numFmtId="3" fontId="52" fillId="0" borderId="12" xfId="52" applyNumberFormat="1" applyFont="1" applyBorder="1" applyAlignment="1">
      <alignment horizontal="right" vertical="center" wrapText="1"/>
    </xf>
    <xf numFmtId="3" fontId="52" fillId="0" borderId="7" xfId="52" applyNumberFormat="1" applyFont="1" applyBorder="1" applyAlignment="1">
      <alignment horizontal="center" vertical="center"/>
    </xf>
    <xf numFmtId="0" fontId="52" fillId="0" borderId="19" xfId="52" applyFont="1" applyBorder="1" applyAlignment="1">
      <alignment vertical="center" wrapText="1"/>
    </xf>
    <xf numFmtId="3" fontId="51" fillId="0" borderId="39" xfId="52" applyNumberFormat="1" applyFont="1" applyBorder="1" applyAlignment="1">
      <alignment vertical="center" wrapText="1"/>
    </xf>
    <xf numFmtId="0" fontId="52" fillId="0" borderId="39" xfId="52" applyFont="1" applyBorder="1" applyAlignment="1">
      <alignment horizontal="center" vertical="center" wrapText="1"/>
    </xf>
    <xf numFmtId="49" fontId="52" fillId="0" borderId="82" xfId="52" applyNumberFormat="1" applyFont="1" applyBorder="1" applyAlignment="1">
      <alignment horizontal="justify" vertical="center"/>
    </xf>
    <xf numFmtId="0" fontId="51" fillId="0" borderId="0" xfId="0" applyFont="1" applyAlignment="1">
      <alignment horizontal="right"/>
    </xf>
    <xf numFmtId="3" fontId="52" fillId="0" borderId="42" xfId="52" applyNumberFormat="1" applyFont="1" applyBorder="1" applyAlignment="1">
      <alignment horizontal="center" vertical="center"/>
    </xf>
    <xf numFmtId="49" fontId="52" fillId="0" borderId="42" xfId="52" applyNumberFormat="1" applyFont="1" applyBorder="1" applyAlignment="1">
      <alignment horizontal="center" vertical="center" wrapText="1"/>
    </xf>
    <xf numFmtId="3" fontId="52" fillId="0" borderId="42" xfId="52" applyNumberFormat="1" applyFont="1" applyBorder="1" applyAlignment="1">
      <alignment horizontal="right" vertical="center"/>
    </xf>
    <xf numFmtId="10" fontId="18" fillId="0" borderId="0" xfId="52" applyNumberFormat="1" applyFont="1" applyAlignment="1">
      <alignment vertical="center"/>
    </xf>
    <xf numFmtId="3" fontId="51" fillId="25" borderId="16" xfId="52" applyNumberFormat="1" applyFont="1" applyFill="1" applyBorder="1" applyAlignment="1">
      <alignment vertical="center" wrapText="1"/>
    </xf>
    <xf numFmtId="10" fontId="51" fillId="25" borderId="18" xfId="52" applyNumberFormat="1" applyFont="1" applyFill="1" applyBorder="1" applyAlignment="1">
      <alignment horizontal="center" vertical="center" wrapText="1"/>
    </xf>
    <xf numFmtId="0" fontId="64" fillId="0" borderId="0" xfId="54" applyFont="1" applyAlignment="1">
      <alignment horizontal="center" vertical="center"/>
    </xf>
    <xf numFmtId="0" fontId="64" fillId="0" borderId="0" xfId="54" applyFont="1" applyAlignment="1">
      <alignment vertical="center"/>
    </xf>
    <xf numFmtId="0" fontId="64" fillId="0" borderId="0" xfId="54" applyFont="1" applyAlignment="1">
      <alignment horizontal="justify" vertical="justify"/>
    </xf>
    <xf numFmtId="0" fontId="65" fillId="0" borderId="0" xfId="54" applyFont="1" applyAlignment="1">
      <alignment vertical="center"/>
    </xf>
    <xf numFmtId="0" fontId="45" fillId="0" borderId="0" xfId="1" applyFont="1" applyAlignment="1">
      <alignment horizontal="center" vertical="center" wrapText="1"/>
    </xf>
    <xf numFmtId="0" fontId="50" fillId="0" borderId="0" xfId="54" applyFont="1" applyAlignment="1">
      <alignment vertical="center"/>
    </xf>
    <xf numFmtId="0" fontId="51" fillId="25" borderId="62" xfId="54" applyFont="1" applyFill="1" applyBorder="1" applyAlignment="1">
      <alignment vertical="center" wrapText="1"/>
    </xf>
    <xf numFmtId="0" fontId="51" fillId="25" borderId="63" xfId="54" applyFont="1" applyFill="1" applyBorder="1" applyAlignment="1">
      <alignment horizontal="center" vertical="center"/>
    </xf>
    <xf numFmtId="3" fontId="51" fillId="25" borderId="63" xfId="54" applyNumberFormat="1" applyFont="1" applyFill="1" applyBorder="1" applyAlignment="1">
      <alignment vertical="center"/>
    </xf>
    <xf numFmtId="3" fontId="51" fillId="25" borderId="65" xfId="54" applyNumberFormat="1" applyFont="1" applyFill="1" applyBorder="1" applyAlignment="1">
      <alignment horizontal="justify" vertical="justify"/>
    </xf>
    <xf numFmtId="0" fontId="51" fillId="25" borderId="62" xfId="54" applyFont="1" applyFill="1" applyBorder="1" applyAlignment="1">
      <alignment vertical="center"/>
    </xf>
    <xf numFmtId="3" fontId="51" fillId="25" borderId="66" xfId="54" applyNumberFormat="1" applyFont="1" applyFill="1" applyBorder="1" applyAlignment="1">
      <alignment horizontal="justify" vertical="justify"/>
    </xf>
    <xf numFmtId="3" fontId="51" fillId="25" borderId="64" xfId="54" applyNumberFormat="1" applyFont="1" applyFill="1" applyBorder="1" applyAlignment="1">
      <alignment vertical="center"/>
    </xf>
    <xf numFmtId="0" fontId="41" fillId="0" borderId="15" xfId="1" applyFont="1" applyBorder="1" applyAlignment="1">
      <alignment horizontal="center" vertical="center" wrapText="1"/>
    </xf>
    <xf numFmtId="49" fontId="23" fillId="3" borderId="3" xfId="1" applyNumberFormat="1" applyFont="1" applyFill="1" applyBorder="1"/>
    <xf numFmtId="0" fontId="24" fillId="0" borderId="0" xfId="1" applyFont="1"/>
    <xf numFmtId="49" fontId="18" fillId="0" borderId="3" xfId="1" applyNumberFormat="1" applyFont="1" applyBorder="1" applyAlignment="1">
      <alignment horizontal="left"/>
    </xf>
    <xf numFmtId="3" fontId="42" fillId="25" borderId="9" xfId="1" applyNumberFormat="1" applyFont="1" applyFill="1" applyBorder="1"/>
    <xf numFmtId="3" fontId="42" fillId="25" borderId="13" xfId="1" applyNumberFormat="1" applyFont="1" applyFill="1" applyBorder="1"/>
    <xf numFmtId="49" fontId="18" fillId="0" borderId="3" xfId="1" applyNumberFormat="1" applyFont="1" applyBorder="1" applyAlignment="1">
      <alignment horizontal="left" wrapText="1"/>
    </xf>
    <xf numFmtId="3" fontId="42" fillId="25" borderId="2" xfId="1" applyNumberFormat="1" applyFont="1" applyFill="1" applyBorder="1"/>
    <xf numFmtId="3" fontId="42" fillId="25" borderId="5" xfId="1" applyNumberFormat="1" applyFont="1" applyFill="1" applyBorder="1"/>
    <xf numFmtId="49" fontId="18" fillId="0" borderId="19" xfId="1" applyNumberFormat="1" applyFont="1" applyBorder="1" applyAlignment="1">
      <alignment horizontal="left" wrapText="1"/>
    </xf>
    <xf numFmtId="3" fontId="42" fillId="25" borderId="23" xfId="1" applyNumberFormat="1" applyFont="1" applyFill="1" applyBorder="1"/>
    <xf numFmtId="3" fontId="42" fillId="25" borderId="21" xfId="1" applyNumberFormat="1" applyFont="1" applyFill="1" applyBorder="1"/>
    <xf numFmtId="49" fontId="22" fillId="0" borderId="0" xfId="1" applyNumberFormat="1" applyFont="1" applyAlignment="1">
      <alignment horizontal="left" vertical="center"/>
    </xf>
    <xf numFmtId="164" fontId="18" fillId="0" borderId="0" xfId="1" applyNumberFormat="1" applyFont="1" applyAlignment="1">
      <alignment horizontal="center" vertical="center"/>
    </xf>
    <xf numFmtId="4" fontId="19" fillId="0" borderId="0" xfId="1" applyNumberFormat="1" applyFont="1" applyAlignment="1">
      <alignment horizontal="center" vertical="center"/>
    </xf>
    <xf numFmtId="4" fontId="18" fillId="0" borderId="0" xfId="1" applyNumberFormat="1" applyFont="1" applyAlignment="1">
      <alignment horizontal="center" vertical="center"/>
    </xf>
    <xf numFmtId="49" fontId="20" fillId="0" borderId="1" xfId="1" applyNumberFormat="1" applyFont="1" applyBorder="1"/>
    <xf numFmtId="3" fontId="20" fillId="25" borderId="2" xfId="1" applyNumberFormat="1" applyFont="1" applyFill="1" applyBorder="1"/>
    <xf numFmtId="3" fontId="41" fillId="0" borderId="10" xfId="1" applyNumberFormat="1" applyFont="1" applyBorder="1"/>
    <xf numFmtId="3" fontId="41" fillId="0" borderId="9" xfId="1" applyNumberFormat="1" applyFont="1" applyBorder="1"/>
    <xf numFmtId="3" fontId="41" fillId="0" borderId="13" xfId="1" applyNumberFormat="1" applyFont="1" applyBorder="1"/>
    <xf numFmtId="49" fontId="23" fillId="0" borderId="3" xfId="1" applyNumberFormat="1" applyFont="1" applyBorder="1" applyAlignment="1">
      <alignment horizontal="left"/>
    </xf>
    <xf numFmtId="3" fontId="23" fillId="25" borderId="2" xfId="1" applyNumberFormat="1" applyFont="1" applyFill="1" applyBorder="1"/>
    <xf numFmtId="3" fontId="18" fillId="25" borderId="10" xfId="1" applyNumberFormat="1" applyFont="1" applyFill="1" applyBorder="1"/>
    <xf numFmtId="3" fontId="18" fillId="0" borderId="10" xfId="1" applyNumberFormat="1" applyFont="1" applyBorder="1"/>
    <xf numFmtId="3" fontId="18" fillId="0" borderId="9" xfId="1" applyNumberFormat="1" applyFont="1" applyBorder="1"/>
    <xf numFmtId="3" fontId="18" fillId="0" borderId="13" xfId="1" applyNumberFormat="1" applyFont="1" applyBorder="1"/>
    <xf numFmtId="49" fontId="18" fillId="0" borderId="3" xfId="1" applyNumberFormat="1" applyFont="1" applyBorder="1"/>
    <xf numFmtId="49" fontId="20" fillId="0" borderId="3" xfId="1" applyNumberFormat="1" applyFont="1" applyBorder="1"/>
    <xf numFmtId="49" fontId="20" fillId="0" borderId="3" xfId="1" applyNumberFormat="1" applyFont="1" applyBorder="1" applyAlignment="1">
      <alignment horizontal="left"/>
    </xf>
    <xf numFmtId="3" fontId="18" fillId="0" borderId="9" xfId="1" applyNumberFormat="1" applyFont="1" applyBorder="1" applyAlignment="1">
      <alignment horizontal="right"/>
    </xf>
    <xf numFmtId="3" fontId="18" fillId="0" borderId="13" xfId="1" applyNumberFormat="1" applyFont="1" applyBorder="1" applyAlignment="1">
      <alignment horizontal="right"/>
    </xf>
    <xf numFmtId="49" fontId="18" fillId="0" borderId="6" xfId="1" applyNumberFormat="1" applyFont="1" applyBorder="1"/>
    <xf numFmtId="49" fontId="20" fillId="0" borderId="6" xfId="1" applyNumberFormat="1" applyFont="1" applyBorder="1" applyAlignment="1">
      <alignment horizontal="left" wrapText="1"/>
    </xf>
    <xf numFmtId="3" fontId="20" fillId="25" borderId="7" xfId="1" applyNumberFormat="1" applyFont="1" applyFill="1" applyBorder="1"/>
    <xf numFmtId="3" fontId="41" fillId="0" borderId="12" xfId="1" applyNumberFormat="1" applyFont="1" applyBorder="1"/>
    <xf numFmtId="3" fontId="41" fillId="0" borderId="26" xfId="1" applyNumberFormat="1" applyFont="1" applyBorder="1"/>
    <xf numFmtId="3" fontId="41" fillId="0" borderId="11" xfId="1" applyNumberFormat="1" applyFont="1" applyBorder="1"/>
    <xf numFmtId="49" fontId="20" fillId="0" borderId="15" xfId="1" applyNumberFormat="1" applyFont="1" applyBorder="1"/>
    <xf numFmtId="3" fontId="20" fillId="25" borderId="17" xfId="1" applyNumberFormat="1" applyFont="1" applyFill="1" applyBorder="1"/>
    <xf numFmtId="3" fontId="41" fillId="0" borderId="18" xfId="1" applyNumberFormat="1" applyFont="1" applyBorder="1"/>
    <xf numFmtId="3" fontId="41" fillId="0" borderId="17" xfId="1" applyNumberFormat="1" applyFont="1" applyBorder="1"/>
    <xf numFmtId="3" fontId="41" fillId="0" borderId="16" xfId="1" applyNumberFormat="1" applyFont="1" applyBorder="1"/>
    <xf numFmtId="0" fontId="20" fillId="0" borderId="3" xfId="1" applyFont="1" applyBorder="1" applyAlignment="1">
      <alignment horizontal="left"/>
    </xf>
    <xf numFmtId="3" fontId="20" fillId="0" borderId="24" xfId="1" applyNumberFormat="1" applyFont="1" applyBorder="1"/>
    <xf numFmtId="3" fontId="20" fillId="0" borderId="25" xfId="1" applyNumberFormat="1" applyFont="1" applyBorder="1"/>
    <xf numFmtId="3" fontId="20" fillId="0" borderId="36" xfId="1" applyNumberFormat="1" applyFont="1" applyBorder="1"/>
    <xf numFmtId="3" fontId="20" fillId="0" borderId="4" xfId="1" applyNumberFormat="1" applyFont="1" applyBorder="1"/>
    <xf numFmtId="3" fontId="20" fillId="0" borderId="5" xfId="1" applyNumberFormat="1" applyFont="1" applyBorder="1"/>
    <xf numFmtId="0" fontId="18" fillId="0" borderId="3" xfId="1" applyFont="1" applyBorder="1" applyAlignment="1">
      <alignment horizontal="left" wrapText="1"/>
    </xf>
    <xf numFmtId="3" fontId="18" fillId="0" borderId="4" xfId="1" applyNumberFormat="1" applyFont="1" applyBorder="1"/>
    <xf numFmtId="3" fontId="18" fillId="0" borderId="5" xfId="1" applyNumberFormat="1" applyFont="1" applyBorder="1"/>
    <xf numFmtId="0" fontId="18" fillId="0" borderId="3" xfId="1" applyFont="1" applyBorder="1" applyAlignment="1">
      <alignment horizontal="left"/>
    </xf>
    <xf numFmtId="0" fontId="20" fillId="0" borderId="3" xfId="1" applyFont="1" applyBorder="1" applyAlignment="1">
      <alignment horizontal="left" wrapText="1"/>
    </xf>
    <xf numFmtId="3" fontId="18" fillId="0" borderId="4" xfId="1" applyNumberFormat="1" applyFont="1" applyBorder="1" applyAlignment="1">
      <alignment horizontal="right"/>
    </xf>
    <xf numFmtId="3" fontId="18" fillId="0" borderId="5" xfId="1" applyNumberFormat="1" applyFont="1" applyBorder="1" applyAlignment="1">
      <alignment horizontal="right"/>
    </xf>
    <xf numFmtId="0" fontId="18" fillId="0" borderId="37" xfId="1" applyFont="1" applyBorder="1" applyAlignment="1">
      <alignment horizontal="left"/>
    </xf>
    <xf numFmtId="0" fontId="17" fillId="0" borderId="4" xfId="1" applyFont="1" applyBorder="1" applyAlignment="1">
      <alignment vertical="center"/>
    </xf>
    <xf numFmtId="0" fontId="17" fillId="0" borderId="5" xfId="1" applyFont="1" applyBorder="1" applyAlignment="1">
      <alignment vertical="center"/>
    </xf>
    <xf numFmtId="0" fontId="20" fillId="0" borderId="37" xfId="1" applyFont="1" applyBorder="1" applyAlignment="1">
      <alignment horizontal="left" wrapText="1"/>
    </xf>
    <xf numFmtId="3" fontId="61" fillId="25" borderId="2" xfId="1" applyNumberFormat="1" applyFont="1" applyFill="1" applyBorder="1"/>
    <xf numFmtId="3" fontId="18" fillId="25" borderId="4" xfId="1" applyNumberFormat="1" applyFont="1" applyFill="1" applyBorder="1"/>
    <xf numFmtId="0" fontId="18" fillId="0" borderId="1" xfId="1" applyFont="1" applyBorder="1" applyAlignment="1">
      <alignment horizontal="left"/>
    </xf>
    <xf numFmtId="0" fontId="20" fillId="0" borderId="1" xfId="1" applyFont="1" applyBorder="1" applyAlignment="1">
      <alignment horizontal="left"/>
    </xf>
    <xf numFmtId="3" fontId="62" fillId="25" borderId="10" xfId="1" applyNumberFormat="1" applyFont="1" applyFill="1" applyBorder="1"/>
    <xf numFmtId="0" fontId="22" fillId="0" borderId="6" xfId="0" applyFont="1" applyBorder="1" applyAlignment="1">
      <alignment horizontal="left" wrapText="1"/>
    </xf>
    <xf numFmtId="0" fontId="26" fillId="0" borderId="8" xfId="1" applyFont="1" applyBorder="1" applyAlignment="1">
      <alignment vertical="center"/>
    </xf>
    <xf numFmtId="0" fontId="26" fillId="0" borderId="38" xfId="1" applyFont="1" applyBorder="1" applyAlignment="1">
      <alignment vertical="center"/>
    </xf>
    <xf numFmtId="0" fontId="20" fillId="0" borderId="15" xfId="1" applyFont="1" applyBorder="1" applyAlignment="1">
      <alignment horizontal="left"/>
    </xf>
    <xf numFmtId="3" fontId="20" fillId="0" borderId="18" xfId="1" applyNumberFormat="1" applyFont="1" applyBorder="1"/>
    <xf numFmtId="3" fontId="20" fillId="0" borderId="16" xfId="1" applyNumberFormat="1" applyFont="1" applyBorder="1"/>
    <xf numFmtId="0" fontId="50" fillId="0" borderId="3" xfId="51" applyFont="1" applyBorder="1" applyAlignment="1">
      <alignment horizontal="justify" vertical="center" wrapText="1"/>
    </xf>
    <xf numFmtId="0" fontId="50" fillId="0" borderId="4" xfId="51" applyFont="1" applyBorder="1" applyAlignment="1">
      <alignment horizontal="center" vertical="center"/>
    </xf>
    <xf numFmtId="0" fontId="49" fillId="0" borderId="3" xfId="51" applyFont="1" applyBorder="1" applyAlignment="1">
      <alignment vertical="center" wrapText="1"/>
    </xf>
    <xf numFmtId="0" fontId="50" fillId="0" borderId="3" xfId="51" applyFont="1" applyBorder="1" applyAlignment="1">
      <alignment vertical="center" wrapText="1"/>
    </xf>
    <xf numFmtId="0" fontId="49" fillId="0" borderId="1" xfId="51" applyFont="1" applyBorder="1" applyAlignment="1">
      <alignment vertical="center" wrapText="1"/>
    </xf>
    <xf numFmtId="0" fontId="50" fillId="0" borderId="10" xfId="51" applyFont="1" applyBorder="1" applyAlignment="1">
      <alignment horizontal="center" vertical="center"/>
    </xf>
    <xf numFmtId="0" fontId="50" fillId="0" borderId="1" xfId="51" applyFont="1" applyBorder="1" applyAlignment="1">
      <alignment vertical="center" wrapText="1"/>
    </xf>
    <xf numFmtId="0" fontId="50" fillId="0" borderId="37" xfId="51" applyFont="1" applyBorder="1" applyAlignment="1">
      <alignment vertical="center"/>
    </xf>
    <xf numFmtId="0" fontId="50" fillId="0" borderId="6" xfId="51" applyFont="1" applyBorder="1" applyAlignment="1">
      <alignment vertical="center" wrapText="1"/>
    </xf>
    <xf numFmtId="0" fontId="50" fillId="0" borderId="8" xfId="51" applyFont="1" applyBorder="1" applyAlignment="1">
      <alignment horizontal="center" vertical="center"/>
    </xf>
    <xf numFmtId="0" fontId="50" fillId="0" borderId="6" xfId="51" applyFont="1" applyBorder="1" applyAlignment="1">
      <alignment horizontal="justify" vertical="center" wrapText="1"/>
    </xf>
    <xf numFmtId="0" fontId="49" fillId="0" borderId="6" xfId="51" applyFont="1" applyBorder="1" applyAlignment="1">
      <alignment vertical="center" wrapText="1"/>
    </xf>
    <xf numFmtId="0" fontId="49" fillId="0" borderId="0" xfId="54" applyFont="1" applyAlignment="1">
      <alignment horizontal="center" vertical="center"/>
    </xf>
    <xf numFmtId="0" fontId="49" fillId="0" borderId="0" xfId="54" applyFont="1" applyAlignment="1">
      <alignment vertical="center"/>
    </xf>
    <xf numFmtId="0" fontId="49" fillId="0" borderId="0" xfId="54" applyFont="1" applyAlignment="1">
      <alignment horizontal="justify" vertical="justify"/>
    </xf>
    <xf numFmtId="3" fontId="18" fillId="0" borderId="50" xfId="37" applyNumberFormat="1" applyFont="1" applyBorder="1" applyAlignment="1">
      <alignment vertical="center"/>
    </xf>
    <xf numFmtId="3" fontId="69" fillId="0" borderId="4" xfId="37" applyNumberFormat="1" applyFont="1" applyBorder="1" applyAlignment="1">
      <alignment vertical="center"/>
    </xf>
    <xf numFmtId="0" fontId="27" fillId="0" borderId="0" xfId="51" applyFont="1"/>
    <xf numFmtId="0" fontId="52" fillId="0" borderId="0" xfId="51" applyFont="1" applyAlignment="1">
      <alignment horizontal="center" vertical="center" wrapText="1"/>
    </xf>
    <xf numFmtId="0" fontId="51" fillId="0" borderId="0" xfId="51" applyFont="1" applyAlignment="1">
      <alignment horizontal="center" vertical="center" wrapText="1"/>
    </xf>
    <xf numFmtId="0" fontId="52" fillId="0" borderId="0" xfId="51" applyFont="1" applyAlignment="1">
      <alignment wrapText="1"/>
    </xf>
    <xf numFmtId="4" fontId="18" fillId="0" borderId="8" xfId="51" applyNumberFormat="1" applyFont="1" applyBorder="1" applyAlignment="1">
      <alignment vertical="center"/>
    </xf>
    <xf numFmtId="0" fontId="52" fillId="0" borderId="0" xfId="51" applyFont="1" applyAlignment="1">
      <alignment horizontal="left" vertical="center" wrapText="1"/>
    </xf>
    <xf numFmtId="4" fontId="52" fillId="0" borderId="0" xfId="51" applyNumberFormat="1" applyFont="1" applyAlignment="1">
      <alignment horizontal="center" vertical="center"/>
    </xf>
    <xf numFmtId="0" fontId="51" fillId="0" borderId="0" xfId="51" applyFont="1" applyAlignment="1">
      <alignment horizontal="center" vertical="center"/>
    </xf>
    <xf numFmtId="4" fontId="51" fillId="0" borderId="0" xfId="51" applyNumberFormat="1" applyFont="1" applyAlignment="1">
      <alignment horizontal="center" vertical="center"/>
    </xf>
    <xf numFmtId="0" fontId="52" fillId="0" borderId="0" xfId="51" applyFont="1" applyAlignment="1">
      <alignment vertical="center"/>
    </xf>
    <xf numFmtId="0" fontId="51" fillId="0" borderId="0" xfId="51" applyFont="1" applyAlignment="1">
      <alignment horizontal="left" vertical="center" wrapText="1"/>
    </xf>
    <xf numFmtId="10" fontId="51" fillId="0" borderId="0" xfId="51" applyNumberFormat="1" applyFont="1" applyAlignment="1">
      <alignment horizontal="center" vertical="center"/>
    </xf>
    <xf numFmtId="3" fontId="52" fillId="0" borderId="12" xfId="52" applyNumberFormat="1" applyFont="1" applyBorder="1" applyAlignment="1">
      <alignment vertical="center"/>
    </xf>
    <xf numFmtId="0" fontId="52" fillId="0" borderId="4" xfId="54" applyFont="1" applyBorder="1" applyAlignment="1">
      <alignment horizontal="center" vertical="center" wrapText="1"/>
    </xf>
    <xf numFmtId="0" fontId="18" fillId="0" borderId="14" xfId="37" applyFont="1" applyBorder="1" applyAlignment="1">
      <alignment horizontal="center" vertical="center"/>
    </xf>
    <xf numFmtId="3" fontId="18" fillId="0" borderId="57" xfId="37" applyNumberFormat="1" applyFont="1" applyBorder="1" applyAlignment="1">
      <alignment vertical="center"/>
    </xf>
    <xf numFmtId="0" fontId="18" fillId="27" borderId="50" xfId="37" applyFont="1" applyFill="1" applyBorder="1" applyAlignment="1">
      <alignment horizontal="center" vertical="center" wrapText="1"/>
    </xf>
    <xf numFmtId="3" fontId="18" fillId="0" borderId="73" xfId="37" applyNumberFormat="1" applyFont="1" applyBorder="1" applyAlignment="1">
      <alignment vertical="center"/>
    </xf>
    <xf numFmtId="3" fontId="69" fillId="0" borderId="50" xfId="37" applyNumberFormat="1" applyFont="1" applyBorder="1" applyAlignment="1">
      <alignment vertical="center"/>
    </xf>
    <xf numFmtId="4" fontId="18" fillId="0" borderId="8" xfId="51" applyNumberFormat="1" applyFont="1" applyBorder="1" applyAlignment="1">
      <alignment horizontal="right" vertical="center"/>
    </xf>
    <xf numFmtId="0" fontId="47" fillId="0" borderId="57" xfId="51" applyFont="1" applyFill="1" applyBorder="1" applyAlignment="1">
      <alignment horizontal="center" vertical="center" wrapText="1"/>
    </xf>
    <xf numFmtId="0" fontId="47" fillId="0" borderId="43" xfId="51" applyFont="1" applyFill="1" applyBorder="1" applyAlignment="1">
      <alignment horizontal="center" vertical="center" wrapText="1"/>
    </xf>
    <xf numFmtId="0" fontId="51" fillId="0" borderId="0" xfId="54" applyFont="1" applyAlignment="1">
      <alignment horizontal="right" vertical="center"/>
    </xf>
    <xf numFmtId="0" fontId="60" fillId="0" borderId="0" xfId="34" applyFont="1" applyFill="1" applyAlignment="1"/>
    <xf numFmtId="0" fontId="43" fillId="0" borderId="0" xfId="34" applyFont="1" applyFill="1" applyAlignment="1"/>
    <xf numFmtId="0" fontId="48" fillId="0" borderId="4" xfId="51" applyFont="1" applyBorder="1" applyAlignment="1">
      <alignment horizontal="center" vertical="center"/>
    </xf>
    <xf numFmtId="49" fontId="48" fillId="0" borderId="3" xfId="1" applyNumberFormat="1" applyFont="1" applyBorder="1" applyAlignment="1">
      <alignment horizontal="justify" vertical="center"/>
    </xf>
    <xf numFmtId="0" fontId="47" fillId="25" borderId="44" xfId="34" applyFont="1" applyFill="1" applyBorder="1" applyAlignment="1">
      <alignment horizontal="left" vertical="center" wrapText="1"/>
    </xf>
    <xf numFmtId="0" fontId="47" fillId="25" borderId="10" xfId="34" applyFont="1" applyFill="1" applyBorder="1" applyAlignment="1">
      <alignment horizontal="left" vertical="center" wrapText="1"/>
    </xf>
    <xf numFmtId="3" fontId="47" fillId="25" borderId="10" xfId="34" applyNumberFormat="1" applyFont="1" applyFill="1" applyBorder="1" applyAlignment="1">
      <alignment horizontal="right" vertical="center" wrapText="1"/>
    </xf>
    <xf numFmtId="3" fontId="47" fillId="25" borderId="13" xfId="34" applyNumberFormat="1" applyFont="1" applyFill="1" applyBorder="1" applyAlignment="1">
      <alignment horizontal="right" vertical="center" wrapText="1"/>
    </xf>
    <xf numFmtId="1" fontId="41" fillId="28" borderId="17" xfId="1" applyNumberFormat="1" applyFont="1" applyFill="1" applyBorder="1" applyAlignment="1">
      <alignment horizontal="center" vertical="center" wrapText="1"/>
    </xf>
    <xf numFmtId="3" fontId="42" fillId="28" borderId="9" xfId="1" applyNumberFormat="1" applyFont="1" applyFill="1" applyBorder="1"/>
    <xf numFmtId="3" fontId="42" fillId="28" borderId="2" xfId="1" applyNumberFormat="1" applyFont="1" applyFill="1" applyBorder="1"/>
    <xf numFmtId="3" fontId="42" fillId="28" borderId="23" xfId="1" applyNumberFormat="1" applyFont="1" applyFill="1" applyBorder="1"/>
    <xf numFmtId="0" fontId="41" fillId="28" borderId="25" xfId="1" applyFont="1" applyFill="1" applyBorder="1" applyAlignment="1">
      <alignment horizontal="center" vertical="center" wrapText="1"/>
    </xf>
    <xf numFmtId="0" fontId="41" fillId="28" borderId="23" xfId="1" applyFont="1" applyFill="1" applyBorder="1" applyAlignment="1">
      <alignment horizontal="center" vertical="center" wrapText="1"/>
    </xf>
    <xf numFmtId="3" fontId="20" fillId="28" borderId="2" xfId="1" applyNumberFormat="1" applyFont="1" applyFill="1" applyBorder="1"/>
    <xf numFmtId="3" fontId="23" fillId="28" borderId="2" xfId="1" applyNumberFormat="1" applyFont="1" applyFill="1" applyBorder="1"/>
    <xf numFmtId="3" fontId="18" fillId="28" borderId="10" xfId="1" applyNumberFormat="1" applyFont="1" applyFill="1" applyBorder="1"/>
    <xf numFmtId="3" fontId="20" fillId="28" borderId="7" xfId="1" applyNumberFormat="1" applyFont="1" applyFill="1" applyBorder="1"/>
    <xf numFmtId="3" fontId="20" fillId="28" borderId="17" xfId="1" applyNumberFormat="1" applyFont="1" applyFill="1" applyBorder="1"/>
    <xf numFmtId="3" fontId="61" fillId="28" borderId="2" xfId="1" applyNumberFormat="1" applyFont="1" applyFill="1" applyBorder="1"/>
    <xf numFmtId="3" fontId="18" fillId="28" borderId="4" xfId="1" applyNumberFormat="1" applyFont="1" applyFill="1" applyBorder="1"/>
    <xf numFmtId="3" fontId="62" fillId="28" borderId="10" xfId="1" applyNumberFormat="1" applyFont="1" applyFill="1" applyBorder="1"/>
    <xf numFmtId="0" fontId="48" fillId="0" borderId="4" xfId="51" applyFont="1" applyFill="1" applyBorder="1" applyAlignment="1">
      <alignment horizontal="center" vertical="center"/>
    </xf>
    <xf numFmtId="0" fontId="47" fillId="0" borderId="3" xfId="51" applyFont="1" applyFill="1" applyBorder="1" applyAlignment="1">
      <alignment vertical="center" wrapText="1"/>
    </xf>
    <xf numFmtId="3" fontId="20" fillId="0" borderId="4" xfId="1" applyNumberFormat="1" applyFont="1" applyBorder="1" applyAlignment="1">
      <alignment horizontal="right"/>
    </xf>
    <xf numFmtId="3" fontId="52" fillId="0" borderId="42" xfId="52" applyNumberFormat="1" applyFont="1" applyBorder="1" applyAlignment="1">
      <alignment horizontal="right" vertical="center" wrapText="1"/>
    </xf>
    <xf numFmtId="49" fontId="52" fillId="0" borderId="49" xfId="52" applyNumberFormat="1" applyFont="1" applyBorder="1" applyAlignment="1">
      <alignment horizontal="left" vertical="center" wrapText="1"/>
    </xf>
    <xf numFmtId="0" fontId="52" fillId="0" borderId="4" xfId="52" applyFont="1" applyBorder="1" applyAlignment="1">
      <alignment horizontal="left" vertical="center" wrapText="1"/>
    </xf>
    <xf numFmtId="4" fontId="52" fillId="0" borderId="5" xfId="52" applyNumberFormat="1" applyFont="1" applyBorder="1" applyAlignment="1">
      <alignment horizontal="justify" vertical="center" wrapText="1"/>
    </xf>
    <xf numFmtId="0" fontId="52" fillId="0" borderId="51" xfId="52" applyFont="1" applyBorder="1" applyAlignment="1">
      <alignment horizontal="left" vertical="center" wrapText="1"/>
    </xf>
    <xf numFmtId="3" fontId="52" fillId="0" borderId="51" xfId="52" applyNumberFormat="1" applyFont="1" applyBorder="1" applyAlignment="1">
      <alignment vertical="center"/>
    </xf>
    <xf numFmtId="3" fontId="52" fillId="0" borderId="52" xfId="52" applyNumberFormat="1" applyFont="1" applyBorder="1" applyAlignment="1">
      <alignment vertical="center"/>
    </xf>
    <xf numFmtId="0" fontId="51" fillId="25" borderId="18" xfId="52" applyFont="1" applyFill="1" applyBorder="1" applyAlignment="1">
      <alignment horizontal="left" vertical="center" wrapText="1"/>
    </xf>
    <xf numFmtId="4" fontId="52" fillId="0" borderId="38" xfId="52" applyNumberFormat="1" applyFont="1" applyBorder="1" applyAlignment="1">
      <alignment horizontal="justify" vertical="center" wrapText="1"/>
    </xf>
    <xf numFmtId="0" fontId="52" fillId="0" borderId="0" xfId="70" applyFont="1" applyAlignment="1">
      <alignment vertical="center"/>
    </xf>
    <xf numFmtId="0" fontId="73" fillId="0" borderId="42" xfId="70" applyFont="1" applyBorder="1" applyAlignment="1">
      <alignment horizontal="center" vertical="center" wrapText="1"/>
    </xf>
    <xf numFmtId="3" fontId="73" fillId="27" borderId="49" xfId="70" applyNumberFormat="1" applyFont="1" applyFill="1" applyBorder="1" applyAlignment="1">
      <alignment horizontal="left" vertical="center" wrapText="1"/>
    </xf>
    <xf numFmtId="3" fontId="73" fillId="27" borderId="4" xfId="70" applyNumberFormat="1" applyFont="1" applyFill="1" applyBorder="1" applyAlignment="1">
      <alignment horizontal="right" vertical="center" wrapText="1"/>
    </xf>
    <xf numFmtId="3" fontId="73" fillId="27" borderId="5" xfId="70" applyNumberFormat="1" applyFont="1" applyFill="1" applyBorder="1" applyAlignment="1">
      <alignment horizontal="right" vertical="center" wrapText="1"/>
    </xf>
    <xf numFmtId="3" fontId="73" fillId="27" borderId="55" xfId="70" applyNumberFormat="1" applyFont="1" applyFill="1" applyBorder="1" applyAlignment="1">
      <alignment horizontal="left" vertical="center" wrapText="1"/>
    </xf>
    <xf numFmtId="3" fontId="73" fillId="27" borderId="18" xfId="70" applyNumberFormat="1" applyFont="1" applyFill="1" applyBorder="1" applyAlignment="1">
      <alignment horizontal="right" vertical="center" wrapText="1"/>
    </xf>
    <xf numFmtId="3" fontId="73" fillId="27" borderId="16" xfId="70" applyNumberFormat="1" applyFont="1" applyFill="1" applyBorder="1" applyAlignment="1">
      <alignment horizontal="right" vertical="center" wrapText="1"/>
    </xf>
    <xf numFmtId="3" fontId="73" fillId="0" borderId="37" xfId="70" applyNumberFormat="1" applyFont="1" applyBorder="1" applyAlignment="1">
      <alignment horizontal="left" vertical="center" wrapText="1"/>
    </xf>
    <xf numFmtId="3" fontId="73" fillId="0" borderId="65" xfId="70" applyNumberFormat="1" applyFont="1" applyBorder="1" applyAlignment="1">
      <alignment horizontal="center" vertical="center" wrapText="1"/>
    </xf>
    <xf numFmtId="3" fontId="77" fillId="0" borderId="4" xfId="70" applyNumberFormat="1" applyFont="1" applyBorder="1" applyAlignment="1">
      <alignment horizontal="right" vertical="center" wrapText="1"/>
    </xf>
    <xf numFmtId="3" fontId="77" fillId="0" borderId="49" xfId="70" applyNumberFormat="1" applyFont="1" applyBorder="1" applyAlignment="1">
      <alignment vertical="center" wrapText="1"/>
    </xf>
    <xf numFmtId="3" fontId="52" fillId="0" borderId="49" xfId="70" applyNumberFormat="1" applyFont="1" applyBorder="1" applyAlignment="1">
      <alignment vertical="center" wrapText="1"/>
    </xf>
    <xf numFmtId="3" fontId="52" fillId="0" borderId="4" xfId="70" applyNumberFormat="1" applyFont="1" applyBorder="1" applyAlignment="1">
      <alignment horizontal="right" vertical="center" wrapText="1"/>
    </xf>
    <xf numFmtId="0" fontId="18" fillId="0" borderId="56" xfId="37" applyFont="1" applyBorder="1" applyAlignment="1">
      <alignment horizontal="center" vertical="center" wrapText="1"/>
    </xf>
    <xf numFmtId="4" fontId="51" fillId="25" borderId="42" xfId="34" applyNumberFormat="1" applyFont="1" applyFill="1" applyBorder="1" applyAlignment="1" applyProtection="1">
      <alignment horizontal="center" vertical="center"/>
      <protection locked="0"/>
    </xf>
    <xf numFmtId="4" fontId="51" fillId="25" borderId="43" xfId="34" applyNumberFormat="1" applyFont="1" applyFill="1" applyBorder="1" applyAlignment="1" applyProtection="1">
      <alignment horizontal="center" vertical="center"/>
      <protection locked="0"/>
    </xf>
    <xf numFmtId="9" fontId="52" fillId="0" borderId="8" xfId="52" applyNumberFormat="1" applyFont="1" applyBorder="1" applyAlignment="1">
      <alignment horizontal="center" vertical="center"/>
    </xf>
    <xf numFmtId="9" fontId="52" fillId="0" borderId="4" xfId="52" applyNumberFormat="1" applyFont="1" applyBorder="1" applyAlignment="1">
      <alignment horizontal="center" vertical="center"/>
    </xf>
    <xf numFmtId="3" fontId="18" fillId="0" borderId="0" xfId="52" applyNumberFormat="1" applyFont="1" applyAlignment="1">
      <alignment vertical="center"/>
    </xf>
    <xf numFmtId="4" fontId="52" fillId="0" borderId="0" xfId="52" applyNumberFormat="1" applyFont="1" applyAlignment="1">
      <alignment vertical="center"/>
    </xf>
    <xf numFmtId="0" fontId="18" fillId="0" borderId="0" xfId="52" applyFont="1" applyAlignment="1">
      <alignment horizontal="center" vertical="center"/>
    </xf>
    <xf numFmtId="0" fontId="52" fillId="0" borderId="0" xfId="52" applyFont="1" applyAlignment="1">
      <alignment horizontal="center" vertical="center"/>
    </xf>
    <xf numFmtId="49" fontId="52" fillId="0" borderId="0" xfId="52" applyNumberFormat="1" applyFont="1" applyAlignment="1">
      <alignment horizontal="center" vertical="center"/>
    </xf>
    <xf numFmtId="0" fontId="56" fillId="0" borderId="0" xfId="52" applyFont="1" applyAlignment="1">
      <alignment horizontal="center" vertical="center"/>
    </xf>
    <xf numFmtId="0" fontId="52" fillId="0" borderId="0" xfId="52" applyFont="1" applyAlignment="1" applyProtection="1">
      <alignment horizontal="center" vertical="center" wrapText="1"/>
      <protection locked="0"/>
    </xf>
    <xf numFmtId="0" fontId="51" fillId="0" borderId="0" xfId="52" applyFont="1" applyAlignment="1">
      <alignment horizontal="center" vertical="center"/>
    </xf>
    <xf numFmtId="0" fontId="52" fillId="0" borderId="49" xfId="52" applyFont="1" applyBorder="1" applyAlignment="1">
      <alignment horizontal="justify" vertical="center" wrapText="1"/>
    </xf>
    <xf numFmtId="3" fontId="52" fillId="0" borderId="0" xfId="52" applyNumberFormat="1" applyFont="1" applyAlignment="1">
      <alignment horizontal="center" vertical="center"/>
    </xf>
    <xf numFmtId="3" fontId="51" fillId="25" borderId="22" xfId="52" applyNumberFormat="1" applyFont="1" applyFill="1" applyBorder="1" applyAlignment="1">
      <alignment vertical="center" wrapText="1"/>
    </xf>
    <xf numFmtId="0" fontId="52" fillId="0" borderId="3" xfId="52" applyFont="1" applyBorder="1" applyAlignment="1">
      <alignment vertical="center" wrapText="1"/>
    </xf>
    <xf numFmtId="0" fontId="52" fillId="26" borderId="0" xfId="52" applyFont="1" applyFill="1" applyAlignment="1">
      <alignment horizontal="center" vertical="center"/>
    </xf>
    <xf numFmtId="3" fontId="52" fillId="0" borderId="8" xfId="54" applyNumberFormat="1" applyFont="1" applyBorder="1" applyAlignment="1">
      <alignment vertical="center"/>
    </xf>
    <xf numFmtId="3" fontId="52" fillId="0" borderId="5" xfId="54" applyNumberFormat="1" applyFont="1" applyBorder="1" applyAlignment="1">
      <alignment horizontal="justify" vertical="center" wrapText="1"/>
    </xf>
    <xf numFmtId="0" fontId="52" fillId="0" borderId="49" xfId="54" applyFont="1" applyBorder="1" applyAlignment="1">
      <alignment horizontal="left" vertical="center" wrapText="1"/>
    </xf>
    <xf numFmtId="3" fontId="52" fillId="0" borderId="4" xfId="54" applyNumberFormat="1" applyFont="1" applyBorder="1" applyAlignment="1">
      <alignment horizontal="right" vertical="center" wrapText="1"/>
    </xf>
    <xf numFmtId="3" fontId="52" fillId="0" borderId="4" xfId="54" applyNumberFormat="1" applyFont="1" applyBorder="1" applyAlignment="1">
      <alignment vertical="center"/>
    </xf>
    <xf numFmtId="0" fontId="80" fillId="0" borderId="4" xfId="54" applyFont="1" applyBorder="1" applyAlignment="1">
      <alignment horizontal="center" vertical="center" wrapText="1"/>
    </xf>
    <xf numFmtId="0" fontId="52" fillId="0" borderId="61" xfId="54" applyFont="1" applyBorder="1" applyAlignment="1">
      <alignment horizontal="left" vertical="center" wrapText="1"/>
    </xf>
    <xf numFmtId="0" fontId="80" fillId="0" borderId="8" xfId="54" applyFont="1" applyBorder="1" applyAlignment="1">
      <alignment horizontal="center" vertical="center" wrapText="1"/>
    </xf>
    <xf numFmtId="3" fontId="52" fillId="0" borderId="38" xfId="54" applyNumberFormat="1" applyFont="1" applyBorder="1" applyAlignment="1">
      <alignment horizontal="justify" vertical="center" wrapText="1"/>
    </xf>
    <xf numFmtId="167" fontId="81" fillId="0" borderId="4" xfId="75" applyNumberFormat="1" applyFont="1" applyBorder="1" applyAlignment="1">
      <alignment horizontal="center" vertical="center" wrapText="1"/>
    </xf>
    <xf numFmtId="3" fontId="52" fillId="0" borderId="4" xfId="54" applyNumberFormat="1" applyFont="1" applyBorder="1" applyAlignment="1">
      <alignment horizontal="right" vertical="center"/>
    </xf>
    <xf numFmtId="3" fontId="52" fillId="0" borderId="67" xfId="54" applyNumberFormat="1" applyFont="1" applyBorder="1" applyAlignment="1">
      <alignment horizontal="right" vertical="center"/>
    </xf>
    <xf numFmtId="3" fontId="52" fillId="0" borderId="68" xfId="54" applyNumberFormat="1" applyFont="1" applyBorder="1" applyAlignment="1">
      <alignment horizontal="right" vertical="center"/>
    </xf>
    <xf numFmtId="0" fontId="52" fillId="0" borderId="50" xfId="54" applyFont="1" applyBorder="1" applyAlignment="1">
      <alignment horizontal="center" vertical="center" wrapText="1"/>
    </xf>
    <xf numFmtId="3" fontId="52" fillId="0" borderId="69" xfId="54" applyNumberFormat="1" applyFont="1" applyBorder="1" applyAlignment="1">
      <alignment horizontal="right" vertical="center"/>
    </xf>
    <xf numFmtId="3" fontId="52" fillId="0" borderId="8" xfId="54" applyNumberFormat="1" applyFont="1" applyBorder="1" applyAlignment="1">
      <alignment horizontal="right" vertical="center"/>
    </xf>
    <xf numFmtId="0" fontId="17" fillId="0" borderId="0" xfId="34" applyFont="1"/>
    <xf numFmtId="0" fontId="16" fillId="0" borderId="0" xfId="34" applyFont="1" applyAlignment="1">
      <alignment horizontal="right"/>
    </xf>
    <xf numFmtId="0" fontId="16" fillId="0" borderId="0" xfId="0" applyFont="1" applyAlignment="1"/>
    <xf numFmtId="0" fontId="50" fillId="0" borderId="0" xfId="54" applyFont="1" applyBorder="1" applyAlignment="1">
      <alignment vertical="center"/>
    </xf>
    <xf numFmtId="3" fontId="82" fillId="0" borderId="4" xfId="51" applyNumberFormat="1" applyFont="1" applyBorder="1" applyAlignment="1">
      <alignment horizontal="right" vertical="center" wrapText="1"/>
    </xf>
    <xf numFmtId="3" fontId="82" fillId="0" borderId="5" xfId="51" applyNumberFormat="1" applyFont="1" applyBorder="1" applyAlignment="1">
      <alignment horizontal="right" vertical="center" wrapText="1"/>
    </xf>
    <xf numFmtId="3" fontId="82" fillId="0" borderId="2" xfId="51" applyNumberFormat="1" applyFont="1" applyBorder="1" applyAlignment="1">
      <alignment horizontal="right" vertical="center" wrapText="1"/>
    </xf>
    <xf numFmtId="3" fontId="83" fillId="0" borderId="8" xfId="51" applyNumberFormat="1" applyFont="1" applyBorder="1" applyAlignment="1">
      <alignment horizontal="right" vertical="center" wrapText="1"/>
    </xf>
    <xf numFmtId="3" fontId="83" fillId="0" borderId="7" xfId="51" applyNumberFormat="1" applyFont="1" applyBorder="1" applyAlignment="1">
      <alignment horizontal="right" vertical="center" wrapText="1"/>
    </xf>
    <xf numFmtId="3" fontId="83" fillId="0" borderId="38" xfId="51" applyNumberFormat="1" applyFont="1" applyBorder="1" applyAlignment="1">
      <alignment horizontal="right" vertical="center" wrapText="1"/>
    </xf>
    <xf numFmtId="3" fontId="82" fillId="0" borderId="8" xfId="51" applyNumberFormat="1" applyFont="1" applyBorder="1" applyAlignment="1">
      <alignment horizontal="right" vertical="center" wrapText="1"/>
    </xf>
    <xf numFmtId="3" fontId="82" fillId="0" borderId="7" xfId="51" applyNumberFormat="1" applyFont="1" applyBorder="1" applyAlignment="1">
      <alignment horizontal="right" vertical="center" wrapText="1"/>
    </xf>
    <xf numFmtId="3" fontId="82" fillId="0" borderId="38" xfId="51" applyNumberFormat="1" applyFont="1" applyBorder="1" applyAlignment="1">
      <alignment horizontal="right" vertical="center" wrapText="1"/>
    </xf>
    <xf numFmtId="0" fontId="84" fillId="0" borderId="3" xfId="51" applyFont="1" applyBorder="1" applyAlignment="1">
      <alignment horizontal="justify" vertical="center" wrapText="1"/>
    </xf>
    <xf numFmtId="0" fontId="84" fillId="0" borderId="4" xfId="51" applyFont="1" applyBorder="1" applyAlignment="1">
      <alignment horizontal="center" vertical="center"/>
    </xf>
    <xf numFmtId="3" fontId="85" fillId="0" borderId="4" xfId="51" applyNumberFormat="1" applyFont="1" applyBorder="1" applyAlignment="1">
      <alignment horizontal="right" vertical="center" wrapText="1"/>
    </xf>
    <xf numFmtId="3" fontId="85" fillId="0" borderId="45" xfId="51" applyNumberFormat="1" applyFont="1" applyBorder="1" applyAlignment="1">
      <alignment horizontal="right" vertical="center" wrapText="1"/>
    </xf>
    <xf numFmtId="0" fontId="85" fillId="0" borderId="3" xfId="51" applyFont="1" applyBorder="1" applyAlignment="1">
      <alignment vertical="center" wrapText="1"/>
    </xf>
    <xf numFmtId="49" fontId="84" fillId="0" borderId="3" xfId="1" applyNumberFormat="1" applyFont="1" applyBorder="1" applyAlignment="1">
      <alignment horizontal="justify" vertical="center"/>
    </xf>
    <xf numFmtId="3" fontId="84" fillId="0" borderId="4" xfId="1" applyNumberFormat="1" applyFont="1" applyBorder="1" applyAlignment="1">
      <alignment vertical="center"/>
    </xf>
    <xf numFmtId="3" fontId="84" fillId="0" borderId="5" xfId="1" applyNumberFormat="1" applyFont="1" applyBorder="1" applyAlignment="1">
      <alignment vertical="center"/>
    </xf>
    <xf numFmtId="3" fontId="84" fillId="0" borderId="45" xfId="1" applyNumberFormat="1" applyFont="1" applyBorder="1" applyAlignment="1">
      <alignment vertical="center"/>
    </xf>
    <xf numFmtId="3" fontId="84" fillId="0" borderId="4" xfId="1" applyNumberFormat="1" applyFont="1" applyFill="1" applyBorder="1" applyAlignment="1">
      <alignment vertical="center"/>
    </xf>
    <xf numFmtId="3" fontId="84" fillId="0" borderId="45" xfId="1" applyNumberFormat="1" applyFont="1" applyFill="1" applyBorder="1" applyAlignment="1">
      <alignment vertical="center"/>
    </xf>
    <xf numFmtId="49" fontId="84" fillId="0" borderId="3" xfId="1" applyNumberFormat="1" applyFont="1" applyFill="1" applyBorder="1" applyAlignment="1">
      <alignment horizontal="justify" vertical="center"/>
    </xf>
    <xf numFmtId="3" fontId="85" fillId="0" borderId="4" xfId="51" applyNumberFormat="1" applyFont="1" applyFill="1" applyBorder="1" applyAlignment="1">
      <alignment horizontal="right" vertical="center" wrapText="1"/>
    </xf>
    <xf numFmtId="3" fontId="85" fillId="0" borderId="5" xfId="51" applyNumberFormat="1" applyFont="1" applyFill="1" applyBorder="1" applyAlignment="1">
      <alignment horizontal="right" vertical="center" wrapText="1"/>
    </xf>
    <xf numFmtId="3" fontId="48" fillId="0" borderId="4" xfId="51" applyNumberFormat="1" applyFont="1" applyBorder="1" applyAlignment="1">
      <alignment horizontal="right" vertical="center" wrapText="1"/>
    </xf>
    <xf numFmtId="3" fontId="48" fillId="0" borderId="2" xfId="51" applyNumberFormat="1" applyFont="1" applyBorder="1" applyAlignment="1">
      <alignment horizontal="right" vertical="center" wrapText="1"/>
    </xf>
    <xf numFmtId="3" fontId="48" fillId="0" borderId="5" xfId="51" applyNumberFormat="1" applyFont="1" applyBorder="1" applyAlignment="1">
      <alignment horizontal="right" vertical="center" wrapText="1"/>
    </xf>
    <xf numFmtId="0" fontId="48" fillId="0" borderId="6" xfId="51" applyFont="1" applyBorder="1" applyAlignment="1">
      <alignment vertical="center" wrapText="1"/>
    </xf>
    <xf numFmtId="0" fontId="48" fillId="0" borderId="8" xfId="51" applyFont="1" applyBorder="1" applyAlignment="1">
      <alignment horizontal="center" vertical="center"/>
    </xf>
    <xf numFmtId="3" fontId="48" fillId="0" borderId="7" xfId="51" applyNumberFormat="1" applyFont="1" applyBorder="1" applyAlignment="1">
      <alignment horizontal="right" vertical="center" wrapText="1"/>
    </xf>
    <xf numFmtId="3" fontId="48" fillId="0" borderId="38" xfId="51" applyNumberFormat="1" applyFont="1" applyBorder="1" applyAlignment="1">
      <alignment horizontal="right" vertical="center" wrapText="1"/>
    </xf>
    <xf numFmtId="3" fontId="47" fillId="0" borderId="4" xfId="51" applyNumberFormat="1" applyFont="1" applyBorder="1" applyAlignment="1">
      <alignment horizontal="right" vertical="center" wrapText="1"/>
    </xf>
    <xf numFmtId="3" fontId="47" fillId="0" borderId="5" xfId="51" applyNumberFormat="1" applyFont="1" applyBorder="1" applyAlignment="1">
      <alignment horizontal="right" vertical="center" wrapText="1"/>
    </xf>
    <xf numFmtId="3" fontId="48" fillId="0" borderId="8" xfId="51" applyNumberFormat="1" applyFont="1" applyBorder="1" applyAlignment="1">
      <alignment horizontal="right" vertical="center" wrapText="1"/>
    </xf>
    <xf numFmtId="3" fontId="47" fillId="0" borderId="2" xfId="51" applyNumberFormat="1" applyFont="1" applyBorder="1" applyAlignment="1">
      <alignment horizontal="right" vertical="center" wrapText="1"/>
    </xf>
    <xf numFmtId="3" fontId="48" fillId="0" borderId="4" xfId="51" applyNumberFormat="1" applyFont="1" applyBorder="1" applyAlignment="1">
      <alignment horizontal="right" vertical="center"/>
    </xf>
    <xf numFmtId="3" fontId="48" fillId="0" borderId="2" xfId="51" applyNumberFormat="1" applyFont="1" applyBorder="1" applyAlignment="1">
      <alignment horizontal="right" vertical="center"/>
    </xf>
    <xf numFmtId="3" fontId="48" fillId="0" borderId="5" xfId="51" applyNumberFormat="1" applyFont="1" applyBorder="1" applyAlignment="1">
      <alignment horizontal="right" vertical="center"/>
    </xf>
    <xf numFmtId="0" fontId="15" fillId="0" borderId="0" xfId="51" applyFill="1" applyAlignment="1">
      <alignment vertical="center"/>
    </xf>
    <xf numFmtId="0" fontId="50" fillId="0" borderId="6" xfId="51" applyFont="1" applyFill="1" applyBorder="1" applyAlignment="1">
      <alignment vertical="center" wrapText="1"/>
    </xf>
    <xf numFmtId="3" fontId="47" fillId="25" borderId="4" xfId="34" applyNumberFormat="1" applyFont="1" applyFill="1" applyBorder="1" applyAlignment="1">
      <alignment horizontal="right" vertical="center" wrapText="1"/>
    </xf>
    <xf numFmtId="3" fontId="47" fillId="27" borderId="2" xfId="34" applyNumberFormat="1" applyFont="1" applyFill="1" applyBorder="1" applyAlignment="1">
      <alignment horizontal="right" vertical="center" wrapText="1"/>
    </xf>
    <xf numFmtId="3" fontId="47" fillId="25" borderId="2" xfId="34" applyNumberFormat="1" applyFont="1" applyFill="1" applyBorder="1" applyAlignment="1">
      <alignment horizontal="right" vertical="center" wrapText="1"/>
    </xf>
    <xf numFmtId="3" fontId="47" fillId="25" borderId="5" xfId="34" applyNumberFormat="1" applyFont="1" applyFill="1" applyBorder="1" applyAlignment="1">
      <alignment horizontal="right" vertical="center" wrapText="1"/>
    </xf>
    <xf numFmtId="3" fontId="47" fillId="0" borderId="45" xfId="1" applyNumberFormat="1" applyFont="1" applyBorder="1" applyAlignment="1">
      <alignment vertical="center"/>
    </xf>
    <xf numFmtId="49" fontId="48" fillId="0" borderId="3" xfId="1" applyNumberFormat="1" applyFont="1" applyFill="1" applyBorder="1" applyAlignment="1">
      <alignment horizontal="justify" vertical="center"/>
    </xf>
    <xf numFmtId="3" fontId="48" fillId="0" borderId="4" xfId="1" applyNumberFormat="1" applyFont="1" applyFill="1" applyBorder="1" applyAlignment="1">
      <alignment vertical="center"/>
    </xf>
    <xf numFmtId="3" fontId="48" fillId="0" borderId="45" xfId="1" applyNumberFormat="1" applyFont="1" applyFill="1" applyBorder="1" applyAlignment="1">
      <alignment vertical="center"/>
    </xf>
    <xf numFmtId="0" fontId="51" fillId="0" borderId="0" xfId="52" applyFont="1" applyAlignment="1">
      <alignment vertical="center"/>
    </xf>
    <xf numFmtId="49" fontId="52" fillId="0" borderId="61" xfId="52" applyNumberFormat="1" applyFont="1" applyBorder="1" applyAlignment="1">
      <alignment horizontal="left" vertical="center" wrapText="1"/>
    </xf>
    <xf numFmtId="0" fontId="52" fillId="0" borderId="8" xfId="52" applyFont="1" applyBorder="1" applyAlignment="1">
      <alignment horizontal="left" vertical="center" wrapText="1"/>
    </xf>
    <xf numFmtId="0" fontId="52" fillId="0" borderId="43" xfId="52" applyFont="1" applyBorder="1" applyAlignment="1">
      <alignment horizontal="justify" vertical="center" wrapText="1"/>
    </xf>
    <xf numFmtId="0" fontId="87" fillId="0" borderId="15" xfId="52" applyFont="1" applyBorder="1" applyAlignment="1">
      <alignment vertical="center" wrapText="1"/>
    </xf>
    <xf numFmtId="0" fontId="87" fillId="0" borderId="53" xfId="52" applyFont="1" applyBorder="1" applyAlignment="1">
      <alignment vertical="center" wrapText="1"/>
    </xf>
    <xf numFmtId="3" fontId="87" fillId="0" borderId="53" xfId="52" applyNumberFormat="1" applyFont="1" applyBorder="1" applyAlignment="1">
      <alignment vertical="center" wrapText="1"/>
    </xf>
    <xf numFmtId="49" fontId="87" fillId="0" borderId="65" xfId="52" applyNumberFormat="1" applyFont="1" applyBorder="1" applyAlignment="1">
      <alignment horizontal="justify" vertical="center"/>
    </xf>
    <xf numFmtId="0" fontId="87" fillId="0" borderId="0" xfId="52" applyFont="1" applyAlignment="1">
      <alignment vertical="center"/>
    </xf>
    <xf numFmtId="0" fontId="88" fillId="0" borderId="0" xfId="56" applyFont="1"/>
    <xf numFmtId="0" fontId="89" fillId="0" borderId="0" xfId="52" applyFont="1" applyAlignment="1">
      <alignment vertical="center"/>
    </xf>
    <xf numFmtId="0" fontId="18" fillId="0" borderId="0" xfId="76" applyFont="1"/>
    <xf numFmtId="0" fontId="56" fillId="0" borderId="0" xfId="76" applyFont="1" applyAlignment="1">
      <alignment horizontal="center" vertical="center" wrapText="1"/>
    </xf>
    <xf numFmtId="0" fontId="62" fillId="0" borderId="0" xfId="76" applyFont="1" applyAlignment="1">
      <alignment horizontal="right"/>
    </xf>
    <xf numFmtId="0" fontId="79" fillId="0" borderId="0" xfId="76" applyFont="1" applyAlignment="1">
      <alignment horizontal="center" vertical="center" wrapText="1"/>
    </xf>
    <xf numFmtId="0" fontId="3" fillId="0" borderId="0" xfId="76"/>
    <xf numFmtId="49" fontId="51" fillId="25" borderId="22" xfId="55" applyNumberFormat="1" applyFont="1" applyFill="1" applyBorder="1" applyAlignment="1">
      <alignment horizontal="center" vertical="center" wrapText="1"/>
    </xf>
    <xf numFmtId="0" fontId="54" fillId="0" borderId="0" xfId="76" applyFont="1" applyAlignment="1">
      <alignment horizontal="center" vertical="center" wrapText="1"/>
    </xf>
    <xf numFmtId="0" fontId="55" fillId="0" borderId="0" xfId="76" applyFont="1"/>
    <xf numFmtId="0" fontId="15" fillId="0" borderId="0" xfId="76" applyFont="1"/>
    <xf numFmtId="0" fontId="52" fillId="0" borderId="49" xfId="77" applyFont="1" applyBorder="1" applyAlignment="1">
      <alignment vertical="center" wrapText="1"/>
    </xf>
    <xf numFmtId="0" fontId="52" fillId="0" borderId="61" xfId="77" applyFont="1" applyBorder="1" applyAlignment="1">
      <alignment vertical="center" wrapText="1"/>
    </xf>
    <xf numFmtId="3" fontId="52" fillId="0" borderId="4" xfId="77" applyNumberFormat="1" applyFont="1" applyBorder="1" applyAlignment="1">
      <alignment vertical="center"/>
    </xf>
    <xf numFmtId="0" fontId="52" fillId="0" borderId="45" xfId="77" applyFont="1" applyBorder="1" applyAlignment="1">
      <alignment horizontal="justify" vertical="center" wrapText="1"/>
    </xf>
    <xf numFmtId="0" fontId="52" fillId="0" borderId="5" xfId="77" applyFont="1" applyBorder="1" applyAlignment="1">
      <alignment horizontal="justify" vertical="center" wrapText="1"/>
    </xf>
    <xf numFmtId="0" fontId="52" fillId="0" borderId="0" xfId="77" applyFont="1" applyAlignment="1">
      <alignment horizontal="center" vertical="center" wrapText="1"/>
    </xf>
    <xf numFmtId="0" fontId="63" fillId="0" borderId="0" xfId="76" applyFont="1"/>
    <xf numFmtId="3" fontId="86" fillId="0" borderId="0" xfId="76" applyNumberFormat="1" applyFont="1"/>
    <xf numFmtId="3" fontId="63" fillId="0" borderId="0" xfId="76" applyNumberFormat="1" applyFont="1"/>
    <xf numFmtId="3" fontId="52" fillId="0" borderId="9" xfId="76" applyNumberFormat="1" applyFont="1" applyBorder="1" applyAlignment="1">
      <alignment vertical="center"/>
    </xf>
    <xf numFmtId="3" fontId="52" fillId="0" borderId="2" xfId="77" applyNumberFormat="1" applyFont="1" applyBorder="1" applyAlignment="1">
      <alignment vertical="center"/>
    </xf>
    <xf numFmtId="3" fontId="52" fillId="0" borderId="4" xfId="77" applyNumberFormat="1" applyFont="1" applyBorder="1" applyAlignment="1">
      <alignment horizontal="center" vertical="center" wrapText="1"/>
    </xf>
    <xf numFmtId="3" fontId="52" fillId="0" borderId="4" xfId="77" applyNumberFormat="1" applyFont="1" applyBorder="1" applyAlignment="1">
      <alignment horizontal="center" vertical="center"/>
    </xf>
    <xf numFmtId="3" fontId="52" fillId="0" borderId="9" xfId="77" applyNumberFormat="1" applyFont="1" applyBorder="1" applyAlignment="1">
      <alignment vertical="center"/>
    </xf>
    <xf numFmtId="14" fontId="3" fillId="0" borderId="0" xfId="76" applyNumberFormat="1"/>
    <xf numFmtId="3" fontId="52" fillId="0" borderId="7" xfId="77" applyNumberFormat="1" applyFont="1" applyBorder="1" applyAlignment="1">
      <alignment vertical="center"/>
    </xf>
    <xf numFmtId="0" fontId="51" fillId="27" borderId="49" xfId="77" applyFont="1" applyFill="1" applyBorder="1" applyAlignment="1">
      <alignment vertical="center" wrapText="1"/>
    </xf>
    <xf numFmtId="3" fontId="51" fillId="27" borderId="4" xfId="77" applyNumberFormat="1" applyFont="1" applyFill="1" applyBorder="1" applyAlignment="1">
      <alignment horizontal="center" vertical="center" wrapText="1"/>
    </xf>
    <xf numFmtId="3" fontId="51" fillId="27" borderId="4" xfId="77" applyNumberFormat="1" applyFont="1" applyFill="1" applyBorder="1" applyAlignment="1">
      <alignment horizontal="center" vertical="center"/>
    </xf>
    <xf numFmtId="0" fontId="51" fillId="27" borderId="72" xfId="77" applyFont="1" applyFill="1" applyBorder="1" applyAlignment="1">
      <alignment horizontal="justify" vertical="center" wrapText="1"/>
    </xf>
    <xf numFmtId="3" fontId="52" fillId="0" borderId="10" xfId="77" applyNumberFormat="1" applyFont="1" applyBorder="1" applyAlignment="1">
      <alignment vertical="center"/>
    </xf>
    <xf numFmtId="3" fontId="52" fillId="0" borderId="4" xfId="76" applyNumberFormat="1" applyFont="1" applyBorder="1" applyAlignment="1">
      <alignment vertical="center"/>
    </xf>
    <xf numFmtId="3" fontId="52" fillId="0" borderId="8" xfId="77" applyNumberFormat="1" applyFont="1" applyBorder="1" applyAlignment="1">
      <alignment horizontal="center" vertical="center" wrapText="1"/>
    </xf>
    <xf numFmtId="3" fontId="52" fillId="0" borderId="12" xfId="77" applyNumberFormat="1" applyFont="1" applyBorder="1" applyAlignment="1">
      <alignment horizontal="center" vertical="center" wrapText="1"/>
    </xf>
    <xf numFmtId="3" fontId="52" fillId="0" borderId="26" xfId="77" applyNumberFormat="1" applyFont="1" applyBorder="1" applyAlignment="1">
      <alignment vertical="center"/>
    </xf>
    <xf numFmtId="3" fontId="52" fillId="0" borderId="9" xfId="77" applyNumberFormat="1" applyFont="1" applyBorder="1" applyAlignment="1">
      <alignment horizontal="right" vertical="center"/>
    </xf>
    <xf numFmtId="0" fontId="52" fillId="0" borderId="72" xfId="77" applyFont="1" applyBorder="1" applyAlignment="1">
      <alignment horizontal="justify" vertical="center" wrapText="1"/>
    </xf>
    <xf numFmtId="0" fontId="86" fillId="0" borderId="0" xfId="76" applyFont="1"/>
    <xf numFmtId="3" fontId="52" fillId="0" borderId="8" xfId="77" applyNumberFormat="1" applyFont="1" applyBorder="1" applyAlignment="1">
      <alignment vertical="center"/>
    </xf>
    <xf numFmtId="3" fontId="52" fillId="0" borderId="8" xfId="77" applyNumberFormat="1" applyFont="1" applyBorder="1" applyAlignment="1">
      <alignment horizontal="center" vertical="center"/>
    </xf>
    <xf numFmtId="3" fontId="52" fillId="0" borderId="8" xfId="77" applyNumberFormat="1" applyFont="1" applyBorder="1" applyAlignment="1">
      <alignment horizontal="right" vertical="center"/>
    </xf>
    <xf numFmtId="0" fontId="52" fillId="0" borderId="5" xfId="52" applyFont="1" applyBorder="1" applyAlignment="1">
      <alignment horizontal="justify" vertical="center"/>
    </xf>
    <xf numFmtId="17" fontId="54" fillId="0" borderId="0" xfId="76" applyNumberFormat="1" applyFont="1" applyAlignment="1">
      <alignment horizontal="center" vertical="center" wrapText="1"/>
    </xf>
    <xf numFmtId="0" fontId="52" fillId="0" borderId="3" xfId="77" applyFont="1" applyBorder="1" applyAlignment="1">
      <alignment vertical="center" wrapText="1"/>
    </xf>
    <xf numFmtId="0" fontId="54" fillId="0" borderId="0" xfId="76" applyFont="1" applyAlignment="1">
      <alignment wrapText="1"/>
    </xf>
    <xf numFmtId="0" fontId="52" fillId="0" borderId="3" xfId="76" applyFont="1" applyBorder="1" applyAlignment="1">
      <alignment wrapText="1"/>
    </xf>
    <xf numFmtId="0" fontId="52" fillId="0" borderId="1" xfId="76" applyFont="1" applyBorder="1" applyAlignment="1">
      <alignment vertical="center" wrapText="1"/>
    </xf>
    <xf numFmtId="0" fontId="52" fillId="0" borderId="58" xfId="52" applyFont="1" applyBorder="1" applyAlignment="1">
      <alignment horizontal="left" vertical="center" wrapText="1"/>
    </xf>
    <xf numFmtId="3" fontId="52" fillId="0" borderId="42" xfId="52" applyNumberFormat="1" applyFont="1" applyBorder="1" applyAlignment="1">
      <alignment vertical="center" wrapText="1"/>
    </xf>
    <xf numFmtId="3" fontId="52" fillId="0" borderId="42" xfId="52" applyNumberFormat="1" applyFont="1" applyBorder="1" applyAlignment="1">
      <alignment horizontal="center" vertical="center" wrapText="1"/>
    </xf>
    <xf numFmtId="0" fontId="51" fillId="25" borderId="19" xfId="52" applyFont="1" applyFill="1" applyBorder="1" applyAlignment="1">
      <alignment vertical="center" wrapText="1"/>
    </xf>
    <xf numFmtId="3" fontId="52" fillId="0" borderId="4" xfId="77" applyNumberFormat="1" applyFont="1" applyBorder="1" applyAlignment="1">
      <alignment horizontal="right" vertical="center"/>
    </xf>
    <xf numFmtId="0" fontId="51" fillId="0" borderId="4" xfId="52" applyFont="1" applyBorder="1" applyAlignment="1">
      <alignment horizontal="center" vertical="center" wrapText="1"/>
    </xf>
    <xf numFmtId="0" fontId="52" fillId="0" borderId="4" xfId="76" applyFont="1" applyBorder="1" applyAlignment="1">
      <alignment horizontal="center" vertical="center" wrapText="1"/>
    </xf>
    <xf numFmtId="0" fontId="52" fillId="0" borderId="58" xfId="77" applyFont="1" applyBorder="1" applyAlignment="1">
      <alignment vertical="center" wrapText="1"/>
    </xf>
    <xf numFmtId="0" fontId="51" fillId="25" borderId="22" xfId="52" applyFont="1" applyFill="1" applyBorder="1" applyAlignment="1">
      <alignment vertical="center" wrapText="1"/>
    </xf>
    <xf numFmtId="0" fontId="51" fillId="26" borderId="0" xfId="52" applyFont="1" applyFill="1" applyAlignment="1">
      <alignment vertical="center" wrapText="1"/>
    </xf>
    <xf numFmtId="3" fontId="51" fillId="26" borderId="0" xfId="52" applyNumberFormat="1" applyFont="1" applyFill="1" applyAlignment="1">
      <alignment vertical="center" wrapText="1"/>
    </xf>
    <xf numFmtId="3" fontId="51" fillId="26" borderId="0" xfId="52" applyNumberFormat="1" applyFont="1" applyFill="1" applyAlignment="1">
      <alignment horizontal="center" vertical="center" wrapText="1"/>
    </xf>
    <xf numFmtId="49" fontId="51" fillId="25" borderId="57" xfId="55" applyNumberFormat="1" applyFont="1" applyFill="1" applyBorder="1" applyAlignment="1">
      <alignment horizontal="center" vertical="center" wrapText="1"/>
    </xf>
    <xf numFmtId="3" fontId="52" fillId="0" borderId="9" xfId="77" applyNumberFormat="1" applyFont="1" applyBorder="1" applyAlignment="1">
      <alignment horizontal="center" vertical="center" wrapText="1"/>
    </xf>
    <xf numFmtId="0" fontId="22" fillId="0" borderId="49" xfId="77" applyFont="1" applyBorder="1" applyAlignment="1">
      <alignment vertical="center" wrapText="1"/>
    </xf>
    <xf numFmtId="0" fontId="22" fillId="0" borderId="4" xfId="52" applyFont="1" applyBorder="1" applyAlignment="1">
      <alignment horizontal="center" vertical="center" wrapText="1"/>
    </xf>
    <xf numFmtId="3" fontId="22" fillId="0" borderId="4" xfId="52" applyNumberFormat="1" applyFont="1" applyBorder="1" applyAlignment="1">
      <alignment vertical="center"/>
    </xf>
    <xf numFmtId="3" fontId="22" fillId="0" borderId="9" xfId="76" applyNumberFormat="1" applyFont="1" applyBorder="1" applyAlignment="1">
      <alignment vertical="center"/>
    </xf>
    <xf numFmtId="3" fontId="22" fillId="0" borderId="2" xfId="77" applyNumberFormat="1" applyFont="1" applyBorder="1" applyAlignment="1">
      <alignment vertical="center"/>
    </xf>
    <xf numFmtId="3" fontId="22" fillId="0" borderId="4" xfId="77" applyNumberFormat="1" applyFont="1" applyBorder="1" applyAlignment="1">
      <alignment horizontal="center" vertical="center" wrapText="1"/>
    </xf>
    <xf numFmtId="3" fontId="22" fillId="0" borderId="4" xfId="77" applyNumberFormat="1" applyFont="1" applyBorder="1" applyAlignment="1">
      <alignment horizontal="center" vertical="center"/>
    </xf>
    <xf numFmtId="0" fontId="22" fillId="0" borderId="45" xfId="77" applyFont="1" applyFill="1" applyBorder="1" applyAlignment="1">
      <alignment horizontal="justify" vertical="center" wrapText="1"/>
    </xf>
    <xf numFmtId="3" fontId="22" fillId="0" borderId="9" xfId="77" applyNumberFormat="1" applyFont="1" applyBorder="1" applyAlignment="1">
      <alignment vertical="center"/>
    </xf>
    <xf numFmtId="3" fontId="22" fillId="0" borderId="9" xfId="77" applyNumberFormat="1" applyFont="1" applyBorder="1" applyAlignment="1">
      <alignment horizontal="center" vertical="center"/>
    </xf>
    <xf numFmtId="0" fontId="22" fillId="0" borderId="5" xfId="77" applyFont="1" applyFill="1" applyBorder="1" applyAlignment="1">
      <alignment horizontal="justify" vertical="center" wrapText="1"/>
    </xf>
    <xf numFmtId="3" fontId="52" fillId="0" borderId="42" xfId="52" applyNumberFormat="1" applyFont="1" applyBorder="1" applyAlignment="1">
      <alignment vertical="center"/>
    </xf>
    <xf numFmtId="49" fontId="52" fillId="0" borderId="49" xfId="52" applyNumberFormat="1" applyFont="1" applyFill="1" applyBorder="1" applyAlignment="1">
      <alignment horizontal="left" vertical="center" wrapText="1"/>
    </xf>
    <xf numFmtId="0" fontId="52" fillId="0" borderId="4" xfId="52" applyFont="1" applyFill="1" applyBorder="1" applyAlignment="1">
      <alignment horizontal="left" vertical="center" wrapText="1"/>
    </xf>
    <xf numFmtId="3" fontId="52" fillId="0" borderId="4" xfId="52" applyNumberFormat="1" applyFont="1" applyFill="1" applyBorder="1" applyAlignment="1">
      <alignment vertical="center"/>
    </xf>
    <xf numFmtId="3" fontId="52" fillId="0" borderId="4" xfId="52" applyNumberFormat="1" applyFont="1" applyFill="1" applyBorder="1" applyAlignment="1">
      <alignment horizontal="right" vertical="center" wrapText="1"/>
    </xf>
    <xf numFmtId="4" fontId="52" fillId="0" borderId="5" xfId="52" applyNumberFormat="1" applyFont="1" applyFill="1" applyBorder="1" applyAlignment="1">
      <alignment horizontal="justify" vertical="center" wrapText="1"/>
    </xf>
    <xf numFmtId="0" fontId="84" fillId="0" borderId="4" xfId="51" applyFont="1" applyFill="1" applyBorder="1" applyAlignment="1">
      <alignment horizontal="center" vertical="center"/>
    </xf>
    <xf numFmtId="3" fontId="47" fillId="0" borderId="4" xfId="1" applyNumberFormat="1" applyFont="1" applyFill="1" applyBorder="1" applyAlignment="1">
      <alignment vertical="center"/>
    </xf>
    <xf numFmtId="3" fontId="47" fillId="25" borderId="42" xfId="34" applyNumberFormat="1" applyFont="1" applyFill="1" applyBorder="1" applyAlignment="1">
      <alignment horizontal="right" vertical="center" wrapText="1"/>
    </xf>
    <xf numFmtId="3" fontId="47" fillId="25" borderId="57" xfId="34" applyNumberFormat="1" applyFont="1" applyFill="1" applyBorder="1" applyAlignment="1">
      <alignment horizontal="right" vertical="center" wrapText="1"/>
    </xf>
    <xf numFmtId="3" fontId="47" fillId="25" borderId="43" xfId="34" applyNumberFormat="1" applyFont="1" applyFill="1" applyBorder="1" applyAlignment="1">
      <alignment horizontal="right" vertical="center" wrapText="1"/>
    </xf>
    <xf numFmtId="0" fontId="92" fillId="0" borderId="0" xfId="76" applyFont="1"/>
    <xf numFmtId="4" fontId="52" fillId="0" borderId="0" xfId="52" applyNumberFormat="1" applyFont="1" applyBorder="1" applyAlignment="1">
      <alignment horizontal="justify" vertical="center" wrapText="1"/>
    </xf>
    <xf numFmtId="0" fontId="51" fillId="27" borderId="61" xfId="77" applyFont="1" applyFill="1" applyBorder="1" applyAlignment="1">
      <alignment vertical="center" wrapText="1"/>
    </xf>
    <xf numFmtId="0" fontId="51" fillId="27" borderId="12" xfId="52" applyFont="1" applyFill="1" applyBorder="1" applyAlignment="1">
      <alignment horizontal="center" vertical="center" wrapText="1"/>
    </xf>
    <xf numFmtId="3" fontId="51" fillId="27" borderId="8" xfId="52" applyNumberFormat="1" applyFont="1" applyFill="1" applyBorder="1" applyAlignment="1">
      <alignment vertical="center" wrapText="1"/>
    </xf>
    <xf numFmtId="3" fontId="51" fillId="27" borderId="8" xfId="77" applyNumberFormat="1" applyFont="1" applyFill="1" applyBorder="1" applyAlignment="1">
      <alignment horizontal="center" vertical="center" wrapText="1"/>
    </xf>
    <xf numFmtId="3" fontId="51" fillId="27" borderId="8" xfId="77" applyNumberFormat="1" applyFont="1" applyFill="1" applyBorder="1" applyAlignment="1">
      <alignment horizontal="center" vertical="center"/>
    </xf>
    <xf numFmtId="0" fontId="51" fillId="27" borderId="38" xfId="77" applyFont="1" applyFill="1" applyBorder="1" applyAlignment="1">
      <alignment horizontal="justify" vertical="center" wrapText="1"/>
    </xf>
    <xf numFmtId="0" fontId="52" fillId="0" borderId="8" xfId="54" applyFont="1" applyBorder="1" applyAlignment="1">
      <alignment horizontal="center" vertical="center" wrapText="1"/>
    </xf>
    <xf numFmtId="0" fontId="93" fillId="25" borderId="63" xfId="54" applyFont="1" applyFill="1" applyBorder="1" applyAlignment="1">
      <alignment horizontal="center" vertical="center"/>
    </xf>
    <xf numFmtId="3" fontId="93" fillId="25" borderId="65" xfId="54" applyNumberFormat="1" applyFont="1" applyFill="1" applyBorder="1" applyAlignment="1">
      <alignment horizontal="justify" vertical="justify"/>
    </xf>
    <xf numFmtId="3" fontId="93" fillId="25" borderId="66" xfId="54" applyNumberFormat="1" applyFont="1" applyFill="1" applyBorder="1" applyAlignment="1">
      <alignment horizontal="justify" vertical="justify"/>
    </xf>
    <xf numFmtId="0" fontId="95" fillId="0" borderId="0" xfId="54" applyFont="1" applyAlignment="1">
      <alignment vertical="center"/>
    </xf>
    <xf numFmtId="0" fontId="95" fillId="0" borderId="37" xfId="54" applyFont="1" applyBorder="1" applyAlignment="1">
      <alignment vertical="center"/>
    </xf>
    <xf numFmtId="0" fontId="95" fillId="0" borderId="70" xfId="54" applyFont="1" applyBorder="1" applyAlignment="1">
      <alignment horizontal="justify" vertical="justify"/>
    </xf>
    <xf numFmtId="3" fontId="64" fillId="0" borderId="0" xfId="54" applyNumberFormat="1" applyFont="1" applyAlignment="1">
      <alignment vertical="center"/>
    </xf>
    <xf numFmtId="0" fontId="50" fillId="0" borderId="42" xfId="54" applyFont="1" applyBorder="1" applyAlignment="1">
      <alignment vertical="center"/>
    </xf>
    <xf numFmtId="0" fontId="95" fillId="0" borderId="0" xfId="54" applyFont="1" applyBorder="1" applyAlignment="1">
      <alignment horizontal="center" vertical="center"/>
    </xf>
    <xf numFmtId="0" fontId="95" fillId="0" borderId="0" xfId="54" applyFont="1" applyBorder="1" applyAlignment="1">
      <alignment vertical="center"/>
    </xf>
    <xf numFmtId="0" fontId="71" fillId="0" borderId="0" xfId="79" applyFont="1"/>
    <xf numFmtId="49" fontId="71" fillId="0" borderId="0" xfId="79" applyNumberFormat="1" applyFont="1"/>
    <xf numFmtId="49" fontId="71" fillId="0" borderId="0" xfId="79" applyNumberFormat="1" applyFont="1" applyAlignment="1">
      <alignment horizontal="center"/>
    </xf>
    <xf numFmtId="3" fontId="71" fillId="0" borderId="0" xfId="79" applyNumberFormat="1" applyFont="1" applyAlignment="1">
      <alignment horizontal="center"/>
    </xf>
    <xf numFmtId="3" fontId="71" fillId="0" borderId="0" xfId="79" applyNumberFormat="1" applyFont="1"/>
    <xf numFmtId="3" fontId="72" fillId="0" borderId="0" xfId="79" applyNumberFormat="1" applyFont="1" applyAlignment="1">
      <alignment horizontal="right"/>
    </xf>
    <xf numFmtId="49" fontId="73" fillId="0" borderId="59" xfId="70" applyNumberFormat="1" applyFont="1" applyBorder="1" applyAlignment="1">
      <alignment horizontal="center" vertical="center" wrapText="1"/>
    </xf>
    <xf numFmtId="49" fontId="74" fillId="0" borderId="39" xfId="79" applyNumberFormat="1" applyFont="1" applyBorder="1" applyAlignment="1">
      <alignment horizontal="center" vertical="center" wrapText="1"/>
    </xf>
    <xf numFmtId="0" fontId="73" fillId="0" borderId="22" xfId="70" applyFont="1" applyBorder="1" applyAlignment="1">
      <alignment horizontal="center" vertical="center" wrapText="1"/>
    </xf>
    <xf numFmtId="0" fontId="73" fillId="0" borderId="39" xfId="70" applyFont="1" applyBorder="1" applyAlignment="1">
      <alignment horizontal="center" vertical="center" wrapText="1"/>
    </xf>
    <xf numFmtId="0" fontId="73" fillId="0" borderId="23" xfId="70" applyFont="1" applyBorder="1" applyAlignment="1">
      <alignment horizontal="center" vertical="center" wrapText="1"/>
    </xf>
    <xf numFmtId="0" fontId="75" fillId="0" borderId="0" xfId="79" applyFont="1" applyAlignment="1">
      <alignment vertical="center"/>
    </xf>
    <xf numFmtId="0" fontId="71" fillId="0" borderId="0" xfId="79" applyFont="1" applyAlignment="1">
      <alignment vertical="center"/>
    </xf>
    <xf numFmtId="49" fontId="52" fillId="0" borderId="50" xfId="79" applyNumberFormat="1" applyFont="1" applyBorder="1" applyAlignment="1">
      <alignment vertical="center" wrapText="1"/>
    </xf>
    <xf numFmtId="49" fontId="52" fillId="0" borderId="50" xfId="79" applyNumberFormat="1" applyFont="1" applyBorder="1" applyAlignment="1">
      <alignment horizontal="center" vertical="center" wrapText="1"/>
    </xf>
    <xf numFmtId="3" fontId="52" fillId="0" borderId="4" xfId="79" applyNumberFormat="1" applyFont="1" applyBorder="1" applyAlignment="1">
      <alignment vertical="center"/>
    </xf>
    <xf numFmtId="3" fontId="52" fillId="27" borderId="5" xfId="79" applyNumberFormat="1" applyFont="1" applyFill="1" applyBorder="1" applyAlignment="1">
      <alignment vertical="center"/>
    </xf>
    <xf numFmtId="0" fontId="76" fillId="0" borderId="0" xfId="79" applyFont="1" applyAlignment="1">
      <alignment vertical="center"/>
    </xf>
    <xf numFmtId="3" fontId="76" fillId="0" borderId="0" xfId="79" applyNumberFormat="1" applyFont="1" applyAlignment="1">
      <alignment vertical="center"/>
    </xf>
    <xf numFmtId="49" fontId="73" fillId="27" borderId="50" xfId="70" applyNumberFormat="1" applyFont="1" applyFill="1" applyBorder="1" applyAlignment="1">
      <alignment horizontal="left" vertical="center" wrapText="1"/>
    </xf>
    <xf numFmtId="49" fontId="73" fillId="27" borderId="50" xfId="70" applyNumberFormat="1" applyFont="1" applyFill="1" applyBorder="1" applyAlignment="1">
      <alignment horizontal="center" vertical="center" wrapText="1"/>
    </xf>
    <xf numFmtId="3" fontId="52" fillId="26" borderId="49" xfId="79" applyNumberFormat="1" applyFont="1" applyFill="1" applyBorder="1" applyAlignment="1">
      <alignment vertical="center" wrapText="1"/>
    </xf>
    <xf numFmtId="3" fontId="52" fillId="0" borderId="49" xfId="79" applyNumberFormat="1" applyFont="1" applyBorder="1" applyAlignment="1">
      <alignment vertical="center" wrapText="1"/>
    </xf>
    <xf numFmtId="3" fontId="52" fillId="0" borderId="2" xfId="79" applyNumberFormat="1" applyFont="1" applyBorder="1" applyAlignment="1">
      <alignment vertical="center"/>
    </xf>
    <xf numFmtId="49" fontId="73" fillId="27" borderId="54" xfId="70" applyNumberFormat="1" applyFont="1" applyFill="1" applyBorder="1" applyAlignment="1">
      <alignment horizontal="left" vertical="center" wrapText="1"/>
    </xf>
    <xf numFmtId="49" fontId="73" fillId="27" borderId="54" xfId="70" applyNumberFormat="1" applyFont="1" applyFill="1" applyBorder="1" applyAlignment="1">
      <alignment horizontal="center" vertical="center" wrapText="1"/>
    </xf>
    <xf numFmtId="3" fontId="75" fillId="0" borderId="0" xfId="79" applyNumberFormat="1" applyFont="1" applyAlignment="1">
      <alignment vertical="center"/>
    </xf>
    <xf numFmtId="49" fontId="73" fillId="0" borderId="0" xfId="70" applyNumberFormat="1" applyFont="1" applyAlignment="1">
      <alignment horizontal="left" vertical="center" wrapText="1"/>
    </xf>
    <xf numFmtId="49" fontId="73" fillId="0" borderId="0" xfId="70" applyNumberFormat="1" applyFont="1" applyAlignment="1">
      <alignment horizontal="center" vertical="center" wrapText="1"/>
    </xf>
    <xf numFmtId="3" fontId="73" fillId="0" borderId="0" xfId="70" applyNumberFormat="1" applyFont="1" applyAlignment="1">
      <alignment horizontal="center" vertical="center" wrapText="1"/>
    </xf>
    <xf numFmtId="3" fontId="77" fillId="26" borderId="4" xfId="70" applyNumberFormat="1" applyFont="1" applyFill="1" applyBorder="1" applyAlignment="1">
      <alignment horizontal="right" vertical="center" wrapText="1"/>
    </xf>
    <xf numFmtId="49" fontId="77" fillId="0" borderId="50" xfId="70" applyNumberFormat="1" applyFont="1" applyBorder="1" applyAlignment="1">
      <alignment vertical="center" wrapText="1"/>
    </xf>
    <xf numFmtId="49" fontId="52" fillId="0" borderId="50" xfId="70" applyNumberFormat="1" applyFont="1" applyBorder="1" applyAlignment="1">
      <alignment vertical="center" wrapText="1"/>
    </xf>
    <xf numFmtId="49" fontId="52" fillId="0" borderId="50" xfId="70" applyNumberFormat="1" applyFont="1" applyBorder="1" applyAlignment="1">
      <alignment horizontal="center" vertical="center" wrapText="1"/>
    </xf>
    <xf numFmtId="3" fontId="71" fillId="0" borderId="0" xfId="79" applyNumberFormat="1" applyFont="1" applyAlignment="1">
      <alignment vertical="center"/>
    </xf>
    <xf numFmtId="49" fontId="52" fillId="26" borderId="50" xfId="70" applyNumberFormat="1" applyFont="1" applyFill="1" applyBorder="1" applyAlignment="1">
      <alignment vertical="center" wrapText="1"/>
    </xf>
    <xf numFmtId="3" fontId="52" fillId="26" borderId="4" xfId="70" applyNumberFormat="1" applyFont="1" applyFill="1" applyBorder="1" applyAlignment="1">
      <alignment horizontal="right" vertical="center" wrapText="1"/>
    </xf>
    <xf numFmtId="3" fontId="78" fillId="0" borderId="4" xfId="79" applyNumberFormat="1" applyFont="1" applyBorder="1" applyAlignment="1">
      <alignment horizontal="right" vertical="center" wrapText="1"/>
    </xf>
    <xf numFmtId="3" fontId="78" fillId="26" borderId="4" xfId="79" applyNumberFormat="1" applyFont="1" applyFill="1" applyBorder="1" applyAlignment="1">
      <alignment horizontal="right" vertical="center" wrapText="1"/>
    </xf>
    <xf numFmtId="3" fontId="77" fillId="0" borderId="2" xfId="70" applyNumberFormat="1" applyFont="1" applyBorder="1" applyAlignment="1">
      <alignment horizontal="right" vertical="center" wrapText="1"/>
    </xf>
    <xf numFmtId="3" fontId="52" fillId="0" borderId="49" xfId="79" applyNumberFormat="1" applyFont="1" applyFill="1" applyBorder="1" applyAlignment="1">
      <alignment vertical="center" wrapText="1"/>
    </xf>
    <xf numFmtId="49" fontId="52" fillId="0" borderId="50" xfId="79" applyNumberFormat="1" applyFont="1" applyFill="1" applyBorder="1" applyAlignment="1">
      <alignment vertical="center" wrapText="1"/>
    </xf>
    <xf numFmtId="49" fontId="52" fillId="0" borderId="50" xfId="79" applyNumberFormat="1" applyFont="1" applyFill="1" applyBorder="1" applyAlignment="1">
      <alignment horizontal="center" vertical="center" wrapText="1"/>
    </xf>
    <xf numFmtId="3" fontId="52" fillId="0" borderId="4" xfId="79" applyNumberFormat="1" applyFont="1" applyFill="1" applyBorder="1" applyAlignment="1">
      <alignment vertical="center"/>
    </xf>
    <xf numFmtId="3" fontId="77" fillId="0" borderId="4" xfId="70" applyNumberFormat="1" applyFont="1" applyFill="1" applyBorder="1" applyAlignment="1">
      <alignment horizontal="right" vertical="center" wrapText="1"/>
    </xf>
    <xf numFmtId="49" fontId="52" fillId="0" borderId="50" xfId="70" applyNumberFormat="1" applyFont="1" applyFill="1" applyBorder="1" applyAlignment="1">
      <alignment vertical="center" wrapText="1"/>
    </xf>
    <xf numFmtId="3" fontId="52" fillId="0" borderId="4" xfId="70" applyNumberFormat="1" applyFont="1" applyFill="1" applyBorder="1" applyAlignment="1">
      <alignment horizontal="right" vertical="center" wrapText="1"/>
    </xf>
    <xf numFmtId="3" fontId="77" fillId="0" borderId="2" xfId="70" applyNumberFormat="1" applyFont="1" applyFill="1" applyBorder="1" applyAlignment="1">
      <alignment horizontal="right" vertical="center" wrapText="1"/>
    </xf>
    <xf numFmtId="3" fontId="52" fillId="0" borderId="2" xfId="79" applyNumberFormat="1" applyFont="1" applyFill="1" applyBorder="1" applyAlignment="1">
      <alignment vertical="center"/>
    </xf>
    <xf numFmtId="0" fontId="51" fillId="0" borderId="0" xfId="51" applyFont="1" applyAlignment="1">
      <alignment wrapText="1"/>
    </xf>
    <xf numFmtId="0" fontId="52" fillId="0" borderId="0" xfId="51" applyFont="1" applyAlignment="1">
      <alignment horizontal="center" vertical="center"/>
    </xf>
    <xf numFmtId="0" fontId="52" fillId="0" borderId="0" xfId="51" applyFont="1"/>
    <xf numFmtId="4" fontId="51" fillId="27" borderId="42" xfId="34" applyNumberFormat="1" applyFont="1" applyFill="1" applyBorder="1" applyAlignment="1" applyProtection="1">
      <alignment horizontal="center" vertical="center" wrapText="1"/>
      <protection locked="0"/>
    </xf>
    <xf numFmtId="3" fontId="61" fillId="28" borderId="7" xfId="1" applyNumberFormat="1" applyFont="1" applyFill="1" applyBorder="1"/>
    <xf numFmtId="3" fontId="61" fillId="25" borderId="7" xfId="1" applyNumberFormat="1" applyFont="1" applyFill="1" applyBorder="1"/>
    <xf numFmtId="0" fontId="96" fillId="0" borderId="0" xfId="34" applyFont="1" applyFill="1" applyAlignment="1"/>
    <xf numFmtId="3" fontId="18" fillId="26" borderId="49" xfId="37" applyNumberFormat="1" applyFont="1" applyFill="1" applyBorder="1" applyAlignment="1">
      <alignment vertical="center"/>
    </xf>
    <xf numFmtId="3" fontId="18" fillId="26" borderId="4" xfId="37" applyNumberFormat="1" applyFont="1" applyFill="1" applyBorder="1" applyAlignment="1">
      <alignment vertical="center"/>
    </xf>
    <xf numFmtId="3" fontId="18" fillId="26" borderId="50" xfId="37" applyNumberFormat="1" applyFont="1" applyFill="1" applyBorder="1" applyAlignment="1">
      <alignment vertical="center"/>
    </xf>
    <xf numFmtId="3" fontId="18" fillId="26" borderId="2" xfId="37" applyNumberFormat="1" applyFont="1" applyFill="1" applyBorder="1" applyAlignment="1">
      <alignment vertical="center"/>
    </xf>
    <xf numFmtId="3" fontId="18" fillId="0" borderId="0" xfId="37" applyNumberFormat="1" applyFont="1"/>
    <xf numFmtId="4" fontId="52" fillId="0" borderId="0" xfId="51" applyNumberFormat="1" applyFont="1"/>
    <xf numFmtId="0" fontId="20" fillId="26" borderId="16" xfId="51" applyFont="1" applyFill="1" applyBorder="1" applyAlignment="1">
      <alignment horizontal="center" vertical="center" wrapText="1"/>
    </xf>
    <xf numFmtId="4" fontId="18" fillId="26" borderId="13" xfId="51" applyNumberFormat="1" applyFont="1" applyFill="1" applyBorder="1" applyAlignment="1">
      <alignment horizontal="right" vertical="center"/>
    </xf>
    <xf numFmtId="4" fontId="51" fillId="25" borderId="57" xfId="34" applyNumberFormat="1" applyFont="1" applyFill="1" applyBorder="1" applyAlignment="1" applyProtection="1">
      <alignment horizontal="center" vertical="center"/>
      <protection locked="0"/>
    </xf>
    <xf numFmtId="49" fontId="52" fillId="0" borderId="4" xfId="52" applyNumberFormat="1" applyFont="1" applyBorder="1" applyAlignment="1">
      <alignment horizontal="center" vertical="center"/>
    </xf>
    <xf numFmtId="3" fontId="52" fillId="0" borderId="2" xfId="52" applyNumberFormat="1" applyFont="1" applyBorder="1" applyAlignment="1">
      <alignment vertical="center"/>
    </xf>
    <xf numFmtId="49" fontId="51" fillId="25" borderId="18" xfId="52" applyNumberFormat="1" applyFont="1" applyFill="1" applyBorder="1" applyAlignment="1">
      <alignment horizontal="center" vertical="center" wrapText="1"/>
    </xf>
    <xf numFmtId="0" fontId="52" fillId="0" borderId="2" xfId="52" applyFont="1" applyBorder="1" applyAlignment="1">
      <alignment horizontal="center" vertical="center" wrapText="1"/>
    </xf>
    <xf numFmtId="10" fontId="89" fillId="0" borderId="0" xfId="52" applyNumberFormat="1" applyFont="1" applyAlignment="1">
      <alignment vertical="center"/>
    </xf>
    <xf numFmtId="4" fontId="89" fillId="0" borderId="0" xfId="52" applyNumberFormat="1" applyFont="1" applyAlignment="1">
      <alignment vertical="center"/>
    </xf>
    <xf numFmtId="0" fontId="52" fillId="0" borderId="4" xfId="52" applyNumberFormat="1" applyFont="1" applyBorder="1" applyAlignment="1">
      <alignment horizontal="center" vertical="center"/>
    </xf>
    <xf numFmtId="3" fontId="73" fillId="26" borderId="65" xfId="70" applyNumberFormat="1"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xf>
    <xf numFmtId="0" fontId="45" fillId="0" borderId="0" xfId="1" applyFont="1" applyAlignment="1">
      <alignment horizontal="center" vertical="center" wrapText="1"/>
    </xf>
    <xf numFmtId="49" fontId="41" fillId="0" borderId="35" xfId="1" applyNumberFormat="1" applyFont="1" applyBorder="1" applyAlignment="1">
      <alignment horizontal="center" vertical="center" wrapText="1"/>
    </xf>
    <xf numFmtId="49" fontId="41" fillId="0" borderId="19" xfId="1" applyNumberFormat="1" applyFont="1" applyBorder="1" applyAlignment="1">
      <alignment horizontal="center" vertical="center" wrapText="1"/>
    </xf>
    <xf numFmtId="3" fontId="41" fillId="0" borderId="32" xfId="1" applyNumberFormat="1" applyFont="1" applyBorder="1" applyAlignment="1">
      <alignment horizontal="center" vertical="center" wrapText="1"/>
    </xf>
    <xf numFmtId="3" fontId="41" fillId="0" borderId="22" xfId="1" applyNumberFormat="1" applyFont="1" applyBorder="1" applyAlignment="1">
      <alignment horizontal="center" vertical="center" wrapText="1"/>
    </xf>
    <xf numFmtId="3" fontId="41" fillId="0" borderId="31" xfId="1" applyNumberFormat="1" applyFont="1" applyBorder="1" applyAlignment="1">
      <alignment horizontal="center" vertical="center" wrapText="1"/>
    </xf>
    <xf numFmtId="3" fontId="41" fillId="0" borderId="23" xfId="1" applyNumberFormat="1" applyFont="1" applyBorder="1" applyAlignment="1">
      <alignment horizontal="center" vertical="center" wrapText="1"/>
    </xf>
    <xf numFmtId="3" fontId="41" fillId="0" borderId="34" xfId="1" applyNumberFormat="1" applyFont="1" applyBorder="1" applyAlignment="1">
      <alignment horizontal="center" vertical="center" wrapText="1"/>
    </xf>
    <xf numFmtId="3" fontId="41" fillId="0" borderId="21" xfId="1" applyNumberFormat="1" applyFont="1" applyBorder="1" applyAlignment="1">
      <alignment horizontal="center" vertical="center" wrapText="1"/>
    </xf>
    <xf numFmtId="0" fontId="20" fillId="0" borderId="33" xfId="1" applyFont="1" applyBorder="1" applyAlignment="1">
      <alignment horizontal="center" vertical="center" wrapText="1"/>
    </xf>
    <xf numFmtId="0" fontId="18" fillId="0" borderId="20" xfId="1" applyFont="1" applyBorder="1" applyAlignment="1">
      <alignment horizontal="center"/>
    </xf>
    <xf numFmtId="0" fontId="46" fillId="0" borderId="39" xfId="51" applyFont="1" applyBorder="1" applyAlignment="1">
      <alignment horizontal="center" vertical="center" wrapText="1"/>
    </xf>
    <xf numFmtId="0" fontId="47" fillId="0" borderId="33" xfId="51" applyFont="1" applyFill="1" applyBorder="1" applyAlignment="1">
      <alignment horizontal="center" vertical="center"/>
    </xf>
    <xf numFmtId="0" fontId="47" fillId="0" borderId="20" xfId="51" applyFont="1" applyFill="1" applyBorder="1" applyAlignment="1">
      <alignment horizontal="center" vertical="center"/>
    </xf>
    <xf numFmtId="0" fontId="48" fillId="27" borderId="32" xfId="51" applyFont="1" applyFill="1" applyBorder="1" applyAlignment="1">
      <alignment horizontal="center" vertical="center"/>
    </xf>
    <xf numFmtId="0" fontId="48" fillId="27" borderId="22" xfId="51" applyFont="1" applyFill="1" applyBorder="1" applyAlignment="1">
      <alignment horizontal="center" vertical="center"/>
    </xf>
    <xf numFmtId="165" fontId="47" fillId="0" borderId="25" xfId="51" applyNumberFormat="1" applyFont="1" applyFill="1" applyBorder="1" applyAlignment="1">
      <alignment horizontal="center" vertical="center" wrapText="1"/>
    </xf>
    <xf numFmtId="165" fontId="47" fillId="0" borderId="40" xfId="51" applyNumberFormat="1" applyFont="1" applyFill="1" applyBorder="1" applyAlignment="1">
      <alignment horizontal="center" vertical="center" wrapText="1"/>
    </xf>
    <xf numFmtId="165" fontId="47" fillId="0" borderId="41" xfId="51" applyNumberFormat="1" applyFont="1" applyFill="1" applyBorder="1" applyAlignment="1">
      <alignment horizontal="center" vertical="center" wrapText="1"/>
    </xf>
    <xf numFmtId="0" fontId="51" fillId="0" borderId="1" xfId="52" applyFont="1" applyBorder="1" applyAlignment="1">
      <alignment horizontal="left" vertical="center" wrapText="1"/>
    </xf>
    <xf numFmtId="0" fontId="51" fillId="0" borderId="71" xfId="52" applyFont="1" applyBorder="1" applyAlignment="1">
      <alignment horizontal="left" vertical="center" wrapText="1"/>
    </xf>
    <xf numFmtId="0" fontId="51" fillId="0" borderId="72" xfId="52" applyFont="1" applyBorder="1" applyAlignment="1">
      <alignment horizontal="left" vertical="center" wrapText="1"/>
    </xf>
    <xf numFmtId="0" fontId="17" fillId="0" borderId="0" xfId="52" applyFont="1" applyAlignment="1">
      <alignment horizontal="center" vertical="center" wrapText="1"/>
    </xf>
    <xf numFmtId="0" fontId="15" fillId="0" borderId="0" xfId="54" applyAlignment="1">
      <alignment horizontal="center" vertical="center" wrapText="1"/>
    </xf>
    <xf numFmtId="0" fontId="51" fillId="25" borderId="47" xfId="52" applyFont="1" applyFill="1" applyBorder="1" applyAlignment="1">
      <alignment horizontal="center" vertical="center" wrapText="1"/>
    </xf>
    <xf numFmtId="0" fontId="51" fillId="25" borderId="58" xfId="52" applyFont="1" applyFill="1" applyBorder="1" applyAlignment="1">
      <alignment horizontal="center" vertical="center" wrapText="1"/>
    </xf>
    <xf numFmtId="4" fontId="51" fillId="25" borderId="32" xfId="52" applyNumberFormat="1" applyFont="1" applyFill="1" applyBorder="1" applyAlignment="1">
      <alignment horizontal="center" vertical="center" wrapText="1"/>
    </xf>
    <xf numFmtId="4" fontId="51" fillId="25" borderId="22" xfId="52" applyNumberFormat="1" applyFont="1" applyFill="1" applyBorder="1" applyAlignment="1">
      <alignment horizontal="center" vertical="center" wrapText="1"/>
    </xf>
    <xf numFmtId="4" fontId="51" fillId="25" borderId="24" xfId="34" applyNumberFormat="1" applyFont="1" applyFill="1" applyBorder="1" applyAlignment="1">
      <alignment horizontal="center" vertical="center" wrapText="1"/>
    </xf>
    <xf numFmtId="0" fontId="54" fillId="0" borderId="24" xfId="34" applyFont="1" applyBorder="1" applyAlignment="1">
      <alignment vertical="center"/>
    </xf>
    <xf numFmtId="0" fontId="15" fillId="0" borderId="24" xfId="34" applyBorder="1" applyAlignment="1">
      <alignment vertical="center"/>
    </xf>
    <xf numFmtId="0" fontId="15" fillId="0" borderId="24" xfId="54" applyBorder="1" applyAlignment="1">
      <alignment vertical="center"/>
    </xf>
    <xf numFmtId="0" fontId="51" fillId="25" borderId="36" xfId="52" applyFont="1" applyFill="1" applyBorder="1" applyAlignment="1">
      <alignment horizontal="center" vertical="center" wrapText="1"/>
    </xf>
    <xf numFmtId="0" fontId="51" fillId="25" borderId="43" xfId="52" applyFont="1" applyFill="1" applyBorder="1" applyAlignment="1">
      <alignment horizontal="center" vertical="center" wrapText="1"/>
    </xf>
    <xf numFmtId="49" fontId="52" fillId="0" borderId="61" xfId="52" applyNumberFormat="1" applyFont="1" applyBorder="1" applyAlignment="1">
      <alignment horizontal="left" vertical="center" wrapText="1"/>
    </xf>
    <xf numFmtId="0" fontId="55" fillId="0" borderId="44" xfId="76" applyFont="1" applyBorder="1" applyAlignment="1">
      <alignment horizontal="left" vertical="center" wrapText="1"/>
    </xf>
    <xf numFmtId="0" fontId="94" fillId="0" borderId="37" xfId="54" applyFont="1" applyBorder="1" applyAlignment="1">
      <alignment vertical="center" wrapText="1"/>
    </xf>
    <xf numFmtId="0" fontId="0" fillId="0" borderId="0" xfId="0" applyAlignment="1">
      <alignment vertical="center"/>
    </xf>
    <xf numFmtId="0" fontId="17" fillId="0" borderId="0" xfId="54" applyFont="1" applyAlignment="1">
      <alignment horizontal="center" vertical="center" wrapText="1"/>
    </xf>
    <xf numFmtId="0" fontId="51" fillId="25" borderId="32" xfId="52" applyFont="1" applyFill="1" applyBorder="1" applyAlignment="1">
      <alignment horizontal="center" vertical="center" wrapText="1"/>
    </xf>
    <xf numFmtId="0" fontId="68" fillId="0" borderId="22" xfId="78" applyFont="1" applyBorder="1" applyAlignment="1">
      <alignment horizontal="center" vertical="center" wrapText="1"/>
    </xf>
    <xf numFmtId="0" fontId="67" fillId="0" borderId="24" xfId="34" applyFont="1" applyBorder="1" applyAlignment="1">
      <alignment vertical="center"/>
    </xf>
    <xf numFmtId="0" fontId="59" fillId="0" borderId="24" xfId="34" applyFont="1" applyBorder="1" applyAlignment="1">
      <alignment vertical="center"/>
    </xf>
    <xf numFmtId="49" fontId="51" fillId="25" borderId="34" xfId="55" applyNumberFormat="1" applyFont="1" applyFill="1" applyBorder="1" applyAlignment="1">
      <alignment horizontal="center" vertical="center" wrapText="1"/>
    </xf>
    <xf numFmtId="0" fontId="68" fillId="0" borderId="21" xfId="78" applyFont="1" applyBorder="1" applyAlignment="1">
      <alignment horizontal="center" vertical="center" wrapText="1"/>
    </xf>
    <xf numFmtId="0" fontId="51" fillId="0" borderId="56" xfId="54" applyFont="1" applyBorder="1" applyAlignment="1">
      <alignment horizontal="left" vertical="center" wrapText="1"/>
    </xf>
    <xf numFmtId="0" fontId="51" fillId="0" borderId="40" xfId="54" applyFont="1" applyBorder="1" applyAlignment="1">
      <alignment horizontal="left" vertical="center" wrapText="1"/>
    </xf>
    <xf numFmtId="0" fontId="51" fillId="0" borderId="41" xfId="54" applyFont="1" applyBorder="1" applyAlignment="1">
      <alignment horizontal="left" vertical="center" wrapText="1"/>
    </xf>
    <xf numFmtId="0" fontId="66" fillId="0" borderId="0" xfId="54" applyFont="1" applyAlignment="1">
      <alignment horizontal="left" wrapText="1"/>
    </xf>
    <xf numFmtId="0" fontId="51" fillId="0" borderId="35" xfId="54" applyFont="1" applyBorder="1" applyAlignment="1">
      <alignment horizontal="left" vertical="center" wrapText="1"/>
    </xf>
    <xf numFmtId="0" fontId="51" fillId="0" borderId="59" xfId="54" applyFont="1" applyBorder="1" applyAlignment="1">
      <alignment horizontal="left" vertical="center" wrapText="1"/>
    </xf>
    <xf numFmtId="0" fontId="51" fillId="0" borderId="60" xfId="54" applyFont="1" applyBorder="1" applyAlignment="1">
      <alignment horizontal="left" vertical="center" wrapText="1"/>
    </xf>
    <xf numFmtId="0" fontId="17" fillId="0" borderId="0" xfId="76" applyFont="1" applyAlignment="1">
      <alignment horizontal="center" vertical="center"/>
    </xf>
    <xf numFmtId="0" fontId="90" fillId="0" borderId="39" xfId="76" applyFont="1" applyBorder="1" applyAlignment="1">
      <alignment horizontal="center"/>
    </xf>
    <xf numFmtId="0" fontId="51" fillId="25" borderId="55" xfId="52" applyFont="1" applyFill="1" applyBorder="1" applyAlignment="1">
      <alignment horizontal="center" vertical="center" wrapText="1"/>
    </xf>
    <xf numFmtId="0" fontId="51" fillId="25" borderId="24" xfId="52" applyFont="1" applyFill="1" applyBorder="1" applyAlignment="1">
      <alignment horizontal="center" vertical="center" wrapText="1"/>
    </xf>
    <xf numFmtId="0" fontId="51" fillId="25" borderId="18" xfId="52" applyFont="1" applyFill="1" applyBorder="1" applyAlignment="1">
      <alignment horizontal="center" vertical="center" wrapText="1"/>
    </xf>
    <xf numFmtId="4" fontId="51" fillId="25" borderId="24" xfId="52" applyNumberFormat="1" applyFont="1" applyFill="1" applyBorder="1" applyAlignment="1">
      <alignment horizontal="center" vertical="center" wrapText="1"/>
    </xf>
    <xf numFmtId="4" fontId="51" fillId="25" borderId="18" xfId="52" applyNumberFormat="1" applyFont="1" applyFill="1" applyBorder="1" applyAlignment="1">
      <alignment horizontal="center" vertical="center" wrapText="1"/>
    </xf>
    <xf numFmtId="0" fontId="51" fillId="25" borderId="25" xfId="52" applyFont="1" applyFill="1" applyBorder="1" applyAlignment="1">
      <alignment horizontal="center" vertical="center" wrapText="1"/>
    </xf>
    <xf numFmtId="0" fontId="3" fillId="0" borderId="40" xfId="76" applyBorder="1" applyAlignment="1">
      <alignment horizontal="center" vertical="center" wrapText="1"/>
    </xf>
    <xf numFmtId="0" fontId="3" fillId="0" borderId="48" xfId="76" applyBorder="1" applyAlignment="1">
      <alignment horizontal="center" vertical="center" wrapText="1"/>
    </xf>
    <xf numFmtId="0" fontId="51" fillId="25" borderId="16" xfId="52" applyFont="1" applyFill="1" applyBorder="1" applyAlignment="1">
      <alignment horizontal="center" vertical="center" wrapText="1"/>
    </xf>
    <xf numFmtId="0" fontId="51" fillId="0" borderId="56" xfId="52" applyFont="1" applyBorder="1" applyAlignment="1">
      <alignment horizontal="left" vertical="center" wrapText="1"/>
    </xf>
    <xf numFmtId="0" fontId="51" fillId="0" borderId="40" xfId="52" applyFont="1" applyBorder="1" applyAlignment="1">
      <alignment horizontal="left" vertical="center" wrapText="1"/>
    </xf>
    <xf numFmtId="0" fontId="51" fillId="0" borderId="41" xfId="52" applyFont="1" applyBorder="1" applyAlignment="1">
      <alignment horizontal="left" vertical="center" wrapText="1"/>
    </xf>
    <xf numFmtId="0" fontId="51" fillId="25" borderId="48" xfId="52" applyFont="1" applyFill="1" applyBorder="1" applyAlignment="1">
      <alignment horizontal="center" vertical="center" wrapText="1"/>
    </xf>
    <xf numFmtId="0" fontId="51" fillId="0" borderId="37" xfId="52" applyFont="1" applyBorder="1" applyAlignment="1">
      <alignment horizontal="left" vertical="center"/>
    </xf>
    <xf numFmtId="0" fontId="51" fillId="0" borderId="85" xfId="52" applyFont="1" applyBorder="1" applyAlignment="1">
      <alignment horizontal="left" vertical="center"/>
    </xf>
    <xf numFmtId="0" fontId="51" fillId="0" borderId="1" xfId="52" applyFont="1" applyBorder="1" applyAlignment="1">
      <alignment horizontal="left" vertical="center"/>
    </xf>
    <xf numFmtId="0" fontId="51" fillId="0" borderId="86" xfId="52" applyFont="1" applyBorder="1" applyAlignment="1">
      <alignment horizontal="left" vertical="center"/>
    </xf>
    <xf numFmtId="0" fontId="51" fillId="0" borderId="56" xfId="52" applyFont="1" applyBorder="1" applyAlignment="1">
      <alignment horizontal="left" vertical="center"/>
    </xf>
    <xf numFmtId="0" fontId="51" fillId="0" borderId="87" xfId="52" applyFont="1" applyBorder="1" applyAlignment="1">
      <alignment horizontal="left" vertical="center"/>
    </xf>
    <xf numFmtId="0" fontId="51" fillId="0" borderId="40" xfId="52" applyFont="1" applyBorder="1" applyAlignment="1">
      <alignment horizontal="left" vertical="center"/>
    </xf>
    <xf numFmtId="0" fontId="51" fillId="0" borderId="41" xfId="52" applyFont="1" applyBorder="1" applyAlignment="1">
      <alignment horizontal="left" vertical="center"/>
    </xf>
    <xf numFmtId="0" fontId="51" fillId="0" borderId="71" xfId="52" applyFont="1" applyBorder="1" applyAlignment="1">
      <alignment horizontal="left" vertical="center"/>
    </xf>
    <xf numFmtId="0" fontId="51" fillId="0" borderId="72" xfId="52" applyFont="1" applyBorder="1" applyAlignment="1">
      <alignment horizontal="left" vertical="center"/>
    </xf>
    <xf numFmtId="0" fontId="55" fillId="0" borderId="22" xfId="77" applyFont="1" applyBorder="1" applyAlignment="1">
      <alignment horizontal="center" vertical="center" wrapText="1"/>
    </xf>
    <xf numFmtId="0" fontId="51" fillId="25" borderId="40" xfId="52" applyFont="1" applyFill="1" applyBorder="1" applyAlignment="1">
      <alignment horizontal="center" vertical="center" wrapText="1"/>
    </xf>
    <xf numFmtId="0" fontId="51" fillId="25" borderId="57" xfId="52" applyFont="1" applyFill="1" applyBorder="1" applyAlignment="1">
      <alignment horizontal="center" vertical="center" wrapText="1"/>
    </xf>
    <xf numFmtId="4" fontId="51" fillId="0" borderId="39" xfId="52" applyNumberFormat="1" applyFont="1" applyBorder="1" applyAlignment="1">
      <alignment horizontal="right" vertical="center"/>
    </xf>
    <xf numFmtId="0" fontId="1" fillId="0" borderId="39" xfId="80" applyBorder="1" applyAlignment="1">
      <alignment horizontal="right" vertical="center"/>
    </xf>
    <xf numFmtId="0" fontId="51" fillId="27" borderId="47" xfId="34" applyFont="1" applyFill="1" applyBorder="1" applyAlignment="1" applyProtection="1">
      <alignment horizontal="center" vertical="center" wrapText="1"/>
      <protection locked="0"/>
    </xf>
    <xf numFmtId="0" fontId="51" fillId="27" borderId="58" xfId="34" applyFont="1" applyFill="1" applyBorder="1" applyAlignment="1" applyProtection="1">
      <alignment horizontal="center" vertical="center" wrapText="1"/>
      <protection locked="0"/>
    </xf>
    <xf numFmtId="4" fontId="51" fillId="27" borderId="32" xfId="34" applyNumberFormat="1" applyFont="1" applyFill="1" applyBorder="1" applyAlignment="1" applyProtection="1">
      <alignment horizontal="center" vertical="center" wrapText="1"/>
      <protection locked="0"/>
    </xf>
    <xf numFmtId="4" fontId="51" fillId="27" borderId="22" xfId="34" applyNumberFormat="1" applyFont="1" applyFill="1" applyBorder="1" applyAlignment="1" applyProtection="1">
      <alignment horizontal="center" vertical="center" wrapText="1"/>
      <protection locked="0"/>
    </xf>
    <xf numFmtId="4" fontId="51" fillId="27" borderId="24" xfId="34" applyNumberFormat="1" applyFont="1" applyFill="1" applyBorder="1" applyAlignment="1" applyProtection="1">
      <alignment horizontal="center" vertical="center" wrapText="1"/>
      <protection locked="0"/>
    </xf>
    <xf numFmtId="4" fontId="51" fillId="27" borderId="42" xfId="34" applyNumberFormat="1" applyFont="1" applyFill="1" applyBorder="1" applyAlignment="1" applyProtection="1">
      <alignment horizontal="center" vertical="center" wrapText="1"/>
      <protection locked="0"/>
    </xf>
    <xf numFmtId="0" fontId="1" fillId="0" borderId="24" xfId="80" applyBorder="1" applyAlignment="1">
      <alignment horizontal="center" vertical="center" wrapText="1"/>
    </xf>
    <xf numFmtId="4" fontId="51" fillId="25" borderId="24" xfId="34" applyNumberFormat="1" applyFont="1" applyFill="1" applyBorder="1" applyAlignment="1" applyProtection="1">
      <alignment horizontal="center" vertical="center"/>
      <protection locked="0"/>
    </xf>
    <xf numFmtId="0" fontId="55" fillId="0" borderId="36" xfId="81" applyFont="1" applyBorder="1" applyAlignment="1">
      <alignment vertical="center"/>
    </xf>
    <xf numFmtId="0" fontId="52" fillId="0" borderId="15" xfId="52" applyFont="1" applyBorder="1" applyAlignment="1">
      <alignment horizontal="center" vertical="center" wrapText="1"/>
    </xf>
    <xf numFmtId="0" fontId="52" fillId="0" borderId="53" xfId="52" applyFont="1" applyBorder="1" applyAlignment="1">
      <alignment horizontal="center" vertical="center" wrapText="1"/>
    </xf>
    <xf numFmtId="0" fontId="52" fillId="0" borderId="65" xfId="52" applyFont="1" applyBorder="1" applyAlignment="1">
      <alignment horizontal="center" vertical="center" wrapText="1"/>
    </xf>
    <xf numFmtId="0" fontId="17" fillId="0" borderId="0" xfId="37" applyFont="1" applyAlignment="1">
      <alignment horizontal="center" vertical="center"/>
    </xf>
    <xf numFmtId="0" fontId="53" fillId="0" borderId="0" xfId="37" applyFont="1" applyAlignment="1">
      <alignment horizontal="center"/>
    </xf>
    <xf numFmtId="0" fontId="20" fillId="0" borderId="47" xfId="37" applyFont="1" applyBorder="1" applyAlignment="1">
      <alignment horizontal="center" vertical="center" wrapText="1"/>
    </xf>
    <xf numFmtId="0" fontId="20" fillId="0" borderId="24" xfId="37" applyFont="1" applyBorder="1" applyAlignment="1">
      <alignment horizontal="center" vertical="center"/>
    </xf>
    <xf numFmtId="0" fontId="20" fillId="0" borderId="36" xfId="37" applyFont="1" applyBorder="1" applyAlignment="1">
      <alignment horizontal="center" vertical="center"/>
    </xf>
    <xf numFmtId="0" fontId="20" fillId="0" borderId="56" xfId="37" applyFont="1" applyBorder="1" applyAlignment="1">
      <alignment horizontal="center" vertical="center" wrapText="1"/>
    </xf>
    <xf numFmtId="0" fontId="20" fillId="0" borderId="40" xfId="37" applyFont="1" applyBorder="1" applyAlignment="1">
      <alignment horizontal="center" vertical="center" wrapText="1"/>
    </xf>
    <xf numFmtId="0" fontId="20" fillId="0" borderId="41" xfId="37" applyFont="1" applyBorder="1" applyAlignment="1">
      <alignment horizontal="center" vertical="center" wrapText="1"/>
    </xf>
    <xf numFmtId="0" fontId="18" fillId="0" borderId="40" xfId="37" applyFont="1" applyBorder="1" applyAlignment="1">
      <alignment horizontal="center" vertical="center"/>
    </xf>
    <xf numFmtId="0" fontId="18" fillId="0" borderId="41" xfId="37" applyFont="1" applyBorder="1" applyAlignment="1">
      <alignment horizontal="center" vertical="center"/>
    </xf>
    <xf numFmtId="3" fontId="72" fillId="0" borderId="3" xfId="79" applyNumberFormat="1" applyFont="1" applyBorder="1" applyAlignment="1">
      <alignment horizontal="left" vertical="center" wrapText="1"/>
    </xf>
    <xf numFmtId="3" fontId="72" fillId="0" borderId="51" xfId="79" applyNumberFormat="1" applyFont="1" applyBorder="1" applyAlignment="1">
      <alignment horizontal="left" vertical="center" wrapText="1"/>
    </xf>
    <xf numFmtId="3" fontId="72" fillId="0" borderId="45" xfId="79" applyNumberFormat="1" applyFont="1" applyBorder="1" applyAlignment="1">
      <alignment horizontal="left" vertical="center" wrapText="1"/>
    </xf>
    <xf numFmtId="3" fontId="17" fillId="0" borderId="0" xfId="79" applyNumberFormat="1" applyFont="1" applyAlignment="1">
      <alignment horizontal="center" vertical="center" wrapText="1"/>
    </xf>
    <xf numFmtId="3" fontId="73" fillId="0" borderId="35" xfId="70" applyNumberFormat="1" applyFont="1" applyBorder="1" applyAlignment="1">
      <alignment horizontal="center" vertical="center" wrapText="1"/>
    </xf>
    <xf numFmtId="3" fontId="74" fillId="0" borderId="19" xfId="79" applyNumberFormat="1" applyFont="1" applyBorder="1" applyAlignment="1">
      <alignment horizontal="center" vertical="center" wrapText="1"/>
    </xf>
    <xf numFmtId="3" fontId="72" fillId="0" borderId="25" xfId="79" applyNumberFormat="1" applyFont="1" applyBorder="1" applyAlignment="1">
      <alignment horizontal="center" vertical="center" wrapText="1"/>
    </xf>
    <xf numFmtId="3" fontId="72" fillId="0" borderId="40" xfId="79" applyNumberFormat="1" applyFont="1" applyBorder="1" applyAlignment="1">
      <alignment horizontal="center" vertical="center" wrapText="1"/>
    </xf>
    <xf numFmtId="3" fontId="72" fillId="0" borderId="48" xfId="79" applyNumberFormat="1" applyFont="1" applyBorder="1" applyAlignment="1">
      <alignment horizontal="center" vertical="center" wrapText="1"/>
    </xf>
    <xf numFmtId="3" fontId="73" fillId="27" borderId="34" xfId="70" applyNumberFormat="1" applyFont="1" applyFill="1" applyBorder="1" applyAlignment="1">
      <alignment horizontal="center" vertical="center" wrapText="1"/>
    </xf>
    <xf numFmtId="3" fontId="73" fillId="27" borderId="21" xfId="70" applyNumberFormat="1" applyFont="1" applyFill="1" applyBorder="1" applyAlignment="1">
      <alignment horizontal="center" vertical="center" wrapText="1"/>
    </xf>
    <xf numFmtId="3" fontId="51" fillId="27" borderId="56" xfId="70" applyNumberFormat="1" applyFont="1" applyFill="1" applyBorder="1" applyAlignment="1">
      <alignment horizontal="center" vertical="center" wrapText="1"/>
    </xf>
    <xf numFmtId="3" fontId="51" fillId="27" borderId="40" xfId="70" applyNumberFormat="1" applyFont="1" applyFill="1" applyBorder="1" applyAlignment="1">
      <alignment horizontal="center" vertical="center" wrapText="1"/>
    </xf>
    <xf numFmtId="3" fontId="51" fillId="27" borderId="41" xfId="70" applyNumberFormat="1" applyFont="1" applyFill="1" applyBorder="1" applyAlignment="1">
      <alignment horizontal="center" vertical="center" wrapText="1"/>
    </xf>
    <xf numFmtId="0" fontId="18" fillId="0" borderId="47" xfId="51" applyFont="1" applyBorder="1" applyAlignment="1">
      <alignment horizontal="left" vertical="center" wrapText="1"/>
    </xf>
    <xf numFmtId="0" fontId="18" fillId="0" borderId="24" xfId="51" applyFont="1" applyBorder="1" applyAlignment="1">
      <alignment horizontal="left" vertical="center" wrapText="1"/>
    </xf>
    <xf numFmtId="0" fontId="17" fillId="0" borderId="0" xfId="51" applyFont="1" applyAlignment="1">
      <alignment horizontal="center" vertical="center"/>
    </xf>
    <xf numFmtId="0" fontId="57" fillId="0" borderId="0" xfId="51" applyFont="1" applyAlignment="1">
      <alignment horizontal="center" vertical="center"/>
    </xf>
    <xf numFmtId="0" fontId="18" fillId="0" borderId="55" xfId="51" applyFont="1" applyBorder="1" applyAlignment="1">
      <alignment horizontal="center" vertical="center"/>
    </xf>
    <xf numFmtId="0" fontId="15" fillId="0" borderId="18" xfId="51" applyBorder="1" applyAlignment="1">
      <alignment horizontal="center" vertical="center"/>
    </xf>
    <xf numFmtId="0" fontId="18" fillId="0" borderId="44" xfId="51" applyFont="1" applyBorder="1" applyAlignment="1">
      <alignment vertical="center"/>
    </xf>
    <xf numFmtId="0" fontId="15" fillId="0" borderId="10" xfId="51" applyBorder="1" applyAlignment="1">
      <alignment vertical="center"/>
    </xf>
    <xf numFmtId="0" fontId="18" fillId="0" borderId="49" xfId="51" applyFont="1" applyBorder="1" applyAlignment="1">
      <alignment vertical="center"/>
    </xf>
    <xf numFmtId="0" fontId="15" fillId="0" borderId="4" xfId="51" applyBorder="1" applyAlignment="1">
      <alignment vertical="center"/>
    </xf>
    <xf numFmtId="0" fontId="18" fillId="0" borderId="49" xfId="51" applyFont="1" applyBorder="1" applyAlignment="1">
      <alignment horizontal="left" vertical="center" wrapText="1"/>
    </xf>
    <xf numFmtId="0" fontId="18" fillId="0" borderId="4" xfId="51" applyFont="1" applyBorder="1" applyAlignment="1">
      <alignment horizontal="left" vertical="center" wrapText="1"/>
    </xf>
    <xf numFmtId="0" fontId="20" fillId="0" borderId="49" xfId="51" applyFont="1" applyBorder="1" applyAlignment="1">
      <alignment vertical="center"/>
    </xf>
    <xf numFmtId="0" fontId="59" fillId="0" borderId="4" xfId="51" applyFont="1" applyBorder="1" applyAlignment="1">
      <alignment vertical="center"/>
    </xf>
    <xf numFmtId="0" fontId="20" fillId="0" borderId="61" xfId="51" applyFont="1" applyBorder="1" applyAlignment="1">
      <alignment horizontal="left" vertical="center" wrapText="1"/>
    </xf>
    <xf numFmtId="0" fontId="15" fillId="0" borderId="8" xfId="51" applyBorder="1"/>
    <xf numFmtId="0" fontId="20" fillId="25" borderId="55" xfId="51" applyFont="1" applyFill="1" applyBorder="1" applyAlignment="1">
      <alignment vertical="center" wrapText="1"/>
    </xf>
    <xf numFmtId="0" fontId="59" fillId="25" borderId="18" xfId="51" applyFont="1" applyFill="1" applyBorder="1" applyAlignment="1">
      <alignment vertical="center" wrapText="1"/>
    </xf>
    <xf numFmtId="0" fontId="20" fillId="0" borderId="58" xfId="51" applyFont="1" applyBorder="1" applyAlignment="1">
      <alignment vertical="center" wrapText="1"/>
    </xf>
    <xf numFmtId="0" fontId="20" fillId="0" borderId="42" xfId="51" applyFont="1" applyBorder="1" applyAlignment="1">
      <alignment vertical="center" wrapText="1"/>
    </xf>
    <xf numFmtId="0" fontId="20" fillId="0" borderId="14" xfId="51" applyFont="1" applyBorder="1" applyAlignment="1">
      <alignment vertical="center" wrapText="1"/>
    </xf>
    <xf numFmtId="0" fontId="20" fillId="0" borderId="73" xfId="51" applyFont="1" applyBorder="1" applyAlignment="1">
      <alignment vertical="center" wrapText="1"/>
    </xf>
    <xf numFmtId="0" fontId="51" fillId="0" borderId="0" xfId="51" applyFont="1" applyAlignment="1">
      <alignment wrapText="1"/>
    </xf>
    <xf numFmtId="0" fontId="18" fillId="0" borderId="47" xfId="51" applyFont="1" applyBorder="1" applyAlignment="1">
      <alignment vertical="center" wrapText="1"/>
    </xf>
    <xf numFmtId="0" fontId="18" fillId="0" borderId="24" xfId="51" applyFont="1" applyBorder="1" applyAlignment="1">
      <alignment vertical="center" wrapText="1"/>
    </xf>
    <xf numFmtId="0" fontId="18" fillId="0" borderId="49" xfId="51" applyFont="1" applyBorder="1" applyAlignment="1">
      <alignment vertical="center" wrapText="1"/>
    </xf>
    <xf numFmtId="0" fontId="18" fillId="0" borderId="4" xfId="51" applyFont="1" applyBorder="1" applyAlignment="1">
      <alignment vertical="center" wrapText="1"/>
    </xf>
    <xf numFmtId="0" fontId="20" fillId="0" borderId="74" xfId="51" applyFont="1" applyBorder="1" applyAlignment="1">
      <alignment vertical="center" wrapText="1"/>
    </xf>
    <xf numFmtId="0" fontId="20" fillId="0" borderId="76" xfId="51" applyFont="1" applyBorder="1" applyAlignment="1">
      <alignment vertical="center" wrapText="1"/>
    </xf>
    <xf numFmtId="0" fontId="20" fillId="25" borderId="47" xfId="51" applyFont="1" applyFill="1" applyBorder="1" applyAlignment="1">
      <alignment horizontal="left" vertical="center" wrapText="1"/>
    </xf>
    <xf numFmtId="0" fontId="20" fillId="25" borderId="24" xfId="51" applyFont="1" applyFill="1" applyBorder="1" applyAlignment="1">
      <alignment horizontal="left" vertical="center" wrapText="1"/>
    </xf>
    <xf numFmtId="0" fontId="20" fillId="0" borderId="49" xfId="51" applyFont="1" applyBorder="1" applyAlignment="1">
      <alignment vertical="center" wrapText="1"/>
    </xf>
    <xf numFmtId="0" fontId="20" fillId="0" borderId="4" xfId="51" applyFont="1" applyBorder="1" applyAlignment="1">
      <alignment vertical="center" wrapText="1"/>
    </xf>
    <xf numFmtId="0" fontId="20" fillId="0" borderId="44" xfId="51" applyFont="1" applyBorder="1" applyAlignment="1">
      <alignment vertical="center" wrapText="1"/>
    </xf>
    <xf numFmtId="0" fontId="20" fillId="0" borderId="10" xfId="51" applyFont="1" applyBorder="1" applyAlignment="1">
      <alignment vertical="center" wrapText="1"/>
    </xf>
    <xf numFmtId="0" fontId="20" fillId="0" borderId="61" xfId="51" applyFont="1" applyBorder="1" applyAlignment="1">
      <alignment vertical="center" wrapText="1"/>
    </xf>
    <xf numFmtId="0" fontId="20" fillId="0" borderId="8" xfId="51" applyFont="1" applyBorder="1" applyAlignment="1">
      <alignment vertical="center" wrapText="1"/>
    </xf>
  </cellXfs>
  <cellStyles count="82">
    <cellStyle name="20 % – Zvýraznění1 2" xfId="2" xr:uid="{00000000-0005-0000-0000-000000000000}"/>
    <cellStyle name="20 % – Zvýraznění2 2" xfId="3" xr:uid="{00000000-0005-0000-0000-000001000000}"/>
    <cellStyle name="20 % – Zvýraznění3 2" xfId="4" xr:uid="{00000000-0005-0000-0000-000002000000}"/>
    <cellStyle name="20 % – Zvýraznění4 2" xfId="5" xr:uid="{00000000-0005-0000-0000-000003000000}"/>
    <cellStyle name="20 % - zvýraznenie1" xfId="6" xr:uid="{00000000-0005-0000-0000-000004000000}"/>
    <cellStyle name="20 % - zvýraznenie2" xfId="7" xr:uid="{00000000-0005-0000-0000-000005000000}"/>
    <cellStyle name="20 % - zvýraznenie3" xfId="8" xr:uid="{00000000-0005-0000-0000-000006000000}"/>
    <cellStyle name="20 % - zvýraznenie4" xfId="9" xr:uid="{00000000-0005-0000-0000-000007000000}"/>
    <cellStyle name="20 % - zvýraznenie5" xfId="10" xr:uid="{00000000-0005-0000-0000-000008000000}"/>
    <cellStyle name="20 % - zvýraznenie6" xfId="11" xr:uid="{00000000-0005-0000-0000-000009000000}"/>
    <cellStyle name="40 % – Zvýraznění3 2" xfId="12" xr:uid="{00000000-0005-0000-0000-00000A000000}"/>
    <cellStyle name="40 % - zvýraznenie1" xfId="13" xr:uid="{00000000-0005-0000-0000-00000B000000}"/>
    <cellStyle name="40 % - zvýraznenie2" xfId="14" xr:uid="{00000000-0005-0000-0000-00000C000000}"/>
    <cellStyle name="40 % - zvýraznenie3" xfId="15" xr:uid="{00000000-0005-0000-0000-00000D000000}"/>
    <cellStyle name="40 % - zvýraznenie4" xfId="16" xr:uid="{00000000-0005-0000-0000-00000E000000}"/>
    <cellStyle name="40 % - zvýraznenie5" xfId="17" xr:uid="{00000000-0005-0000-0000-00000F000000}"/>
    <cellStyle name="40 % - zvýraznenie6" xfId="18" xr:uid="{00000000-0005-0000-0000-000010000000}"/>
    <cellStyle name="60 % – Zvýraznění3 2" xfId="19" xr:uid="{00000000-0005-0000-0000-000011000000}"/>
    <cellStyle name="60 % – Zvýraznění4 2" xfId="20" xr:uid="{00000000-0005-0000-0000-000012000000}"/>
    <cellStyle name="60 % – Zvýraznění6 2" xfId="21" xr:uid="{00000000-0005-0000-0000-000013000000}"/>
    <cellStyle name="60 % - zvýraznenie1" xfId="22" xr:uid="{00000000-0005-0000-0000-000014000000}"/>
    <cellStyle name="60 % - zvýraznenie2" xfId="23" xr:uid="{00000000-0005-0000-0000-000015000000}"/>
    <cellStyle name="60 % - zvýraznenie3" xfId="24" xr:uid="{00000000-0005-0000-0000-000016000000}"/>
    <cellStyle name="60 % - zvýraznenie4" xfId="25" xr:uid="{00000000-0005-0000-0000-000017000000}"/>
    <cellStyle name="60 % - zvýraznenie5" xfId="26" xr:uid="{00000000-0005-0000-0000-000018000000}"/>
    <cellStyle name="60 % - zvýraznenie6" xfId="27" xr:uid="{00000000-0005-0000-0000-000019000000}"/>
    <cellStyle name="Dobrá" xfId="28" xr:uid="{00000000-0005-0000-0000-00001A000000}"/>
    <cellStyle name="Kontrolná bunka" xfId="29" xr:uid="{00000000-0005-0000-0000-00001B000000}"/>
    <cellStyle name="Neutrálna" xfId="30" xr:uid="{00000000-0005-0000-0000-00001C000000}"/>
    <cellStyle name="Normal_Zlin II table for road scheme submission_new environmental wording" xfId="31" xr:uid="{00000000-0005-0000-0000-00001D000000}"/>
    <cellStyle name="normálne 2" xfId="32" xr:uid="{00000000-0005-0000-0000-00001E000000}"/>
    <cellStyle name="normálne_2007 až 2013 august 2008" xfId="33" xr:uid="{00000000-0005-0000-0000-00001F000000}"/>
    <cellStyle name="Normální" xfId="0" builtinId="0"/>
    <cellStyle name="Normální 10" xfId="69" xr:uid="{7EAF0ABE-876C-4C5B-B00B-70889B2124CC}"/>
    <cellStyle name="Normální 11" xfId="71" xr:uid="{F7AE1ADC-9B54-4DC4-A6B2-E2ADA9011DC9}"/>
    <cellStyle name="Normální 11 2" xfId="79" xr:uid="{3A752018-D7C9-4CB6-AABC-7126566A31B0}"/>
    <cellStyle name="Normální 11 3" xfId="81" xr:uid="{285A0CB7-4643-4720-9E15-6384F9A1B930}"/>
    <cellStyle name="Normální 12" xfId="76" xr:uid="{D9B8657F-63B1-456D-B6D4-8F0080673836}"/>
    <cellStyle name="Normální 13" xfId="80" xr:uid="{7C9A2637-C50D-4996-83F4-00D6D90391CA}"/>
    <cellStyle name="normální 2" xfId="34" xr:uid="{00000000-0005-0000-0000-000021000000}"/>
    <cellStyle name="Normální 2 2" xfId="70" xr:uid="{F07B7566-2064-476F-9BB1-37E620009519}"/>
    <cellStyle name="Normální 3" xfId="35" xr:uid="{00000000-0005-0000-0000-000022000000}"/>
    <cellStyle name="Normální 3 2" xfId="54" xr:uid="{00000000-0005-0000-0000-000023000000}"/>
    <cellStyle name="Normální 3 2 2" xfId="72" xr:uid="{2978BC99-9761-4968-A077-8A6669D5BDC4}"/>
    <cellStyle name="Normální 4" xfId="36" xr:uid="{00000000-0005-0000-0000-000024000000}"/>
    <cellStyle name="Normální 4 2" xfId="51" xr:uid="{00000000-0005-0000-0000-000025000000}"/>
    <cellStyle name="Normální 5" xfId="37" xr:uid="{00000000-0005-0000-0000-000026000000}"/>
    <cellStyle name="Normální 6" xfId="53" xr:uid="{00000000-0005-0000-0000-000027000000}"/>
    <cellStyle name="Normální 6 2" xfId="57" xr:uid="{00000000-0005-0000-0000-000028000000}"/>
    <cellStyle name="Normální 6 2 2" xfId="60" xr:uid="{00000000-0005-0000-0000-000029000000}"/>
    <cellStyle name="Normální 6 2 2 2" xfId="61" xr:uid="{00000000-0005-0000-0000-00002A000000}"/>
    <cellStyle name="Normální 6 2 2 2 2" xfId="74" xr:uid="{9AC4A17D-5287-4BF3-BE35-E8222A5F5422}"/>
    <cellStyle name="Normální 6 2 2 2 2 2" xfId="78" xr:uid="{85DF5EC5-CC07-40CF-B637-F7A6DDE66B23}"/>
    <cellStyle name="Normální 6 3" xfId="58" xr:uid="{00000000-0005-0000-0000-00002B000000}"/>
    <cellStyle name="Normální 6 3 2" xfId="59" xr:uid="{00000000-0005-0000-0000-00002C000000}"/>
    <cellStyle name="Normální 6 3 2 2" xfId="62" xr:uid="{00000000-0005-0000-0000-00002D000000}"/>
    <cellStyle name="Normální 6 3 2 3" xfId="64" xr:uid="{00000000-0005-0000-0000-00002E000000}"/>
    <cellStyle name="Normální 6 3 3" xfId="63" xr:uid="{00000000-0005-0000-0000-00002F000000}"/>
    <cellStyle name="Normální 6 3 4" xfId="67" xr:uid="{599A6705-45E3-4F72-8ECF-8CE826AAF7BB}"/>
    <cellStyle name="Normální 6 3 4 2" xfId="73" xr:uid="{99050197-9413-4201-86D9-AAECD267F702}"/>
    <cellStyle name="Normální 6 3 4 2 2" xfId="77" xr:uid="{3E8BD71C-D6C5-49A3-86F0-75B296AA7100}"/>
    <cellStyle name="Normální 7" xfId="65" xr:uid="{9E7DB6FB-4C1D-4ED6-B264-95259FBE2035}"/>
    <cellStyle name="Normální 8" xfId="66" xr:uid="{FB0AF3BA-E015-424E-A45A-C9EA63B1A35F}"/>
    <cellStyle name="Normální 9" xfId="68" xr:uid="{117EABE7-3638-4C5B-BBAD-BDFD6F941C33}"/>
    <cellStyle name="normální_10_BILANCEE" xfId="1" xr:uid="{00000000-0005-0000-0000-000030000000}"/>
    <cellStyle name="normální_Akce EU - tabulka(tom)-final" xfId="56" xr:uid="{00000000-0005-0000-0000-000031000000}"/>
    <cellStyle name="normální_číselníky MSK" xfId="75" xr:uid="{B5ED49BC-245D-43B5-A0E3-1C5887D2117C}"/>
    <cellStyle name="normální_EU akce-upr 2" xfId="52" xr:uid="{00000000-0005-0000-0000-000033000000}"/>
    <cellStyle name="Poznámka 2" xfId="38" xr:uid="{00000000-0005-0000-0000-000035000000}"/>
    <cellStyle name="Prepojená bunka" xfId="39" xr:uid="{00000000-0005-0000-0000-000036000000}"/>
    <cellStyle name="Procenta 2" xfId="55" xr:uid="{00000000-0005-0000-0000-000037000000}"/>
    <cellStyle name="Spolu" xfId="40" xr:uid="{00000000-0005-0000-0000-000038000000}"/>
    <cellStyle name="Text upozornenia" xfId="41" xr:uid="{00000000-0005-0000-0000-000039000000}"/>
    <cellStyle name="Titul" xfId="42" xr:uid="{00000000-0005-0000-0000-00003A000000}"/>
    <cellStyle name="Vysvetľujúci text" xfId="43" xr:uid="{00000000-0005-0000-0000-00003B000000}"/>
    <cellStyle name="Zlá" xfId="44" xr:uid="{00000000-0005-0000-0000-00003C000000}"/>
    <cellStyle name="Zvýraznenie1" xfId="45" xr:uid="{00000000-0005-0000-0000-00003D000000}"/>
    <cellStyle name="Zvýraznenie2" xfId="46" xr:uid="{00000000-0005-0000-0000-00003E000000}"/>
    <cellStyle name="Zvýraznenie3" xfId="47" xr:uid="{00000000-0005-0000-0000-00003F000000}"/>
    <cellStyle name="Zvýraznenie4" xfId="48" xr:uid="{00000000-0005-0000-0000-000040000000}"/>
    <cellStyle name="Zvýraznenie5" xfId="49" xr:uid="{00000000-0005-0000-0000-000041000000}"/>
    <cellStyle name="Zvýraznenie6" xfId="50" xr:uid="{00000000-0005-0000-0000-000042000000}"/>
  </cellStyles>
  <dxfs count="118">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s>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cs-CZ"/>
              <a:t>Přehled splácení jistiny a úroků z úvěrů čerpaných Moravskoslezským krajem (v tis. Kč)</a:t>
            </a:r>
          </a:p>
        </c:rich>
      </c:tx>
      <c:layout>
        <c:manualLayout>
          <c:xMode val="edge"/>
          <c:yMode val="edge"/>
          <c:x val="0.15142679753705285"/>
          <c:y val="4.1666757172594791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cs-CZ"/>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1579881042189453E-2"/>
          <c:y val="0.10293673635623134"/>
          <c:w val="0.85522820309522629"/>
          <c:h val="0.82645415874739814"/>
        </c:manualLayout>
      </c:layout>
      <c:bar3DChart>
        <c:barDir val="col"/>
        <c:grouping val="stacked"/>
        <c:varyColors val="0"/>
        <c:ser>
          <c:idx val="0"/>
          <c:order val="0"/>
          <c:tx>
            <c:strRef>
              <c:f>'Tab. 7'!$R$5</c:f>
              <c:strCache>
                <c:ptCount val="1"/>
                <c:pt idx="0">
                  <c:v>splátka jistiny</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'Tab. 7'!$A$6:$A$18</c:f>
              <c:numCache>
                <c:formatCode>General</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'Tab. 7'!$R$6:$R$18</c:f>
              <c:numCache>
                <c:formatCode>#,##0</c:formatCode>
                <c:ptCount val="13"/>
                <c:pt idx="0">
                  <c:v>1394011.28571</c:v>
                </c:pt>
                <c:pt idx="1">
                  <c:v>1098429.28571</c:v>
                </c:pt>
                <c:pt idx="2">
                  <c:v>2157259.28571</c:v>
                </c:pt>
                <c:pt idx="3">
                  <c:v>2935540</c:v>
                </c:pt>
                <c:pt idx="4">
                  <c:v>300000</c:v>
                </c:pt>
                <c:pt idx="5">
                  <c:v>300000</c:v>
                </c:pt>
                <c:pt idx="6">
                  <c:v>300000</c:v>
                </c:pt>
                <c:pt idx="7">
                  <c:v>300000</c:v>
                </c:pt>
                <c:pt idx="8">
                  <c:v>300000</c:v>
                </c:pt>
                <c:pt idx="9">
                  <c:v>300000</c:v>
                </c:pt>
                <c:pt idx="10">
                  <c:v>300000</c:v>
                </c:pt>
                <c:pt idx="11">
                  <c:v>300000</c:v>
                </c:pt>
                <c:pt idx="12">
                  <c:v>300000</c:v>
                </c:pt>
              </c:numCache>
            </c:numRef>
          </c:val>
          <c:extLst>
            <c:ext xmlns:c16="http://schemas.microsoft.com/office/drawing/2014/chart" uri="{C3380CC4-5D6E-409C-BE32-E72D297353CC}">
              <c16:uniqueId val="{00000000-0B73-4984-8ED2-E3843A6D3A6F}"/>
            </c:ext>
          </c:extLst>
        </c:ser>
        <c:ser>
          <c:idx val="1"/>
          <c:order val="1"/>
          <c:tx>
            <c:strRef>
              <c:f>'Tab. 7'!$S$5</c:f>
              <c:strCache>
                <c:ptCount val="1"/>
                <c:pt idx="0">
                  <c:v>úrok</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'Tab. 7'!$A$6:$A$18</c:f>
              <c:numCache>
                <c:formatCode>General</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'Tab. 7'!$S$6:$S$18</c:f>
              <c:numCache>
                <c:formatCode>#,##0</c:formatCode>
                <c:ptCount val="13"/>
                <c:pt idx="0">
                  <c:v>250000</c:v>
                </c:pt>
                <c:pt idx="1">
                  <c:v>306000</c:v>
                </c:pt>
                <c:pt idx="2">
                  <c:v>320500</c:v>
                </c:pt>
                <c:pt idx="3">
                  <c:v>320000</c:v>
                </c:pt>
                <c:pt idx="4">
                  <c:v>200000</c:v>
                </c:pt>
                <c:pt idx="5">
                  <c:v>200000</c:v>
                </c:pt>
                <c:pt idx="6">
                  <c:v>130000</c:v>
                </c:pt>
                <c:pt idx="7">
                  <c:v>110000</c:v>
                </c:pt>
                <c:pt idx="8">
                  <c:v>90000</c:v>
                </c:pt>
                <c:pt idx="9">
                  <c:v>70000</c:v>
                </c:pt>
                <c:pt idx="10">
                  <c:v>50000</c:v>
                </c:pt>
                <c:pt idx="11">
                  <c:v>30000</c:v>
                </c:pt>
                <c:pt idx="12">
                  <c:v>10000</c:v>
                </c:pt>
              </c:numCache>
            </c:numRef>
          </c:val>
          <c:extLst>
            <c:ext xmlns:c16="http://schemas.microsoft.com/office/drawing/2014/chart" uri="{C3380CC4-5D6E-409C-BE32-E72D297353CC}">
              <c16:uniqueId val="{00000001-0B73-4984-8ED2-E3843A6D3A6F}"/>
            </c:ext>
          </c:extLst>
        </c:ser>
        <c:dLbls>
          <c:showLegendKey val="0"/>
          <c:showVal val="0"/>
          <c:showCatName val="0"/>
          <c:showSerName val="0"/>
          <c:showPercent val="0"/>
          <c:showBubbleSize val="0"/>
        </c:dLbls>
        <c:gapWidth val="150"/>
        <c:shape val="box"/>
        <c:axId val="673983648"/>
        <c:axId val="673989528"/>
        <c:axId val="0"/>
      </c:bar3DChart>
      <c:catAx>
        <c:axId val="67398364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673989528"/>
        <c:crosses val="autoZero"/>
        <c:auto val="1"/>
        <c:lblAlgn val="ctr"/>
        <c:lblOffset val="100"/>
        <c:noMultiLvlLbl val="0"/>
      </c:catAx>
      <c:valAx>
        <c:axId val="673989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673983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219073</xdr:colOff>
      <xdr:row>18</xdr:row>
      <xdr:rowOff>95250</xdr:rowOff>
    </xdr:from>
    <xdr:to>
      <xdr:col>18</xdr:col>
      <xdr:colOff>428624</xdr:colOff>
      <xdr:row>54</xdr:row>
      <xdr:rowOff>57150</xdr:rowOff>
    </xdr:to>
    <xdr:graphicFrame macro="">
      <xdr:nvGraphicFramePr>
        <xdr:cNvPr id="2" name="Graf 1">
          <a:extLst>
            <a:ext uri="{FF2B5EF4-FFF2-40B4-BE49-F238E27FC236}">
              <a16:creationId xmlns:a16="http://schemas.microsoft.com/office/drawing/2014/main" id="{A6504823-AEE7-4B06-8661-EDE4683B8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ankova2598/AppData/Local/Microsoft/Windows/INetCache/Content.Outlook/P53HJRV8/ORJ14_P&#345;ehled%20projekt&#367;%202014-2020_n&#225;vrh%202020_nov&#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skraj.sharepoint.com/Users/stankova2598/AppData/Local/Microsoft/Windows/INetCache/Content.Outlook/P53HJRV8/ORJ14_P&#345;ehled%20projekt&#367;%202014-2020_n&#225;vrh%202020_nov&#2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sheetData sheetId="4">
        <row r="31">
          <cell r="N31">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sheetData sheetId="4">
        <row r="31">
          <cell r="N31">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0"/>
  <sheetViews>
    <sheetView tabSelected="1" workbookViewId="0">
      <selection activeCell="F20" sqref="F20"/>
    </sheetView>
  </sheetViews>
  <sheetFormatPr defaultRowHeight="15.75" x14ac:dyDescent="0.25"/>
  <cols>
    <col min="1" max="1" width="15.85546875" style="32" customWidth="1"/>
    <col min="2" max="2" width="67.42578125" style="32" customWidth="1"/>
    <col min="3" max="3" width="5.7109375" style="113" customWidth="1"/>
    <col min="4" max="16384" width="9.140625" style="32"/>
  </cols>
  <sheetData>
    <row r="1" spans="1:4" ht="15" x14ac:dyDescent="0.2">
      <c r="A1" s="115"/>
      <c r="C1" s="109"/>
    </row>
    <row r="2" spans="1:4" x14ac:dyDescent="0.25">
      <c r="C2" s="110"/>
    </row>
    <row r="3" spans="1:4" ht="17.25" customHeight="1" x14ac:dyDescent="0.2">
      <c r="A3" s="625" t="s">
        <v>56</v>
      </c>
      <c r="B3" s="625"/>
      <c r="C3" s="36"/>
      <c r="D3" s="36"/>
    </row>
    <row r="4" spans="1:4" ht="19.5" customHeight="1" x14ac:dyDescent="0.2">
      <c r="A4" s="625" t="s">
        <v>992</v>
      </c>
      <c r="B4" s="625"/>
      <c r="C4" s="108"/>
      <c r="D4" s="36"/>
    </row>
    <row r="6" spans="1:4" ht="18" customHeight="1" x14ac:dyDescent="0.2">
      <c r="A6" s="626" t="s">
        <v>64</v>
      </c>
      <c r="B6" s="626"/>
      <c r="C6" s="108"/>
    </row>
    <row r="7" spans="1:4" ht="36.75" customHeight="1" x14ac:dyDescent="0.2">
      <c r="A7" s="68"/>
      <c r="B7" s="68"/>
      <c r="C7" s="108"/>
    </row>
    <row r="8" spans="1:4" s="108" customFormat="1" ht="21" customHeight="1" x14ac:dyDescent="0.2">
      <c r="A8" s="389" t="s">
        <v>214</v>
      </c>
      <c r="C8" s="390" t="s">
        <v>215</v>
      </c>
    </row>
    <row r="9" spans="1:4" s="108" customFormat="1" ht="15" customHeight="1" x14ac:dyDescent="0.2">
      <c r="A9" s="389"/>
      <c r="C9" s="390"/>
    </row>
    <row r="10" spans="1:4" ht="18" customHeight="1" x14ac:dyDescent="0.2">
      <c r="A10" s="391" t="s">
        <v>47</v>
      </c>
      <c r="B10" s="33" t="s">
        <v>993</v>
      </c>
      <c r="C10" s="111">
        <v>2</v>
      </c>
    </row>
    <row r="11" spans="1:4" ht="15" x14ac:dyDescent="0.2">
      <c r="A11" s="391"/>
      <c r="B11" s="33"/>
      <c r="C11" s="607"/>
    </row>
    <row r="12" spans="1:4" ht="18" customHeight="1" x14ac:dyDescent="0.2">
      <c r="A12" s="391" t="s">
        <v>57</v>
      </c>
      <c r="B12" s="33" t="s">
        <v>994</v>
      </c>
      <c r="C12" s="111">
        <v>4</v>
      </c>
    </row>
    <row r="13" spans="1:4" ht="15" x14ac:dyDescent="0.2">
      <c r="A13" s="391"/>
      <c r="B13" s="33"/>
      <c r="C13" s="607"/>
    </row>
    <row r="14" spans="1:4" ht="30" x14ac:dyDescent="0.2">
      <c r="A14" s="391" t="s">
        <v>58</v>
      </c>
      <c r="B14" s="33" t="s">
        <v>226</v>
      </c>
      <c r="C14" s="111">
        <v>7</v>
      </c>
    </row>
    <row r="15" spans="1:4" ht="15" x14ac:dyDescent="0.2">
      <c r="A15" s="391"/>
      <c r="B15" s="33"/>
      <c r="C15" s="607"/>
    </row>
    <row r="16" spans="1:4" ht="18" customHeight="1" x14ac:dyDescent="0.2">
      <c r="A16" s="391" t="s">
        <v>59</v>
      </c>
      <c r="B16" s="33" t="s">
        <v>220</v>
      </c>
      <c r="C16" s="111">
        <v>11</v>
      </c>
    </row>
    <row r="17" spans="1:3" ht="15" x14ac:dyDescent="0.2">
      <c r="A17" s="391"/>
      <c r="B17" s="33"/>
      <c r="C17" s="607"/>
    </row>
    <row r="18" spans="1:3" ht="18" customHeight="1" x14ac:dyDescent="0.2">
      <c r="A18" s="391" t="s">
        <v>60</v>
      </c>
      <c r="B18" s="33" t="s">
        <v>221</v>
      </c>
      <c r="C18" s="111">
        <v>15</v>
      </c>
    </row>
    <row r="19" spans="1:3" ht="15" x14ac:dyDescent="0.2">
      <c r="A19" s="391"/>
      <c r="B19" s="33"/>
      <c r="C19" s="607"/>
    </row>
    <row r="20" spans="1:3" ht="30" x14ac:dyDescent="0.2">
      <c r="A20" s="391" t="s">
        <v>61</v>
      </c>
      <c r="B20" s="33" t="s">
        <v>223</v>
      </c>
      <c r="C20" s="111">
        <v>36</v>
      </c>
    </row>
    <row r="21" spans="1:3" ht="15" x14ac:dyDescent="0.2">
      <c r="A21" s="391"/>
      <c r="B21" s="33"/>
      <c r="C21" s="607"/>
    </row>
    <row r="22" spans="1:3" ht="30" x14ac:dyDescent="0.2">
      <c r="A22" s="391" t="s">
        <v>62</v>
      </c>
      <c r="B22" s="33" t="s">
        <v>65</v>
      </c>
      <c r="C22" s="111">
        <v>40</v>
      </c>
    </row>
    <row r="23" spans="1:3" ht="15" x14ac:dyDescent="0.2">
      <c r="A23" s="391"/>
      <c r="B23" s="33"/>
      <c r="C23" s="111"/>
    </row>
    <row r="24" spans="1:3" ht="18" customHeight="1" x14ac:dyDescent="0.2">
      <c r="A24" s="391" t="s">
        <v>63</v>
      </c>
      <c r="B24" s="33" t="s">
        <v>538</v>
      </c>
      <c r="C24" s="111">
        <v>41</v>
      </c>
    </row>
    <row r="25" spans="1:3" ht="15" x14ac:dyDescent="0.2">
      <c r="A25" s="391"/>
      <c r="B25" s="33"/>
      <c r="C25" s="607"/>
    </row>
    <row r="26" spans="1:3" ht="18" customHeight="1" x14ac:dyDescent="0.2">
      <c r="A26" s="391" t="s">
        <v>537</v>
      </c>
      <c r="B26" s="33" t="s">
        <v>224</v>
      </c>
      <c r="C26" s="111">
        <v>44</v>
      </c>
    </row>
    <row r="27" spans="1:3" ht="15" x14ac:dyDescent="0.2">
      <c r="A27" s="35"/>
      <c r="B27" s="33"/>
      <c r="C27" s="111"/>
    </row>
    <row r="28" spans="1:3" ht="15" x14ac:dyDescent="0.2">
      <c r="A28" s="35"/>
      <c r="B28" s="34"/>
      <c r="C28" s="111"/>
    </row>
    <row r="29" spans="1:3" ht="15" x14ac:dyDescent="0.2">
      <c r="C29" s="307"/>
    </row>
    <row r="30" spans="1:3" ht="15" x14ac:dyDescent="0.2">
      <c r="C30" s="111"/>
    </row>
    <row r="31" spans="1:3" x14ac:dyDescent="0.25">
      <c r="C31" s="308"/>
    </row>
    <row r="32" spans="1:3" ht="15" x14ac:dyDescent="0.2">
      <c r="C32" s="111"/>
    </row>
    <row r="33" spans="3:3" x14ac:dyDescent="0.25">
      <c r="C33" s="112"/>
    </row>
    <row r="34" spans="3:3" ht="15" x14ac:dyDescent="0.2">
      <c r="C34" s="111"/>
    </row>
    <row r="35" spans="3:3" x14ac:dyDescent="0.25">
      <c r="C35" s="112"/>
    </row>
    <row r="36" spans="3:3" ht="15" x14ac:dyDescent="0.2">
      <c r="C36" s="111"/>
    </row>
    <row r="37" spans="3:3" x14ac:dyDescent="0.25">
      <c r="C37" s="112"/>
    </row>
    <row r="38" spans="3:3" ht="15" x14ac:dyDescent="0.2">
      <c r="C38" s="111"/>
    </row>
    <row r="39" spans="3:3" x14ac:dyDescent="0.25">
      <c r="C39" s="112"/>
    </row>
    <row r="40" spans="3:3" ht="15" x14ac:dyDescent="0.2">
      <c r="C40" s="111"/>
    </row>
  </sheetData>
  <mergeCells count="3">
    <mergeCell ref="A4:B4"/>
    <mergeCell ref="A3:B3"/>
    <mergeCell ref="A6:B6"/>
  </mergeCells>
  <pageMargins left="0.70866141732283472" right="0.70866141732283472" top="0.78740157480314965" bottom="0.78740157480314965"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719EC-B7B0-496E-AD62-29FECDCA932E}">
  <sheetPr>
    <pageSetUpPr fitToPage="1"/>
  </sheetPr>
  <dimension ref="A1:L91"/>
  <sheetViews>
    <sheetView zoomScaleNormal="100" zoomScaleSheetLayoutView="100" workbookViewId="0">
      <pane ySplit="5" topLeftCell="A6" activePane="bottomLeft" state="frozen"/>
      <selection activeCell="F20" sqref="F20"/>
      <selection pane="bottomLeft" activeCell="I6" sqref="I6"/>
    </sheetView>
  </sheetViews>
  <sheetFormatPr defaultColWidth="9.140625" defaultRowHeight="12.75" x14ac:dyDescent="0.2"/>
  <cols>
    <col min="1" max="1" width="50.7109375" style="552" customWidth="1"/>
    <col min="2" max="2" width="7.7109375" style="553" hidden="1" customWidth="1"/>
    <col min="3" max="3" width="7.7109375" style="554" hidden="1" customWidth="1"/>
    <col min="4" max="7" width="12.7109375" style="555" customWidth="1"/>
    <col min="8" max="8" width="14.140625" style="555" customWidth="1"/>
    <col min="9" max="16384" width="9.140625" style="552"/>
  </cols>
  <sheetData>
    <row r="1" spans="1:12" ht="15" customHeight="1" x14ac:dyDescent="0.2">
      <c r="A1" s="552" t="s">
        <v>63</v>
      </c>
    </row>
    <row r="2" spans="1:12" s="341" customFormat="1" ht="23.25" customHeight="1" x14ac:dyDescent="0.2">
      <c r="A2" s="734" t="s">
        <v>503</v>
      </c>
      <c r="B2" s="734"/>
      <c r="C2" s="734"/>
      <c r="D2" s="734"/>
      <c r="E2" s="734"/>
      <c r="F2" s="734"/>
      <c r="G2" s="734"/>
      <c r="H2" s="734"/>
    </row>
    <row r="3" spans="1:12" ht="13.5" thickBot="1" x14ac:dyDescent="0.25">
      <c r="A3" s="556"/>
      <c r="D3" s="556"/>
      <c r="E3" s="556"/>
      <c r="F3" s="556"/>
      <c r="G3" s="556"/>
      <c r="H3" s="557" t="s">
        <v>98</v>
      </c>
    </row>
    <row r="4" spans="1:12" ht="24.6" customHeight="1" x14ac:dyDescent="0.2">
      <c r="A4" s="735" t="s">
        <v>136</v>
      </c>
      <c r="B4" s="558"/>
      <c r="C4" s="558"/>
      <c r="D4" s="737" t="s">
        <v>614</v>
      </c>
      <c r="E4" s="738"/>
      <c r="F4" s="738"/>
      <c r="G4" s="739"/>
      <c r="H4" s="740" t="s">
        <v>130</v>
      </c>
    </row>
    <row r="5" spans="1:12" ht="24.6" customHeight="1" thickBot="1" x14ac:dyDescent="0.25">
      <c r="A5" s="736"/>
      <c r="B5" s="559" t="s">
        <v>901</v>
      </c>
      <c r="C5" s="559" t="s">
        <v>902</v>
      </c>
      <c r="D5" s="560">
        <v>2021</v>
      </c>
      <c r="E5" s="561">
        <v>2022</v>
      </c>
      <c r="F5" s="342">
        <v>2023</v>
      </c>
      <c r="G5" s="562">
        <v>2024</v>
      </c>
      <c r="H5" s="741"/>
    </row>
    <row r="6" spans="1:12" s="563" customFormat="1" ht="21" customHeight="1" x14ac:dyDescent="0.2">
      <c r="A6" s="742" t="s">
        <v>504</v>
      </c>
      <c r="B6" s="743"/>
      <c r="C6" s="743"/>
      <c r="D6" s="743"/>
      <c r="E6" s="743"/>
      <c r="F6" s="743"/>
      <c r="G6" s="743"/>
      <c r="H6" s="744"/>
    </row>
    <row r="7" spans="1:12" s="564" customFormat="1" ht="18" customHeight="1" x14ac:dyDescent="0.2">
      <c r="A7" s="731" t="s">
        <v>103</v>
      </c>
      <c r="B7" s="732"/>
      <c r="C7" s="732"/>
      <c r="D7" s="732"/>
      <c r="E7" s="732"/>
      <c r="F7" s="732"/>
      <c r="G7" s="732"/>
      <c r="H7" s="733"/>
    </row>
    <row r="8" spans="1:12" s="569" customFormat="1" ht="15" customHeight="1" x14ac:dyDescent="0.2">
      <c r="A8" s="592" t="s">
        <v>646</v>
      </c>
      <c r="B8" s="593" t="s">
        <v>903</v>
      </c>
      <c r="C8" s="594" t="s">
        <v>904</v>
      </c>
      <c r="D8" s="595">
        <v>0</v>
      </c>
      <c r="E8" s="595">
        <v>0</v>
      </c>
      <c r="F8" s="595">
        <v>4750</v>
      </c>
      <c r="G8" s="595">
        <v>55250</v>
      </c>
      <c r="H8" s="568">
        <f>D8+E8+F8+G8</f>
        <v>60000</v>
      </c>
      <c r="J8" s="570"/>
      <c r="K8" s="570"/>
      <c r="L8" s="570"/>
    </row>
    <row r="9" spans="1:12" s="563" customFormat="1" ht="15" customHeight="1" x14ac:dyDescent="0.2">
      <c r="A9" s="343" t="s">
        <v>107</v>
      </c>
      <c r="B9" s="571"/>
      <c r="C9" s="572"/>
      <c r="D9" s="344">
        <f>SUM(D8:D8)</f>
        <v>0</v>
      </c>
      <c r="E9" s="344">
        <f>SUM(E8:E8)</f>
        <v>0</v>
      </c>
      <c r="F9" s="344">
        <f>SUM(F8:F8)</f>
        <v>4750</v>
      </c>
      <c r="G9" s="344">
        <f>SUM(G8:G8)</f>
        <v>55250</v>
      </c>
      <c r="H9" s="345">
        <f>SUM(H8:H8)</f>
        <v>60000</v>
      </c>
      <c r="J9" s="570"/>
      <c r="K9" s="570"/>
    </row>
    <row r="10" spans="1:12" s="564" customFormat="1" ht="18" customHeight="1" x14ac:dyDescent="0.2">
      <c r="A10" s="731" t="s">
        <v>112</v>
      </c>
      <c r="B10" s="732"/>
      <c r="C10" s="732"/>
      <c r="D10" s="732"/>
      <c r="E10" s="732"/>
      <c r="F10" s="732"/>
      <c r="G10" s="732"/>
      <c r="H10" s="733"/>
    </row>
    <row r="11" spans="1:12" s="569" customFormat="1" ht="15" customHeight="1" x14ac:dyDescent="0.2">
      <c r="A11" s="573" t="s">
        <v>238</v>
      </c>
      <c r="B11" s="565">
        <v>3402</v>
      </c>
      <c r="C11" s="566" t="s">
        <v>904</v>
      </c>
      <c r="D11" s="567">
        <v>5576.1411900000003</v>
      </c>
      <c r="E11" s="567">
        <v>63440.160000000003</v>
      </c>
      <c r="F11" s="567">
        <f>90944+36910+1844</f>
        <v>129698</v>
      </c>
      <c r="G11" s="567">
        <v>0</v>
      </c>
      <c r="H11" s="568">
        <f>D11+E11+F11+G11</f>
        <v>198714.30119</v>
      </c>
      <c r="J11" s="570"/>
      <c r="K11" s="570"/>
      <c r="L11" s="570"/>
    </row>
    <row r="12" spans="1:12" s="569" customFormat="1" ht="24" customHeight="1" x14ac:dyDescent="0.2">
      <c r="A12" s="574" t="s">
        <v>262</v>
      </c>
      <c r="B12" s="565" t="s">
        <v>905</v>
      </c>
      <c r="C12" s="566" t="s">
        <v>904</v>
      </c>
      <c r="D12" s="567">
        <v>3541.7672600000001</v>
      </c>
      <c r="E12" s="567">
        <v>26967.23</v>
      </c>
      <c r="F12" s="567">
        <v>19995</v>
      </c>
      <c r="G12" s="567">
        <v>0</v>
      </c>
      <c r="H12" s="568">
        <f>D12+E12+F12+G12</f>
        <v>50503.997260000004</v>
      </c>
      <c r="J12" s="570"/>
      <c r="K12" s="570"/>
    </row>
    <row r="13" spans="1:12" s="563" customFormat="1" ht="15" customHeight="1" x14ac:dyDescent="0.2">
      <c r="A13" s="343" t="s">
        <v>118</v>
      </c>
      <c r="B13" s="571"/>
      <c r="C13" s="572"/>
      <c r="D13" s="344">
        <f t="shared" ref="D13" si="0">SUM(D11:D12)</f>
        <v>9117.9084500000008</v>
      </c>
      <c r="E13" s="344">
        <f t="shared" ref="E13:G13" si="1">SUM(E11:E12)</f>
        <v>90407.39</v>
      </c>
      <c r="F13" s="344">
        <f t="shared" si="1"/>
        <v>149693</v>
      </c>
      <c r="G13" s="344">
        <f t="shared" si="1"/>
        <v>0</v>
      </c>
      <c r="H13" s="345">
        <f>SUM(H11:H12)</f>
        <v>249218.29845</v>
      </c>
      <c r="J13" s="570"/>
      <c r="K13" s="570"/>
    </row>
    <row r="14" spans="1:12" s="564" customFormat="1" ht="18" customHeight="1" x14ac:dyDescent="0.2">
      <c r="A14" s="731" t="s">
        <v>119</v>
      </c>
      <c r="B14" s="732"/>
      <c r="C14" s="732"/>
      <c r="D14" s="732"/>
      <c r="E14" s="732"/>
      <c r="F14" s="732"/>
      <c r="G14" s="732"/>
      <c r="H14" s="733"/>
      <c r="J14" s="570"/>
      <c r="K14" s="570"/>
    </row>
    <row r="15" spans="1:12" s="569" customFormat="1" ht="15" customHeight="1" x14ac:dyDescent="0.2">
      <c r="A15" s="574" t="s">
        <v>268</v>
      </c>
      <c r="B15" s="565" t="s">
        <v>906</v>
      </c>
      <c r="C15" s="566" t="s">
        <v>904</v>
      </c>
      <c r="D15" s="567">
        <v>0</v>
      </c>
      <c r="E15" s="567">
        <v>16017</v>
      </c>
      <c r="F15" s="567">
        <v>10793</v>
      </c>
      <c r="G15" s="575">
        <v>0</v>
      </c>
      <c r="H15" s="568">
        <f>D15+E15+F15+G15</f>
        <v>26810</v>
      </c>
      <c r="J15" s="570"/>
      <c r="K15" s="570"/>
      <c r="L15" s="570"/>
    </row>
    <row r="16" spans="1:12" s="569" customFormat="1" ht="15" customHeight="1" x14ac:dyDescent="0.2">
      <c r="A16" s="574" t="s">
        <v>270</v>
      </c>
      <c r="B16" s="565" t="s">
        <v>907</v>
      </c>
      <c r="C16" s="566" t="s">
        <v>904</v>
      </c>
      <c r="D16" s="567">
        <v>0</v>
      </c>
      <c r="E16" s="567">
        <v>8963</v>
      </c>
      <c r="F16" s="567">
        <v>2000</v>
      </c>
      <c r="G16" s="575">
        <v>0</v>
      </c>
      <c r="H16" s="568">
        <f>D16+E16+F16+G16</f>
        <v>10963</v>
      </c>
      <c r="J16" s="570"/>
      <c r="K16" s="570"/>
      <c r="L16" s="570"/>
    </row>
    <row r="17" spans="1:12" s="569" customFormat="1" ht="15" customHeight="1" x14ac:dyDescent="0.2">
      <c r="A17" s="574" t="s">
        <v>269</v>
      </c>
      <c r="B17" s="565" t="s">
        <v>908</v>
      </c>
      <c r="C17" s="566" t="s">
        <v>904</v>
      </c>
      <c r="D17" s="567">
        <v>0</v>
      </c>
      <c r="E17" s="567">
        <v>16262</v>
      </c>
      <c r="F17" s="567">
        <v>5000</v>
      </c>
      <c r="G17" s="575">
        <v>0</v>
      </c>
      <c r="H17" s="568">
        <f>D17+E17+F17+G17</f>
        <v>21262</v>
      </c>
      <c r="J17" s="570"/>
      <c r="K17" s="570"/>
      <c r="L17" s="570"/>
    </row>
    <row r="18" spans="1:12" s="569" customFormat="1" ht="15" customHeight="1" x14ac:dyDescent="0.2">
      <c r="A18" s="574" t="s">
        <v>362</v>
      </c>
      <c r="B18" s="565" t="s">
        <v>909</v>
      </c>
      <c r="C18" s="566" t="s">
        <v>904</v>
      </c>
      <c r="D18" s="567">
        <v>0</v>
      </c>
      <c r="E18" s="567">
        <v>9282</v>
      </c>
      <c r="F18" s="567">
        <v>41560</v>
      </c>
      <c r="G18" s="575">
        <v>0</v>
      </c>
      <c r="H18" s="568">
        <f>D18+E18+F18+G18</f>
        <v>50842</v>
      </c>
      <c r="J18" s="570"/>
      <c r="K18" s="570"/>
      <c r="L18" s="570"/>
    </row>
    <row r="19" spans="1:12" s="563" customFormat="1" ht="15" customHeight="1" x14ac:dyDescent="0.2">
      <c r="A19" s="343" t="s">
        <v>120</v>
      </c>
      <c r="B19" s="571"/>
      <c r="C19" s="572"/>
      <c r="D19" s="344">
        <f>SUM(D15:D18)</f>
        <v>0</v>
      </c>
      <c r="E19" s="344">
        <f t="shared" ref="E19:G19" si="2">SUM(E15:E18)</f>
        <v>50524</v>
      </c>
      <c r="F19" s="344">
        <f t="shared" si="2"/>
        <v>59353</v>
      </c>
      <c r="G19" s="344">
        <f t="shared" si="2"/>
        <v>0</v>
      </c>
      <c r="H19" s="345">
        <f>SUM(H15:H18)</f>
        <v>109877</v>
      </c>
      <c r="J19" s="570"/>
      <c r="K19" s="570"/>
    </row>
    <row r="20" spans="1:12" s="564" customFormat="1" ht="18" customHeight="1" x14ac:dyDescent="0.2">
      <c r="A20" s="731" t="s">
        <v>331</v>
      </c>
      <c r="B20" s="732"/>
      <c r="C20" s="732"/>
      <c r="D20" s="732"/>
      <c r="E20" s="732"/>
      <c r="F20" s="732"/>
      <c r="G20" s="732"/>
      <c r="H20" s="733"/>
      <c r="J20" s="570"/>
      <c r="K20" s="570"/>
    </row>
    <row r="21" spans="1:12" s="569" customFormat="1" ht="15" customHeight="1" x14ac:dyDescent="0.2">
      <c r="A21" s="574" t="s">
        <v>505</v>
      </c>
      <c r="B21" s="565" t="s">
        <v>370</v>
      </c>
      <c r="C21" s="566" t="s">
        <v>904</v>
      </c>
      <c r="D21" s="567">
        <v>0</v>
      </c>
      <c r="E21" s="567">
        <v>8443</v>
      </c>
      <c r="F21" s="567">
        <v>25926</v>
      </c>
      <c r="G21" s="575">
        <v>0</v>
      </c>
      <c r="H21" s="568">
        <f>E21+F21+G21</f>
        <v>34369</v>
      </c>
      <c r="J21" s="570"/>
      <c r="K21" s="570"/>
    </row>
    <row r="22" spans="1:12" s="563" customFormat="1" ht="21.75" thickBot="1" x14ac:dyDescent="0.25">
      <c r="A22" s="343" t="s">
        <v>434</v>
      </c>
      <c r="B22" s="571"/>
      <c r="C22" s="572"/>
      <c r="D22" s="344">
        <f t="shared" ref="D22" si="3">SUM(D21:D21)</f>
        <v>0</v>
      </c>
      <c r="E22" s="344">
        <f>SUM(E21:E21)</f>
        <v>8443</v>
      </c>
      <c r="F22" s="344">
        <f t="shared" ref="F22:G22" si="4">SUM(F21:F21)</f>
        <v>25926</v>
      </c>
      <c r="G22" s="344">
        <f t="shared" si="4"/>
        <v>0</v>
      </c>
      <c r="H22" s="568">
        <f>E22+F22+G22</f>
        <v>34369</v>
      </c>
    </row>
    <row r="23" spans="1:12" s="563" customFormat="1" ht="25.5" customHeight="1" thickBot="1" x14ac:dyDescent="0.25">
      <c r="A23" s="346" t="s">
        <v>506</v>
      </c>
      <c r="B23" s="576"/>
      <c r="C23" s="577"/>
      <c r="D23" s="347">
        <f>D9+D13+D19+D22</f>
        <v>9117.9084500000008</v>
      </c>
      <c r="E23" s="347">
        <f t="shared" ref="E23:H23" si="5">E9+E13+E19+E22</f>
        <v>149374.39000000001</v>
      </c>
      <c r="F23" s="347">
        <f t="shared" si="5"/>
        <v>239722</v>
      </c>
      <c r="G23" s="347">
        <f t="shared" si="5"/>
        <v>55250</v>
      </c>
      <c r="H23" s="348">
        <f t="shared" si="5"/>
        <v>453464.29845</v>
      </c>
      <c r="J23" s="578"/>
    </row>
    <row r="24" spans="1:12" s="563" customFormat="1" ht="12" customHeight="1" thickBot="1" x14ac:dyDescent="0.25">
      <c r="A24" s="349"/>
      <c r="B24" s="579"/>
      <c r="C24" s="580"/>
      <c r="D24" s="581"/>
      <c r="E24" s="581"/>
      <c r="F24" s="581"/>
      <c r="G24" s="581"/>
      <c r="H24" s="350"/>
    </row>
    <row r="25" spans="1:12" s="563" customFormat="1" ht="21" customHeight="1" x14ac:dyDescent="0.2">
      <c r="A25" s="742" t="s">
        <v>507</v>
      </c>
      <c r="B25" s="743"/>
      <c r="C25" s="743"/>
      <c r="D25" s="743"/>
      <c r="E25" s="743"/>
      <c r="F25" s="743"/>
      <c r="G25" s="743"/>
      <c r="H25" s="744"/>
    </row>
    <row r="26" spans="1:12" s="564" customFormat="1" ht="18" customHeight="1" x14ac:dyDescent="0.2">
      <c r="A26" s="731" t="s">
        <v>382</v>
      </c>
      <c r="B26" s="732"/>
      <c r="C26" s="732"/>
      <c r="D26" s="732"/>
      <c r="E26" s="732"/>
      <c r="F26" s="732"/>
      <c r="G26" s="732"/>
      <c r="H26" s="733"/>
    </row>
    <row r="27" spans="1:12" s="569" customFormat="1" ht="24" customHeight="1" x14ac:dyDescent="0.2">
      <c r="A27" s="574" t="s">
        <v>510</v>
      </c>
      <c r="B27" s="565" t="s">
        <v>910</v>
      </c>
      <c r="C27" s="566" t="s">
        <v>911</v>
      </c>
      <c r="D27" s="351">
        <v>0</v>
      </c>
      <c r="E27" s="582">
        <v>40000</v>
      </c>
      <c r="F27" s="582">
        <v>52000</v>
      </c>
      <c r="G27" s="351">
        <v>0</v>
      </c>
      <c r="H27" s="568">
        <f>D27+E27+F27+G27</f>
        <v>92000</v>
      </c>
    </row>
    <row r="28" spans="1:12" s="569" customFormat="1" ht="24" customHeight="1" x14ac:dyDescent="0.2">
      <c r="A28" s="574" t="s">
        <v>511</v>
      </c>
      <c r="B28" s="565" t="s">
        <v>912</v>
      </c>
      <c r="C28" s="566" t="s">
        <v>911</v>
      </c>
      <c r="D28" s="351">
        <v>0</v>
      </c>
      <c r="E28" s="582">
        <v>60000</v>
      </c>
      <c r="F28" s="582">
        <v>0</v>
      </c>
      <c r="G28" s="351">
        <v>0</v>
      </c>
      <c r="H28" s="568">
        <f>D28+E28+F28+G28</f>
        <v>60000</v>
      </c>
    </row>
    <row r="29" spans="1:12" s="569" customFormat="1" ht="15" customHeight="1" x14ac:dyDescent="0.2">
      <c r="A29" s="574" t="s">
        <v>509</v>
      </c>
      <c r="B29" s="565" t="s">
        <v>913</v>
      </c>
      <c r="C29" s="566" t="s">
        <v>914</v>
      </c>
      <c r="D29" s="351">
        <v>0</v>
      </c>
      <c r="E29" s="582">
        <v>300</v>
      </c>
      <c r="F29" s="351">
        <v>75000</v>
      </c>
      <c r="G29" s="351">
        <v>15000</v>
      </c>
      <c r="H29" s="568">
        <f>D29+E29+F29+G29</f>
        <v>90300</v>
      </c>
    </row>
    <row r="30" spans="1:12" s="569" customFormat="1" ht="15" customHeight="1" x14ac:dyDescent="0.2">
      <c r="A30" s="573" t="s">
        <v>508</v>
      </c>
      <c r="B30" s="565" t="s">
        <v>915</v>
      </c>
      <c r="C30" s="566" t="s">
        <v>914</v>
      </c>
      <c r="D30" s="351">
        <v>0</v>
      </c>
      <c r="E30" s="582">
        <f>30807-29500</f>
        <v>1307</v>
      </c>
      <c r="F30" s="351">
        <f>277178+30993-52000</f>
        <v>256171</v>
      </c>
      <c r="G30" s="351">
        <v>0</v>
      </c>
      <c r="H30" s="568">
        <f>D30+E30+F30+G30</f>
        <v>257478</v>
      </c>
    </row>
    <row r="31" spans="1:12" s="569" customFormat="1" ht="24" customHeight="1" x14ac:dyDescent="0.2">
      <c r="A31" s="573" t="s">
        <v>438</v>
      </c>
      <c r="B31" s="565" t="s">
        <v>916</v>
      </c>
      <c r="C31" s="566" t="s">
        <v>914</v>
      </c>
      <c r="D31" s="351">
        <v>0</v>
      </c>
      <c r="E31" s="582">
        <v>31298</v>
      </c>
      <c r="F31" s="351">
        <v>29000</v>
      </c>
      <c r="G31" s="351">
        <v>2702</v>
      </c>
      <c r="H31" s="568">
        <f>D31+E31+F31+G31</f>
        <v>63000</v>
      </c>
    </row>
    <row r="32" spans="1:12" s="563" customFormat="1" ht="15" customHeight="1" x14ac:dyDescent="0.2">
      <c r="A32" s="343" t="s">
        <v>449</v>
      </c>
      <c r="B32" s="571"/>
      <c r="C32" s="572"/>
      <c r="D32" s="344">
        <f>SUM(D27:D31)</f>
        <v>0</v>
      </c>
      <c r="E32" s="344">
        <f>SUM(E27:E31)</f>
        <v>132905</v>
      </c>
      <c r="F32" s="344">
        <f t="shared" ref="F32:G32" si="6">SUM(F27:F31)</f>
        <v>412171</v>
      </c>
      <c r="G32" s="344">
        <f t="shared" si="6"/>
        <v>17702</v>
      </c>
      <c r="H32" s="345">
        <f>SUM(H27:H31)</f>
        <v>562778</v>
      </c>
      <c r="I32" s="578"/>
      <c r="J32" s="578"/>
    </row>
    <row r="33" spans="1:12" s="564" customFormat="1" ht="18" customHeight="1" x14ac:dyDescent="0.2">
      <c r="A33" s="731" t="s">
        <v>103</v>
      </c>
      <c r="B33" s="732"/>
      <c r="C33" s="732"/>
      <c r="D33" s="732"/>
      <c r="E33" s="732"/>
      <c r="F33" s="732"/>
      <c r="G33" s="732"/>
      <c r="H33" s="733"/>
    </row>
    <row r="34" spans="1:12" s="569" customFormat="1" ht="24" customHeight="1" x14ac:dyDescent="0.2">
      <c r="A34" s="352" t="s">
        <v>441</v>
      </c>
      <c r="B34" s="583" t="s">
        <v>917</v>
      </c>
      <c r="C34" s="566" t="s">
        <v>914</v>
      </c>
      <c r="D34" s="351">
        <v>375.1</v>
      </c>
      <c r="E34" s="582">
        <f>5000-5000</f>
        <v>0</v>
      </c>
      <c r="F34" s="596">
        <f>60000-60000</f>
        <v>0</v>
      </c>
      <c r="G34" s="596">
        <f>39557-39557</f>
        <v>0</v>
      </c>
      <c r="H34" s="568">
        <f>D34+E34+F34+G34</f>
        <v>375.1</v>
      </c>
    </row>
    <row r="35" spans="1:12" s="569" customFormat="1" ht="24" customHeight="1" x14ac:dyDescent="0.2">
      <c r="A35" s="352" t="s">
        <v>440</v>
      </c>
      <c r="B35" s="583" t="s">
        <v>918</v>
      </c>
      <c r="C35" s="566" t="s">
        <v>914</v>
      </c>
      <c r="D35" s="351">
        <v>615</v>
      </c>
      <c r="E35" s="582">
        <f>40400-40300</f>
        <v>100</v>
      </c>
      <c r="F35" s="582">
        <f>10000+40300</f>
        <v>50300</v>
      </c>
      <c r="G35" s="582">
        <v>0</v>
      </c>
      <c r="H35" s="568">
        <f>D35+E35+F35+G35</f>
        <v>51015</v>
      </c>
    </row>
    <row r="36" spans="1:12" s="563" customFormat="1" ht="15" customHeight="1" x14ac:dyDescent="0.2">
      <c r="A36" s="343" t="s">
        <v>107</v>
      </c>
      <c r="B36" s="571"/>
      <c r="C36" s="572"/>
      <c r="D36" s="344">
        <f t="shared" ref="D36:F36" si="7">SUM(D34:D35)</f>
        <v>990.1</v>
      </c>
      <c r="E36" s="344">
        <f>SUM(E34:E35)</f>
        <v>100</v>
      </c>
      <c r="F36" s="344">
        <f t="shared" si="7"/>
        <v>50300</v>
      </c>
      <c r="G36" s="344">
        <f>SUM(G34:G35)</f>
        <v>0</v>
      </c>
      <c r="H36" s="345">
        <f>SUM(H34:H35)</f>
        <v>51390.1</v>
      </c>
      <c r="I36" s="578"/>
    </row>
    <row r="37" spans="1:12" s="564" customFormat="1" ht="18" customHeight="1" x14ac:dyDescent="0.2">
      <c r="A37" s="731" t="s">
        <v>112</v>
      </c>
      <c r="B37" s="732"/>
      <c r="C37" s="732"/>
      <c r="D37" s="732"/>
      <c r="E37" s="732"/>
      <c r="F37" s="732"/>
      <c r="G37" s="732"/>
      <c r="H37" s="733"/>
    </row>
    <row r="38" spans="1:12" s="569" customFormat="1" ht="24" customHeight="1" x14ac:dyDescent="0.2">
      <c r="A38" s="574" t="s">
        <v>514</v>
      </c>
      <c r="B38" s="565" t="s">
        <v>919</v>
      </c>
      <c r="C38" s="566" t="s">
        <v>914</v>
      </c>
      <c r="D38" s="351">
        <v>11814</v>
      </c>
      <c r="E38" s="582">
        <v>0</v>
      </c>
      <c r="F38" s="582">
        <v>0</v>
      </c>
      <c r="G38" s="582">
        <v>0</v>
      </c>
      <c r="H38" s="568">
        <f t="shared" ref="H38:H43" si="8">D38+E38+F38+G38</f>
        <v>11814</v>
      </c>
    </row>
    <row r="39" spans="1:12" s="569" customFormat="1" ht="24" customHeight="1" x14ac:dyDescent="0.2">
      <c r="A39" s="353" t="s">
        <v>515</v>
      </c>
      <c r="B39" s="584" t="s">
        <v>920</v>
      </c>
      <c r="C39" s="566" t="s">
        <v>914</v>
      </c>
      <c r="D39" s="351">
        <v>6329.88</v>
      </c>
      <c r="E39" s="582">
        <v>0</v>
      </c>
      <c r="F39" s="582">
        <v>0</v>
      </c>
      <c r="G39" s="582">
        <v>0</v>
      </c>
      <c r="H39" s="568">
        <f t="shared" si="8"/>
        <v>6329.88</v>
      </c>
    </row>
    <row r="40" spans="1:12" s="569" customFormat="1" ht="24" customHeight="1" x14ac:dyDescent="0.2">
      <c r="A40" s="353" t="s">
        <v>516</v>
      </c>
      <c r="B40" s="584" t="s">
        <v>921</v>
      </c>
      <c r="C40" s="566" t="s">
        <v>914</v>
      </c>
      <c r="D40" s="351">
        <v>12143.58</v>
      </c>
      <c r="E40" s="582">
        <v>1042.1199999999999</v>
      </c>
      <c r="F40" s="582">
        <v>0</v>
      </c>
      <c r="G40" s="582">
        <v>0</v>
      </c>
      <c r="H40" s="568">
        <f t="shared" si="8"/>
        <v>13185.7</v>
      </c>
    </row>
    <row r="41" spans="1:12" s="569" customFormat="1" ht="24" customHeight="1" x14ac:dyDescent="0.2">
      <c r="A41" s="353" t="s">
        <v>513</v>
      </c>
      <c r="B41" s="584" t="s">
        <v>922</v>
      </c>
      <c r="C41" s="566" t="s">
        <v>914</v>
      </c>
      <c r="D41" s="351">
        <v>10650</v>
      </c>
      <c r="E41" s="582">
        <f>5700-2850</f>
        <v>2850</v>
      </c>
      <c r="F41" s="582">
        <v>0</v>
      </c>
      <c r="G41" s="582">
        <v>0</v>
      </c>
      <c r="H41" s="568">
        <f t="shared" si="8"/>
        <v>13500</v>
      </c>
    </row>
    <row r="42" spans="1:12" s="569" customFormat="1" ht="24" customHeight="1" x14ac:dyDescent="0.2">
      <c r="A42" s="574" t="s">
        <v>512</v>
      </c>
      <c r="B42" s="565" t="s">
        <v>923</v>
      </c>
      <c r="C42" s="566" t="s">
        <v>904</v>
      </c>
      <c r="D42" s="351">
        <v>0</v>
      </c>
      <c r="E42" s="582">
        <v>11386</v>
      </c>
      <c r="F42" s="582">
        <v>106106</v>
      </c>
      <c r="G42" s="582">
        <v>0</v>
      </c>
      <c r="H42" s="568">
        <f t="shared" si="8"/>
        <v>117492</v>
      </c>
      <c r="J42" s="570"/>
      <c r="K42" s="570"/>
      <c r="L42" s="570"/>
    </row>
    <row r="43" spans="1:12" s="569" customFormat="1" ht="15" customHeight="1" x14ac:dyDescent="0.2">
      <c r="A43" s="353" t="s">
        <v>142</v>
      </c>
      <c r="B43" s="584" t="s">
        <v>924</v>
      </c>
      <c r="C43" s="585" t="s">
        <v>904</v>
      </c>
      <c r="D43" s="351">
        <v>1446.18</v>
      </c>
      <c r="E43" s="582">
        <v>85786.85</v>
      </c>
      <c r="F43" s="582">
        <v>169013</v>
      </c>
      <c r="G43" s="582">
        <v>0</v>
      </c>
      <c r="H43" s="568">
        <f t="shared" si="8"/>
        <v>256246.03</v>
      </c>
      <c r="J43" s="570"/>
      <c r="K43" s="570"/>
      <c r="L43" s="570"/>
    </row>
    <row r="44" spans="1:12" s="563" customFormat="1" ht="15" customHeight="1" x14ac:dyDescent="0.2">
      <c r="A44" s="343" t="s">
        <v>118</v>
      </c>
      <c r="B44" s="571"/>
      <c r="C44" s="572"/>
      <c r="D44" s="344">
        <f>SUM(D38:D43)</f>
        <v>42383.64</v>
      </c>
      <c r="E44" s="344">
        <f>SUM(E38:E43)</f>
        <v>101064.97</v>
      </c>
      <c r="F44" s="344">
        <f>SUM(F38:F43)</f>
        <v>275119</v>
      </c>
      <c r="G44" s="344">
        <f t="shared" ref="G44" si="9">SUM(G38:G43)</f>
        <v>0</v>
      </c>
      <c r="H44" s="345">
        <f>SUM(H38:H43)</f>
        <v>418567.61</v>
      </c>
    </row>
    <row r="45" spans="1:12" s="564" customFormat="1" ht="18" customHeight="1" x14ac:dyDescent="0.2">
      <c r="A45" s="731" t="s">
        <v>119</v>
      </c>
      <c r="B45" s="732"/>
      <c r="C45" s="732"/>
      <c r="D45" s="732"/>
      <c r="E45" s="732"/>
      <c r="F45" s="732"/>
      <c r="G45" s="732"/>
      <c r="H45" s="733"/>
      <c r="L45" s="586"/>
    </row>
    <row r="46" spans="1:12" s="564" customFormat="1" ht="24" customHeight="1" x14ac:dyDescent="0.2">
      <c r="A46" s="574" t="s">
        <v>517</v>
      </c>
      <c r="B46" s="565" t="s">
        <v>925</v>
      </c>
      <c r="C46" s="566" t="s">
        <v>914</v>
      </c>
      <c r="D46" s="351">
        <v>95.59</v>
      </c>
      <c r="E46" s="582">
        <v>44904.41</v>
      </c>
      <c r="F46" s="582">
        <v>0</v>
      </c>
      <c r="G46" s="582">
        <v>0</v>
      </c>
      <c r="H46" s="568">
        <f t="shared" ref="H46:H71" si="10">D46+E46+F46+G46</f>
        <v>45000</v>
      </c>
    </row>
    <row r="47" spans="1:12" s="564" customFormat="1" ht="24" customHeight="1" x14ac:dyDescent="0.2">
      <c r="A47" s="353" t="s">
        <v>520</v>
      </c>
      <c r="B47" s="584" t="s">
        <v>926</v>
      </c>
      <c r="C47" s="566" t="s">
        <v>914</v>
      </c>
      <c r="D47" s="351">
        <v>50386.47</v>
      </c>
      <c r="E47" s="582">
        <v>3269.53</v>
      </c>
      <c r="F47" s="582">
        <v>0</v>
      </c>
      <c r="G47" s="582">
        <v>0</v>
      </c>
      <c r="H47" s="568">
        <f t="shared" si="10"/>
        <v>53656</v>
      </c>
    </row>
    <row r="48" spans="1:12" s="564" customFormat="1" ht="24" customHeight="1" x14ac:dyDescent="0.2">
      <c r="A48" s="353" t="s">
        <v>522</v>
      </c>
      <c r="B48" s="584" t="s">
        <v>927</v>
      </c>
      <c r="C48" s="566" t="s">
        <v>914</v>
      </c>
      <c r="D48" s="351">
        <v>30678.01</v>
      </c>
      <c r="E48" s="582">
        <v>0</v>
      </c>
      <c r="F48" s="582">
        <v>0</v>
      </c>
      <c r="G48" s="582">
        <v>0</v>
      </c>
      <c r="H48" s="568">
        <f t="shared" si="10"/>
        <v>30678.01</v>
      </c>
    </row>
    <row r="49" spans="1:9" s="564" customFormat="1" ht="24" customHeight="1" x14ac:dyDescent="0.2">
      <c r="A49" s="574" t="s">
        <v>523</v>
      </c>
      <c r="B49" s="565" t="s">
        <v>928</v>
      </c>
      <c r="C49" s="566" t="s">
        <v>914</v>
      </c>
      <c r="D49" s="351">
        <v>40000</v>
      </c>
      <c r="E49" s="582">
        <v>0</v>
      </c>
      <c r="F49" s="582">
        <v>0</v>
      </c>
      <c r="G49" s="582">
        <v>0</v>
      </c>
      <c r="H49" s="568">
        <f t="shared" si="10"/>
        <v>40000</v>
      </c>
    </row>
    <row r="50" spans="1:9" s="564" customFormat="1" ht="24" customHeight="1" x14ac:dyDescent="0.2">
      <c r="A50" s="574" t="s">
        <v>929</v>
      </c>
      <c r="B50" s="565" t="s">
        <v>930</v>
      </c>
      <c r="C50" s="566" t="s">
        <v>914</v>
      </c>
      <c r="D50" s="351">
        <v>6200</v>
      </c>
      <c r="E50" s="582">
        <v>0</v>
      </c>
      <c r="F50" s="582">
        <v>0</v>
      </c>
      <c r="G50" s="582">
        <v>0</v>
      </c>
      <c r="H50" s="568">
        <f t="shared" si="10"/>
        <v>6200</v>
      </c>
    </row>
    <row r="51" spans="1:9" s="564" customFormat="1" ht="24" customHeight="1" x14ac:dyDescent="0.2">
      <c r="A51" s="353" t="s">
        <v>525</v>
      </c>
      <c r="B51" s="584" t="s">
        <v>931</v>
      </c>
      <c r="C51" s="566" t="s">
        <v>914</v>
      </c>
      <c r="D51" s="351">
        <v>7025.05</v>
      </c>
      <c r="E51" s="582">
        <v>2094.9499999999998</v>
      </c>
      <c r="F51" s="582">
        <v>0</v>
      </c>
      <c r="G51" s="582">
        <v>0</v>
      </c>
      <c r="H51" s="568">
        <f t="shared" si="10"/>
        <v>9120</v>
      </c>
    </row>
    <row r="52" spans="1:9" s="564" customFormat="1" ht="24" customHeight="1" x14ac:dyDescent="0.2">
      <c r="A52" s="574" t="s">
        <v>527</v>
      </c>
      <c r="B52" s="565" t="s">
        <v>932</v>
      </c>
      <c r="C52" s="566" t="s">
        <v>914</v>
      </c>
      <c r="D52" s="351">
        <v>7949.67</v>
      </c>
      <c r="E52" s="582">
        <v>0</v>
      </c>
      <c r="F52" s="582">
        <v>0</v>
      </c>
      <c r="G52" s="582">
        <v>0</v>
      </c>
      <c r="H52" s="568">
        <f t="shared" si="10"/>
        <v>7949.67</v>
      </c>
    </row>
    <row r="53" spans="1:9" s="564" customFormat="1" ht="24" customHeight="1" x14ac:dyDescent="0.2">
      <c r="A53" s="574" t="s">
        <v>448</v>
      </c>
      <c r="B53" s="565" t="s">
        <v>933</v>
      </c>
      <c r="C53" s="566" t="s">
        <v>914</v>
      </c>
      <c r="D53" s="351">
        <v>0</v>
      </c>
      <c r="E53" s="596">
        <f>15000-1057</f>
        <v>13943</v>
      </c>
      <c r="F53" s="582">
        <v>0</v>
      </c>
      <c r="G53" s="582">
        <v>0</v>
      </c>
      <c r="H53" s="568">
        <f t="shared" si="10"/>
        <v>13943</v>
      </c>
    </row>
    <row r="54" spans="1:9" s="564" customFormat="1" ht="24" customHeight="1" x14ac:dyDescent="0.2">
      <c r="A54" s="574" t="s">
        <v>447</v>
      </c>
      <c r="B54" s="587" t="s">
        <v>934</v>
      </c>
      <c r="C54" s="566" t="s">
        <v>914</v>
      </c>
      <c r="D54" s="351">
        <v>0</v>
      </c>
      <c r="E54" s="582">
        <f>500+213</f>
        <v>713</v>
      </c>
      <c r="F54" s="582">
        <v>0</v>
      </c>
      <c r="G54" s="582">
        <v>0</v>
      </c>
      <c r="H54" s="568">
        <f t="shared" si="10"/>
        <v>713</v>
      </c>
    </row>
    <row r="55" spans="1:9" s="564" customFormat="1" ht="24" customHeight="1" x14ac:dyDescent="0.2">
      <c r="A55" s="574" t="s">
        <v>267</v>
      </c>
      <c r="B55" s="565" t="s">
        <v>935</v>
      </c>
      <c r="C55" s="566" t="s">
        <v>914</v>
      </c>
      <c r="D55" s="351">
        <v>43980.06</v>
      </c>
      <c r="E55" s="351">
        <v>13719.93</v>
      </c>
      <c r="F55" s="582">
        <v>0</v>
      </c>
      <c r="G55" s="582">
        <v>0</v>
      </c>
      <c r="H55" s="568">
        <f t="shared" si="10"/>
        <v>57699.99</v>
      </c>
    </row>
    <row r="56" spans="1:9" s="564" customFormat="1" ht="24" customHeight="1" x14ac:dyDescent="0.2">
      <c r="A56" s="574" t="s">
        <v>246</v>
      </c>
      <c r="B56" s="584" t="s">
        <v>936</v>
      </c>
      <c r="C56" s="566" t="s">
        <v>914</v>
      </c>
      <c r="D56" s="351">
        <v>500</v>
      </c>
      <c r="E56" s="351">
        <v>900</v>
      </c>
      <c r="F56" s="582">
        <v>60000</v>
      </c>
      <c r="G56" s="582">
        <v>11950.5</v>
      </c>
      <c r="H56" s="568">
        <f t="shared" si="10"/>
        <v>73350.5</v>
      </c>
    </row>
    <row r="57" spans="1:9" s="564" customFormat="1" ht="33.950000000000003" customHeight="1" x14ac:dyDescent="0.2">
      <c r="A57" s="574" t="s">
        <v>245</v>
      </c>
      <c r="B57" s="584" t="s">
        <v>937</v>
      </c>
      <c r="C57" s="566" t="s">
        <v>938</v>
      </c>
      <c r="D57" s="354">
        <v>18811.419999999998</v>
      </c>
      <c r="E57" s="351">
        <f>27286.58-1000</f>
        <v>26286.58</v>
      </c>
      <c r="F57" s="351">
        <v>0</v>
      </c>
      <c r="G57" s="582">
        <v>0</v>
      </c>
      <c r="H57" s="568">
        <f t="shared" si="10"/>
        <v>45098</v>
      </c>
    </row>
    <row r="58" spans="1:9" s="564" customFormat="1" ht="33.950000000000003" customHeight="1" x14ac:dyDescent="0.2">
      <c r="A58" s="574" t="s">
        <v>445</v>
      </c>
      <c r="B58" s="584" t="s">
        <v>939</v>
      </c>
      <c r="C58" s="566" t="s">
        <v>940</v>
      </c>
      <c r="D58" s="354">
        <v>0</v>
      </c>
      <c r="E58" s="351">
        <v>6500</v>
      </c>
      <c r="F58" s="582">
        <v>0</v>
      </c>
      <c r="G58" s="582">
        <v>0</v>
      </c>
      <c r="H58" s="568">
        <f t="shared" si="10"/>
        <v>6500</v>
      </c>
    </row>
    <row r="59" spans="1:9" s="564" customFormat="1" ht="24" customHeight="1" x14ac:dyDescent="0.2">
      <c r="A59" s="573" t="s">
        <v>244</v>
      </c>
      <c r="B59" s="565" t="s">
        <v>941</v>
      </c>
      <c r="C59" s="566" t="s">
        <v>914</v>
      </c>
      <c r="D59" s="351">
        <v>803.35</v>
      </c>
      <c r="E59" s="582">
        <f>128195.65-65000</f>
        <v>63195.649999999994</v>
      </c>
      <c r="F59" s="582">
        <f>77000+65000</f>
        <v>142000</v>
      </c>
      <c r="G59" s="582">
        <v>0</v>
      </c>
      <c r="H59" s="568">
        <f t="shared" si="10"/>
        <v>205999</v>
      </c>
      <c r="I59" s="586"/>
    </row>
    <row r="60" spans="1:9" s="564" customFormat="1" ht="33.950000000000003" customHeight="1" x14ac:dyDescent="0.2">
      <c r="A60" s="574" t="s">
        <v>442</v>
      </c>
      <c r="B60" s="584" t="s">
        <v>942</v>
      </c>
      <c r="C60" s="566" t="s">
        <v>914</v>
      </c>
      <c r="D60" s="354">
        <v>0</v>
      </c>
      <c r="E60" s="582">
        <f>20250-5250-10000</f>
        <v>5000</v>
      </c>
      <c r="F60" s="582">
        <f>17750+5250+10000</f>
        <v>33000</v>
      </c>
      <c r="G60" s="596">
        <v>24000</v>
      </c>
      <c r="H60" s="568">
        <f t="shared" si="10"/>
        <v>62000</v>
      </c>
    </row>
    <row r="61" spans="1:9" s="564" customFormat="1" ht="24" customHeight="1" x14ac:dyDescent="0.2">
      <c r="A61" s="574" t="s">
        <v>443</v>
      </c>
      <c r="B61" s="565" t="s">
        <v>943</v>
      </c>
      <c r="C61" s="566" t="s">
        <v>914</v>
      </c>
      <c r="D61" s="351">
        <v>0</v>
      </c>
      <c r="E61" s="582">
        <v>14350</v>
      </c>
      <c r="F61" s="582">
        <v>4500</v>
      </c>
      <c r="G61" s="582">
        <v>0</v>
      </c>
      <c r="H61" s="568">
        <f t="shared" si="10"/>
        <v>18850</v>
      </c>
    </row>
    <row r="62" spans="1:9" s="564" customFormat="1" ht="24" customHeight="1" x14ac:dyDescent="0.2">
      <c r="A62" s="574" t="s">
        <v>518</v>
      </c>
      <c r="B62" s="565" t="s">
        <v>944</v>
      </c>
      <c r="C62" s="566" t="s">
        <v>914</v>
      </c>
      <c r="D62" s="351">
        <v>0</v>
      </c>
      <c r="E62" s="582">
        <v>2090</v>
      </c>
      <c r="F62" s="582">
        <v>0</v>
      </c>
      <c r="G62" s="582">
        <v>0</v>
      </c>
      <c r="H62" s="568">
        <f t="shared" si="10"/>
        <v>2090</v>
      </c>
    </row>
    <row r="63" spans="1:9" s="564" customFormat="1" ht="24" customHeight="1" x14ac:dyDescent="0.2">
      <c r="A63" s="574" t="s">
        <v>521</v>
      </c>
      <c r="B63" s="565" t="s">
        <v>945</v>
      </c>
      <c r="C63" s="566" t="s">
        <v>914</v>
      </c>
      <c r="D63" s="351">
        <v>0</v>
      </c>
      <c r="E63" s="351">
        <v>25000</v>
      </c>
      <c r="F63" s="351">
        <v>0</v>
      </c>
      <c r="G63" s="582">
        <v>0</v>
      </c>
      <c r="H63" s="568">
        <f t="shared" si="10"/>
        <v>25000</v>
      </c>
    </row>
    <row r="64" spans="1:9" s="564" customFormat="1" ht="33.950000000000003" customHeight="1" x14ac:dyDescent="0.2">
      <c r="A64" s="574" t="s">
        <v>519</v>
      </c>
      <c r="B64" s="584" t="s">
        <v>946</v>
      </c>
      <c r="C64" s="566" t="s">
        <v>914</v>
      </c>
      <c r="D64" s="354">
        <v>0</v>
      </c>
      <c r="E64" s="588">
        <f>5500+3600-8965</f>
        <v>135</v>
      </c>
      <c r="F64" s="588">
        <f>8965+2035</f>
        <v>11000</v>
      </c>
      <c r="G64" s="582">
        <v>0</v>
      </c>
      <c r="H64" s="568">
        <f t="shared" si="10"/>
        <v>11135</v>
      </c>
    </row>
    <row r="65" spans="1:10" s="564" customFormat="1" ht="24" customHeight="1" x14ac:dyDescent="0.2">
      <c r="A65" s="574" t="s">
        <v>446</v>
      </c>
      <c r="B65" s="584" t="s">
        <v>947</v>
      </c>
      <c r="C65" s="566" t="s">
        <v>914</v>
      </c>
      <c r="D65" s="351">
        <v>28.6</v>
      </c>
      <c r="E65" s="588">
        <f>11036-1000-7800</f>
        <v>2236</v>
      </c>
      <c r="F65" s="582">
        <v>7800</v>
      </c>
      <c r="G65" s="582">
        <v>0</v>
      </c>
      <c r="H65" s="568">
        <f t="shared" si="10"/>
        <v>10064.6</v>
      </c>
    </row>
    <row r="66" spans="1:10" s="569" customFormat="1" ht="15" customHeight="1" x14ac:dyDescent="0.2">
      <c r="A66" s="574" t="s">
        <v>524</v>
      </c>
      <c r="B66" s="583" t="s">
        <v>948</v>
      </c>
      <c r="C66" s="566" t="s">
        <v>914</v>
      </c>
      <c r="D66" s="589">
        <v>0</v>
      </c>
      <c r="E66" s="590">
        <f>50000-10000-20000</f>
        <v>20000</v>
      </c>
      <c r="F66" s="590">
        <f>20500+10000+20000</f>
        <v>50500</v>
      </c>
      <c r="G66" s="582">
        <v>0</v>
      </c>
      <c r="H66" s="568">
        <f t="shared" si="10"/>
        <v>70500</v>
      </c>
    </row>
    <row r="67" spans="1:10" s="564" customFormat="1" ht="24" customHeight="1" x14ac:dyDescent="0.2">
      <c r="A67" s="574" t="s">
        <v>444</v>
      </c>
      <c r="B67" s="565" t="s">
        <v>949</v>
      </c>
      <c r="C67" s="566" t="s">
        <v>914</v>
      </c>
      <c r="D67" s="351">
        <v>127.05</v>
      </c>
      <c r="E67" s="582">
        <f>7373-6700</f>
        <v>673</v>
      </c>
      <c r="F67" s="582">
        <f>14000+6700</f>
        <v>20700</v>
      </c>
      <c r="G67" s="582">
        <v>0</v>
      </c>
      <c r="H67" s="568">
        <f>D67+E67+F67+G67</f>
        <v>21500.05</v>
      </c>
    </row>
    <row r="68" spans="1:10" s="564" customFormat="1" ht="24" customHeight="1" x14ac:dyDescent="0.2">
      <c r="A68" s="574" t="s">
        <v>526</v>
      </c>
      <c r="B68" s="584" t="s">
        <v>950</v>
      </c>
      <c r="C68" s="566" t="s">
        <v>914</v>
      </c>
      <c r="D68" s="351">
        <v>17970.75</v>
      </c>
      <c r="E68" s="582">
        <v>7029.25</v>
      </c>
      <c r="F68" s="582">
        <v>0</v>
      </c>
      <c r="G68" s="591">
        <v>0</v>
      </c>
      <c r="H68" s="568">
        <f t="shared" si="10"/>
        <v>25000</v>
      </c>
    </row>
    <row r="69" spans="1:10" s="564" customFormat="1" ht="24" customHeight="1" x14ac:dyDescent="0.2">
      <c r="A69" s="574" t="s">
        <v>951</v>
      </c>
      <c r="B69" s="584" t="s">
        <v>952</v>
      </c>
      <c r="C69" s="566" t="s">
        <v>914</v>
      </c>
      <c r="D69" s="351">
        <v>0</v>
      </c>
      <c r="E69" s="588">
        <v>11100</v>
      </c>
      <c r="F69" s="582">
        <v>0</v>
      </c>
      <c r="G69" s="591">
        <v>0</v>
      </c>
      <c r="H69" s="568">
        <f t="shared" si="10"/>
        <v>11100</v>
      </c>
    </row>
    <row r="70" spans="1:10" s="564" customFormat="1" ht="24" customHeight="1" x14ac:dyDescent="0.2">
      <c r="A70" s="574" t="s">
        <v>953</v>
      </c>
      <c r="B70" s="584" t="s">
        <v>954</v>
      </c>
      <c r="C70" s="566" t="s">
        <v>914</v>
      </c>
      <c r="D70" s="351">
        <v>0</v>
      </c>
      <c r="E70" s="588">
        <v>9350</v>
      </c>
      <c r="F70" s="582">
        <v>0</v>
      </c>
      <c r="G70" s="591">
        <v>0</v>
      </c>
      <c r="H70" s="568">
        <f t="shared" si="10"/>
        <v>9350</v>
      </c>
    </row>
    <row r="71" spans="1:10" s="564" customFormat="1" ht="24" customHeight="1" x14ac:dyDescent="0.2">
      <c r="A71" s="592" t="s">
        <v>605</v>
      </c>
      <c r="B71" s="597" t="s">
        <v>955</v>
      </c>
      <c r="C71" s="594" t="s">
        <v>914</v>
      </c>
      <c r="D71" s="596">
        <v>0</v>
      </c>
      <c r="E71" s="598">
        <v>0</v>
      </c>
      <c r="F71" s="596">
        <v>0</v>
      </c>
      <c r="G71" s="599">
        <v>16614</v>
      </c>
      <c r="H71" s="568">
        <f t="shared" si="10"/>
        <v>16614</v>
      </c>
    </row>
    <row r="72" spans="1:10" s="563" customFormat="1" ht="15" customHeight="1" x14ac:dyDescent="0.2">
      <c r="A72" s="343" t="s">
        <v>120</v>
      </c>
      <c r="B72" s="571"/>
      <c r="C72" s="572"/>
      <c r="D72" s="344">
        <f t="shared" ref="D72:H72" si="11">SUM(D46:D71)</f>
        <v>224556.02000000002</v>
      </c>
      <c r="E72" s="344">
        <f>SUM(E46:E71)</f>
        <v>272490.3</v>
      </c>
      <c r="F72" s="344">
        <f t="shared" ref="F72:G72" si="12">SUM(F46:F71)</f>
        <v>329500</v>
      </c>
      <c r="G72" s="344">
        <f t="shared" si="12"/>
        <v>52564.5</v>
      </c>
      <c r="H72" s="345">
        <f t="shared" si="11"/>
        <v>879110.82000000007</v>
      </c>
      <c r="I72" s="578"/>
      <c r="J72" s="578"/>
    </row>
    <row r="73" spans="1:10" s="564" customFormat="1" ht="18" customHeight="1" x14ac:dyDescent="0.2">
      <c r="A73" s="731" t="s">
        <v>121</v>
      </c>
      <c r="B73" s="732"/>
      <c r="C73" s="732"/>
      <c r="D73" s="732"/>
      <c r="E73" s="732"/>
      <c r="F73" s="732"/>
      <c r="G73" s="732"/>
      <c r="H73" s="733"/>
      <c r="I73" s="586"/>
    </row>
    <row r="74" spans="1:10" s="564" customFormat="1" ht="24" customHeight="1" x14ac:dyDescent="0.2">
      <c r="A74" s="352" t="s">
        <v>530</v>
      </c>
      <c r="B74" s="583" t="s">
        <v>956</v>
      </c>
      <c r="C74" s="566" t="s">
        <v>914</v>
      </c>
      <c r="D74" s="351">
        <v>14723.48</v>
      </c>
      <c r="E74" s="582">
        <v>6976.53</v>
      </c>
      <c r="F74" s="582">
        <v>0</v>
      </c>
      <c r="G74" s="351">
        <v>0</v>
      </c>
      <c r="H74" s="568">
        <f t="shared" ref="H74:H87" si="13">D74+E74+F74+G74</f>
        <v>21700.01</v>
      </c>
    </row>
    <row r="75" spans="1:10" s="564" customFormat="1" ht="24" customHeight="1" x14ac:dyDescent="0.2">
      <c r="A75" s="352" t="s">
        <v>531</v>
      </c>
      <c r="B75" s="583" t="s">
        <v>957</v>
      </c>
      <c r="C75" s="566" t="s">
        <v>914</v>
      </c>
      <c r="D75" s="354">
        <v>22241.64</v>
      </c>
      <c r="E75" s="588">
        <v>0</v>
      </c>
      <c r="F75" s="588">
        <v>0</v>
      </c>
      <c r="G75" s="354">
        <v>0</v>
      </c>
      <c r="H75" s="568">
        <f t="shared" si="13"/>
        <v>22241.64</v>
      </c>
    </row>
    <row r="76" spans="1:10" s="564" customFormat="1" ht="24" customHeight="1" x14ac:dyDescent="0.2">
      <c r="A76" s="352" t="s">
        <v>532</v>
      </c>
      <c r="B76" s="583" t="s">
        <v>958</v>
      </c>
      <c r="C76" s="566" t="s">
        <v>914</v>
      </c>
      <c r="D76" s="351">
        <v>20898.27</v>
      </c>
      <c r="E76" s="582">
        <v>0</v>
      </c>
      <c r="F76" s="582">
        <v>0</v>
      </c>
      <c r="G76" s="351">
        <v>0</v>
      </c>
      <c r="H76" s="568">
        <f t="shared" si="13"/>
        <v>20898.27</v>
      </c>
    </row>
    <row r="77" spans="1:10" s="564" customFormat="1" ht="24" customHeight="1" x14ac:dyDescent="0.2">
      <c r="A77" s="352" t="s">
        <v>533</v>
      </c>
      <c r="B77" s="583" t="s">
        <v>959</v>
      </c>
      <c r="C77" s="566" t="s">
        <v>914</v>
      </c>
      <c r="D77" s="351">
        <v>28727.64</v>
      </c>
      <c r="E77" s="582">
        <v>0</v>
      </c>
      <c r="F77" s="582">
        <v>0</v>
      </c>
      <c r="G77" s="351">
        <v>0</v>
      </c>
      <c r="H77" s="568">
        <f t="shared" si="13"/>
        <v>28727.64</v>
      </c>
    </row>
    <row r="78" spans="1:10" s="564" customFormat="1" ht="24" customHeight="1" x14ac:dyDescent="0.2">
      <c r="A78" s="352" t="s">
        <v>534</v>
      </c>
      <c r="B78" s="583" t="s">
        <v>960</v>
      </c>
      <c r="C78" s="566" t="s">
        <v>914</v>
      </c>
      <c r="D78" s="351">
        <v>11437.7</v>
      </c>
      <c r="E78" s="582">
        <v>0</v>
      </c>
      <c r="F78" s="582">
        <v>0</v>
      </c>
      <c r="G78" s="351">
        <v>0</v>
      </c>
      <c r="H78" s="568">
        <f t="shared" si="13"/>
        <v>11437.7</v>
      </c>
    </row>
    <row r="79" spans="1:10" s="564" customFormat="1" ht="24" customHeight="1" x14ac:dyDescent="0.2">
      <c r="A79" s="352" t="s">
        <v>535</v>
      </c>
      <c r="B79" s="583" t="s">
        <v>961</v>
      </c>
      <c r="C79" s="566" t="s">
        <v>914</v>
      </c>
      <c r="D79" s="351">
        <v>11567.78</v>
      </c>
      <c r="E79" s="582">
        <v>0</v>
      </c>
      <c r="F79" s="582">
        <v>0</v>
      </c>
      <c r="G79" s="351">
        <v>0</v>
      </c>
      <c r="H79" s="568">
        <f t="shared" si="13"/>
        <v>11567.78</v>
      </c>
    </row>
    <row r="80" spans="1:10" s="564" customFormat="1" ht="15" customHeight="1" x14ac:dyDescent="0.2">
      <c r="A80" s="352" t="s">
        <v>529</v>
      </c>
      <c r="B80" s="583" t="s">
        <v>962</v>
      </c>
      <c r="C80" s="566" t="s">
        <v>914</v>
      </c>
      <c r="D80" s="351">
        <v>1099.1500000000001</v>
      </c>
      <c r="E80" s="582">
        <v>22900.85</v>
      </c>
      <c r="F80" s="582">
        <v>0</v>
      </c>
      <c r="G80" s="351">
        <v>0</v>
      </c>
      <c r="H80" s="568">
        <f t="shared" si="13"/>
        <v>24000</v>
      </c>
    </row>
    <row r="81" spans="1:10" s="564" customFormat="1" ht="24" customHeight="1" x14ac:dyDescent="0.2">
      <c r="A81" s="352" t="s">
        <v>144</v>
      </c>
      <c r="B81" s="583" t="s">
        <v>963</v>
      </c>
      <c r="C81" s="566" t="s">
        <v>914</v>
      </c>
      <c r="D81" s="351">
        <v>34.11</v>
      </c>
      <c r="E81" s="582">
        <v>93382</v>
      </c>
      <c r="F81" s="582">
        <v>50000</v>
      </c>
      <c r="G81" s="351">
        <v>0</v>
      </c>
      <c r="H81" s="568">
        <f t="shared" si="13"/>
        <v>143416.10999999999</v>
      </c>
    </row>
    <row r="82" spans="1:10" s="564" customFormat="1" ht="24" customHeight="1" x14ac:dyDescent="0.2">
      <c r="A82" s="353" t="s">
        <v>528</v>
      </c>
      <c r="B82" s="583" t="s">
        <v>964</v>
      </c>
      <c r="C82" s="566" t="s">
        <v>914</v>
      </c>
      <c r="D82" s="354">
        <v>29.04</v>
      </c>
      <c r="E82" s="582">
        <f>94970.96-80000</f>
        <v>14970.960000000006</v>
      </c>
      <c r="F82" s="588">
        <f>10000+80000</f>
        <v>90000</v>
      </c>
      <c r="G82" s="354">
        <v>0</v>
      </c>
      <c r="H82" s="568">
        <f t="shared" si="13"/>
        <v>105000</v>
      </c>
    </row>
    <row r="83" spans="1:10" s="564" customFormat="1" ht="24" customHeight="1" x14ac:dyDescent="0.2">
      <c r="A83" s="353" t="s">
        <v>965</v>
      </c>
      <c r="B83" s="583" t="s">
        <v>966</v>
      </c>
      <c r="C83" s="566" t="s">
        <v>914</v>
      </c>
      <c r="D83" s="354">
        <v>0</v>
      </c>
      <c r="E83" s="582">
        <f>30200-26200</f>
        <v>4000</v>
      </c>
      <c r="F83" s="588">
        <f>0+26200</f>
        <v>26200</v>
      </c>
      <c r="G83" s="354">
        <v>0</v>
      </c>
      <c r="H83" s="568">
        <f t="shared" si="13"/>
        <v>30200</v>
      </c>
    </row>
    <row r="84" spans="1:10" s="564" customFormat="1" ht="24" customHeight="1" x14ac:dyDescent="0.2">
      <c r="A84" s="353" t="s">
        <v>967</v>
      </c>
      <c r="B84" s="583" t="s">
        <v>968</v>
      </c>
      <c r="C84" s="566" t="s">
        <v>914</v>
      </c>
      <c r="D84" s="354">
        <v>0</v>
      </c>
      <c r="E84" s="582">
        <v>40000</v>
      </c>
      <c r="F84" s="588">
        <v>140000</v>
      </c>
      <c r="G84" s="354">
        <v>0</v>
      </c>
      <c r="H84" s="568">
        <f t="shared" si="13"/>
        <v>180000</v>
      </c>
    </row>
    <row r="85" spans="1:10" s="569" customFormat="1" ht="24" customHeight="1" x14ac:dyDescent="0.2">
      <c r="A85" s="592" t="s">
        <v>969</v>
      </c>
      <c r="B85" s="593" t="s">
        <v>970</v>
      </c>
      <c r="C85" s="594" t="s">
        <v>914</v>
      </c>
      <c r="D85" s="595">
        <v>0</v>
      </c>
      <c r="E85" s="595">
        <f>15500-10500-3000</f>
        <v>2000</v>
      </c>
      <c r="F85" s="595">
        <f>0+10500-10500</f>
        <v>0</v>
      </c>
      <c r="G85" s="600">
        <v>0</v>
      </c>
      <c r="H85" s="568">
        <f t="shared" si="13"/>
        <v>2000</v>
      </c>
    </row>
    <row r="86" spans="1:10" s="569" customFormat="1" ht="24" customHeight="1" x14ac:dyDescent="0.2">
      <c r="A86" s="592" t="s">
        <v>971</v>
      </c>
      <c r="B86" s="593" t="s">
        <v>972</v>
      </c>
      <c r="C86" s="594" t="s">
        <v>914</v>
      </c>
      <c r="D86" s="595">
        <v>0</v>
      </c>
      <c r="E86" s="595">
        <f>20000-2000</f>
        <v>18000</v>
      </c>
      <c r="F86" s="595">
        <v>0</v>
      </c>
      <c r="G86" s="600">
        <v>0</v>
      </c>
      <c r="H86" s="568">
        <f t="shared" si="13"/>
        <v>18000</v>
      </c>
    </row>
    <row r="87" spans="1:10" s="569" customFormat="1" ht="24" customHeight="1" x14ac:dyDescent="0.2">
      <c r="A87" s="592" t="s">
        <v>973</v>
      </c>
      <c r="B87" s="593" t="s">
        <v>974</v>
      </c>
      <c r="C87" s="594" t="s">
        <v>914</v>
      </c>
      <c r="D87" s="595">
        <v>0</v>
      </c>
      <c r="E87" s="595">
        <v>0</v>
      </c>
      <c r="F87" s="595">
        <v>5000</v>
      </c>
      <c r="G87" s="600">
        <v>10500</v>
      </c>
      <c r="H87" s="568">
        <f t="shared" si="13"/>
        <v>15500</v>
      </c>
    </row>
    <row r="88" spans="1:10" s="563" customFormat="1" ht="15" customHeight="1" thickBot="1" x14ac:dyDescent="0.25">
      <c r="A88" s="343" t="s">
        <v>122</v>
      </c>
      <c r="B88" s="571"/>
      <c r="C88" s="572"/>
      <c r="D88" s="344">
        <f t="shared" ref="D88:G88" si="14">SUM(D74:D87)</f>
        <v>110758.80999999998</v>
      </c>
      <c r="E88" s="344">
        <f>SUM(E74:E87)</f>
        <v>202230.34000000003</v>
      </c>
      <c r="F88" s="344">
        <f t="shared" si="14"/>
        <v>311200</v>
      </c>
      <c r="G88" s="344">
        <f t="shared" si="14"/>
        <v>10500</v>
      </c>
      <c r="H88" s="345">
        <f>SUM(H74:H87)</f>
        <v>634689.14999999991</v>
      </c>
      <c r="I88" s="578"/>
      <c r="J88" s="578"/>
    </row>
    <row r="89" spans="1:10" s="563" customFormat="1" ht="25.5" customHeight="1" thickBot="1" x14ac:dyDescent="0.25">
      <c r="A89" s="346" t="s">
        <v>536</v>
      </c>
      <c r="B89" s="576"/>
      <c r="C89" s="577"/>
      <c r="D89" s="347">
        <f>D88+D72+D44+D36+D32</f>
        <v>378688.57</v>
      </c>
      <c r="E89" s="347">
        <f>E88+E72+E44+E36+E32</f>
        <v>708790.61</v>
      </c>
      <c r="F89" s="347">
        <f t="shared" ref="F89:G89" si="15">F88+F72+F44+F36+F32</f>
        <v>1378290</v>
      </c>
      <c r="G89" s="347">
        <f t="shared" si="15"/>
        <v>80766.5</v>
      </c>
      <c r="H89" s="348">
        <f>H88+H72+H44+H36+H32</f>
        <v>2546535.6800000002</v>
      </c>
    </row>
    <row r="90" spans="1:10" s="563" customFormat="1" ht="13.5" thickBot="1" x14ac:dyDescent="0.25">
      <c r="A90" s="349"/>
      <c r="B90" s="579"/>
      <c r="C90" s="580"/>
      <c r="D90" s="581"/>
      <c r="E90" s="581"/>
      <c r="F90" s="581"/>
      <c r="G90" s="581"/>
      <c r="H90" s="624"/>
    </row>
    <row r="91" spans="1:10" s="563" customFormat="1" ht="21" customHeight="1" thickBot="1" x14ac:dyDescent="0.25">
      <c r="A91" s="346" t="s">
        <v>128</v>
      </c>
      <c r="B91" s="576"/>
      <c r="C91" s="577"/>
      <c r="D91" s="347">
        <f>SUM(D23,D89)+0.45</f>
        <v>387806.92845000001</v>
      </c>
      <c r="E91" s="347">
        <f>SUM(E23,E89)</f>
        <v>858165</v>
      </c>
      <c r="F91" s="347">
        <f t="shared" ref="F91:G91" si="16">SUM(F23,F89)</f>
        <v>1618012</v>
      </c>
      <c r="G91" s="347">
        <f t="shared" si="16"/>
        <v>136016.5</v>
      </c>
      <c r="H91" s="348">
        <f>SUM(H23,H89)</f>
        <v>2999999.9784500003</v>
      </c>
    </row>
  </sheetData>
  <mergeCells count="15">
    <mergeCell ref="A37:H37"/>
    <mergeCell ref="A45:H45"/>
    <mergeCell ref="A73:H73"/>
    <mergeCell ref="A10:H10"/>
    <mergeCell ref="A14:H14"/>
    <mergeCell ref="A20:H20"/>
    <mergeCell ref="A25:H25"/>
    <mergeCell ref="A26:H26"/>
    <mergeCell ref="A33:H33"/>
    <mergeCell ref="A7:H7"/>
    <mergeCell ref="A2:H2"/>
    <mergeCell ref="A4:A5"/>
    <mergeCell ref="D4:G4"/>
    <mergeCell ref="H4:H5"/>
    <mergeCell ref="A6:H6"/>
  </mergeCells>
  <conditionalFormatting sqref="F30:F31 E31 E41:E42 E59:E61 F41 E63:F63 G30 G41:G43 G63:G67 F57:G61">
    <cfRule type="cellIs" dxfId="117" priority="117" operator="lessThan">
      <formula>#REF!</formula>
    </cfRule>
    <cfRule type="cellIs" dxfId="116" priority="118" operator="greaterThan">
      <formula>#REF!</formula>
    </cfRule>
  </conditionalFormatting>
  <conditionalFormatting sqref="D56 D65 D59:D63 D67:D69 E59:E69 D46:E55 G31 F11:G13 F46:G56 F58:G69 E21:G22 D27:G29 D32:G32 E38:G40 E34:G36 H72 F8:G9 D70:G72 D82:D87">
    <cfRule type="cellIs" dxfId="115" priority="115" operator="lessThan">
      <formula>#REF!</formula>
    </cfRule>
    <cfRule type="cellIs" dxfId="114" priority="116" operator="greaterThan">
      <formula>#REF!</formula>
    </cfRule>
  </conditionalFormatting>
  <conditionalFormatting sqref="D41 D11 D13 E56:E58 E30 E43 F42:F43">
    <cfRule type="cellIs" dxfId="113" priority="113" operator="lessThan">
      <formula>#REF!</formula>
    </cfRule>
    <cfRule type="cellIs" dxfId="112" priority="114" operator="greaterThan">
      <formula>#REF!</formula>
    </cfRule>
  </conditionalFormatting>
  <conditionalFormatting sqref="D31">
    <cfRule type="cellIs" dxfId="111" priority="111" operator="lessThan">
      <formula>#REF!</formula>
    </cfRule>
    <cfRule type="cellIs" dxfId="110" priority="112" operator="greaterThan">
      <formula>#REF!</formula>
    </cfRule>
  </conditionalFormatting>
  <conditionalFormatting sqref="D42:D43">
    <cfRule type="cellIs" dxfId="109" priority="105" operator="lessThan">
      <formula>#REF!</formula>
    </cfRule>
    <cfRule type="cellIs" dxfId="108" priority="106" operator="greaterThan">
      <formula>#REF!</formula>
    </cfRule>
  </conditionalFormatting>
  <conditionalFormatting sqref="D30">
    <cfRule type="cellIs" dxfId="107" priority="109" operator="lessThan">
      <formula>#REF!</formula>
    </cfRule>
    <cfRule type="cellIs" dxfId="106" priority="110" operator="greaterThan">
      <formula>#REF!</formula>
    </cfRule>
  </conditionalFormatting>
  <conditionalFormatting sqref="D36">
    <cfRule type="cellIs" dxfId="105" priority="107" operator="lessThan">
      <formula>#REF!</formula>
    </cfRule>
    <cfRule type="cellIs" dxfId="104" priority="108" operator="greaterThan">
      <formula>#REF!</formula>
    </cfRule>
  </conditionalFormatting>
  <conditionalFormatting sqref="D57:D63">
    <cfRule type="cellIs" dxfId="103" priority="103" operator="lessThan">
      <formula>#REF!</formula>
    </cfRule>
    <cfRule type="cellIs" dxfId="102" priority="104" operator="greaterThan">
      <formula>#REF!</formula>
    </cfRule>
  </conditionalFormatting>
  <conditionalFormatting sqref="D81">
    <cfRule type="cellIs" dxfId="101" priority="101" operator="lessThan">
      <formula>#REF!</formula>
    </cfRule>
    <cfRule type="cellIs" dxfId="100" priority="102" operator="greaterThan">
      <formula>#REF!</formula>
    </cfRule>
  </conditionalFormatting>
  <conditionalFormatting sqref="D80:D81">
    <cfRule type="cellIs" dxfId="99" priority="99" operator="lessThan">
      <formula>#REF!</formula>
    </cfRule>
    <cfRule type="cellIs" dxfId="98" priority="100" operator="greaterThan">
      <formula>#REF!</formula>
    </cfRule>
  </conditionalFormatting>
  <conditionalFormatting sqref="D74">
    <cfRule type="cellIs" dxfId="97" priority="97" operator="lessThan">
      <formula>#REF!</formula>
    </cfRule>
    <cfRule type="cellIs" dxfId="96" priority="98" operator="greaterThan">
      <formula>#REF!</formula>
    </cfRule>
  </conditionalFormatting>
  <conditionalFormatting sqref="D75:D77">
    <cfRule type="cellIs" dxfId="95" priority="95" operator="lessThan">
      <formula>#REF!</formula>
    </cfRule>
    <cfRule type="cellIs" dxfId="94" priority="96" operator="greaterThan">
      <formula>#REF!</formula>
    </cfRule>
  </conditionalFormatting>
  <conditionalFormatting sqref="D22">
    <cfRule type="cellIs" dxfId="93" priority="83" operator="lessThan">
      <formula>#REF!</formula>
    </cfRule>
    <cfRule type="cellIs" dxfId="92" priority="84" operator="greaterThan">
      <formula>#REF!</formula>
    </cfRule>
  </conditionalFormatting>
  <conditionalFormatting sqref="D40">
    <cfRule type="cellIs" dxfId="91" priority="81" operator="lessThan">
      <formula>#REF!</formula>
    </cfRule>
    <cfRule type="cellIs" dxfId="90" priority="82" operator="greaterThan">
      <formula>#REF!</formula>
    </cfRule>
  </conditionalFormatting>
  <conditionalFormatting sqref="D38:D39">
    <cfRule type="cellIs" dxfId="89" priority="79" operator="lessThan">
      <formula>#REF!</formula>
    </cfRule>
    <cfRule type="cellIs" dxfId="88" priority="80" operator="greaterThan">
      <formula>#REF!</formula>
    </cfRule>
  </conditionalFormatting>
  <conditionalFormatting sqref="D12">
    <cfRule type="cellIs" dxfId="87" priority="93" operator="lessThan">
      <formula>#REF!</formula>
    </cfRule>
    <cfRule type="cellIs" dxfId="86" priority="94" operator="greaterThan">
      <formula>#REF!</formula>
    </cfRule>
  </conditionalFormatting>
  <conditionalFormatting sqref="D15:D16 D18">
    <cfRule type="cellIs" dxfId="85" priority="91" operator="lessThan">
      <formula>#REF!</formula>
    </cfRule>
    <cfRule type="cellIs" dxfId="84" priority="92" operator="greaterThan">
      <formula>#REF!</formula>
    </cfRule>
  </conditionalFormatting>
  <conditionalFormatting sqref="D16:D17">
    <cfRule type="cellIs" dxfId="83" priority="89" operator="lessThan">
      <formula>#REF!</formula>
    </cfRule>
    <cfRule type="cellIs" dxfId="82" priority="90" operator="greaterThan">
      <formula>#REF!</formula>
    </cfRule>
  </conditionalFormatting>
  <conditionalFormatting sqref="D19">
    <cfRule type="cellIs" dxfId="81" priority="87" operator="lessThan">
      <formula>#REF!</formula>
    </cfRule>
    <cfRule type="cellIs" dxfId="80" priority="88" operator="greaterThan">
      <formula>#REF!</formula>
    </cfRule>
  </conditionalFormatting>
  <conditionalFormatting sqref="D21">
    <cfRule type="cellIs" dxfId="79" priority="85" operator="lessThan">
      <formula>#REF!</formula>
    </cfRule>
    <cfRule type="cellIs" dxfId="78" priority="86" operator="greaterThan">
      <formula>#REF!</formula>
    </cfRule>
  </conditionalFormatting>
  <conditionalFormatting sqref="D64">
    <cfRule type="cellIs" dxfId="77" priority="77" operator="lessThan">
      <formula>#REF!</formula>
    </cfRule>
    <cfRule type="cellIs" dxfId="76" priority="78" operator="greaterThan">
      <formula>#REF!</formula>
    </cfRule>
  </conditionalFormatting>
  <conditionalFormatting sqref="D60:D63">
    <cfRule type="cellIs" dxfId="75" priority="75" operator="lessThan">
      <formula>#REF!</formula>
    </cfRule>
    <cfRule type="cellIs" dxfId="74" priority="76" operator="greaterThan">
      <formula>#REF!</formula>
    </cfRule>
  </conditionalFormatting>
  <conditionalFormatting sqref="D58:D63">
    <cfRule type="cellIs" dxfId="73" priority="73" operator="lessThan">
      <formula>#REF!</formula>
    </cfRule>
    <cfRule type="cellIs" dxfId="72" priority="74" operator="greaterThan">
      <formula>#REF!</formula>
    </cfRule>
  </conditionalFormatting>
  <conditionalFormatting sqref="D66">
    <cfRule type="cellIs" dxfId="71" priority="71" operator="lessThan">
      <formula>#REF!</formula>
    </cfRule>
    <cfRule type="cellIs" dxfId="70" priority="72" operator="greaterThan">
      <formula>#REF!</formula>
    </cfRule>
  </conditionalFormatting>
  <conditionalFormatting sqref="D78:D81">
    <cfRule type="cellIs" dxfId="69" priority="69" operator="lessThan">
      <formula>#REF!</formula>
    </cfRule>
    <cfRule type="cellIs" dxfId="68" priority="70" operator="greaterThan">
      <formula>#REF!</formula>
    </cfRule>
  </conditionalFormatting>
  <conditionalFormatting sqref="D85:D87">
    <cfRule type="cellIs" dxfId="67" priority="67" operator="lessThan">
      <formula>#REF!</formula>
    </cfRule>
    <cfRule type="cellIs" dxfId="66" priority="68" operator="greaterThan">
      <formula>#REF!</formula>
    </cfRule>
  </conditionalFormatting>
  <conditionalFormatting sqref="D34">
    <cfRule type="cellIs" dxfId="65" priority="65" operator="lessThan">
      <formula>#REF!</formula>
    </cfRule>
    <cfRule type="cellIs" dxfId="64" priority="66" operator="greaterThan">
      <formula>#REF!</formula>
    </cfRule>
  </conditionalFormatting>
  <conditionalFormatting sqref="D35">
    <cfRule type="cellIs" dxfId="63" priority="63" operator="lessThan">
      <formula>#REF!</formula>
    </cfRule>
    <cfRule type="cellIs" dxfId="62" priority="64" operator="greaterThan">
      <formula>#REF!</formula>
    </cfRule>
  </conditionalFormatting>
  <conditionalFormatting sqref="H19 H36 H13 H27:H32 H74:H87">
    <cfRule type="cellIs" dxfId="61" priority="61" operator="lessThan">
      <formula>#REF!</formula>
    </cfRule>
    <cfRule type="cellIs" dxfId="60" priority="62" operator="greaterThan">
      <formula>#REF!</formula>
    </cfRule>
  </conditionalFormatting>
  <conditionalFormatting sqref="H11:H12">
    <cfRule type="cellIs" dxfId="59" priority="59" operator="lessThan">
      <formula>#REF!</formula>
    </cfRule>
    <cfRule type="cellIs" dxfId="58" priority="60" operator="greaterThan">
      <formula>#REF!</formula>
    </cfRule>
  </conditionalFormatting>
  <conditionalFormatting sqref="H15:H18">
    <cfRule type="cellIs" dxfId="57" priority="57" operator="lessThan">
      <formula>#REF!</formula>
    </cfRule>
    <cfRule type="cellIs" dxfId="56" priority="58" operator="greaterThan">
      <formula>#REF!</formula>
    </cfRule>
  </conditionalFormatting>
  <conditionalFormatting sqref="H22">
    <cfRule type="cellIs" dxfId="55" priority="55" operator="lessThan">
      <formula>#REF!</formula>
    </cfRule>
    <cfRule type="cellIs" dxfId="54" priority="56" operator="greaterThan">
      <formula>#REF!</formula>
    </cfRule>
  </conditionalFormatting>
  <conditionalFormatting sqref="H22">
    <cfRule type="cellIs" dxfId="53" priority="51" operator="lessThan">
      <formula>#REF!</formula>
    </cfRule>
    <cfRule type="cellIs" dxfId="52" priority="52" operator="greaterThan">
      <formula>#REF!</formula>
    </cfRule>
  </conditionalFormatting>
  <conditionalFormatting sqref="H22">
    <cfRule type="cellIs" dxfId="51" priority="53" operator="lessThan">
      <formula>#REF!</formula>
    </cfRule>
    <cfRule type="cellIs" dxfId="50" priority="54" operator="greaterThan">
      <formula>#REF!</formula>
    </cfRule>
  </conditionalFormatting>
  <conditionalFormatting sqref="H30">
    <cfRule type="cellIs" dxfId="49" priority="49" operator="lessThan">
      <formula>#REF!</formula>
    </cfRule>
    <cfRule type="cellIs" dxfId="48" priority="50" operator="greaterThan">
      <formula>#REF!</formula>
    </cfRule>
  </conditionalFormatting>
  <conditionalFormatting sqref="H38:H43">
    <cfRule type="cellIs" dxfId="47" priority="47" operator="lessThan">
      <formula>#REF!</formula>
    </cfRule>
    <cfRule type="cellIs" dxfId="46" priority="48" operator="greaterThan">
      <formula>#REF!</formula>
    </cfRule>
  </conditionalFormatting>
  <conditionalFormatting sqref="H38:H43">
    <cfRule type="cellIs" dxfId="45" priority="45" operator="lessThan">
      <formula>#REF!</formula>
    </cfRule>
    <cfRule type="cellIs" dxfId="44" priority="46" operator="greaterThan">
      <formula>#REF!</formula>
    </cfRule>
  </conditionalFormatting>
  <conditionalFormatting sqref="H46:H71">
    <cfRule type="cellIs" dxfId="43" priority="43" operator="lessThan">
      <formula>#REF!</formula>
    </cfRule>
    <cfRule type="cellIs" dxfId="42" priority="44" operator="greaterThan">
      <formula>#REF!</formula>
    </cfRule>
  </conditionalFormatting>
  <conditionalFormatting sqref="H46:H71">
    <cfRule type="cellIs" dxfId="41" priority="41" operator="lessThan">
      <formula>#REF!</formula>
    </cfRule>
    <cfRule type="cellIs" dxfId="40" priority="42" operator="greaterThan">
      <formula>#REF!</formula>
    </cfRule>
  </conditionalFormatting>
  <conditionalFormatting sqref="H34:H35">
    <cfRule type="cellIs" dxfId="39" priority="39" operator="lessThan">
      <formula>#REF!</formula>
    </cfRule>
    <cfRule type="cellIs" dxfId="38" priority="40" operator="greaterThan">
      <formula>#REF!</formula>
    </cfRule>
  </conditionalFormatting>
  <conditionalFormatting sqref="H34:H35">
    <cfRule type="cellIs" dxfId="37" priority="37" operator="lessThan">
      <formula>#REF!</formula>
    </cfRule>
    <cfRule type="cellIs" dxfId="36" priority="38" operator="greaterThan">
      <formula>#REF!</formula>
    </cfRule>
  </conditionalFormatting>
  <conditionalFormatting sqref="E11 E13">
    <cfRule type="cellIs" dxfId="35" priority="35" operator="lessThan">
      <formula>#REF!</formula>
    </cfRule>
    <cfRule type="cellIs" dxfId="34" priority="36" operator="greaterThan">
      <formula>#REF!</formula>
    </cfRule>
  </conditionalFormatting>
  <conditionalFormatting sqref="E12">
    <cfRule type="cellIs" dxfId="33" priority="33" operator="lessThan">
      <formula>#REF!</formula>
    </cfRule>
    <cfRule type="cellIs" dxfId="32" priority="34" operator="greaterThan">
      <formula>#REF!</formula>
    </cfRule>
  </conditionalFormatting>
  <conditionalFormatting sqref="E15:E19">
    <cfRule type="cellIs" dxfId="31" priority="31" operator="lessThan">
      <formula>#REF!</formula>
    </cfRule>
    <cfRule type="cellIs" dxfId="30" priority="32" operator="greaterThan">
      <formula>#REF!</formula>
    </cfRule>
  </conditionalFormatting>
  <conditionalFormatting sqref="F15:F19">
    <cfRule type="cellIs" dxfId="29" priority="29" operator="lessThan">
      <formula>#REF!</formula>
    </cfRule>
    <cfRule type="cellIs" dxfId="28" priority="30" operator="greaterThan">
      <formula>#REF!</formula>
    </cfRule>
  </conditionalFormatting>
  <conditionalFormatting sqref="G15:G19">
    <cfRule type="cellIs" dxfId="27" priority="27" operator="lessThan">
      <formula>#REF!</formula>
    </cfRule>
    <cfRule type="cellIs" dxfId="26" priority="28" operator="greaterThan">
      <formula>#REF!</formula>
    </cfRule>
  </conditionalFormatting>
  <conditionalFormatting sqref="H21">
    <cfRule type="cellIs" dxfId="25" priority="25" operator="lessThan">
      <formula>#REF!</formula>
    </cfRule>
    <cfRule type="cellIs" dxfId="24" priority="26" operator="greaterThan">
      <formula>#REF!</formula>
    </cfRule>
  </conditionalFormatting>
  <conditionalFormatting sqref="H21">
    <cfRule type="cellIs" dxfId="23" priority="23" operator="lessThan">
      <formula>#REF!</formula>
    </cfRule>
    <cfRule type="cellIs" dxfId="22" priority="24" operator="greaterThan">
      <formula>#REF!</formula>
    </cfRule>
  </conditionalFormatting>
  <conditionalFormatting sqref="E74:E77 E80:E87">
    <cfRule type="cellIs" dxfId="21" priority="21" operator="lessThan">
      <formula>#REF!</formula>
    </cfRule>
    <cfRule type="cellIs" dxfId="20" priority="22" operator="greaterThan">
      <formula>#REF!</formula>
    </cfRule>
  </conditionalFormatting>
  <conditionalFormatting sqref="E78:E81 E83:E87">
    <cfRule type="cellIs" dxfId="19" priority="19" operator="lessThan">
      <formula>#REF!</formula>
    </cfRule>
    <cfRule type="cellIs" dxfId="18" priority="20" operator="greaterThan">
      <formula>#REF!</formula>
    </cfRule>
  </conditionalFormatting>
  <conditionalFormatting sqref="E82">
    <cfRule type="cellIs" dxfId="17" priority="17" operator="lessThan">
      <formula>#REF!</formula>
    </cfRule>
    <cfRule type="cellIs" dxfId="16" priority="18" operator="greaterThan">
      <formula>#REF!</formula>
    </cfRule>
  </conditionalFormatting>
  <conditionalFormatting sqref="F74:F77 F80:F87">
    <cfRule type="cellIs" dxfId="15" priority="15" operator="lessThan">
      <formula>#REF!</formula>
    </cfRule>
    <cfRule type="cellIs" dxfId="14" priority="16" operator="greaterThan">
      <formula>#REF!</formula>
    </cfRule>
  </conditionalFormatting>
  <conditionalFormatting sqref="F78:F81 F85:F87">
    <cfRule type="cellIs" dxfId="13" priority="13" operator="lessThan">
      <formula>#REF!</formula>
    </cfRule>
    <cfRule type="cellIs" dxfId="12" priority="14" operator="greaterThan">
      <formula>#REF!</formula>
    </cfRule>
  </conditionalFormatting>
  <conditionalFormatting sqref="G80:G87">
    <cfRule type="cellIs" dxfId="11" priority="11" operator="lessThan">
      <formula>#REF!</formula>
    </cfRule>
    <cfRule type="cellIs" dxfId="10" priority="12" operator="greaterThan">
      <formula>#REF!</formula>
    </cfRule>
  </conditionalFormatting>
  <conditionalFormatting sqref="G74:G81 G85:G87">
    <cfRule type="cellIs" dxfId="9" priority="9" operator="lessThan">
      <formula>#REF!</formula>
    </cfRule>
    <cfRule type="cellIs" dxfId="8" priority="10" operator="greaterThan">
      <formula>#REF!</formula>
    </cfRule>
  </conditionalFormatting>
  <conditionalFormatting sqref="D8:D9">
    <cfRule type="cellIs" dxfId="7" priority="7" operator="lessThan">
      <formula>#REF!</formula>
    </cfRule>
    <cfRule type="cellIs" dxfId="6" priority="8" operator="greaterThan">
      <formula>#REF!</formula>
    </cfRule>
  </conditionalFormatting>
  <conditionalFormatting sqref="H9">
    <cfRule type="cellIs" dxfId="5" priority="5" operator="lessThan">
      <formula>#REF!</formula>
    </cfRule>
    <cfRule type="cellIs" dxfId="4" priority="6" operator="greaterThan">
      <formula>#REF!</formula>
    </cfRule>
  </conditionalFormatting>
  <conditionalFormatting sqref="H8">
    <cfRule type="cellIs" dxfId="3" priority="3" operator="lessThan">
      <formula>#REF!</formula>
    </cfRule>
    <cfRule type="cellIs" dxfId="2" priority="4" operator="greaterThan">
      <formula>#REF!</formula>
    </cfRule>
  </conditionalFormatting>
  <conditionalFormatting sqref="E8:E9">
    <cfRule type="cellIs" dxfId="1" priority="1" operator="lessThan">
      <formula>#REF!</formula>
    </cfRule>
    <cfRule type="cellIs" dxfId="0" priority="2" operator="greaterThan">
      <formula>#REF!</formula>
    </cfRule>
  </conditionalFormatting>
  <pageMargins left="0.39370078740157483" right="0.39370078740157483" top="0.59055118110236227" bottom="0.39370078740157483" header="0.31496062992125984" footer="0.11811023622047245"/>
  <pageSetup paperSize="9" scale="84" firstPageNumber="41" fitToHeight="0" orientation="portrait" useFirstPageNumber="1" r:id="rId1"/>
  <headerFooter>
    <oddHeader>&amp;L&amp;"Tahoma,Kurzíva"Střednědobý výhled rozpočtu Moravskoslezského kraje na léta 2024-2026&amp;R&amp;"Tahoma,Kurzíva"Přehled akcí financovaných z úvěru České spořitelny, a. s.</oddHeader>
    <oddFooter>&amp;C&amp;"Tahoma,Obyčejné"&amp;P</oddFooter>
  </headerFooter>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B9804-1B45-4830-A2A8-ADFE7AD67BE1}">
  <sheetPr>
    <pageSetUpPr fitToPage="1"/>
  </sheetPr>
  <dimension ref="A1:U79"/>
  <sheetViews>
    <sheetView zoomScaleNormal="100" zoomScaleSheetLayoutView="100" workbookViewId="0">
      <selection activeCell="F57" sqref="F57"/>
    </sheetView>
  </sheetViews>
  <sheetFormatPr defaultRowHeight="10.5" x14ac:dyDescent="0.15"/>
  <cols>
    <col min="1" max="1" width="38.140625" style="603" customWidth="1"/>
    <col min="2" max="2" width="13.42578125" style="603" customWidth="1"/>
    <col min="3" max="10" width="14.7109375" style="603" customWidth="1"/>
    <col min="11" max="253" width="9.140625" style="603"/>
    <col min="254" max="255" width="0" style="603" hidden="1" customWidth="1"/>
    <col min="256" max="256" width="11.140625" style="603" customWidth="1"/>
    <col min="257" max="257" width="43.140625" style="603" customWidth="1"/>
    <col min="258" max="259" width="13.28515625" style="603" customWidth="1"/>
    <col min="260" max="260" width="13.5703125" style="603" customWidth="1"/>
    <col min="261" max="263" width="14.85546875" style="603" customWidth="1"/>
    <col min="264" max="265" width="12.5703125" style="603" bestFit="1" customWidth="1"/>
    <col min="266" max="509" width="9.140625" style="603"/>
    <col min="510" max="511" width="0" style="603" hidden="1" customWidth="1"/>
    <col min="512" max="512" width="11.140625" style="603" customWidth="1"/>
    <col min="513" max="513" width="43.140625" style="603" customWidth="1"/>
    <col min="514" max="515" width="13.28515625" style="603" customWidth="1"/>
    <col min="516" max="516" width="13.5703125" style="603" customWidth="1"/>
    <col min="517" max="519" width="14.85546875" style="603" customWidth="1"/>
    <col min="520" max="521" width="12.5703125" style="603" bestFit="1" customWidth="1"/>
    <col min="522" max="765" width="9.140625" style="603"/>
    <col min="766" max="767" width="0" style="603" hidden="1" customWidth="1"/>
    <col min="768" max="768" width="11.140625" style="603" customWidth="1"/>
    <col min="769" max="769" width="43.140625" style="603" customWidth="1"/>
    <col min="770" max="771" width="13.28515625" style="603" customWidth="1"/>
    <col min="772" max="772" width="13.5703125" style="603" customWidth="1"/>
    <col min="773" max="775" width="14.85546875" style="603" customWidth="1"/>
    <col min="776" max="777" width="12.5703125" style="603" bestFit="1" customWidth="1"/>
    <col min="778" max="1021" width="9.140625" style="603"/>
    <col min="1022" max="1023" width="0" style="603" hidden="1" customWidth="1"/>
    <col min="1024" max="1024" width="11.140625" style="603" customWidth="1"/>
    <col min="1025" max="1025" width="43.140625" style="603" customWidth="1"/>
    <col min="1026" max="1027" width="13.28515625" style="603" customWidth="1"/>
    <col min="1028" max="1028" width="13.5703125" style="603" customWidth="1"/>
    <col min="1029" max="1031" width="14.85546875" style="603" customWidth="1"/>
    <col min="1032" max="1033" width="12.5703125" style="603" bestFit="1" customWidth="1"/>
    <col min="1034" max="1277" width="9.140625" style="603"/>
    <col min="1278" max="1279" width="0" style="603" hidden="1" customWidth="1"/>
    <col min="1280" max="1280" width="11.140625" style="603" customWidth="1"/>
    <col min="1281" max="1281" width="43.140625" style="603" customWidth="1"/>
    <col min="1282" max="1283" width="13.28515625" style="603" customWidth="1"/>
    <col min="1284" max="1284" width="13.5703125" style="603" customWidth="1"/>
    <col min="1285" max="1287" width="14.85546875" style="603" customWidth="1"/>
    <col min="1288" max="1289" width="12.5703125" style="603" bestFit="1" customWidth="1"/>
    <col min="1290" max="1533" width="9.140625" style="603"/>
    <col min="1534" max="1535" width="0" style="603" hidden="1" customWidth="1"/>
    <col min="1536" max="1536" width="11.140625" style="603" customWidth="1"/>
    <col min="1537" max="1537" width="43.140625" style="603" customWidth="1"/>
    <col min="1538" max="1539" width="13.28515625" style="603" customWidth="1"/>
    <col min="1540" max="1540" width="13.5703125" style="603" customWidth="1"/>
    <col min="1541" max="1543" width="14.85546875" style="603" customWidth="1"/>
    <col min="1544" max="1545" width="12.5703125" style="603" bestFit="1" customWidth="1"/>
    <col min="1546" max="1789" width="9.140625" style="603"/>
    <col min="1790" max="1791" width="0" style="603" hidden="1" customWidth="1"/>
    <col min="1792" max="1792" width="11.140625" style="603" customWidth="1"/>
    <col min="1793" max="1793" width="43.140625" style="603" customWidth="1"/>
    <col min="1794" max="1795" width="13.28515625" style="603" customWidth="1"/>
    <col min="1796" max="1796" width="13.5703125" style="603" customWidth="1"/>
    <col min="1797" max="1799" width="14.85546875" style="603" customWidth="1"/>
    <col min="1800" max="1801" width="12.5703125" style="603" bestFit="1" customWidth="1"/>
    <col min="1802" max="2045" width="9.140625" style="603"/>
    <col min="2046" max="2047" width="0" style="603" hidden="1" customWidth="1"/>
    <col min="2048" max="2048" width="11.140625" style="603" customWidth="1"/>
    <col min="2049" max="2049" width="43.140625" style="603" customWidth="1"/>
    <col min="2050" max="2051" width="13.28515625" style="603" customWidth="1"/>
    <col min="2052" max="2052" width="13.5703125" style="603" customWidth="1"/>
    <col min="2053" max="2055" width="14.85546875" style="603" customWidth="1"/>
    <col min="2056" max="2057" width="12.5703125" style="603" bestFit="1" customWidth="1"/>
    <col min="2058" max="2301" width="9.140625" style="603"/>
    <col min="2302" max="2303" width="0" style="603" hidden="1" customWidth="1"/>
    <col min="2304" max="2304" width="11.140625" style="603" customWidth="1"/>
    <col min="2305" max="2305" width="43.140625" style="603" customWidth="1"/>
    <col min="2306" max="2307" width="13.28515625" style="603" customWidth="1"/>
    <col min="2308" max="2308" width="13.5703125" style="603" customWidth="1"/>
    <col min="2309" max="2311" width="14.85546875" style="603" customWidth="1"/>
    <col min="2312" max="2313" width="12.5703125" style="603" bestFit="1" customWidth="1"/>
    <col min="2314" max="2557" width="9.140625" style="603"/>
    <col min="2558" max="2559" width="0" style="603" hidden="1" customWidth="1"/>
    <col min="2560" max="2560" width="11.140625" style="603" customWidth="1"/>
    <col min="2561" max="2561" width="43.140625" style="603" customWidth="1"/>
    <col min="2562" max="2563" width="13.28515625" style="603" customWidth="1"/>
    <col min="2564" max="2564" width="13.5703125" style="603" customWidth="1"/>
    <col min="2565" max="2567" width="14.85546875" style="603" customWidth="1"/>
    <col min="2568" max="2569" width="12.5703125" style="603" bestFit="1" customWidth="1"/>
    <col min="2570" max="2813" width="9.140625" style="603"/>
    <col min="2814" max="2815" width="0" style="603" hidden="1" customWidth="1"/>
    <col min="2816" max="2816" width="11.140625" style="603" customWidth="1"/>
    <col min="2817" max="2817" width="43.140625" style="603" customWidth="1"/>
    <col min="2818" max="2819" width="13.28515625" style="603" customWidth="1"/>
    <col min="2820" max="2820" width="13.5703125" style="603" customWidth="1"/>
    <col min="2821" max="2823" width="14.85546875" style="603" customWidth="1"/>
    <col min="2824" max="2825" width="12.5703125" style="603" bestFit="1" customWidth="1"/>
    <col min="2826" max="3069" width="9.140625" style="603"/>
    <col min="3070" max="3071" width="0" style="603" hidden="1" customWidth="1"/>
    <col min="3072" max="3072" width="11.140625" style="603" customWidth="1"/>
    <col min="3073" max="3073" width="43.140625" style="603" customWidth="1"/>
    <col min="3074" max="3075" width="13.28515625" style="603" customWidth="1"/>
    <col min="3076" max="3076" width="13.5703125" style="603" customWidth="1"/>
    <col min="3077" max="3079" width="14.85546875" style="603" customWidth="1"/>
    <col min="3080" max="3081" width="12.5703125" style="603" bestFit="1" customWidth="1"/>
    <col min="3082" max="3325" width="9.140625" style="603"/>
    <col min="3326" max="3327" width="0" style="603" hidden="1" customWidth="1"/>
    <col min="3328" max="3328" width="11.140625" style="603" customWidth="1"/>
    <col min="3329" max="3329" width="43.140625" style="603" customWidth="1"/>
    <col min="3330" max="3331" width="13.28515625" style="603" customWidth="1"/>
    <col min="3332" max="3332" width="13.5703125" style="603" customWidth="1"/>
    <col min="3333" max="3335" width="14.85546875" style="603" customWidth="1"/>
    <col min="3336" max="3337" width="12.5703125" style="603" bestFit="1" customWidth="1"/>
    <col min="3338" max="3581" width="9.140625" style="603"/>
    <col min="3582" max="3583" width="0" style="603" hidden="1" customWidth="1"/>
    <col min="3584" max="3584" width="11.140625" style="603" customWidth="1"/>
    <col min="3585" max="3585" width="43.140625" style="603" customWidth="1"/>
    <col min="3586" max="3587" width="13.28515625" style="603" customWidth="1"/>
    <col min="3588" max="3588" width="13.5703125" style="603" customWidth="1"/>
    <col min="3589" max="3591" width="14.85546875" style="603" customWidth="1"/>
    <col min="3592" max="3593" width="12.5703125" style="603" bestFit="1" customWidth="1"/>
    <col min="3594" max="3837" width="9.140625" style="603"/>
    <col min="3838" max="3839" width="0" style="603" hidden="1" customWidth="1"/>
    <col min="3840" max="3840" width="11.140625" style="603" customWidth="1"/>
    <col min="3841" max="3841" width="43.140625" style="603" customWidth="1"/>
    <col min="3842" max="3843" width="13.28515625" style="603" customWidth="1"/>
    <col min="3844" max="3844" width="13.5703125" style="603" customWidth="1"/>
    <col min="3845" max="3847" width="14.85546875" style="603" customWidth="1"/>
    <col min="3848" max="3849" width="12.5703125" style="603" bestFit="1" customWidth="1"/>
    <col min="3850" max="4093" width="9.140625" style="603"/>
    <col min="4094" max="4095" width="0" style="603" hidden="1" customWidth="1"/>
    <col min="4096" max="4096" width="11.140625" style="603" customWidth="1"/>
    <col min="4097" max="4097" width="43.140625" style="603" customWidth="1"/>
    <col min="4098" max="4099" width="13.28515625" style="603" customWidth="1"/>
    <col min="4100" max="4100" width="13.5703125" style="603" customWidth="1"/>
    <col min="4101" max="4103" width="14.85546875" style="603" customWidth="1"/>
    <col min="4104" max="4105" width="12.5703125" style="603" bestFit="1" customWidth="1"/>
    <col min="4106" max="4349" width="9.140625" style="603"/>
    <col min="4350" max="4351" width="0" style="603" hidden="1" customWidth="1"/>
    <col min="4352" max="4352" width="11.140625" style="603" customWidth="1"/>
    <col min="4353" max="4353" width="43.140625" style="603" customWidth="1"/>
    <col min="4354" max="4355" width="13.28515625" style="603" customWidth="1"/>
    <col min="4356" max="4356" width="13.5703125" style="603" customWidth="1"/>
    <col min="4357" max="4359" width="14.85546875" style="603" customWidth="1"/>
    <col min="4360" max="4361" width="12.5703125" style="603" bestFit="1" customWidth="1"/>
    <col min="4362" max="4605" width="9.140625" style="603"/>
    <col min="4606" max="4607" width="0" style="603" hidden="1" customWidth="1"/>
    <col min="4608" max="4608" width="11.140625" style="603" customWidth="1"/>
    <col min="4609" max="4609" width="43.140625" style="603" customWidth="1"/>
    <col min="4610" max="4611" width="13.28515625" style="603" customWidth="1"/>
    <col min="4612" max="4612" width="13.5703125" style="603" customWidth="1"/>
    <col min="4613" max="4615" width="14.85546875" style="603" customWidth="1"/>
    <col min="4616" max="4617" width="12.5703125" style="603" bestFit="1" customWidth="1"/>
    <col min="4618" max="4861" width="9.140625" style="603"/>
    <col min="4862" max="4863" width="0" style="603" hidden="1" customWidth="1"/>
    <col min="4864" max="4864" width="11.140625" style="603" customWidth="1"/>
    <col min="4865" max="4865" width="43.140625" style="603" customWidth="1"/>
    <col min="4866" max="4867" width="13.28515625" style="603" customWidth="1"/>
    <col min="4868" max="4868" width="13.5703125" style="603" customWidth="1"/>
    <col min="4869" max="4871" width="14.85546875" style="603" customWidth="1"/>
    <col min="4872" max="4873" width="12.5703125" style="603" bestFit="1" customWidth="1"/>
    <col min="4874" max="5117" width="9.140625" style="603"/>
    <col min="5118" max="5119" width="0" style="603" hidden="1" customWidth="1"/>
    <col min="5120" max="5120" width="11.140625" style="603" customWidth="1"/>
    <col min="5121" max="5121" width="43.140625" style="603" customWidth="1"/>
    <col min="5122" max="5123" width="13.28515625" style="603" customWidth="1"/>
    <col min="5124" max="5124" width="13.5703125" style="603" customWidth="1"/>
    <col min="5125" max="5127" width="14.85546875" style="603" customWidth="1"/>
    <col min="5128" max="5129" width="12.5703125" style="603" bestFit="1" customWidth="1"/>
    <col min="5130" max="5373" width="9.140625" style="603"/>
    <col min="5374" max="5375" width="0" style="603" hidden="1" customWidth="1"/>
    <col min="5376" max="5376" width="11.140625" style="603" customWidth="1"/>
    <col min="5377" max="5377" width="43.140625" style="603" customWidth="1"/>
    <col min="5378" max="5379" width="13.28515625" style="603" customWidth="1"/>
    <col min="5380" max="5380" width="13.5703125" style="603" customWidth="1"/>
    <col min="5381" max="5383" width="14.85546875" style="603" customWidth="1"/>
    <col min="5384" max="5385" width="12.5703125" style="603" bestFit="1" customWidth="1"/>
    <col min="5386" max="5629" width="9.140625" style="603"/>
    <col min="5630" max="5631" width="0" style="603" hidden="1" customWidth="1"/>
    <col min="5632" max="5632" width="11.140625" style="603" customWidth="1"/>
    <col min="5633" max="5633" width="43.140625" style="603" customWidth="1"/>
    <col min="5634" max="5635" width="13.28515625" style="603" customWidth="1"/>
    <col min="5636" max="5636" width="13.5703125" style="603" customWidth="1"/>
    <col min="5637" max="5639" width="14.85546875" style="603" customWidth="1"/>
    <col min="5640" max="5641" width="12.5703125" style="603" bestFit="1" customWidth="1"/>
    <col min="5642" max="5885" width="9.140625" style="603"/>
    <col min="5886" max="5887" width="0" style="603" hidden="1" customWidth="1"/>
    <col min="5888" max="5888" width="11.140625" style="603" customWidth="1"/>
    <col min="5889" max="5889" width="43.140625" style="603" customWidth="1"/>
    <col min="5890" max="5891" width="13.28515625" style="603" customWidth="1"/>
    <col min="5892" max="5892" width="13.5703125" style="603" customWidth="1"/>
    <col min="5893" max="5895" width="14.85546875" style="603" customWidth="1"/>
    <col min="5896" max="5897" width="12.5703125" style="603" bestFit="1" customWidth="1"/>
    <col min="5898" max="6141" width="9.140625" style="603"/>
    <col min="6142" max="6143" width="0" style="603" hidden="1" customWidth="1"/>
    <col min="6144" max="6144" width="11.140625" style="603" customWidth="1"/>
    <col min="6145" max="6145" width="43.140625" style="603" customWidth="1"/>
    <col min="6146" max="6147" width="13.28515625" style="603" customWidth="1"/>
    <col min="6148" max="6148" width="13.5703125" style="603" customWidth="1"/>
    <col min="6149" max="6151" width="14.85546875" style="603" customWidth="1"/>
    <col min="6152" max="6153" width="12.5703125" style="603" bestFit="1" customWidth="1"/>
    <col min="6154" max="6397" width="9.140625" style="603"/>
    <col min="6398" max="6399" width="0" style="603" hidden="1" customWidth="1"/>
    <col min="6400" max="6400" width="11.140625" style="603" customWidth="1"/>
    <col min="6401" max="6401" width="43.140625" style="603" customWidth="1"/>
    <col min="6402" max="6403" width="13.28515625" style="603" customWidth="1"/>
    <col min="6404" max="6404" width="13.5703125" style="603" customWidth="1"/>
    <col min="6405" max="6407" width="14.85546875" style="603" customWidth="1"/>
    <col min="6408" max="6409" width="12.5703125" style="603" bestFit="1" customWidth="1"/>
    <col min="6410" max="6653" width="9.140625" style="603"/>
    <col min="6654" max="6655" width="0" style="603" hidden="1" customWidth="1"/>
    <col min="6656" max="6656" width="11.140625" style="603" customWidth="1"/>
    <col min="6657" max="6657" width="43.140625" style="603" customWidth="1"/>
    <col min="6658" max="6659" width="13.28515625" style="603" customWidth="1"/>
    <col min="6660" max="6660" width="13.5703125" style="603" customWidth="1"/>
    <col min="6661" max="6663" width="14.85546875" style="603" customWidth="1"/>
    <col min="6664" max="6665" width="12.5703125" style="603" bestFit="1" customWidth="1"/>
    <col min="6666" max="6909" width="9.140625" style="603"/>
    <col min="6910" max="6911" width="0" style="603" hidden="1" customWidth="1"/>
    <col min="6912" max="6912" width="11.140625" style="603" customWidth="1"/>
    <col min="6913" max="6913" width="43.140625" style="603" customWidth="1"/>
    <col min="6914" max="6915" width="13.28515625" style="603" customWidth="1"/>
    <col min="6916" max="6916" width="13.5703125" style="603" customWidth="1"/>
    <col min="6917" max="6919" width="14.85546875" style="603" customWidth="1"/>
    <col min="6920" max="6921" width="12.5703125" style="603" bestFit="1" customWidth="1"/>
    <col min="6922" max="7165" width="9.140625" style="603"/>
    <col min="7166" max="7167" width="0" style="603" hidden="1" customWidth="1"/>
    <col min="7168" max="7168" width="11.140625" style="603" customWidth="1"/>
    <col min="7169" max="7169" width="43.140625" style="603" customWidth="1"/>
    <col min="7170" max="7171" width="13.28515625" style="603" customWidth="1"/>
    <col min="7172" max="7172" width="13.5703125" style="603" customWidth="1"/>
    <col min="7173" max="7175" width="14.85546875" style="603" customWidth="1"/>
    <col min="7176" max="7177" width="12.5703125" style="603" bestFit="1" customWidth="1"/>
    <col min="7178" max="7421" width="9.140625" style="603"/>
    <col min="7422" max="7423" width="0" style="603" hidden="1" customWidth="1"/>
    <col min="7424" max="7424" width="11.140625" style="603" customWidth="1"/>
    <col min="7425" max="7425" width="43.140625" style="603" customWidth="1"/>
    <col min="7426" max="7427" width="13.28515625" style="603" customWidth="1"/>
    <col min="7428" max="7428" width="13.5703125" style="603" customWidth="1"/>
    <col min="7429" max="7431" width="14.85546875" style="603" customWidth="1"/>
    <col min="7432" max="7433" width="12.5703125" style="603" bestFit="1" customWidth="1"/>
    <col min="7434" max="7677" width="9.140625" style="603"/>
    <col min="7678" max="7679" width="0" style="603" hidden="1" customWidth="1"/>
    <col min="7680" max="7680" width="11.140625" style="603" customWidth="1"/>
    <col min="7681" max="7681" width="43.140625" style="603" customWidth="1"/>
    <col min="7682" max="7683" width="13.28515625" style="603" customWidth="1"/>
    <col min="7684" max="7684" width="13.5703125" style="603" customWidth="1"/>
    <col min="7685" max="7687" width="14.85546875" style="603" customWidth="1"/>
    <col min="7688" max="7689" width="12.5703125" style="603" bestFit="1" customWidth="1"/>
    <col min="7690" max="7933" width="9.140625" style="603"/>
    <col min="7934" max="7935" width="0" style="603" hidden="1" customWidth="1"/>
    <col min="7936" max="7936" width="11.140625" style="603" customWidth="1"/>
    <col min="7937" max="7937" width="43.140625" style="603" customWidth="1"/>
    <col min="7938" max="7939" width="13.28515625" style="603" customWidth="1"/>
    <col min="7940" max="7940" width="13.5703125" style="603" customWidth="1"/>
    <col min="7941" max="7943" width="14.85546875" style="603" customWidth="1"/>
    <col min="7944" max="7945" width="12.5703125" style="603" bestFit="1" customWidth="1"/>
    <col min="7946" max="8189" width="9.140625" style="603"/>
    <col min="8190" max="8191" width="0" style="603" hidden="1" customWidth="1"/>
    <col min="8192" max="8192" width="11.140625" style="603" customWidth="1"/>
    <col min="8193" max="8193" width="43.140625" style="603" customWidth="1"/>
    <col min="8194" max="8195" width="13.28515625" style="603" customWidth="1"/>
    <col min="8196" max="8196" width="13.5703125" style="603" customWidth="1"/>
    <col min="8197" max="8199" width="14.85546875" style="603" customWidth="1"/>
    <col min="8200" max="8201" width="12.5703125" style="603" bestFit="1" customWidth="1"/>
    <col min="8202" max="8445" width="9.140625" style="603"/>
    <col min="8446" max="8447" width="0" style="603" hidden="1" customWidth="1"/>
    <col min="8448" max="8448" width="11.140625" style="603" customWidth="1"/>
    <col min="8449" max="8449" width="43.140625" style="603" customWidth="1"/>
    <col min="8450" max="8451" width="13.28515625" style="603" customWidth="1"/>
    <col min="8452" max="8452" width="13.5703125" style="603" customWidth="1"/>
    <col min="8453" max="8455" width="14.85546875" style="603" customWidth="1"/>
    <col min="8456" max="8457" width="12.5703125" style="603" bestFit="1" customWidth="1"/>
    <col min="8458" max="8701" width="9.140625" style="603"/>
    <col min="8702" max="8703" width="0" style="603" hidden="1" customWidth="1"/>
    <col min="8704" max="8704" width="11.140625" style="603" customWidth="1"/>
    <col min="8705" max="8705" width="43.140625" style="603" customWidth="1"/>
    <col min="8706" max="8707" width="13.28515625" style="603" customWidth="1"/>
    <col min="8708" max="8708" width="13.5703125" style="603" customWidth="1"/>
    <col min="8709" max="8711" width="14.85546875" style="603" customWidth="1"/>
    <col min="8712" max="8713" width="12.5703125" style="603" bestFit="1" customWidth="1"/>
    <col min="8714" max="8957" width="9.140625" style="603"/>
    <col min="8958" max="8959" width="0" style="603" hidden="1" customWidth="1"/>
    <col min="8960" max="8960" width="11.140625" style="603" customWidth="1"/>
    <col min="8961" max="8961" width="43.140625" style="603" customWidth="1"/>
    <col min="8962" max="8963" width="13.28515625" style="603" customWidth="1"/>
    <col min="8964" max="8964" width="13.5703125" style="603" customWidth="1"/>
    <col min="8965" max="8967" width="14.85546875" style="603" customWidth="1"/>
    <col min="8968" max="8969" width="12.5703125" style="603" bestFit="1" customWidth="1"/>
    <col min="8970" max="9213" width="9.140625" style="603"/>
    <col min="9214" max="9215" width="0" style="603" hidden="1" customWidth="1"/>
    <col min="9216" max="9216" width="11.140625" style="603" customWidth="1"/>
    <col min="9217" max="9217" width="43.140625" style="603" customWidth="1"/>
    <col min="9218" max="9219" width="13.28515625" style="603" customWidth="1"/>
    <col min="9220" max="9220" width="13.5703125" style="603" customWidth="1"/>
    <col min="9221" max="9223" width="14.85546875" style="603" customWidth="1"/>
    <col min="9224" max="9225" width="12.5703125" style="603" bestFit="1" customWidth="1"/>
    <col min="9226" max="9469" width="9.140625" style="603"/>
    <col min="9470" max="9471" width="0" style="603" hidden="1" customWidth="1"/>
    <col min="9472" max="9472" width="11.140625" style="603" customWidth="1"/>
    <col min="9473" max="9473" width="43.140625" style="603" customWidth="1"/>
    <col min="9474" max="9475" width="13.28515625" style="603" customWidth="1"/>
    <col min="9476" max="9476" width="13.5703125" style="603" customWidth="1"/>
    <col min="9477" max="9479" width="14.85546875" style="603" customWidth="1"/>
    <col min="9480" max="9481" width="12.5703125" style="603" bestFit="1" customWidth="1"/>
    <col min="9482" max="9725" width="9.140625" style="603"/>
    <col min="9726" max="9727" width="0" style="603" hidden="1" customWidth="1"/>
    <col min="9728" max="9728" width="11.140625" style="603" customWidth="1"/>
    <col min="9729" max="9729" width="43.140625" style="603" customWidth="1"/>
    <col min="9730" max="9731" width="13.28515625" style="603" customWidth="1"/>
    <col min="9732" max="9732" width="13.5703125" style="603" customWidth="1"/>
    <col min="9733" max="9735" width="14.85546875" style="603" customWidth="1"/>
    <col min="9736" max="9737" width="12.5703125" style="603" bestFit="1" customWidth="1"/>
    <col min="9738" max="9981" width="9.140625" style="603"/>
    <col min="9982" max="9983" width="0" style="603" hidden="1" customWidth="1"/>
    <col min="9984" max="9984" width="11.140625" style="603" customWidth="1"/>
    <col min="9985" max="9985" width="43.140625" style="603" customWidth="1"/>
    <col min="9986" max="9987" width="13.28515625" style="603" customWidth="1"/>
    <col min="9988" max="9988" width="13.5703125" style="603" customWidth="1"/>
    <col min="9989" max="9991" width="14.85546875" style="603" customWidth="1"/>
    <col min="9992" max="9993" width="12.5703125" style="603" bestFit="1" customWidth="1"/>
    <col min="9994" max="10237" width="9.140625" style="603"/>
    <col min="10238" max="10239" width="0" style="603" hidden="1" customWidth="1"/>
    <col min="10240" max="10240" width="11.140625" style="603" customWidth="1"/>
    <col min="10241" max="10241" width="43.140625" style="603" customWidth="1"/>
    <col min="10242" max="10243" width="13.28515625" style="603" customWidth="1"/>
    <col min="10244" max="10244" width="13.5703125" style="603" customWidth="1"/>
    <col min="10245" max="10247" width="14.85546875" style="603" customWidth="1"/>
    <col min="10248" max="10249" width="12.5703125" style="603" bestFit="1" customWidth="1"/>
    <col min="10250" max="10493" width="9.140625" style="603"/>
    <col min="10494" max="10495" width="0" style="603" hidden="1" customWidth="1"/>
    <col min="10496" max="10496" width="11.140625" style="603" customWidth="1"/>
    <col min="10497" max="10497" width="43.140625" style="603" customWidth="1"/>
    <col min="10498" max="10499" width="13.28515625" style="603" customWidth="1"/>
    <col min="10500" max="10500" width="13.5703125" style="603" customWidth="1"/>
    <col min="10501" max="10503" width="14.85546875" style="603" customWidth="1"/>
    <col min="10504" max="10505" width="12.5703125" style="603" bestFit="1" customWidth="1"/>
    <col min="10506" max="10749" width="9.140625" style="603"/>
    <col min="10750" max="10751" width="0" style="603" hidden="1" customWidth="1"/>
    <col min="10752" max="10752" width="11.140625" style="603" customWidth="1"/>
    <col min="10753" max="10753" width="43.140625" style="603" customWidth="1"/>
    <col min="10754" max="10755" width="13.28515625" style="603" customWidth="1"/>
    <col min="10756" max="10756" width="13.5703125" style="603" customWidth="1"/>
    <col min="10757" max="10759" width="14.85546875" style="603" customWidth="1"/>
    <col min="10760" max="10761" width="12.5703125" style="603" bestFit="1" customWidth="1"/>
    <col min="10762" max="11005" width="9.140625" style="603"/>
    <col min="11006" max="11007" width="0" style="603" hidden="1" customWidth="1"/>
    <col min="11008" max="11008" width="11.140625" style="603" customWidth="1"/>
    <col min="11009" max="11009" width="43.140625" style="603" customWidth="1"/>
    <col min="11010" max="11011" width="13.28515625" style="603" customWidth="1"/>
    <col min="11012" max="11012" width="13.5703125" style="603" customWidth="1"/>
    <col min="11013" max="11015" width="14.85546875" style="603" customWidth="1"/>
    <col min="11016" max="11017" width="12.5703125" style="603" bestFit="1" customWidth="1"/>
    <col min="11018" max="11261" width="9.140625" style="603"/>
    <col min="11262" max="11263" width="0" style="603" hidden="1" customWidth="1"/>
    <col min="11264" max="11264" width="11.140625" style="603" customWidth="1"/>
    <col min="11265" max="11265" width="43.140625" style="603" customWidth="1"/>
    <col min="11266" max="11267" width="13.28515625" style="603" customWidth="1"/>
    <col min="11268" max="11268" width="13.5703125" style="603" customWidth="1"/>
    <col min="11269" max="11271" width="14.85546875" style="603" customWidth="1"/>
    <col min="11272" max="11273" width="12.5703125" style="603" bestFit="1" customWidth="1"/>
    <col min="11274" max="11517" width="9.140625" style="603"/>
    <col min="11518" max="11519" width="0" style="603" hidden="1" customWidth="1"/>
    <col min="11520" max="11520" width="11.140625" style="603" customWidth="1"/>
    <col min="11521" max="11521" width="43.140625" style="603" customWidth="1"/>
    <col min="11522" max="11523" width="13.28515625" style="603" customWidth="1"/>
    <col min="11524" max="11524" width="13.5703125" style="603" customWidth="1"/>
    <col min="11525" max="11527" width="14.85546875" style="603" customWidth="1"/>
    <col min="11528" max="11529" width="12.5703125" style="603" bestFit="1" customWidth="1"/>
    <col min="11530" max="11773" width="9.140625" style="603"/>
    <col min="11774" max="11775" width="0" style="603" hidden="1" customWidth="1"/>
    <col min="11776" max="11776" width="11.140625" style="603" customWidth="1"/>
    <col min="11777" max="11777" width="43.140625" style="603" customWidth="1"/>
    <col min="11778" max="11779" width="13.28515625" style="603" customWidth="1"/>
    <col min="11780" max="11780" width="13.5703125" style="603" customWidth="1"/>
    <col min="11781" max="11783" width="14.85546875" style="603" customWidth="1"/>
    <col min="11784" max="11785" width="12.5703125" style="603" bestFit="1" customWidth="1"/>
    <col min="11786" max="12029" width="9.140625" style="603"/>
    <col min="12030" max="12031" width="0" style="603" hidden="1" customWidth="1"/>
    <col min="12032" max="12032" width="11.140625" style="603" customWidth="1"/>
    <col min="12033" max="12033" width="43.140625" style="603" customWidth="1"/>
    <col min="12034" max="12035" width="13.28515625" style="603" customWidth="1"/>
    <col min="12036" max="12036" width="13.5703125" style="603" customWidth="1"/>
    <col min="12037" max="12039" width="14.85546875" style="603" customWidth="1"/>
    <col min="12040" max="12041" width="12.5703125" style="603" bestFit="1" customWidth="1"/>
    <col min="12042" max="12285" width="9.140625" style="603"/>
    <col min="12286" max="12287" width="0" style="603" hidden="1" customWidth="1"/>
    <col min="12288" max="12288" width="11.140625" style="603" customWidth="1"/>
    <col min="12289" max="12289" width="43.140625" style="603" customWidth="1"/>
    <col min="12290" max="12291" width="13.28515625" style="603" customWidth="1"/>
    <col min="12292" max="12292" width="13.5703125" style="603" customWidth="1"/>
    <col min="12293" max="12295" width="14.85546875" style="603" customWidth="1"/>
    <col min="12296" max="12297" width="12.5703125" style="603" bestFit="1" customWidth="1"/>
    <col min="12298" max="12541" width="9.140625" style="603"/>
    <col min="12542" max="12543" width="0" style="603" hidden="1" customWidth="1"/>
    <col min="12544" max="12544" width="11.140625" style="603" customWidth="1"/>
    <col min="12545" max="12545" width="43.140625" style="603" customWidth="1"/>
    <col min="12546" max="12547" width="13.28515625" style="603" customWidth="1"/>
    <col min="12548" max="12548" width="13.5703125" style="603" customWidth="1"/>
    <col min="12549" max="12551" width="14.85546875" style="603" customWidth="1"/>
    <col min="12552" max="12553" width="12.5703125" style="603" bestFit="1" customWidth="1"/>
    <col min="12554" max="12797" width="9.140625" style="603"/>
    <col min="12798" max="12799" width="0" style="603" hidden="1" customWidth="1"/>
    <col min="12800" max="12800" width="11.140625" style="603" customWidth="1"/>
    <col min="12801" max="12801" width="43.140625" style="603" customWidth="1"/>
    <col min="12802" max="12803" width="13.28515625" style="603" customWidth="1"/>
    <col min="12804" max="12804" width="13.5703125" style="603" customWidth="1"/>
    <col min="12805" max="12807" width="14.85546875" style="603" customWidth="1"/>
    <col min="12808" max="12809" width="12.5703125" style="603" bestFit="1" customWidth="1"/>
    <col min="12810" max="13053" width="9.140625" style="603"/>
    <col min="13054" max="13055" width="0" style="603" hidden="1" customWidth="1"/>
    <col min="13056" max="13056" width="11.140625" style="603" customWidth="1"/>
    <col min="13057" max="13057" width="43.140625" style="603" customWidth="1"/>
    <col min="13058" max="13059" width="13.28515625" style="603" customWidth="1"/>
    <col min="13060" max="13060" width="13.5703125" style="603" customWidth="1"/>
    <col min="13061" max="13063" width="14.85546875" style="603" customWidth="1"/>
    <col min="13064" max="13065" width="12.5703125" style="603" bestFit="1" customWidth="1"/>
    <col min="13066" max="13309" width="9.140625" style="603"/>
    <col min="13310" max="13311" width="0" style="603" hidden="1" customWidth="1"/>
    <col min="13312" max="13312" width="11.140625" style="603" customWidth="1"/>
    <col min="13313" max="13313" width="43.140625" style="603" customWidth="1"/>
    <col min="13314" max="13315" width="13.28515625" style="603" customWidth="1"/>
    <col min="13316" max="13316" width="13.5703125" style="603" customWidth="1"/>
    <col min="13317" max="13319" width="14.85546875" style="603" customWidth="1"/>
    <col min="13320" max="13321" width="12.5703125" style="603" bestFit="1" customWidth="1"/>
    <col min="13322" max="13565" width="9.140625" style="603"/>
    <col min="13566" max="13567" width="0" style="603" hidden="1" customWidth="1"/>
    <col min="13568" max="13568" width="11.140625" style="603" customWidth="1"/>
    <col min="13569" max="13569" width="43.140625" style="603" customWidth="1"/>
    <col min="13570" max="13571" width="13.28515625" style="603" customWidth="1"/>
    <col min="13572" max="13572" width="13.5703125" style="603" customWidth="1"/>
    <col min="13573" max="13575" width="14.85546875" style="603" customWidth="1"/>
    <col min="13576" max="13577" width="12.5703125" style="603" bestFit="1" customWidth="1"/>
    <col min="13578" max="13821" width="9.140625" style="603"/>
    <col min="13822" max="13823" width="0" style="603" hidden="1" customWidth="1"/>
    <col min="13824" max="13824" width="11.140625" style="603" customWidth="1"/>
    <col min="13825" max="13825" width="43.140625" style="603" customWidth="1"/>
    <col min="13826" max="13827" width="13.28515625" style="603" customWidth="1"/>
    <col min="13828" max="13828" width="13.5703125" style="603" customWidth="1"/>
    <col min="13829" max="13831" width="14.85546875" style="603" customWidth="1"/>
    <col min="13832" max="13833" width="12.5703125" style="603" bestFit="1" customWidth="1"/>
    <col min="13834" max="14077" width="9.140625" style="603"/>
    <col min="14078" max="14079" width="0" style="603" hidden="1" customWidth="1"/>
    <col min="14080" max="14080" width="11.140625" style="603" customWidth="1"/>
    <col min="14081" max="14081" width="43.140625" style="603" customWidth="1"/>
    <col min="14082" max="14083" width="13.28515625" style="603" customWidth="1"/>
    <col min="14084" max="14084" width="13.5703125" style="603" customWidth="1"/>
    <col min="14085" max="14087" width="14.85546875" style="603" customWidth="1"/>
    <col min="14088" max="14089" width="12.5703125" style="603" bestFit="1" customWidth="1"/>
    <col min="14090" max="14333" width="9.140625" style="603"/>
    <col min="14334" max="14335" width="0" style="603" hidden="1" customWidth="1"/>
    <col min="14336" max="14336" width="11.140625" style="603" customWidth="1"/>
    <col min="14337" max="14337" width="43.140625" style="603" customWidth="1"/>
    <col min="14338" max="14339" width="13.28515625" style="603" customWidth="1"/>
    <col min="14340" max="14340" width="13.5703125" style="603" customWidth="1"/>
    <col min="14341" max="14343" width="14.85546875" style="603" customWidth="1"/>
    <col min="14344" max="14345" width="12.5703125" style="603" bestFit="1" customWidth="1"/>
    <col min="14346" max="14589" width="9.140625" style="603"/>
    <col min="14590" max="14591" width="0" style="603" hidden="1" customWidth="1"/>
    <col min="14592" max="14592" width="11.140625" style="603" customWidth="1"/>
    <col min="14593" max="14593" width="43.140625" style="603" customWidth="1"/>
    <col min="14594" max="14595" width="13.28515625" style="603" customWidth="1"/>
    <col min="14596" max="14596" width="13.5703125" style="603" customWidth="1"/>
    <col min="14597" max="14599" width="14.85546875" style="603" customWidth="1"/>
    <col min="14600" max="14601" width="12.5703125" style="603" bestFit="1" customWidth="1"/>
    <col min="14602" max="14845" width="9.140625" style="603"/>
    <col min="14846" max="14847" width="0" style="603" hidden="1" customWidth="1"/>
    <col min="14848" max="14848" width="11.140625" style="603" customWidth="1"/>
    <col min="14849" max="14849" width="43.140625" style="603" customWidth="1"/>
    <col min="14850" max="14851" width="13.28515625" style="603" customWidth="1"/>
    <col min="14852" max="14852" width="13.5703125" style="603" customWidth="1"/>
    <col min="14853" max="14855" width="14.85546875" style="603" customWidth="1"/>
    <col min="14856" max="14857" width="12.5703125" style="603" bestFit="1" customWidth="1"/>
    <col min="14858" max="15101" width="9.140625" style="603"/>
    <col min="15102" max="15103" width="0" style="603" hidden="1" customWidth="1"/>
    <col min="15104" max="15104" width="11.140625" style="603" customWidth="1"/>
    <col min="15105" max="15105" width="43.140625" style="603" customWidth="1"/>
    <col min="15106" max="15107" width="13.28515625" style="603" customWidth="1"/>
    <col min="15108" max="15108" width="13.5703125" style="603" customWidth="1"/>
    <col min="15109" max="15111" width="14.85546875" style="603" customWidth="1"/>
    <col min="15112" max="15113" width="12.5703125" style="603" bestFit="1" customWidth="1"/>
    <col min="15114" max="15357" width="9.140625" style="603"/>
    <col min="15358" max="15359" width="0" style="603" hidden="1" customWidth="1"/>
    <col min="15360" max="15360" width="11.140625" style="603" customWidth="1"/>
    <col min="15361" max="15361" width="43.140625" style="603" customWidth="1"/>
    <col min="15362" max="15363" width="13.28515625" style="603" customWidth="1"/>
    <col min="15364" max="15364" width="13.5703125" style="603" customWidth="1"/>
    <col min="15365" max="15367" width="14.85546875" style="603" customWidth="1"/>
    <col min="15368" max="15369" width="12.5703125" style="603" bestFit="1" customWidth="1"/>
    <col min="15370" max="15613" width="9.140625" style="603"/>
    <col min="15614" max="15615" width="0" style="603" hidden="1" customWidth="1"/>
    <col min="15616" max="15616" width="11.140625" style="603" customWidth="1"/>
    <col min="15617" max="15617" width="43.140625" style="603" customWidth="1"/>
    <col min="15618" max="15619" width="13.28515625" style="603" customWidth="1"/>
    <col min="15620" max="15620" width="13.5703125" style="603" customWidth="1"/>
    <col min="15621" max="15623" width="14.85546875" style="603" customWidth="1"/>
    <col min="15624" max="15625" width="12.5703125" style="603" bestFit="1" customWidth="1"/>
    <col min="15626" max="15869" width="9.140625" style="603"/>
    <col min="15870" max="15871" width="0" style="603" hidden="1" customWidth="1"/>
    <col min="15872" max="15872" width="11.140625" style="603" customWidth="1"/>
    <col min="15873" max="15873" width="43.140625" style="603" customWidth="1"/>
    <col min="15874" max="15875" width="13.28515625" style="603" customWidth="1"/>
    <col min="15876" max="15876" width="13.5703125" style="603" customWidth="1"/>
    <col min="15877" max="15879" width="14.85546875" style="603" customWidth="1"/>
    <col min="15880" max="15881" width="12.5703125" style="603" bestFit="1" customWidth="1"/>
    <col min="15882" max="16125" width="9.140625" style="603"/>
    <col min="16126" max="16127" width="0" style="603" hidden="1" customWidth="1"/>
    <col min="16128" max="16128" width="11.140625" style="603" customWidth="1"/>
    <col min="16129" max="16129" width="43.140625" style="603" customWidth="1"/>
    <col min="16130" max="16131" width="13.28515625" style="603" customWidth="1"/>
    <col min="16132" max="16132" width="13.5703125" style="603" customWidth="1"/>
    <col min="16133" max="16135" width="14.85546875" style="603" customWidth="1"/>
    <col min="16136" max="16137" width="12.5703125" style="603" bestFit="1" customWidth="1"/>
    <col min="16138" max="16384" width="9.140625" style="603"/>
  </cols>
  <sheetData>
    <row r="1" spans="1:21" ht="15" customHeight="1" x14ac:dyDescent="0.2">
      <c r="A1" s="21" t="s">
        <v>537</v>
      </c>
    </row>
    <row r="2" spans="1:21" ht="27.75" customHeight="1" x14ac:dyDescent="0.15">
      <c r="A2" s="747" t="s">
        <v>997</v>
      </c>
      <c r="B2" s="747"/>
      <c r="C2" s="747"/>
      <c r="D2" s="747"/>
      <c r="E2" s="747"/>
      <c r="F2" s="747"/>
      <c r="G2" s="747"/>
      <c r="H2" s="747"/>
      <c r="I2" s="747"/>
      <c r="J2" s="747"/>
    </row>
    <row r="4" spans="1:21" ht="18" customHeight="1" x14ac:dyDescent="0.15">
      <c r="A4" s="748" t="s">
        <v>66</v>
      </c>
      <c r="B4" s="748"/>
      <c r="C4" s="748"/>
      <c r="D4" s="748"/>
      <c r="E4" s="748"/>
      <c r="F4" s="748"/>
      <c r="G4" s="748"/>
      <c r="H4" s="748"/>
      <c r="I4" s="748"/>
      <c r="J4" s="748"/>
      <c r="L4" s="284"/>
    </row>
    <row r="5" spans="1:21" ht="12" customHeight="1" thickBot="1" x14ac:dyDescent="0.2">
      <c r="E5" s="70"/>
      <c r="F5" s="70"/>
      <c r="H5" s="70"/>
      <c r="I5" s="70"/>
      <c r="J5" s="70" t="s">
        <v>216</v>
      </c>
      <c r="L5" s="284"/>
    </row>
    <row r="6" spans="1:21" ht="18" customHeight="1" thickBot="1" x14ac:dyDescent="0.2">
      <c r="A6" s="749" t="s">
        <v>182</v>
      </c>
      <c r="B6" s="750"/>
      <c r="C6" s="71">
        <v>2019</v>
      </c>
      <c r="D6" s="71">
        <v>2020</v>
      </c>
      <c r="E6" s="71">
        <v>2021</v>
      </c>
      <c r="F6" s="71" t="s">
        <v>259</v>
      </c>
      <c r="G6" s="71" t="s">
        <v>335</v>
      </c>
      <c r="H6" s="71" t="s">
        <v>479</v>
      </c>
      <c r="I6" s="71" t="s">
        <v>480</v>
      </c>
      <c r="J6" s="73" t="s">
        <v>995</v>
      </c>
      <c r="K6" s="602"/>
      <c r="L6" s="285"/>
      <c r="O6" s="286"/>
      <c r="P6" s="286"/>
      <c r="Q6" s="286"/>
      <c r="R6" s="286"/>
      <c r="S6" s="286"/>
      <c r="T6" s="286"/>
      <c r="U6" s="286"/>
    </row>
    <row r="7" spans="1:21" ht="15" customHeight="1" x14ac:dyDescent="0.15">
      <c r="A7" s="751" t="s">
        <v>185</v>
      </c>
      <c r="B7" s="752"/>
      <c r="C7" s="74">
        <v>7461.8069657899996</v>
      </c>
      <c r="D7" s="74">
        <v>7028.05</v>
      </c>
      <c r="E7" s="74">
        <v>7979.0790210499999</v>
      </c>
      <c r="F7" s="74">
        <f>7283.7+1600</f>
        <v>8883.7000000000007</v>
      </c>
      <c r="G7" s="74">
        <v>8580.9500000000007</v>
      </c>
      <c r="H7" s="74">
        <v>9375.9500000000007</v>
      </c>
      <c r="I7" s="74">
        <v>9875.9500000000007</v>
      </c>
      <c r="J7" s="86">
        <v>10375.950000000001</v>
      </c>
      <c r="K7" s="602"/>
      <c r="L7" s="285"/>
      <c r="O7" s="286"/>
      <c r="P7" s="286"/>
      <c r="Q7" s="286"/>
      <c r="R7" s="286"/>
      <c r="S7" s="286"/>
      <c r="T7" s="286"/>
      <c r="U7" s="286"/>
    </row>
    <row r="8" spans="1:21" ht="15" customHeight="1" x14ac:dyDescent="0.15">
      <c r="A8" s="753" t="s">
        <v>186</v>
      </c>
      <c r="B8" s="754" t="s">
        <v>186</v>
      </c>
      <c r="C8" s="75">
        <v>703.92454936000001</v>
      </c>
      <c r="D8" s="75">
        <v>618.72799999999995</v>
      </c>
      <c r="E8" s="75">
        <v>704.68975509999996</v>
      </c>
      <c r="F8" s="75">
        <v>899.11342400000001</v>
      </c>
      <c r="G8" s="75">
        <v>755.53599999999994</v>
      </c>
      <c r="H8" s="75">
        <v>937.41300000000001</v>
      </c>
      <c r="I8" s="75">
        <v>576.303</v>
      </c>
      <c r="J8" s="77">
        <v>574.59100000000001</v>
      </c>
      <c r="K8" s="602"/>
      <c r="L8" s="285"/>
      <c r="M8" s="613"/>
      <c r="N8" s="613"/>
      <c r="O8" s="613"/>
      <c r="P8" s="286"/>
      <c r="Q8" s="286"/>
      <c r="R8" s="286"/>
      <c r="S8" s="286"/>
      <c r="T8" s="286"/>
      <c r="U8" s="286"/>
    </row>
    <row r="9" spans="1:21" ht="15" customHeight="1" x14ac:dyDescent="0.15">
      <c r="A9" s="755" t="s">
        <v>187</v>
      </c>
      <c r="B9" s="756" t="s">
        <v>187</v>
      </c>
      <c r="C9" s="75">
        <v>18353.186900029999</v>
      </c>
      <c r="D9" s="75">
        <v>21346.588</v>
      </c>
      <c r="E9" s="75">
        <v>23725.770668659996</v>
      </c>
      <c r="F9" s="75">
        <v>24629.542444999999</v>
      </c>
      <c r="G9" s="75">
        <v>25041.052</v>
      </c>
      <c r="H9" s="75">
        <v>25052.059000000001</v>
      </c>
      <c r="I9" s="75">
        <v>25057.225999999999</v>
      </c>
      <c r="J9" s="77">
        <v>25026.593000000001</v>
      </c>
      <c r="K9" s="602"/>
      <c r="L9" s="285"/>
      <c r="O9" s="286"/>
      <c r="P9" s="286"/>
      <c r="Q9" s="286"/>
      <c r="R9" s="286"/>
      <c r="S9" s="286"/>
      <c r="T9" s="286"/>
      <c r="U9" s="286"/>
    </row>
    <row r="10" spans="1:21" ht="15" customHeight="1" x14ac:dyDescent="0.15">
      <c r="A10" s="757" t="s">
        <v>188</v>
      </c>
      <c r="B10" s="758" t="s">
        <v>189</v>
      </c>
      <c r="C10" s="78">
        <v>26518.91841518</v>
      </c>
      <c r="D10" s="78">
        <v>28993.366000000002</v>
      </c>
      <c r="E10" s="78">
        <f t="shared" ref="E10:I10" si="0">SUM(E7:E9)</f>
        <v>32409.539444809998</v>
      </c>
      <c r="F10" s="78">
        <f t="shared" si="0"/>
        <v>34412.355868999999</v>
      </c>
      <c r="G10" s="78">
        <f t="shared" si="0"/>
        <v>34377.538</v>
      </c>
      <c r="H10" s="78">
        <f t="shared" si="0"/>
        <v>35365.422000000006</v>
      </c>
      <c r="I10" s="78">
        <f t="shared" si="0"/>
        <v>35509.478999999999</v>
      </c>
      <c r="J10" s="79">
        <f>SUM(J7:J9)</f>
        <v>35977.134000000005</v>
      </c>
      <c r="M10" s="287"/>
      <c r="N10" s="287"/>
      <c r="O10" s="287"/>
      <c r="P10" s="287"/>
      <c r="Q10" s="287"/>
      <c r="R10" s="287"/>
      <c r="S10" s="287"/>
      <c r="T10" s="287"/>
      <c r="U10" s="287"/>
    </row>
    <row r="11" spans="1:21" ht="28.5" customHeight="1" thickBot="1" x14ac:dyDescent="0.25">
      <c r="A11" s="759" t="s">
        <v>190</v>
      </c>
      <c r="B11" s="760"/>
      <c r="C11" s="288">
        <v>2184.0676429999999</v>
      </c>
      <c r="D11" s="288">
        <v>1787.8765310000001</v>
      </c>
      <c r="E11" s="288">
        <v>1751.36402406</v>
      </c>
      <c r="F11" s="75">
        <v>2686.4480383499999</v>
      </c>
      <c r="G11" s="75">
        <v>3851.2117414499999</v>
      </c>
      <c r="H11" s="75">
        <v>5185.0442857400003</v>
      </c>
      <c r="I11" s="75">
        <v>5589.6650000299996</v>
      </c>
      <c r="J11" s="77">
        <v>4122.7690000000002</v>
      </c>
      <c r="K11" s="602"/>
      <c r="L11" s="602"/>
      <c r="M11" s="289"/>
      <c r="N11" s="289"/>
      <c r="O11" s="290"/>
      <c r="P11" s="290"/>
      <c r="Q11" s="290"/>
      <c r="R11" s="290"/>
      <c r="S11" s="290"/>
      <c r="T11" s="290"/>
      <c r="U11" s="290"/>
    </row>
    <row r="12" spans="1:21" ht="28.5" customHeight="1" thickBot="1" x14ac:dyDescent="0.2">
      <c r="A12" s="761" t="s">
        <v>191</v>
      </c>
      <c r="B12" s="762" t="s">
        <v>192</v>
      </c>
      <c r="C12" s="80">
        <f t="shared" ref="C12:E12" si="1">C11/C10</f>
        <v>8.2358850719559978E-2</v>
      </c>
      <c r="D12" s="80">
        <f t="shared" si="1"/>
        <v>6.1665021267278866E-2</v>
      </c>
      <c r="E12" s="80">
        <f t="shared" si="1"/>
        <v>5.4038534766666056E-2</v>
      </c>
      <c r="F12" s="80">
        <f>F11/F10</f>
        <v>7.8066379662487972E-2</v>
      </c>
      <c r="G12" s="80">
        <f>G11/G10</f>
        <v>0.11202697940294619</v>
      </c>
      <c r="H12" s="80">
        <f>H11/H10</f>
        <v>0.14661338653727926</v>
      </c>
      <c r="I12" s="80">
        <f>I11/I10</f>
        <v>0.15741332053984797</v>
      </c>
      <c r="J12" s="81">
        <f>J11/J10</f>
        <v>0.11459414749379424</v>
      </c>
      <c r="K12" s="602"/>
      <c r="L12" s="602"/>
      <c r="M12" s="289"/>
      <c r="N12" s="289"/>
      <c r="O12" s="290"/>
      <c r="P12" s="290"/>
      <c r="Q12" s="290"/>
      <c r="R12" s="290"/>
      <c r="S12" s="290"/>
      <c r="T12" s="290"/>
      <c r="U12" s="290"/>
    </row>
    <row r="13" spans="1:21" ht="11.25" hidden="1" x14ac:dyDescent="0.15">
      <c r="A13" s="82" t="s">
        <v>193</v>
      </c>
      <c r="B13" s="83" t="s">
        <v>194</v>
      </c>
      <c r="K13" s="602"/>
      <c r="L13" s="602"/>
      <c r="M13" s="289"/>
      <c r="N13" s="289"/>
      <c r="O13" s="290"/>
      <c r="P13" s="290"/>
      <c r="Q13" s="290"/>
      <c r="R13" s="290"/>
      <c r="S13" s="290"/>
      <c r="T13" s="290"/>
      <c r="U13" s="290"/>
    </row>
    <row r="14" spans="1:21" ht="11.25" hidden="1" x14ac:dyDescent="0.15">
      <c r="A14" s="82" t="s">
        <v>195</v>
      </c>
      <c r="B14" s="83" t="s">
        <v>196</v>
      </c>
      <c r="K14" s="602"/>
      <c r="L14" s="602"/>
      <c r="M14" s="289"/>
      <c r="N14" s="289"/>
      <c r="O14" s="290"/>
      <c r="P14" s="290"/>
      <c r="Q14" s="290"/>
      <c r="R14" s="290"/>
      <c r="S14" s="290"/>
      <c r="T14" s="290"/>
      <c r="U14" s="290"/>
    </row>
    <row r="15" spans="1:21" ht="45.75" hidden="1" customHeight="1" x14ac:dyDescent="0.15">
      <c r="K15" s="602"/>
      <c r="L15" s="602"/>
      <c r="M15" s="289"/>
      <c r="N15" s="289"/>
      <c r="O15" s="290"/>
      <c r="P15" s="290"/>
      <c r="Q15" s="290"/>
      <c r="R15" s="290"/>
      <c r="S15" s="290"/>
      <c r="T15" s="290"/>
      <c r="U15" s="290"/>
    </row>
    <row r="16" spans="1:21" s="84" customFormat="1" ht="17.25" hidden="1" customHeight="1" x14ac:dyDescent="0.15">
      <c r="A16" s="748" t="s">
        <v>336</v>
      </c>
      <c r="B16" s="748"/>
      <c r="C16" s="748"/>
      <c r="D16" s="748"/>
      <c r="E16" s="748"/>
      <c r="F16" s="748"/>
      <c r="G16" s="748"/>
      <c r="H16" s="603"/>
      <c r="I16" s="603"/>
      <c r="J16" s="603"/>
      <c r="K16" s="602"/>
      <c r="L16" s="602"/>
      <c r="M16" s="601"/>
      <c r="N16" s="601"/>
      <c r="O16" s="292"/>
      <c r="P16" s="292"/>
      <c r="Q16" s="292"/>
      <c r="R16" s="292"/>
      <c r="S16" s="292"/>
      <c r="T16" s="292"/>
      <c r="U16" s="292"/>
    </row>
    <row r="17" spans="1:21" ht="11.25" hidden="1" customHeight="1" x14ac:dyDescent="0.2">
      <c r="A17" s="69"/>
      <c r="E17" s="70"/>
      <c r="F17" s="70"/>
      <c r="G17" s="70" t="s">
        <v>260</v>
      </c>
      <c r="H17" s="70"/>
      <c r="I17" s="70"/>
      <c r="J17" s="70"/>
      <c r="K17" s="602"/>
      <c r="L17" s="602"/>
      <c r="M17" s="287"/>
      <c r="N17" s="287"/>
      <c r="O17" s="290"/>
      <c r="P17" s="290"/>
      <c r="Q17" s="290"/>
      <c r="R17" s="290"/>
      <c r="S17" s="290"/>
      <c r="T17" s="290"/>
      <c r="U17" s="290"/>
    </row>
    <row r="18" spans="1:21" ht="18" hidden="1" customHeight="1" x14ac:dyDescent="0.15">
      <c r="A18" s="749" t="s">
        <v>182</v>
      </c>
      <c r="B18" s="750"/>
      <c r="C18" s="71" t="s">
        <v>183</v>
      </c>
      <c r="D18" s="72" t="s">
        <v>184</v>
      </c>
      <c r="E18" s="72"/>
      <c r="F18" s="72" t="s">
        <v>259</v>
      </c>
      <c r="G18" s="73" t="s">
        <v>335</v>
      </c>
      <c r="H18" s="73"/>
      <c r="I18" s="73"/>
      <c r="J18" s="73"/>
      <c r="K18" s="602"/>
      <c r="L18" s="285"/>
      <c r="O18" s="286"/>
      <c r="P18" s="286"/>
      <c r="Q18" s="286"/>
      <c r="R18" s="286"/>
      <c r="S18" s="286"/>
      <c r="T18" s="286"/>
      <c r="U18" s="286"/>
    </row>
    <row r="19" spans="1:21" ht="17.25" hidden="1" customHeight="1" x14ac:dyDescent="0.15">
      <c r="A19" s="745" t="s">
        <v>185</v>
      </c>
      <c r="B19" s="746"/>
      <c r="C19" s="85">
        <f t="shared" ref="C19:G21" si="2">C7</f>
        <v>7461.8069657899996</v>
      </c>
      <c r="D19" s="87">
        <f t="shared" si="2"/>
        <v>7028.05</v>
      </c>
      <c r="E19" s="87"/>
      <c r="F19" s="87">
        <f t="shared" si="2"/>
        <v>8883.7000000000007</v>
      </c>
      <c r="G19" s="86">
        <f t="shared" si="2"/>
        <v>8580.9500000000007</v>
      </c>
      <c r="H19" s="86"/>
      <c r="I19" s="86"/>
      <c r="J19" s="86"/>
      <c r="O19" s="602"/>
      <c r="P19" s="602"/>
      <c r="Q19" s="602"/>
      <c r="R19" s="602"/>
      <c r="S19" s="602"/>
      <c r="T19" s="602"/>
      <c r="U19" s="602"/>
    </row>
    <row r="20" spans="1:21" ht="17.25" hidden="1" customHeight="1" x14ac:dyDescent="0.15">
      <c r="A20" s="755" t="s">
        <v>186</v>
      </c>
      <c r="B20" s="756"/>
      <c r="C20" s="85">
        <f t="shared" si="2"/>
        <v>703.92454936000001</v>
      </c>
      <c r="D20" s="87">
        <f t="shared" si="2"/>
        <v>618.72799999999995</v>
      </c>
      <c r="E20" s="87"/>
      <c r="F20" s="87">
        <f t="shared" si="2"/>
        <v>899.11342400000001</v>
      </c>
      <c r="G20" s="86">
        <f t="shared" si="2"/>
        <v>755.53599999999994</v>
      </c>
      <c r="H20" s="86"/>
      <c r="I20" s="86"/>
      <c r="J20" s="86"/>
      <c r="K20" s="286"/>
      <c r="L20" s="291"/>
      <c r="M20" s="291"/>
      <c r="N20" s="291"/>
      <c r="O20" s="293"/>
      <c r="P20" s="293"/>
      <c r="Q20" s="293"/>
      <c r="R20" s="293"/>
      <c r="S20" s="293"/>
      <c r="T20" s="293"/>
      <c r="U20" s="293"/>
    </row>
    <row r="21" spans="1:21" ht="42" hidden="1" customHeight="1" x14ac:dyDescent="0.15">
      <c r="A21" s="755" t="s">
        <v>187</v>
      </c>
      <c r="B21" s="756"/>
      <c r="C21" s="85">
        <f t="shared" si="2"/>
        <v>18353.186900029999</v>
      </c>
      <c r="D21" s="87">
        <f t="shared" si="2"/>
        <v>21346.588</v>
      </c>
      <c r="E21" s="87"/>
      <c r="F21" s="87">
        <f t="shared" si="2"/>
        <v>24629.542444999999</v>
      </c>
      <c r="G21" s="86">
        <f t="shared" si="2"/>
        <v>25041.052</v>
      </c>
      <c r="H21" s="86"/>
      <c r="I21" s="86"/>
      <c r="J21" s="86"/>
      <c r="L21" s="602"/>
      <c r="M21" s="294"/>
      <c r="N21" s="294"/>
      <c r="O21" s="295"/>
      <c r="P21" s="295"/>
      <c r="Q21" s="295"/>
      <c r="R21" s="295"/>
      <c r="S21" s="295"/>
      <c r="T21" s="295"/>
      <c r="U21" s="295"/>
    </row>
    <row r="22" spans="1:21" ht="16.5" hidden="1" customHeight="1" x14ac:dyDescent="0.15">
      <c r="A22" s="765" t="s">
        <v>188</v>
      </c>
      <c r="B22" s="766"/>
      <c r="C22" s="88">
        <f t="shared" ref="C22:G22" si="3">SUM(C19:C21)</f>
        <v>26518.91841518</v>
      </c>
      <c r="D22" s="88">
        <f t="shared" si="3"/>
        <v>28993.366000000002</v>
      </c>
      <c r="E22" s="88"/>
      <c r="F22" s="88">
        <f t="shared" si="3"/>
        <v>34412.355868999999</v>
      </c>
      <c r="G22" s="89">
        <f t="shared" si="3"/>
        <v>34377.538</v>
      </c>
      <c r="H22" s="89"/>
      <c r="I22" s="89"/>
      <c r="J22" s="89"/>
      <c r="L22" s="602"/>
      <c r="M22" s="601"/>
      <c r="N22" s="601"/>
      <c r="O22" s="295"/>
      <c r="P22" s="295"/>
      <c r="Q22" s="295"/>
      <c r="R22" s="295"/>
      <c r="S22" s="295"/>
      <c r="T22" s="295"/>
      <c r="U22" s="295"/>
    </row>
    <row r="23" spans="1:21" ht="5.25" hidden="1" customHeight="1" x14ac:dyDescent="0.15">
      <c r="A23" s="90"/>
      <c r="B23" s="91"/>
      <c r="C23" s="92"/>
      <c r="D23" s="92"/>
      <c r="E23" s="92"/>
      <c r="F23" s="92"/>
      <c r="G23" s="93"/>
      <c r="H23" s="93"/>
      <c r="I23" s="93"/>
      <c r="J23" s="93"/>
      <c r="L23" s="602"/>
      <c r="M23" s="767"/>
      <c r="N23" s="767"/>
      <c r="O23" s="295"/>
      <c r="P23" s="295"/>
      <c r="Q23" s="295"/>
      <c r="R23" s="295"/>
      <c r="S23" s="295"/>
      <c r="T23" s="295"/>
      <c r="U23" s="295"/>
    </row>
    <row r="24" spans="1:21" ht="15" hidden="1" customHeight="1" x14ac:dyDescent="0.15">
      <c r="A24" s="745" t="s">
        <v>197</v>
      </c>
      <c r="B24" s="746"/>
      <c r="C24" s="87">
        <v>2514.7914584600003</v>
      </c>
      <c r="D24" s="87">
        <v>1944.6391734600002</v>
      </c>
      <c r="E24" s="87"/>
      <c r="F24" s="87">
        <v>1497.4428578700004</v>
      </c>
      <c r="G24" s="86">
        <v>725.87657216000002</v>
      </c>
      <c r="H24" s="86"/>
      <c r="I24" s="86"/>
      <c r="J24" s="86"/>
    </row>
    <row r="25" spans="1:21" ht="15" hidden="1" customHeight="1" x14ac:dyDescent="0.15">
      <c r="A25" s="755" t="s">
        <v>198</v>
      </c>
      <c r="B25" s="756"/>
      <c r="C25" s="76">
        <v>72.3</v>
      </c>
      <c r="D25" s="76">
        <v>72.099999999999994</v>
      </c>
      <c r="E25" s="76"/>
      <c r="F25" s="76">
        <v>72.099999999999994</v>
      </c>
      <c r="G25" s="77">
        <v>0</v>
      </c>
      <c r="H25" s="77"/>
      <c r="I25" s="77"/>
      <c r="J25" s="77"/>
    </row>
    <row r="26" spans="1:21" ht="15" hidden="1" customHeight="1" x14ac:dyDescent="0.15">
      <c r="A26" s="755" t="s">
        <v>199</v>
      </c>
      <c r="B26" s="756"/>
      <c r="C26" s="76">
        <v>0</v>
      </c>
      <c r="D26" s="76">
        <v>0</v>
      </c>
      <c r="E26" s="76"/>
      <c r="F26" s="76">
        <v>0</v>
      </c>
      <c r="G26" s="77">
        <v>0</v>
      </c>
      <c r="H26" s="77"/>
      <c r="I26" s="77"/>
      <c r="J26" s="77"/>
    </row>
    <row r="27" spans="1:21" ht="15.75" hidden="1" customHeight="1" x14ac:dyDescent="0.15">
      <c r="A27" s="763" t="s">
        <v>200</v>
      </c>
      <c r="B27" s="764"/>
      <c r="C27" s="88">
        <f t="shared" ref="C27:G27" si="4">SUM(C24:C26)</f>
        <v>2587.0914584600005</v>
      </c>
      <c r="D27" s="88">
        <f t="shared" si="4"/>
        <v>2016.7391734600001</v>
      </c>
      <c r="E27" s="88"/>
      <c r="F27" s="88">
        <f t="shared" si="4"/>
        <v>1569.5428578700003</v>
      </c>
      <c r="G27" s="89">
        <f t="shared" si="4"/>
        <v>725.87657216000002</v>
      </c>
      <c r="H27" s="89"/>
      <c r="I27" s="89"/>
      <c r="J27" s="89"/>
    </row>
    <row r="28" spans="1:21" ht="3.75" hidden="1" customHeight="1" x14ac:dyDescent="0.15">
      <c r="A28" s="90"/>
      <c r="B28" s="91"/>
      <c r="C28" s="92"/>
      <c r="D28" s="92"/>
      <c r="E28" s="92"/>
      <c r="F28" s="92"/>
      <c r="G28" s="93"/>
      <c r="H28" s="93"/>
      <c r="I28" s="93"/>
      <c r="J28" s="93"/>
    </row>
    <row r="29" spans="1:21" ht="27" hidden="1" customHeight="1" x14ac:dyDescent="0.15">
      <c r="A29" s="768" t="s">
        <v>201</v>
      </c>
      <c r="B29" s="769"/>
      <c r="C29" s="87">
        <v>1777.81228571</v>
      </c>
      <c r="D29" s="87">
        <v>1262.060285</v>
      </c>
      <c r="E29" s="87"/>
      <c r="F29" s="87">
        <v>838.56128570999999</v>
      </c>
      <c r="G29" s="86">
        <v>1153.16828571</v>
      </c>
      <c r="H29" s="86"/>
      <c r="I29" s="86"/>
      <c r="J29" s="86"/>
    </row>
    <row r="30" spans="1:21" ht="15" hidden="1" customHeight="1" x14ac:dyDescent="0.15">
      <c r="A30" s="770" t="s">
        <v>202</v>
      </c>
      <c r="B30" s="771"/>
      <c r="C30" s="76">
        <v>58.78</v>
      </c>
      <c r="D30" s="76">
        <v>45</v>
      </c>
      <c r="E30" s="76"/>
      <c r="F30" s="76">
        <v>36</v>
      </c>
      <c r="G30" s="77">
        <v>30</v>
      </c>
      <c r="H30" s="77"/>
      <c r="I30" s="77"/>
      <c r="J30" s="77"/>
    </row>
    <row r="31" spans="1:21" ht="15.75" hidden="1" customHeight="1" x14ac:dyDescent="0.15">
      <c r="A31" s="763" t="s">
        <v>203</v>
      </c>
      <c r="B31" s="764"/>
      <c r="C31" s="88">
        <f t="shared" ref="C31:G31" si="5">SUM(C29:C30)</f>
        <v>1836.5922857099999</v>
      </c>
      <c r="D31" s="88">
        <f t="shared" si="5"/>
        <v>1307.060285</v>
      </c>
      <c r="E31" s="88"/>
      <c r="F31" s="88">
        <f t="shared" si="5"/>
        <v>874.56128570999999</v>
      </c>
      <c r="G31" s="89">
        <f t="shared" si="5"/>
        <v>1183.16828571</v>
      </c>
      <c r="H31" s="89"/>
      <c r="I31" s="89"/>
      <c r="J31" s="89"/>
    </row>
    <row r="32" spans="1:21" ht="5.25" hidden="1" customHeight="1" x14ac:dyDescent="0.15">
      <c r="A32" s="90"/>
      <c r="B32" s="91"/>
      <c r="C32" s="92"/>
      <c r="D32" s="92"/>
      <c r="E32" s="92"/>
      <c r="F32" s="92"/>
      <c r="G32" s="93"/>
      <c r="H32" s="93"/>
      <c r="I32" s="93"/>
      <c r="J32" s="93"/>
    </row>
    <row r="33" spans="1:15" ht="15" hidden="1" customHeight="1" x14ac:dyDescent="0.15">
      <c r="A33" s="768" t="s">
        <v>204</v>
      </c>
      <c r="B33" s="769"/>
      <c r="C33" s="87">
        <v>25313.829259999999</v>
      </c>
      <c r="D33" s="87">
        <v>26780.404999999999</v>
      </c>
      <c r="E33" s="87"/>
      <c r="F33" s="87">
        <v>26857.46643</v>
      </c>
      <c r="G33" s="86">
        <v>26917.470999999998</v>
      </c>
      <c r="H33" s="86"/>
      <c r="I33" s="86"/>
      <c r="J33" s="86"/>
    </row>
    <row r="34" spans="1:15" ht="15.75" hidden="1" customHeight="1" x14ac:dyDescent="0.15">
      <c r="A34" s="763" t="s">
        <v>205</v>
      </c>
      <c r="B34" s="764"/>
      <c r="C34" s="88">
        <f t="shared" ref="C34:F34" si="6">SUM(C33)</f>
        <v>25313.829259999999</v>
      </c>
      <c r="D34" s="88">
        <f t="shared" si="6"/>
        <v>26780.404999999999</v>
      </c>
      <c r="E34" s="88"/>
      <c r="F34" s="88">
        <f t="shared" si="6"/>
        <v>26857.46643</v>
      </c>
      <c r="G34" s="89">
        <f t="shared" ref="G34" si="7">SUM(G33)</f>
        <v>26917.470999999998</v>
      </c>
      <c r="H34" s="89"/>
      <c r="I34" s="89"/>
      <c r="J34" s="89"/>
    </row>
    <row r="35" spans="1:15" ht="3.75" hidden="1" customHeight="1" x14ac:dyDescent="0.15">
      <c r="A35" s="90"/>
      <c r="B35" s="91"/>
      <c r="C35" s="92"/>
      <c r="D35" s="92"/>
      <c r="E35" s="92"/>
      <c r="F35" s="92"/>
      <c r="G35" s="93"/>
      <c r="H35" s="93"/>
      <c r="I35" s="93"/>
      <c r="J35" s="93"/>
    </row>
    <row r="36" spans="1:15" ht="24.75" hidden="1" customHeight="1" x14ac:dyDescent="0.15">
      <c r="A36" s="772" t="s">
        <v>206</v>
      </c>
      <c r="B36" s="773"/>
      <c r="C36" s="94">
        <f t="shared" ref="C36:G36" si="8">C22-(C34-C30)</f>
        <v>1263.8691551800002</v>
      </c>
      <c r="D36" s="94">
        <f t="shared" si="8"/>
        <v>2257.961000000003</v>
      </c>
      <c r="E36" s="94"/>
      <c r="F36" s="94">
        <f t="shared" si="8"/>
        <v>7590.8894389999987</v>
      </c>
      <c r="G36" s="95">
        <f t="shared" si="8"/>
        <v>7490.0670000000027</v>
      </c>
      <c r="H36" s="95"/>
      <c r="I36" s="95"/>
      <c r="J36" s="95"/>
    </row>
    <row r="37" spans="1:15" ht="6" hidden="1" customHeight="1" x14ac:dyDescent="0.15">
      <c r="A37" s="96"/>
      <c r="B37" s="97"/>
      <c r="C37" s="98"/>
      <c r="D37" s="98"/>
      <c r="E37" s="98"/>
      <c r="F37" s="98"/>
      <c r="G37" s="99"/>
      <c r="H37" s="99"/>
      <c r="I37" s="99"/>
      <c r="J37" s="99"/>
    </row>
    <row r="38" spans="1:15" ht="33" hidden="1" customHeight="1" x14ac:dyDescent="0.15">
      <c r="A38" s="774" t="s">
        <v>207</v>
      </c>
      <c r="B38" s="775"/>
      <c r="C38" s="100">
        <f t="shared" ref="C38:G38" si="9">C27/C22</f>
        <v>9.7556446984621126E-2</v>
      </c>
      <c r="D38" s="100">
        <f t="shared" si="9"/>
        <v>6.9558642258370412E-2</v>
      </c>
      <c r="E38" s="100"/>
      <c r="F38" s="100">
        <f t="shared" si="9"/>
        <v>4.5609863615408731E-2</v>
      </c>
      <c r="G38" s="101">
        <f t="shared" si="9"/>
        <v>2.1114850404935923E-2</v>
      </c>
      <c r="H38" s="101"/>
      <c r="I38" s="101"/>
      <c r="J38" s="101"/>
    </row>
    <row r="39" spans="1:15" ht="33.75" hidden="1" customHeight="1" x14ac:dyDescent="0.15">
      <c r="A39" s="776" t="s">
        <v>208</v>
      </c>
      <c r="B39" s="777"/>
      <c r="C39" s="102">
        <f t="shared" ref="C39:G39" si="10">C31/C22</f>
        <v>6.9255927295235956E-2</v>
      </c>
      <c r="D39" s="102">
        <f t="shared" si="10"/>
        <v>4.5081357059404553E-2</v>
      </c>
      <c r="E39" s="102"/>
      <c r="F39" s="102">
        <f t="shared" si="10"/>
        <v>2.5414164872618883E-2</v>
      </c>
      <c r="G39" s="103">
        <f t="shared" si="10"/>
        <v>3.441689994524913E-2</v>
      </c>
      <c r="H39" s="103"/>
      <c r="I39" s="103"/>
      <c r="J39" s="103"/>
    </row>
    <row r="40" spans="1:15" ht="33" hidden="1" customHeight="1" x14ac:dyDescent="0.15">
      <c r="A40" s="763" t="s">
        <v>209</v>
      </c>
      <c r="B40" s="764"/>
      <c r="C40" s="104">
        <f t="shared" ref="C40:G40" si="11">C36/C30</f>
        <v>21.501686886355905</v>
      </c>
      <c r="D40" s="104">
        <f t="shared" si="11"/>
        <v>50.176911111111174</v>
      </c>
      <c r="E40" s="104"/>
      <c r="F40" s="104">
        <f t="shared" si="11"/>
        <v>210.85803997222217</v>
      </c>
      <c r="G40" s="105">
        <f t="shared" si="11"/>
        <v>249.66890000000009</v>
      </c>
      <c r="H40" s="105"/>
      <c r="I40" s="105"/>
      <c r="J40" s="105"/>
    </row>
    <row r="41" spans="1:15" ht="35.25" customHeight="1" x14ac:dyDescent="0.15">
      <c r="A41" s="106"/>
      <c r="B41" s="107"/>
    </row>
    <row r="42" spans="1:15" ht="18" customHeight="1" x14ac:dyDescent="0.15">
      <c r="A42" s="748" t="s">
        <v>67</v>
      </c>
      <c r="B42" s="748"/>
      <c r="C42" s="748"/>
      <c r="D42" s="748"/>
      <c r="E42" s="748"/>
      <c r="F42" s="748"/>
      <c r="G42" s="748"/>
      <c r="H42" s="748"/>
      <c r="I42" s="748"/>
      <c r="J42" s="748"/>
    </row>
    <row r="43" spans="1:15" ht="12" thickBot="1" x14ac:dyDescent="0.2">
      <c r="A43" s="82"/>
      <c r="B43" s="83"/>
      <c r="F43" s="70"/>
      <c r="H43" s="70"/>
      <c r="I43" s="70"/>
      <c r="J43" s="70" t="s">
        <v>260</v>
      </c>
    </row>
    <row r="44" spans="1:15" ht="18" customHeight="1" thickBot="1" x14ac:dyDescent="0.2">
      <c r="A44" s="749" t="s">
        <v>182</v>
      </c>
      <c r="B44" s="750"/>
      <c r="C44" s="71">
        <v>2019</v>
      </c>
      <c r="D44" s="71">
        <v>2020</v>
      </c>
      <c r="E44" s="71">
        <v>2021</v>
      </c>
      <c r="F44" s="71" t="s">
        <v>259</v>
      </c>
      <c r="G44" s="71" t="s">
        <v>335</v>
      </c>
      <c r="H44" s="71" t="s">
        <v>479</v>
      </c>
      <c r="I44" s="71" t="s">
        <v>480</v>
      </c>
      <c r="J44" s="614" t="s">
        <v>995</v>
      </c>
    </row>
    <row r="45" spans="1:15" ht="17.25" customHeight="1" x14ac:dyDescent="0.15">
      <c r="A45" s="778" t="s">
        <v>210</v>
      </c>
      <c r="B45" s="779">
        <v>17394.467784840002</v>
      </c>
      <c r="C45" s="74">
        <v>27879.472000000002</v>
      </c>
      <c r="D45" s="74">
        <v>30200.325000000001</v>
      </c>
      <c r="E45" s="74">
        <v>33744.101270209998</v>
      </c>
      <c r="F45" s="74">
        <v>35505.418172999998</v>
      </c>
      <c r="G45" s="74">
        <v>36279.482000000004</v>
      </c>
      <c r="H45" s="74">
        <v>38960.063999999998</v>
      </c>
      <c r="I45" s="74">
        <v>39906.327000000005</v>
      </c>
      <c r="J45" s="615">
        <v>40674.094999999994</v>
      </c>
      <c r="M45" s="613"/>
      <c r="N45" s="613"/>
      <c r="O45" s="613"/>
    </row>
    <row r="46" spans="1:15" ht="17.25" customHeight="1" x14ac:dyDescent="0.15">
      <c r="A46" s="755" t="s">
        <v>211</v>
      </c>
      <c r="B46" s="756"/>
      <c r="C46" s="75">
        <v>23497.412</v>
      </c>
      <c r="D46" s="75">
        <v>25884.942999999999</v>
      </c>
      <c r="E46" s="75">
        <v>28977.18693027</v>
      </c>
      <c r="F46" s="75">
        <v>31832.329146880002</v>
      </c>
      <c r="G46" s="75">
        <v>33932.331628882501</v>
      </c>
      <c r="H46" s="75">
        <v>36122.266360802496</v>
      </c>
      <c r="I46" s="75">
        <v>37662.822793250001</v>
      </c>
      <c r="J46" s="77">
        <v>38954.991999999998</v>
      </c>
    </row>
    <row r="47" spans="1:15" ht="17.25" customHeight="1" thickBot="1" x14ac:dyDescent="0.2">
      <c r="A47" s="780" t="s">
        <v>212</v>
      </c>
      <c r="B47" s="781"/>
      <c r="C47" s="303">
        <f t="shared" ref="C47:D47" si="12">C11</f>
        <v>2184.0676429999999</v>
      </c>
      <c r="D47" s="303">
        <f t="shared" si="12"/>
        <v>1787.8765310000001</v>
      </c>
      <c r="E47" s="303">
        <v>1751.36402406</v>
      </c>
      <c r="F47" s="75">
        <v>2686.4480383499999</v>
      </c>
      <c r="G47" s="75">
        <v>3851.2117414499999</v>
      </c>
      <c r="H47" s="75">
        <v>5185.0442857400003</v>
      </c>
      <c r="I47" s="75">
        <v>5589.6650000299996</v>
      </c>
      <c r="J47" s="77">
        <v>4122.7690000000002</v>
      </c>
    </row>
    <row r="48" spans="1:15" ht="19.5" customHeight="1" thickBot="1" x14ac:dyDescent="0.2">
      <c r="A48" s="761" t="s">
        <v>213</v>
      </c>
      <c r="B48" s="762"/>
      <c r="C48" s="80">
        <f t="shared" ref="C48:J48" si="13">(C47)/C46</f>
        <v>9.2949284925505832E-2</v>
      </c>
      <c r="D48" s="80">
        <f t="shared" si="13"/>
        <v>6.9070135908740463E-2</v>
      </c>
      <c r="E48" s="80">
        <f>(E47)/E46</f>
        <v>6.043940801688031E-2</v>
      </c>
      <c r="F48" s="80">
        <f t="shared" si="13"/>
        <v>8.4393700063675928E-2</v>
      </c>
      <c r="G48" s="80">
        <f t="shared" si="13"/>
        <v>0.11349682018821035</v>
      </c>
      <c r="H48" s="80">
        <f t="shared" si="13"/>
        <v>0.14354149969301119</v>
      </c>
      <c r="I48" s="80">
        <f t="shared" si="13"/>
        <v>0.14841333138289861</v>
      </c>
      <c r="J48" s="81">
        <f t="shared" si="13"/>
        <v>0.10583416369332076</v>
      </c>
    </row>
    <row r="50" spans="1:2" ht="10.5" customHeight="1" x14ac:dyDescent="0.15">
      <c r="A50" s="106" t="s">
        <v>996</v>
      </c>
      <c r="B50" s="107"/>
    </row>
    <row r="55" spans="1:2" ht="10.5" customHeight="1" x14ac:dyDescent="0.15"/>
    <row r="56" spans="1:2" ht="10.5" customHeight="1" x14ac:dyDescent="0.15"/>
    <row r="57" spans="1:2" ht="10.5" customHeight="1" x14ac:dyDescent="0.15"/>
    <row r="59" spans="1:2" ht="21.75" customHeight="1" x14ac:dyDescent="0.15"/>
    <row r="60" spans="1:2" ht="10.5" customHeight="1" x14ac:dyDescent="0.15"/>
    <row r="62" spans="1:2" ht="11.25" customHeight="1" x14ac:dyDescent="0.15"/>
    <row r="64" spans="1:2" ht="10.5" customHeight="1" x14ac:dyDescent="0.15"/>
    <row r="67" ht="11.25" customHeight="1" x14ac:dyDescent="0.15"/>
    <row r="70" ht="10.5" customHeight="1" x14ac:dyDescent="0.15"/>
    <row r="71" ht="10.5" customHeight="1" x14ac:dyDescent="0.15"/>
    <row r="72" ht="11.25" customHeight="1" x14ac:dyDescent="0.15"/>
    <row r="74" ht="11.25" customHeight="1" x14ac:dyDescent="0.15"/>
    <row r="77" ht="10.5" customHeight="1" x14ac:dyDescent="0.15"/>
    <row r="78" ht="10.5" customHeight="1" x14ac:dyDescent="0.15"/>
    <row r="79" ht="11.25" customHeight="1" x14ac:dyDescent="0.15"/>
  </sheetData>
  <mergeCells count="35">
    <mergeCell ref="A48:B48"/>
    <mergeCell ref="A33:B33"/>
    <mergeCell ref="A34:B34"/>
    <mergeCell ref="A36:B36"/>
    <mergeCell ref="A38:B38"/>
    <mergeCell ref="A39:B39"/>
    <mergeCell ref="A40:B40"/>
    <mergeCell ref="A42:J42"/>
    <mergeCell ref="A44:B44"/>
    <mergeCell ref="A45:B45"/>
    <mergeCell ref="A46:B46"/>
    <mergeCell ref="A47:B47"/>
    <mergeCell ref="A31:B31"/>
    <mergeCell ref="A20:B20"/>
    <mergeCell ref="A21:B21"/>
    <mergeCell ref="A22:B22"/>
    <mergeCell ref="M23:N23"/>
    <mergeCell ref="A24:B24"/>
    <mergeCell ref="A25:B25"/>
    <mergeCell ref="A26:B26"/>
    <mergeCell ref="A27:B27"/>
    <mergeCell ref="A29:B29"/>
    <mergeCell ref="A30:B30"/>
    <mergeCell ref="A19:B19"/>
    <mergeCell ref="A2:J2"/>
    <mergeCell ref="A4:J4"/>
    <mergeCell ref="A6:B6"/>
    <mergeCell ref="A7:B7"/>
    <mergeCell ref="A8:B8"/>
    <mergeCell ref="A9:B9"/>
    <mergeCell ref="A10:B10"/>
    <mergeCell ref="A11:B11"/>
    <mergeCell ref="A12:B12"/>
    <mergeCell ref="A16:G16"/>
    <mergeCell ref="A18:B18"/>
  </mergeCells>
  <printOptions horizontalCentered="1"/>
  <pageMargins left="0.39370078740157483" right="0.39370078740157483" top="0.59055118110236227" bottom="0.39370078740157483" header="0.31496062992125984" footer="0.11811023622047245"/>
  <pageSetup paperSize="9" scale="83" firstPageNumber="44" orientation="landscape" useFirstPageNumber="1" r:id="rId1"/>
  <headerFooter>
    <oddHeader>&amp;L&amp;"Tahoma,Kurzíva"Střednědobý výhled rozpočtu Moravskoslezského kraje na léta 2024-2026&amp;R&amp;"Tahoma,Kurzíva"Ukazatele zadluženosti</oddHeader>
    <oddFooter>&amp;C&amp;"Tahoma,Obyčejné"&amp;P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00FC5-BF7B-4CEF-A9E5-C8271B54330F}">
  <sheetPr>
    <outlinePr summaryBelow="0"/>
    <pageSetUpPr fitToPage="1"/>
  </sheetPr>
  <dimension ref="A1:H59"/>
  <sheetViews>
    <sheetView zoomScaleNormal="100" zoomScaleSheetLayoutView="100" workbookViewId="0">
      <selection activeCell="G18" sqref="G18"/>
    </sheetView>
  </sheetViews>
  <sheetFormatPr defaultRowHeight="12.75" x14ac:dyDescent="0.2"/>
  <cols>
    <col min="1" max="1" width="62.7109375" style="2" customWidth="1"/>
    <col min="2" max="2" width="13.7109375" style="6" customWidth="1"/>
    <col min="3" max="5" width="13.7109375" style="7" customWidth="1"/>
    <col min="6" max="6" width="12" style="2" customWidth="1"/>
    <col min="7" max="7" width="11.5703125" style="2" customWidth="1"/>
    <col min="8" max="8" width="11.7109375" style="2" customWidth="1"/>
    <col min="9" max="12" width="14.7109375" style="2" customWidth="1"/>
    <col min="13" max="16384" width="9.140625" style="2"/>
  </cols>
  <sheetData>
    <row r="1" spans="1:8" s="22" customFormat="1" ht="15" customHeight="1" x14ac:dyDescent="0.2">
      <c r="A1" s="21" t="s">
        <v>47</v>
      </c>
      <c r="E1" s="23"/>
      <c r="F1" s="24"/>
      <c r="G1" s="24"/>
      <c r="H1" s="24"/>
    </row>
    <row r="2" spans="1:8" s="29" customFormat="1" ht="6" customHeight="1" x14ac:dyDescent="0.25">
      <c r="A2" s="25"/>
      <c r="B2" s="26"/>
      <c r="C2" s="26"/>
      <c r="D2" s="26"/>
      <c r="E2" s="27"/>
      <c r="F2" s="28"/>
      <c r="G2" s="28"/>
      <c r="H2" s="28"/>
    </row>
    <row r="3" spans="1:8" s="29" customFormat="1" ht="36" customHeight="1" x14ac:dyDescent="0.2">
      <c r="A3" s="627" t="s">
        <v>990</v>
      </c>
      <c r="B3" s="627"/>
      <c r="C3" s="627"/>
      <c r="D3" s="627"/>
      <c r="E3" s="627"/>
      <c r="F3" s="627"/>
      <c r="G3" s="627"/>
      <c r="H3" s="627"/>
    </row>
    <row r="4" spans="1:8" s="29" customFormat="1" ht="11.25" customHeight="1" thickBot="1" x14ac:dyDescent="0.25">
      <c r="A4" s="187"/>
      <c r="B4" s="30"/>
      <c r="C4" s="30"/>
      <c r="D4" s="30"/>
      <c r="E4" s="30"/>
      <c r="F4" s="31"/>
      <c r="G4" s="31"/>
      <c r="H4" s="31"/>
    </row>
    <row r="5" spans="1:8" s="1" customFormat="1" ht="43.5" customHeight="1" thickBot="1" x14ac:dyDescent="0.25">
      <c r="A5" s="196" t="s">
        <v>0</v>
      </c>
      <c r="B5" s="315" t="s">
        <v>1011</v>
      </c>
      <c r="C5" s="11" t="s">
        <v>450</v>
      </c>
      <c r="D5" s="11" t="s">
        <v>451</v>
      </c>
      <c r="E5" s="12" t="s">
        <v>1012</v>
      </c>
    </row>
    <row r="6" spans="1:8" s="198" customFormat="1" ht="16.5" customHeight="1" x14ac:dyDescent="0.2">
      <c r="A6" s="197" t="s">
        <v>1</v>
      </c>
      <c r="B6" s="17">
        <f t="shared" ref="B6:E6" si="0">B7+B8+B9+B10</f>
        <v>36279482</v>
      </c>
      <c r="C6" s="17">
        <f t="shared" si="0"/>
        <v>38960064</v>
      </c>
      <c r="D6" s="17">
        <f t="shared" si="0"/>
        <v>39906327</v>
      </c>
      <c r="E6" s="20">
        <f t="shared" si="0"/>
        <v>40674095</v>
      </c>
    </row>
    <row r="7" spans="1:8" s="1" customFormat="1" ht="16.5" customHeight="1" x14ac:dyDescent="0.2">
      <c r="A7" s="199" t="s">
        <v>2</v>
      </c>
      <c r="B7" s="316">
        <f>B32</f>
        <v>8580950</v>
      </c>
      <c r="C7" s="200">
        <f t="shared" ref="C7:E7" si="1">C32</f>
        <v>9375950</v>
      </c>
      <c r="D7" s="200">
        <f t="shared" si="1"/>
        <v>9875950</v>
      </c>
      <c r="E7" s="201">
        <f t="shared" si="1"/>
        <v>10375950</v>
      </c>
    </row>
    <row r="8" spans="1:8" s="1" customFormat="1" ht="16.5" customHeight="1" x14ac:dyDescent="0.2">
      <c r="A8" s="199" t="s">
        <v>3</v>
      </c>
      <c r="B8" s="316">
        <f>B38</f>
        <v>755536</v>
      </c>
      <c r="C8" s="200">
        <f t="shared" ref="C8:E8" si="2">C38</f>
        <v>937413</v>
      </c>
      <c r="D8" s="200">
        <f t="shared" si="2"/>
        <v>576303</v>
      </c>
      <c r="E8" s="201">
        <f t="shared" si="2"/>
        <v>574591</v>
      </c>
    </row>
    <row r="9" spans="1:8" s="1" customFormat="1" ht="16.5" customHeight="1" x14ac:dyDescent="0.2">
      <c r="A9" s="199" t="s">
        <v>4</v>
      </c>
      <c r="B9" s="316">
        <f>B50</f>
        <v>52476</v>
      </c>
      <c r="C9" s="200">
        <f t="shared" ref="C9:E9" si="3">C50</f>
        <v>49041</v>
      </c>
      <c r="D9" s="200">
        <f t="shared" si="3"/>
        <v>24853</v>
      </c>
      <c r="E9" s="201">
        <f t="shared" si="3"/>
        <v>23637</v>
      </c>
    </row>
    <row r="10" spans="1:8" s="1" customFormat="1" ht="16.5" customHeight="1" x14ac:dyDescent="0.2">
      <c r="A10" s="199" t="s">
        <v>22</v>
      </c>
      <c r="B10" s="316">
        <f>B53+B57+B58</f>
        <v>26890520</v>
      </c>
      <c r="C10" s="200">
        <f>C53+C57+C58</f>
        <v>28597660</v>
      </c>
      <c r="D10" s="200">
        <f>D53+D57+D58</f>
        <v>29429221</v>
      </c>
      <c r="E10" s="201">
        <f>E53+E57+E58</f>
        <v>29699917</v>
      </c>
    </row>
    <row r="11" spans="1:8" s="198" customFormat="1" ht="16.5" customHeight="1" x14ac:dyDescent="0.2">
      <c r="A11" s="197" t="s">
        <v>5</v>
      </c>
      <c r="B11" s="17">
        <f>B12+B13+B14</f>
        <v>3049243</v>
      </c>
      <c r="C11" s="17">
        <f>C12+C13+C14</f>
        <v>1768549</v>
      </c>
      <c r="D11" s="17">
        <f>D12+D13+D14</f>
        <v>608530</v>
      </c>
      <c r="E11" s="20">
        <f>E12+E13+E14</f>
        <v>-1238408</v>
      </c>
    </row>
    <row r="12" spans="1:8" s="3" customFormat="1" ht="16.5" customHeight="1" x14ac:dyDescent="0.2">
      <c r="A12" s="202" t="s">
        <v>44</v>
      </c>
      <c r="B12" s="316">
        <v>2558775</v>
      </c>
      <c r="C12" s="200">
        <v>2432262</v>
      </c>
      <c r="D12" s="200">
        <v>2561880</v>
      </c>
      <c r="E12" s="201">
        <v>1468644</v>
      </c>
    </row>
    <row r="13" spans="1:8" s="4" customFormat="1" ht="16.5" customHeight="1" x14ac:dyDescent="0.2">
      <c r="A13" s="202" t="s">
        <v>45</v>
      </c>
      <c r="B13" s="316">
        <v>-1394012</v>
      </c>
      <c r="C13" s="200">
        <v>-1098430</v>
      </c>
      <c r="D13" s="200">
        <v>-2157260</v>
      </c>
      <c r="E13" s="201">
        <v>-2935540</v>
      </c>
    </row>
    <row r="14" spans="1:8" s="3" customFormat="1" ht="16.5" customHeight="1" x14ac:dyDescent="0.2">
      <c r="A14" s="202" t="s">
        <v>46</v>
      </c>
      <c r="B14" s="316">
        <v>1884480</v>
      </c>
      <c r="C14" s="200">
        <v>434717</v>
      </c>
      <c r="D14" s="200">
        <v>203910</v>
      </c>
      <c r="E14" s="201">
        <v>228488</v>
      </c>
    </row>
    <row r="15" spans="1:8" s="198" customFormat="1" ht="16.5" customHeight="1" x14ac:dyDescent="0.2">
      <c r="A15" s="197" t="s">
        <v>7</v>
      </c>
      <c r="B15" s="17">
        <f>B16+B17+B18+B19+B20+B21+B22+B23+B24</f>
        <v>39328725</v>
      </c>
      <c r="C15" s="17">
        <f t="shared" ref="C15:E15" si="4">C16+C17+C18+C19+C20+C21+C22+C23+C24</f>
        <v>40728613</v>
      </c>
      <c r="D15" s="17">
        <f t="shared" si="4"/>
        <v>40514857</v>
      </c>
      <c r="E15" s="20">
        <f t="shared" si="4"/>
        <v>39435687</v>
      </c>
    </row>
    <row r="16" spans="1:8" s="1" customFormat="1" ht="16.5" customHeight="1" x14ac:dyDescent="0.2">
      <c r="A16" s="202" t="s">
        <v>8</v>
      </c>
      <c r="B16" s="316">
        <f>'Tab. 1 VÝDAJE'!B4</f>
        <v>771435</v>
      </c>
      <c r="C16" s="200">
        <f>'Tab. 1 VÝDAJE'!C4</f>
        <v>774712</v>
      </c>
      <c r="D16" s="200">
        <f>'Tab. 1 VÝDAJE'!D4</f>
        <v>780661</v>
      </c>
      <c r="E16" s="201">
        <f>'Tab. 1 VÝDAJE'!E4</f>
        <v>778136</v>
      </c>
    </row>
    <row r="17" spans="1:8" s="1" customFormat="1" ht="16.5" customHeight="1" x14ac:dyDescent="0.2">
      <c r="A17" s="202" t="s">
        <v>9</v>
      </c>
      <c r="B17" s="316">
        <f>'Tab. 1 VÝDAJE'!B5</f>
        <v>510742</v>
      </c>
      <c r="C17" s="200">
        <f>'Tab. 1 VÝDAJE'!C5</f>
        <v>544881</v>
      </c>
      <c r="D17" s="200">
        <f>'Tab. 1 VÝDAJE'!D5</f>
        <v>559163</v>
      </c>
      <c r="E17" s="201">
        <f>'Tab. 1 VÝDAJE'!E5</f>
        <v>560276</v>
      </c>
    </row>
    <row r="18" spans="1:8" s="1" customFormat="1" ht="16.5" customHeight="1" x14ac:dyDescent="0.2">
      <c r="A18" s="202" t="s">
        <v>48</v>
      </c>
      <c r="B18" s="316">
        <f>'Tab. 1 VÝDAJE'!B12</f>
        <v>4672832</v>
      </c>
      <c r="C18" s="200">
        <f>'Tab. 1 VÝDAJE'!C12</f>
        <v>4532472</v>
      </c>
      <c r="D18" s="200">
        <f>'Tab. 1 VÝDAJE'!D12</f>
        <v>4227169</v>
      </c>
      <c r="E18" s="201">
        <f>'Tab. 1 VÝDAJE'!E12</f>
        <v>4444313</v>
      </c>
    </row>
    <row r="19" spans="1:8" s="1" customFormat="1" ht="16.5" customHeight="1" x14ac:dyDescent="0.2">
      <c r="A19" s="202" t="s">
        <v>10</v>
      </c>
      <c r="B19" s="316">
        <f>'Tab. 1 VÝDAJE'!B27</f>
        <v>3634192</v>
      </c>
      <c r="C19" s="200">
        <f>'Tab. 1 VÝDAJE'!C27</f>
        <v>3444937</v>
      </c>
      <c r="D19" s="200">
        <f>'Tab. 1 VÝDAJE'!D27</f>
        <v>3444940</v>
      </c>
      <c r="E19" s="201">
        <f>'Tab. 1 VÝDAJE'!E27</f>
        <v>3458940</v>
      </c>
    </row>
    <row r="20" spans="1:8" s="1" customFormat="1" ht="16.5" customHeight="1" x14ac:dyDescent="0.2">
      <c r="A20" s="202" t="s">
        <v>51</v>
      </c>
      <c r="B20" s="316">
        <f>'Tab. 1 VÝDAJE'!B34</f>
        <v>232505</v>
      </c>
      <c r="C20" s="200">
        <f>'Tab. 1 VÝDAJE'!C34</f>
        <v>214228</v>
      </c>
      <c r="D20" s="200">
        <f>'Tab. 1 VÝDAJE'!D34</f>
        <v>215626</v>
      </c>
      <c r="E20" s="201">
        <f>'Tab. 1 VÝDAJE'!E34</f>
        <v>214427</v>
      </c>
    </row>
    <row r="21" spans="1:8" s="1" customFormat="1" ht="16.5" customHeight="1" x14ac:dyDescent="0.2">
      <c r="A21" s="202" t="s">
        <v>49</v>
      </c>
      <c r="B21" s="316">
        <f>'Tab. 1 VÝDAJE'!B41</f>
        <v>2775440</v>
      </c>
      <c r="C21" s="200">
        <f>'Tab. 1 VÝDAJE'!C41</f>
        <v>3112668</v>
      </c>
      <c r="D21" s="200">
        <f>'Tab. 1 VÝDAJE'!D41</f>
        <v>2933366</v>
      </c>
      <c r="E21" s="201">
        <f>'Tab. 1 VÝDAJE'!E41</f>
        <v>2331606</v>
      </c>
    </row>
    <row r="22" spans="1:8" s="1" customFormat="1" ht="16.5" customHeight="1" x14ac:dyDescent="0.2">
      <c r="A22" s="202" t="s">
        <v>50</v>
      </c>
      <c r="B22" s="316">
        <f>'Tab. 1 VÝDAJE'!B52+'Tab. 1 VÝDAJE'!B65</f>
        <v>2409495</v>
      </c>
      <c r="C22" s="200">
        <f>'Tab. 1 VÝDAJE'!C52+'Tab. 1 VÝDAJE'!C65</f>
        <v>3682395</v>
      </c>
      <c r="D22" s="200">
        <f>'Tab. 1 VÝDAJE'!D52+'Tab. 1 VÝDAJE'!D65</f>
        <v>3791814</v>
      </c>
      <c r="E22" s="201">
        <f>'Tab. 1 VÝDAJE'!E52+'Tab. 1 VÝDAJE'!E65</f>
        <v>2687138</v>
      </c>
    </row>
    <row r="23" spans="1:8" s="1" customFormat="1" ht="16.5" customHeight="1" x14ac:dyDescent="0.2">
      <c r="A23" s="202" t="s">
        <v>452</v>
      </c>
      <c r="B23" s="317">
        <f>'Tab. 1 VÝDAJE'!B67</f>
        <v>0</v>
      </c>
      <c r="C23" s="203">
        <f>'Tab. 1 VÝDAJE'!C67</f>
        <v>300000</v>
      </c>
      <c r="D23" s="203">
        <f>'Tab. 1 VÝDAJE'!D67</f>
        <v>500000</v>
      </c>
      <c r="E23" s="204">
        <f>'Tab. 1 VÝDAJE'!E67</f>
        <v>900000</v>
      </c>
    </row>
    <row r="24" spans="1:8" s="1" customFormat="1" ht="29.25" customHeight="1" thickBot="1" x14ac:dyDescent="0.25">
      <c r="A24" s="205" t="s">
        <v>176</v>
      </c>
      <c r="B24" s="318">
        <f>'Tab. 1 VÝDAJE'!B39</f>
        <v>24322084</v>
      </c>
      <c r="C24" s="206">
        <f>'Tab. 1 VÝDAJE'!C39</f>
        <v>24122320</v>
      </c>
      <c r="D24" s="206">
        <f>'Tab. 1 VÝDAJE'!D39</f>
        <v>24062118</v>
      </c>
      <c r="E24" s="207">
        <f>'Tab. 1 VÝDAJE'!E39</f>
        <v>24060851</v>
      </c>
    </row>
    <row r="25" spans="1:8" s="1" customFormat="1" ht="20.100000000000001" hidden="1" customHeight="1" thickBot="1" x14ac:dyDescent="0.25">
      <c r="A25" s="18" t="s">
        <v>11</v>
      </c>
      <c r="B25" s="19">
        <f>B6+B11-B15</f>
        <v>0</v>
      </c>
      <c r="C25" s="19">
        <f>C6+C11-C15</f>
        <v>0</v>
      </c>
      <c r="D25" s="19">
        <f>D6+D11-D15</f>
        <v>0</v>
      </c>
      <c r="E25" s="19">
        <f>E6+E11-E15</f>
        <v>0</v>
      </c>
    </row>
    <row r="26" spans="1:8" ht="12" customHeight="1" x14ac:dyDescent="0.2">
      <c r="A26" s="208"/>
      <c r="B26" s="209"/>
      <c r="C26" s="209"/>
      <c r="D26" s="209"/>
      <c r="E26" s="209"/>
    </row>
    <row r="27" spans="1:8" ht="12" customHeight="1" x14ac:dyDescent="0.2">
      <c r="A27" s="208"/>
      <c r="B27" s="209"/>
      <c r="C27" s="209"/>
      <c r="D27" s="209"/>
      <c r="E27" s="209"/>
    </row>
    <row r="28" spans="1:8" ht="12" customHeight="1" x14ac:dyDescent="0.2">
      <c r="A28" s="208"/>
      <c r="B28" s="210"/>
      <c r="C28" s="211"/>
      <c r="D28" s="211"/>
      <c r="E28" s="211"/>
    </row>
    <row r="29" spans="1:8" ht="16.5" customHeight="1" thickBot="1" x14ac:dyDescent="0.25">
      <c r="A29" s="208"/>
      <c r="B29" s="209"/>
      <c r="C29" s="211"/>
      <c r="D29" s="211"/>
      <c r="E29" s="211"/>
    </row>
    <row r="30" spans="1:8" s="5" customFormat="1" ht="16.5" customHeight="1" x14ac:dyDescent="0.2">
      <c r="A30" s="628" t="s">
        <v>12</v>
      </c>
      <c r="B30" s="319">
        <v>2023</v>
      </c>
      <c r="C30" s="13">
        <v>2024</v>
      </c>
      <c r="D30" s="14">
        <v>2025</v>
      </c>
      <c r="E30" s="13">
        <v>2026</v>
      </c>
      <c r="F30" s="630" t="s">
        <v>984</v>
      </c>
      <c r="G30" s="632" t="s">
        <v>453</v>
      </c>
      <c r="H30" s="634" t="s">
        <v>985</v>
      </c>
    </row>
    <row r="31" spans="1:8" s="5" customFormat="1" ht="36" customHeight="1" thickBot="1" x14ac:dyDescent="0.25">
      <c r="A31" s="629"/>
      <c r="B31" s="320" t="s">
        <v>496</v>
      </c>
      <c r="C31" s="15" t="s">
        <v>43</v>
      </c>
      <c r="D31" s="16" t="s">
        <v>43</v>
      </c>
      <c r="E31" s="15" t="s">
        <v>43</v>
      </c>
      <c r="F31" s="631"/>
      <c r="G31" s="633"/>
      <c r="H31" s="635"/>
    </row>
    <row r="32" spans="1:8" s="3" customFormat="1" ht="17.100000000000001" customHeight="1" x14ac:dyDescent="0.2">
      <c r="A32" s="212" t="s">
        <v>2</v>
      </c>
      <c r="B32" s="321">
        <f>B33+B34+B37+B35+B36</f>
        <v>8580950</v>
      </c>
      <c r="C32" s="213">
        <f>C33+C34+C37+C35+C36</f>
        <v>9375950</v>
      </c>
      <c r="D32" s="213">
        <f>D33+D34+D37+D35+D36</f>
        <v>9875950</v>
      </c>
      <c r="E32" s="213">
        <f>E33+E34+E37+E35+E36</f>
        <v>10375950</v>
      </c>
      <c r="F32" s="214">
        <f t="shared" ref="F32:H56" si="5">C32/B32*100</f>
        <v>109.26470845302676</v>
      </c>
      <c r="G32" s="215">
        <f t="shared" si="5"/>
        <v>105.33279294364837</v>
      </c>
      <c r="H32" s="216">
        <f t="shared" si="5"/>
        <v>105.06280408467032</v>
      </c>
    </row>
    <row r="33" spans="1:8" s="1" customFormat="1" ht="17.100000000000001" customHeight="1" x14ac:dyDescent="0.2">
      <c r="A33" s="217" t="s">
        <v>13</v>
      </c>
      <c r="B33" s="322">
        <v>8500000</v>
      </c>
      <c r="C33" s="218">
        <v>9300000</v>
      </c>
      <c r="D33" s="218">
        <v>9800000</v>
      </c>
      <c r="E33" s="218">
        <v>10300000</v>
      </c>
      <c r="F33" s="214">
        <f t="shared" si="5"/>
        <v>109.41176470588236</v>
      </c>
      <c r="G33" s="215">
        <f t="shared" si="5"/>
        <v>105.3763440860215</v>
      </c>
      <c r="H33" s="216">
        <f t="shared" si="5"/>
        <v>105.10204081632652</v>
      </c>
    </row>
    <row r="34" spans="1:8" s="1" customFormat="1" ht="17.100000000000001" customHeight="1" x14ac:dyDescent="0.2">
      <c r="A34" s="199" t="s">
        <v>14</v>
      </c>
      <c r="B34" s="323">
        <v>60000</v>
      </c>
      <c r="C34" s="219">
        <v>55000</v>
      </c>
      <c r="D34" s="219">
        <v>55000</v>
      </c>
      <c r="E34" s="219">
        <v>55000</v>
      </c>
      <c r="F34" s="220">
        <f t="shared" si="5"/>
        <v>91.666666666666657</v>
      </c>
      <c r="G34" s="221">
        <f t="shared" si="5"/>
        <v>100</v>
      </c>
      <c r="H34" s="222">
        <f t="shared" si="5"/>
        <v>100</v>
      </c>
    </row>
    <row r="35" spans="1:8" s="1" customFormat="1" ht="17.100000000000001" customHeight="1" x14ac:dyDescent="0.2">
      <c r="A35" s="223" t="s">
        <v>988</v>
      </c>
      <c r="B35" s="323">
        <v>4000</v>
      </c>
      <c r="C35" s="219">
        <v>4000</v>
      </c>
      <c r="D35" s="219">
        <v>4000</v>
      </c>
      <c r="E35" s="219">
        <v>4000</v>
      </c>
      <c r="F35" s="220">
        <f t="shared" si="5"/>
        <v>100</v>
      </c>
      <c r="G35" s="221">
        <f t="shared" si="5"/>
        <v>100</v>
      </c>
      <c r="H35" s="222">
        <f t="shared" si="5"/>
        <v>100</v>
      </c>
    </row>
    <row r="36" spans="1:8" s="1" customFormat="1" ht="17.100000000000001" customHeight="1" x14ac:dyDescent="0.2">
      <c r="A36" s="199" t="s">
        <v>18</v>
      </c>
      <c r="B36" s="323">
        <v>15000</v>
      </c>
      <c r="C36" s="219">
        <v>15000</v>
      </c>
      <c r="D36" s="219">
        <v>15000</v>
      </c>
      <c r="E36" s="219">
        <v>15000</v>
      </c>
      <c r="F36" s="220">
        <f t="shared" si="5"/>
        <v>100</v>
      </c>
      <c r="G36" s="221">
        <f t="shared" si="5"/>
        <v>100</v>
      </c>
      <c r="H36" s="222">
        <f t="shared" si="5"/>
        <v>100</v>
      </c>
    </row>
    <row r="37" spans="1:8" s="1" customFormat="1" ht="17.100000000000001" customHeight="1" x14ac:dyDescent="0.2">
      <c r="A37" s="223" t="s">
        <v>15</v>
      </c>
      <c r="B37" s="323">
        <v>1950</v>
      </c>
      <c r="C37" s="219">
        <v>1950</v>
      </c>
      <c r="D37" s="219">
        <v>1950</v>
      </c>
      <c r="E37" s="219">
        <v>1950</v>
      </c>
      <c r="F37" s="220">
        <f t="shared" si="5"/>
        <v>100</v>
      </c>
      <c r="G37" s="221">
        <f t="shared" si="5"/>
        <v>100</v>
      </c>
      <c r="H37" s="222">
        <f t="shared" si="5"/>
        <v>100</v>
      </c>
    </row>
    <row r="38" spans="1:8" s="3" customFormat="1" ht="17.100000000000001" customHeight="1" x14ac:dyDescent="0.2">
      <c r="A38" s="224" t="s">
        <v>3</v>
      </c>
      <c r="B38" s="321">
        <f>SUM(B39:B49)</f>
        <v>755536</v>
      </c>
      <c r="C38" s="213">
        <f>SUM(C39:C49)</f>
        <v>937413</v>
      </c>
      <c r="D38" s="213">
        <f>SUM(D39:D49)</f>
        <v>576303</v>
      </c>
      <c r="E38" s="213">
        <f>SUM(E39:E49)</f>
        <v>574591</v>
      </c>
      <c r="F38" s="214">
        <f t="shared" si="5"/>
        <v>124.07257893733721</v>
      </c>
      <c r="G38" s="215">
        <f t="shared" si="5"/>
        <v>61.478025160734916</v>
      </c>
      <c r="H38" s="216">
        <f t="shared" si="5"/>
        <v>99.702934046846877</v>
      </c>
    </row>
    <row r="39" spans="1:8" s="1" customFormat="1" ht="17.100000000000001" customHeight="1" x14ac:dyDescent="0.2">
      <c r="A39" s="199" t="s">
        <v>16</v>
      </c>
      <c r="B39" s="323">
        <v>100000</v>
      </c>
      <c r="C39" s="219">
        <v>90000</v>
      </c>
      <c r="D39" s="219">
        <v>80000</v>
      </c>
      <c r="E39" s="219">
        <v>80000</v>
      </c>
      <c r="F39" s="220">
        <f t="shared" si="5"/>
        <v>90</v>
      </c>
      <c r="G39" s="221">
        <f t="shared" si="5"/>
        <v>88.888888888888886</v>
      </c>
      <c r="H39" s="222">
        <f t="shared" si="5"/>
        <v>100</v>
      </c>
    </row>
    <row r="40" spans="1:8" s="1" customFormat="1" ht="17.100000000000001" customHeight="1" x14ac:dyDescent="0.2">
      <c r="A40" s="199" t="s">
        <v>454</v>
      </c>
      <c r="B40" s="323">
        <v>261818</v>
      </c>
      <c r="C40" s="219">
        <v>236757</v>
      </c>
      <c r="D40" s="219">
        <v>214228</v>
      </c>
      <c r="E40" s="219">
        <v>215626</v>
      </c>
      <c r="F40" s="220">
        <f t="shared" si="5"/>
        <v>90.428083630613628</v>
      </c>
      <c r="G40" s="221">
        <f t="shared" si="5"/>
        <v>90.48433626038512</v>
      </c>
      <c r="H40" s="222">
        <f t="shared" si="5"/>
        <v>100.6525757604048</v>
      </c>
    </row>
    <row r="41" spans="1:8" s="1" customFormat="1" ht="16.5" customHeight="1" x14ac:dyDescent="0.2">
      <c r="A41" s="202" t="s">
        <v>455</v>
      </c>
      <c r="B41" s="323">
        <v>208848</v>
      </c>
      <c r="C41" s="219">
        <v>201400</v>
      </c>
      <c r="D41" s="219">
        <v>201400</v>
      </c>
      <c r="E41" s="219">
        <v>201400</v>
      </c>
      <c r="F41" s="220">
        <f t="shared" si="5"/>
        <v>96.433770014556046</v>
      </c>
      <c r="G41" s="221">
        <f t="shared" si="5"/>
        <v>100</v>
      </c>
      <c r="H41" s="222">
        <f t="shared" si="5"/>
        <v>100</v>
      </c>
    </row>
    <row r="42" spans="1:8" s="1" customFormat="1" ht="17.100000000000001" customHeight="1" x14ac:dyDescent="0.2">
      <c r="A42" s="199" t="s">
        <v>53</v>
      </c>
      <c r="B42" s="323">
        <v>15069</v>
      </c>
      <c r="C42" s="219">
        <v>15127</v>
      </c>
      <c r="D42" s="219">
        <v>15187</v>
      </c>
      <c r="E42" s="219">
        <v>11700</v>
      </c>
      <c r="F42" s="220">
        <f t="shared" si="5"/>
        <v>100.38489614440242</v>
      </c>
      <c r="G42" s="221">
        <f t="shared" si="5"/>
        <v>100.396641766378</v>
      </c>
      <c r="H42" s="222">
        <f t="shared" si="5"/>
        <v>77.039573319286234</v>
      </c>
    </row>
    <row r="43" spans="1:8" s="1" customFormat="1" ht="17.100000000000001" customHeight="1" x14ac:dyDescent="0.2">
      <c r="A43" s="199" t="s">
        <v>263</v>
      </c>
      <c r="B43" s="323">
        <v>68781</v>
      </c>
      <c r="C43" s="219">
        <v>7322</v>
      </c>
      <c r="D43" s="219">
        <v>7995</v>
      </c>
      <c r="E43" s="219">
        <v>7995</v>
      </c>
      <c r="F43" s="220">
        <f t="shared" si="5"/>
        <v>10.645381718788618</v>
      </c>
      <c r="G43" s="221">
        <f t="shared" si="5"/>
        <v>109.19147773832287</v>
      </c>
      <c r="H43" s="222">
        <f t="shared" si="5"/>
        <v>100</v>
      </c>
    </row>
    <row r="44" spans="1:8" s="1" customFormat="1" ht="17.100000000000001" customHeight="1" x14ac:dyDescent="0.2">
      <c r="A44" s="199" t="s">
        <v>17</v>
      </c>
      <c r="B44" s="323">
        <v>6000</v>
      </c>
      <c r="C44" s="219">
        <v>6000</v>
      </c>
      <c r="D44" s="219">
        <v>6000</v>
      </c>
      <c r="E44" s="219">
        <v>6000</v>
      </c>
      <c r="F44" s="220">
        <f t="shared" si="5"/>
        <v>100</v>
      </c>
      <c r="G44" s="221">
        <f t="shared" si="5"/>
        <v>100</v>
      </c>
      <c r="H44" s="222">
        <f t="shared" si="5"/>
        <v>100</v>
      </c>
    </row>
    <row r="45" spans="1:8" s="1" customFormat="1" ht="17.100000000000001" customHeight="1" x14ac:dyDescent="0.2">
      <c r="A45" s="199" t="s">
        <v>456</v>
      </c>
      <c r="B45" s="323">
        <v>27998</v>
      </c>
      <c r="C45" s="219">
        <v>28558</v>
      </c>
      <c r="D45" s="219">
        <v>28937</v>
      </c>
      <c r="E45" s="219">
        <v>29096</v>
      </c>
      <c r="F45" s="220">
        <f t="shared" si="5"/>
        <v>102.00014286734766</v>
      </c>
      <c r="G45" s="221">
        <f t="shared" si="5"/>
        <v>101.32712374816164</v>
      </c>
      <c r="H45" s="222">
        <f t="shared" si="5"/>
        <v>100.54946953727062</v>
      </c>
    </row>
    <row r="46" spans="1:8" s="3" customFormat="1" ht="17.100000000000001" customHeight="1" x14ac:dyDescent="0.2">
      <c r="A46" s="199" t="s">
        <v>19</v>
      </c>
      <c r="B46" s="323">
        <v>2500</v>
      </c>
      <c r="C46" s="219">
        <v>2500</v>
      </c>
      <c r="D46" s="219">
        <v>2500</v>
      </c>
      <c r="E46" s="219">
        <v>2500</v>
      </c>
      <c r="F46" s="220">
        <f t="shared" si="5"/>
        <v>100</v>
      </c>
      <c r="G46" s="221">
        <f t="shared" si="5"/>
        <v>100</v>
      </c>
      <c r="H46" s="222">
        <f t="shared" si="5"/>
        <v>100</v>
      </c>
    </row>
    <row r="47" spans="1:8" s="3" customFormat="1" ht="17.100000000000001" customHeight="1" x14ac:dyDescent="0.2">
      <c r="A47" s="199" t="s">
        <v>989</v>
      </c>
      <c r="B47" s="323">
        <v>45000</v>
      </c>
      <c r="C47" s="257">
        <v>0</v>
      </c>
      <c r="D47" s="219">
        <v>0</v>
      </c>
      <c r="E47" s="219">
        <v>0</v>
      </c>
      <c r="F47" s="220">
        <f t="shared" ref="F47" si="6">C47/B47*100</f>
        <v>0</v>
      </c>
      <c r="G47" s="226" t="s">
        <v>987</v>
      </c>
      <c r="H47" s="227" t="s">
        <v>987</v>
      </c>
    </row>
    <row r="48" spans="1:8" s="3" customFormat="1" ht="17.100000000000001" customHeight="1" x14ac:dyDescent="0.2">
      <c r="A48" s="199" t="s">
        <v>991</v>
      </c>
      <c r="B48" s="323">
        <v>0</v>
      </c>
      <c r="C48" s="219">
        <v>330000</v>
      </c>
      <c r="D48" s="219">
        <v>0</v>
      </c>
      <c r="E48" s="219">
        <v>0</v>
      </c>
      <c r="F48" s="226" t="s">
        <v>987</v>
      </c>
      <c r="G48" s="221">
        <f t="shared" ref="G48" si="7">D48/C48*100</f>
        <v>0</v>
      </c>
      <c r="H48" s="227" t="s">
        <v>987</v>
      </c>
    </row>
    <row r="49" spans="1:8" s="1" customFormat="1" ht="17.100000000000001" customHeight="1" x14ac:dyDescent="0.2">
      <c r="A49" s="199" t="s">
        <v>20</v>
      </c>
      <c r="B49" s="323">
        <v>19522</v>
      </c>
      <c r="C49" s="219">
        <v>19749</v>
      </c>
      <c r="D49" s="219">
        <v>20056</v>
      </c>
      <c r="E49" s="219">
        <v>20274</v>
      </c>
      <c r="F49" s="220">
        <f t="shared" si="5"/>
        <v>101.16279069767442</v>
      </c>
      <c r="G49" s="221">
        <f t="shared" si="5"/>
        <v>101.55450908906781</v>
      </c>
      <c r="H49" s="222">
        <f t="shared" si="5"/>
        <v>101.08695652173914</v>
      </c>
    </row>
    <row r="50" spans="1:8" s="1" customFormat="1" ht="16.5" customHeight="1" x14ac:dyDescent="0.2">
      <c r="A50" s="224" t="s">
        <v>4</v>
      </c>
      <c r="B50" s="321">
        <f>SUM(B51,B52)</f>
        <v>52476</v>
      </c>
      <c r="C50" s="213">
        <f t="shared" ref="C50:E50" si="8">SUM(C51,C52)</f>
        <v>49041</v>
      </c>
      <c r="D50" s="213">
        <f t="shared" si="8"/>
        <v>24853</v>
      </c>
      <c r="E50" s="213">
        <f t="shared" si="8"/>
        <v>23637</v>
      </c>
      <c r="F50" s="220">
        <f t="shared" si="5"/>
        <v>93.454150468785741</v>
      </c>
      <c r="G50" s="221">
        <f t="shared" si="5"/>
        <v>50.678004119002459</v>
      </c>
      <c r="H50" s="222">
        <f t="shared" si="5"/>
        <v>95.107230515430729</v>
      </c>
    </row>
    <row r="51" spans="1:8" s="3" customFormat="1" ht="17.100000000000001" customHeight="1" x14ac:dyDescent="0.2">
      <c r="A51" s="199" t="s">
        <v>21</v>
      </c>
      <c r="B51" s="323">
        <v>33226</v>
      </c>
      <c r="C51" s="219">
        <v>29791</v>
      </c>
      <c r="D51" s="219">
        <v>5603</v>
      </c>
      <c r="E51" s="219">
        <v>4387</v>
      </c>
      <c r="F51" s="220">
        <f t="shared" si="5"/>
        <v>89.661710708481309</v>
      </c>
      <c r="G51" s="221">
        <f t="shared" si="5"/>
        <v>18.807693598737874</v>
      </c>
      <c r="H51" s="222">
        <f t="shared" si="5"/>
        <v>78.297340710333756</v>
      </c>
    </row>
    <row r="52" spans="1:8" s="1" customFormat="1" ht="16.5" customHeight="1" x14ac:dyDescent="0.2">
      <c r="A52" s="202" t="s">
        <v>17</v>
      </c>
      <c r="B52" s="323">
        <v>19250</v>
      </c>
      <c r="C52" s="219">
        <v>19250</v>
      </c>
      <c r="D52" s="219">
        <v>19250</v>
      </c>
      <c r="E52" s="219">
        <v>19250</v>
      </c>
      <c r="F52" s="220">
        <f t="shared" si="5"/>
        <v>100</v>
      </c>
      <c r="G52" s="221">
        <f t="shared" si="5"/>
        <v>100</v>
      </c>
      <c r="H52" s="222">
        <f t="shared" si="5"/>
        <v>100</v>
      </c>
    </row>
    <row r="53" spans="1:8" s="1" customFormat="1" ht="16.5" customHeight="1" x14ac:dyDescent="0.2">
      <c r="A53" s="225" t="s">
        <v>22</v>
      </c>
      <c r="B53" s="321">
        <f>SUM(B54:B56)</f>
        <v>2454033</v>
      </c>
      <c r="C53" s="213">
        <f>SUM(C54:C56)</f>
        <v>4273951</v>
      </c>
      <c r="D53" s="213">
        <f>SUM(D54:D56)</f>
        <v>5154423</v>
      </c>
      <c r="E53" s="213">
        <f>SUM(E54:E56)</f>
        <v>5480190</v>
      </c>
      <c r="F53" s="214">
        <f t="shared" si="5"/>
        <v>174.16029042804234</v>
      </c>
      <c r="G53" s="215">
        <f t="shared" si="5"/>
        <v>120.60089130642817</v>
      </c>
      <c r="H53" s="216">
        <f t="shared" si="5"/>
        <v>106.32014485423488</v>
      </c>
    </row>
    <row r="54" spans="1:8" ht="16.5" customHeight="1" x14ac:dyDescent="0.2">
      <c r="A54" s="223" t="s">
        <v>227</v>
      </c>
      <c r="B54" s="323">
        <v>616608</v>
      </c>
      <c r="C54" s="219">
        <v>2752218</v>
      </c>
      <c r="D54" s="219">
        <v>2707086</v>
      </c>
      <c r="E54" s="219">
        <v>2686665</v>
      </c>
      <c r="F54" s="220">
        <f t="shared" si="5"/>
        <v>446.34808500700609</v>
      </c>
      <c r="G54" s="221">
        <f t="shared" si="5"/>
        <v>98.360158969965312</v>
      </c>
      <c r="H54" s="222">
        <f t="shared" si="5"/>
        <v>99.245646425713858</v>
      </c>
    </row>
    <row r="55" spans="1:8" ht="16.5" customHeight="1" x14ac:dyDescent="0.2">
      <c r="A55" s="223" t="s">
        <v>228</v>
      </c>
      <c r="B55" s="323">
        <v>123903</v>
      </c>
      <c r="C55" s="219">
        <v>205186</v>
      </c>
      <c r="D55" s="219">
        <v>259362</v>
      </c>
      <c r="E55" s="219">
        <v>180900</v>
      </c>
      <c r="F55" s="220">
        <f t="shared" si="5"/>
        <v>165.60212424235087</v>
      </c>
      <c r="G55" s="221">
        <f t="shared" si="5"/>
        <v>126.40336085307963</v>
      </c>
      <c r="H55" s="222">
        <f t="shared" si="5"/>
        <v>69.748074120341457</v>
      </c>
    </row>
    <row r="56" spans="1:8" ht="16.5" customHeight="1" x14ac:dyDescent="0.2">
      <c r="A56" s="228" t="s">
        <v>41</v>
      </c>
      <c r="B56" s="323">
        <v>1713522</v>
      </c>
      <c r="C56" s="219">
        <v>1316547</v>
      </c>
      <c r="D56" s="219">
        <v>2187975</v>
      </c>
      <c r="E56" s="219">
        <v>2612625</v>
      </c>
      <c r="F56" s="220">
        <f t="shared" si="5"/>
        <v>76.832804014188312</v>
      </c>
      <c r="G56" s="221">
        <f t="shared" si="5"/>
        <v>166.19042085090771</v>
      </c>
      <c r="H56" s="222">
        <f t="shared" si="5"/>
        <v>119.40835704247077</v>
      </c>
    </row>
    <row r="57" spans="1:8" s="3" customFormat="1" ht="17.100000000000001" customHeight="1" x14ac:dyDescent="0.2">
      <c r="A57" s="225" t="s">
        <v>55</v>
      </c>
      <c r="B57" s="321">
        <v>24322084</v>
      </c>
      <c r="C57" s="213">
        <v>24122320</v>
      </c>
      <c r="D57" s="213">
        <v>24062118</v>
      </c>
      <c r="E57" s="213">
        <v>24060851</v>
      </c>
      <c r="F57" s="214">
        <f t="shared" ref="F57:H59" si="9">C57/B57*100</f>
        <v>99.178672353898619</v>
      </c>
      <c r="G57" s="215">
        <f t="shared" si="9"/>
        <v>99.750430306869319</v>
      </c>
      <c r="H57" s="216">
        <f t="shared" si="9"/>
        <v>99.994734461862421</v>
      </c>
    </row>
    <row r="58" spans="1:8" ht="29.25" customHeight="1" thickBot="1" x14ac:dyDescent="0.25">
      <c r="A58" s="229" t="s">
        <v>175</v>
      </c>
      <c r="B58" s="324">
        <v>114403</v>
      </c>
      <c r="C58" s="230">
        <v>201389</v>
      </c>
      <c r="D58" s="230">
        <v>212680</v>
      </c>
      <c r="E58" s="230">
        <v>158876</v>
      </c>
      <c r="F58" s="231">
        <f t="shared" si="9"/>
        <v>176.03471936924731</v>
      </c>
      <c r="G58" s="232">
        <f t="shared" si="9"/>
        <v>105.60656242396556</v>
      </c>
      <c r="H58" s="233">
        <f t="shared" si="9"/>
        <v>74.701899567425244</v>
      </c>
    </row>
    <row r="59" spans="1:8" ht="16.5" customHeight="1" thickBot="1" x14ac:dyDescent="0.25">
      <c r="A59" s="234" t="s">
        <v>42</v>
      </c>
      <c r="B59" s="325">
        <f>B32+B38+B50+B53+B57+B58</f>
        <v>36279482</v>
      </c>
      <c r="C59" s="235">
        <f>C32+C38+C50+C53+C57+C58</f>
        <v>38960064</v>
      </c>
      <c r="D59" s="235">
        <f>D32+D38+D50+D53+D57+D58</f>
        <v>39906327</v>
      </c>
      <c r="E59" s="235">
        <f>E32+E38+E50+E53+E57+E58</f>
        <v>40674095</v>
      </c>
      <c r="F59" s="236">
        <f t="shared" si="9"/>
        <v>107.38869976147951</v>
      </c>
      <c r="G59" s="237">
        <f t="shared" si="9"/>
        <v>102.42880247835322</v>
      </c>
      <c r="H59" s="238">
        <f t="shared" si="9"/>
        <v>101.92392549682661</v>
      </c>
    </row>
  </sheetData>
  <mergeCells count="5">
    <mergeCell ref="A3:H3"/>
    <mergeCell ref="A30:A31"/>
    <mergeCell ref="F30:F31"/>
    <mergeCell ref="G30:G31"/>
    <mergeCell ref="H30:H31"/>
  </mergeCells>
  <printOptions horizontalCentered="1"/>
  <pageMargins left="0.31496062992125984" right="0.31496062992125984" top="0.59055118110236227" bottom="0.39370078740157483" header="0.31496062992125984" footer="0.11811023622047245"/>
  <pageSetup paperSize="9" scale="65" firstPageNumber="2" fitToHeight="0" orientation="portrait" useFirstPageNumber="1" r:id="rId1"/>
  <headerFooter>
    <oddHeader>&amp;L&amp;"Tahoma,Kurzíva"Střednědobý výhled rozpočtu Moravskoslezského kraje na léta 2024-2026&amp;R&amp;"Tahoma,Kurzíva"Bilance příjmů a výdajů v letech 2024-2026</oddHeader>
    <oddFooter>&amp;C&amp;"Tahoma,Obyčejné"&amp;P</oddFooter>
  </headerFooter>
  <ignoredErrors>
    <ignoredError sqref="B53:E5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CE9C6-10BF-477E-BE36-9EC298764CA2}">
  <sheetPr>
    <outlinePr summaryBelow="0"/>
    <pageSetUpPr fitToPage="1"/>
  </sheetPr>
  <dimension ref="A1:H69"/>
  <sheetViews>
    <sheetView zoomScaleNormal="100" zoomScaleSheetLayoutView="100" workbookViewId="0">
      <pane ySplit="3" topLeftCell="A4" activePane="bottomLeft" state="frozen"/>
      <selection activeCell="F20" sqref="F20"/>
      <selection pane="bottomLeft" activeCell="F20" sqref="F20"/>
    </sheetView>
  </sheetViews>
  <sheetFormatPr defaultRowHeight="12.75" x14ac:dyDescent="0.2"/>
  <cols>
    <col min="1" max="1" width="51.7109375" style="2" customWidth="1"/>
    <col min="2" max="2" width="13.7109375" style="6" customWidth="1"/>
    <col min="3" max="5" width="13.7109375" style="7" customWidth="1"/>
    <col min="6" max="8" width="12" style="2" customWidth="1"/>
    <col min="9" max="12" width="14.7109375" style="2" customWidth="1"/>
    <col min="13" max="16384" width="9.140625" style="2"/>
  </cols>
  <sheetData>
    <row r="1" spans="1:8" ht="13.5" thickBot="1" x14ac:dyDescent="0.25"/>
    <row r="2" spans="1:8" s="1" customFormat="1" ht="16.5" customHeight="1" x14ac:dyDescent="0.2">
      <c r="A2" s="636" t="s">
        <v>23</v>
      </c>
      <c r="B2" s="319">
        <v>2023</v>
      </c>
      <c r="C2" s="13">
        <v>2024</v>
      </c>
      <c r="D2" s="14">
        <v>2025</v>
      </c>
      <c r="E2" s="13">
        <v>2026</v>
      </c>
      <c r="F2" s="630" t="s">
        <v>984</v>
      </c>
      <c r="G2" s="632" t="s">
        <v>453</v>
      </c>
      <c r="H2" s="634" t="s">
        <v>985</v>
      </c>
    </row>
    <row r="3" spans="1:8" s="8" customFormat="1" ht="36" customHeight="1" thickBot="1" x14ac:dyDescent="0.25">
      <c r="A3" s="637"/>
      <c r="B3" s="320" t="s">
        <v>496</v>
      </c>
      <c r="C3" s="15" t="s">
        <v>43</v>
      </c>
      <c r="D3" s="16" t="s">
        <v>43</v>
      </c>
      <c r="E3" s="15" t="s">
        <v>43</v>
      </c>
      <c r="F3" s="631"/>
      <c r="G3" s="633"/>
      <c r="H3" s="635"/>
    </row>
    <row r="4" spans="1:8" s="3" customFormat="1" ht="16.5" customHeight="1" x14ac:dyDescent="0.2">
      <c r="A4" s="239" t="s">
        <v>8</v>
      </c>
      <c r="B4" s="321">
        <v>771435</v>
      </c>
      <c r="C4" s="213">
        <v>774712</v>
      </c>
      <c r="D4" s="213">
        <v>780661</v>
      </c>
      <c r="E4" s="213">
        <v>778136</v>
      </c>
      <c r="F4" s="240">
        <f t="shared" ref="F4:H19" si="0">C4/B4*100</f>
        <v>100.42479275635665</v>
      </c>
      <c r="G4" s="241">
        <f t="shared" si="0"/>
        <v>100.76789826412913</v>
      </c>
      <c r="H4" s="242">
        <f t="shared" si="0"/>
        <v>99.676556149212018</v>
      </c>
    </row>
    <row r="5" spans="1:8" s="3" customFormat="1" ht="16.5" customHeight="1" x14ac:dyDescent="0.2">
      <c r="A5" s="239" t="s">
        <v>9</v>
      </c>
      <c r="B5" s="321">
        <f>SUM(B6:B11)</f>
        <v>510742</v>
      </c>
      <c r="C5" s="213">
        <f>SUM(C6:C11)</f>
        <v>544881</v>
      </c>
      <c r="D5" s="213">
        <f>SUM(D6:D11)</f>
        <v>559163</v>
      </c>
      <c r="E5" s="213">
        <f>SUM(E6:E11)</f>
        <v>560276</v>
      </c>
      <c r="F5" s="243">
        <f t="shared" si="0"/>
        <v>106.68419671771659</v>
      </c>
      <c r="G5" s="243">
        <f t="shared" si="0"/>
        <v>102.62112277726696</v>
      </c>
      <c r="H5" s="244">
        <f t="shared" si="0"/>
        <v>100.19904750493147</v>
      </c>
    </row>
    <row r="6" spans="1:8" s="3" customFormat="1" ht="16.5" customHeight="1" x14ac:dyDescent="0.2">
      <c r="A6" s="245" t="s">
        <v>24</v>
      </c>
      <c r="B6" s="323">
        <v>85900</v>
      </c>
      <c r="C6" s="219">
        <v>80900</v>
      </c>
      <c r="D6" s="219">
        <v>80900</v>
      </c>
      <c r="E6" s="219">
        <v>80900</v>
      </c>
      <c r="F6" s="246">
        <f t="shared" si="0"/>
        <v>94.179278230500586</v>
      </c>
      <c r="G6" s="246">
        <f t="shared" si="0"/>
        <v>100</v>
      </c>
      <c r="H6" s="247">
        <f t="shared" si="0"/>
        <v>100</v>
      </c>
    </row>
    <row r="7" spans="1:8" s="3" customFormat="1" ht="16.5" customHeight="1" x14ac:dyDescent="0.2">
      <c r="A7" s="245" t="s">
        <v>25</v>
      </c>
      <c r="B7" s="323">
        <v>250000</v>
      </c>
      <c r="C7" s="219">
        <v>306000</v>
      </c>
      <c r="D7" s="219">
        <v>320500</v>
      </c>
      <c r="E7" s="219">
        <v>320000</v>
      </c>
      <c r="F7" s="246">
        <f t="shared" si="0"/>
        <v>122.39999999999999</v>
      </c>
      <c r="G7" s="246">
        <f t="shared" si="0"/>
        <v>104.73856209150327</v>
      </c>
      <c r="H7" s="247">
        <f t="shared" si="0"/>
        <v>99.84399375975039</v>
      </c>
    </row>
    <row r="8" spans="1:8" s="3" customFormat="1" ht="16.5" customHeight="1" x14ac:dyDescent="0.2">
      <c r="A8" s="245" t="s">
        <v>986</v>
      </c>
      <c r="B8" s="323">
        <v>750</v>
      </c>
      <c r="C8" s="219">
        <v>750</v>
      </c>
      <c r="D8" s="219">
        <v>750</v>
      </c>
      <c r="E8" s="219">
        <v>750</v>
      </c>
      <c r="F8" s="246">
        <f t="shared" si="0"/>
        <v>100</v>
      </c>
      <c r="G8" s="246">
        <f t="shared" si="0"/>
        <v>100</v>
      </c>
      <c r="H8" s="247">
        <f t="shared" si="0"/>
        <v>100</v>
      </c>
    </row>
    <row r="9" spans="1:8" s="3" customFormat="1" ht="16.5" customHeight="1" x14ac:dyDescent="0.2">
      <c r="A9" s="245" t="s">
        <v>26</v>
      </c>
      <c r="B9" s="323">
        <v>59000</v>
      </c>
      <c r="C9" s="219">
        <v>59000</v>
      </c>
      <c r="D9" s="219">
        <v>59000</v>
      </c>
      <c r="E9" s="219">
        <v>60000</v>
      </c>
      <c r="F9" s="246">
        <f t="shared" si="0"/>
        <v>100</v>
      </c>
      <c r="G9" s="246">
        <f t="shared" si="0"/>
        <v>100</v>
      </c>
      <c r="H9" s="247">
        <f t="shared" si="0"/>
        <v>101.69491525423729</v>
      </c>
    </row>
    <row r="10" spans="1:8" s="3" customFormat="1" ht="27.75" customHeight="1" x14ac:dyDescent="0.2">
      <c r="A10" s="245" t="s">
        <v>27</v>
      </c>
      <c r="B10" s="323">
        <v>60000</v>
      </c>
      <c r="C10" s="219">
        <v>50000</v>
      </c>
      <c r="D10" s="219">
        <v>50000</v>
      </c>
      <c r="E10" s="219">
        <v>50000</v>
      </c>
      <c r="F10" s="246">
        <f t="shared" si="0"/>
        <v>83.333333333333343</v>
      </c>
      <c r="G10" s="246">
        <f t="shared" si="0"/>
        <v>100</v>
      </c>
      <c r="H10" s="247">
        <f t="shared" si="0"/>
        <v>100</v>
      </c>
    </row>
    <row r="11" spans="1:8" s="3" customFormat="1" ht="16.5" customHeight="1" x14ac:dyDescent="0.2">
      <c r="A11" s="248" t="s">
        <v>28</v>
      </c>
      <c r="B11" s="323">
        <v>55092</v>
      </c>
      <c r="C11" s="219">
        <v>48231</v>
      </c>
      <c r="D11" s="219">
        <v>48013</v>
      </c>
      <c r="E11" s="219">
        <v>48626</v>
      </c>
      <c r="F11" s="246">
        <f t="shared" si="0"/>
        <v>87.546286212154214</v>
      </c>
      <c r="G11" s="246">
        <f t="shared" si="0"/>
        <v>99.548008542223869</v>
      </c>
      <c r="H11" s="247">
        <f t="shared" si="0"/>
        <v>101.27673755024679</v>
      </c>
    </row>
    <row r="12" spans="1:8" s="3" customFormat="1" ht="29.25" customHeight="1" collapsed="1" x14ac:dyDescent="0.2">
      <c r="A12" s="249" t="s">
        <v>48</v>
      </c>
      <c r="B12" s="321">
        <f>SUM(B13:B26)</f>
        <v>4672832</v>
      </c>
      <c r="C12" s="213">
        <f>SUM(C13:C26)</f>
        <v>4532472</v>
      </c>
      <c r="D12" s="213">
        <f t="shared" ref="D12:E12" si="1">SUM(D13:D26)</f>
        <v>4227169</v>
      </c>
      <c r="E12" s="213">
        <f t="shared" si="1"/>
        <v>4444313</v>
      </c>
      <c r="F12" s="243">
        <f t="shared" si="0"/>
        <v>96.996254091737086</v>
      </c>
      <c r="G12" s="243">
        <f t="shared" si="0"/>
        <v>93.264095178083835</v>
      </c>
      <c r="H12" s="244">
        <f t="shared" si="0"/>
        <v>105.13686583148201</v>
      </c>
    </row>
    <row r="13" spans="1:8" s="3" customFormat="1" ht="16.5" customHeight="1" x14ac:dyDescent="0.2">
      <c r="A13" s="248" t="s">
        <v>457</v>
      </c>
      <c r="B13" s="323">
        <v>1377000</v>
      </c>
      <c r="C13" s="219">
        <v>1656000</v>
      </c>
      <c r="D13" s="219">
        <v>1735000</v>
      </c>
      <c r="E13" s="219">
        <v>1797000</v>
      </c>
      <c r="F13" s="246">
        <f t="shared" si="0"/>
        <v>120.26143790849673</v>
      </c>
      <c r="G13" s="246">
        <f t="shared" si="0"/>
        <v>104.77053140096619</v>
      </c>
      <c r="H13" s="247">
        <f t="shared" si="0"/>
        <v>103.57348703170028</v>
      </c>
    </row>
    <row r="14" spans="1:8" s="3" customFormat="1" ht="16.5" customHeight="1" x14ac:dyDescent="0.2">
      <c r="A14" s="248" t="s">
        <v>458</v>
      </c>
      <c r="B14" s="323">
        <v>1461986</v>
      </c>
      <c r="C14" s="219">
        <v>1735060</v>
      </c>
      <c r="D14" s="219">
        <v>1819800</v>
      </c>
      <c r="E14" s="219">
        <v>1885900</v>
      </c>
      <c r="F14" s="246">
        <f t="shared" si="0"/>
        <v>118.67829103698668</v>
      </c>
      <c r="G14" s="246">
        <f t="shared" si="0"/>
        <v>104.88398095743088</v>
      </c>
      <c r="H14" s="247">
        <f t="shared" si="0"/>
        <v>103.63226728211892</v>
      </c>
    </row>
    <row r="15" spans="1:8" s="3" customFormat="1" ht="16.5" customHeight="1" x14ac:dyDescent="0.2">
      <c r="A15" s="248" t="s">
        <v>459</v>
      </c>
      <c r="B15" s="323">
        <v>234983</v>
      </c>
      <c r="C15" s="219">
        <v>264983</v>
      </c>
      <c r="D15" s="219">
        <v>101984</v>
      </c>
      <c r="E15" s="219">
        <v>101984</v>
      </c>
      <c r="F15" s="246">
        <f t="shared" si="0"/>
        <v>112.76688100841336</v>
      </c>
      <c r="G15" s="246">
        <f t="shared" si="0"/>
        <v>38.486997279070735</v>
      </c>
      <c r="H15" s="247">
        <f t="shared" si="0"/>
        <v>100</v>
      </c>
    </row>
    <row r="16" spans="1:8" s="3" customFormat="1" ht="16.5" customHeight="1" x14ac:dyDescent="0.2">
      <c r="A16" s="248" t="s">
        <v>460</v>
      </c>
      <c r="B16" s="323">
        <v>104592</v>
      </c>
      <c r="C16" s="219">
        <v>14733</v>
      </c>
      <c r="D16" s="219">
        <v>1183</v>
      </c>
      <c r="E16" s="219">
        <v>1183</v>
      </c>
      <c r="F16" s="246">
        <f t="shared" si="0"/>
        <v>14.08616337769619</v>
      </c>
      <c r="G16" s="246">
        <f t="shared" si="0"/>
        <v>8.0295934297156055</v>
      </c>
      <c r="H16" s="247">
        <f t="shared" si="0"/>
        <v>100</v>
      </c>
    </row>
    <row r="17" spans="1:8" s="3" customFormat="1" ht="16.5" customHeight="1" x14ac:dyDescent="0.2">
      <c r="A17" s="248" t="s">
        <v>29</v>
      </c>
      <c r="B17" s="323">
        <v>142824</v>
      </c>
      <c r="C17" s="219">
        <v>62578</v>
      </c>
      <c r="D17" s="219">
        <v>62578</v>
      </c>
      <c r="E17" s="219">
        <v>62578</v>
      </c>
      <c r="F17" s="246">
        <f t="shared" si="0"/>
        <v>43.814765025485912</v>
      </c>
      <c r="G17" s="246">
        <f t="shared" si="0"/>
        <v>100</v>
      </c>
      <c r="H17" s="247">
        <f t="shared" si="0"/>
        <v>100</v>
      </c>
    </row>
    <row r="18" spans="1:8" s="3" customFormat="1" ht="16.5" customHeight="1" x14ac:dyDescent="0.2">
      <c r="A18" s="248" t="s">
        <v>30</v>
      </c>
      <c r="B18" s="323">
        <v>253104</v>
      </c>
      <c r="C18" s="219">
        <v>145951</v>
      </c>
      <c r="D18" s="219">
        <v>45951</v>
      </c>
      <c r="E18" s="219">
        <v>145951</v>
      </c>
      <c r="F18" s="246">
        <f t="shared" si="0"/>
        <v>57.6644383336494</v>
      </c>
      <c r="G18" s="246">
        <f t="shared" si="0"/>
        <v>31.483854170235215</v>
      </c>
      <c r="H18" s="247">
        <f t="shared" si="0"/>
        <v>317.62312028029862</v>
      </c>
    </row>
    <row r="19" spans="1:8" s="3" customFormat="1" ht="16.5" customHeight="1" x14ac:dyDescent="0.2">
      <c r="A19" s="248" t="s">
        <v>31</v>
      </c>
      <c r="B19" s="323">
        <v>36000</v>
      </c>
      <c r="C19" s="219">
        <v>134</v>
      </c>
      <c r="D19" s="219">
        <v>134</v>
      </c>
      <c r="E19" s="219">
        <v>0</v>
      </c>
      <c r="F19" s="246">
        <f t="shared" si="0"/>
        <v>0.37222222222222223</v>
      </c>
      <c r="G19" s="246">
        <f t="shared" si="0"/>
        <v>100</v>
      </c>
      <c r="H19" s="247">
        <f t="shared" si="0"/>
        <v>0</v>
      </c>
    </row>
    <row r="20" spans="1:8" s="3" customFormat="1" ht="16.149999999999999" customHeight="1" x14ac:dyDescent="0.2">
      <c r="A20" s="248" t="s">
        <v>32</v>
      </c>
      <c r="B20" s="323">
        <v>298580</v>
      </c>
      <c r="C20" s="219">
        <v>225847</v>
      </c>
      <c r="D20" s="219">
        <v>89564</v>
      </c>
      <c r="E20" s="219">
        <v>86764</v>
      </c>
      <c r="F20" s="246">
        <f t="shared" ref="F20:H35" si="2">C20/B20*100</f>
        <v>75.640364391452877</v>
      </c>
      <c r="G20" s="246">
        <f t="shared" si="2"/>
        <v>39.656935890226571</v>
      </c>
      <c r="H20" s="247">
        <f t="shared" si="2"/>
        <v>96.873743914965843</v>
      </c>
    </row>
    <row r="21" spans="1:8" s="3" customFormat="1" ht="16.5" customHeight="1" x14ac:dyDescent="0.2">
      <c r="A21" s="248" t="s">
        <v>33</v>
      </c>
      <c r="B21" s="323">
        <v>152170</v>
      </c>
      <c r="C21" s="219">
        <v>75600</v>
      </c>
      <c r="D21" s="219">
        <v>68512</v>
      </c>
      <c r="E21" s="219">
        <v>23640</v>
      </c>
      <c r="F21" s="246">
        <f t="shared" si="2"/>
        <v>49.681277518564762</v>
      </c>
      <c r="G21" s="246">
        <f t="shared" si="2"/>
        <v>90.624338624338634</v>
      </c>
      <c r="H21" s="247">
        <f t="shared" si="2"/>
        <v>34.504904250350307</v>
      </c>
    </row>
    <row r="22" spans="1:8" s="3" customFormat="1" ht="16.5" customHeight="1" x14ac:dyDescent="0.2">
      <c r="A22" s="248" t="s">
        <v>34</v>
      </c>
      <c r="B22" s="323">
        <v>342377</v>
      </c>
      <c r="C22" s="219">
        <v>210080</v>
      </c>
      <c r="D22" s="219">
        <v>207080</v>
      </c>
      <c r="E22" s="219">
        <v>207080</v>
      </c>
      <c r="F22" s="246">
        <f t="shared" si="2"/>
        <v>61.359261866305268</v>
      </c>
      <c r="G22" s="246">
        <f t="shared" si="2"/>
        <v>98.571972581873567</v>
      </c>
      <c r="H22" s="247">
        <f t="shared" si="2"/>
        <v>100</v>
      </c>
    </row>
    <row r="23" spans="1:8" s="3" customFormat="1" ht="16.5" customHeight="1" x14ac:dyDescent="0.2">
      <c r="A23" s="248" t="s">
        <v>35</v>
      </c>
      <c r="B23" s="323">
        <v>153149</v>
      </c>
      <c r="C23" s="219">
        <v>61246</v>
      </c>
      <c r="D23" s="219">
        <v>23246</v>
      </c>
      <c r="E23" s="219">
        <v>62746</v>
      </c>
      <c r="F23" s="246">
        <f t="shared" si="2"/>
        <v>39.991119759188763</v>
      </c>
      <c r="G23" s="246">
        <f t="shared" si="2"/>
        <v>37.955131763707016</v>
      </c>
      <c r="H23" s="247">
        <f t="shared" si="2"/>
        <v>269.9217069603373</v>
      </c>
    </row>
    <row r="24" spans="1:8" s="3" customFormat="1" ht="16.5" customHeight="1" x14ac:dyDescent="0.2">
      <c r="A24" s="248" t="s">
        <v>36</v>
      </c>
      <c r="B24" s="323">
        <v>9512</v>
      </c>
      <c r="C24" s="219">
        <v>5899</v>
      </c>
      <c r="D24" s="219">
        <v>6554</v>
      </c>
      <c r="E24" s="219">
        <v>5904</v>
      </c>
      <c r="F24" s="246">
        <f t="shared" si="2"/>
        <v>62.016400336417156</v>
      </c>
      <c r="G24" s="246">
        <f t="shared" si="2"/>
        <v>111.10357687743686</v>
      </c>
      <c r="H24" s="247">
        <f t="shared" si="2"/>
        <v>90.082392432102537</v>
      </c>
    </row>
    <row r="25" spans="1:8" s="3" customFormat="1" ht="16.5" customHeight="1" x14ac:dyDescent="0.2">
      <c r="A25" s="248" t="s">
        <v>37</v>
      </c>
      <c r="B25" s="323">
        <v>58984</v>
      </c>
      <c r="C25" s="219">
        <v>38946</v>
      </c>
      <c r="D25" s="219">
        <v>38946</v>
      </c>
      <c r="E25" s="219">
        <v>38946</v>
      </c>
      <c r="F25" s="246">
        <f t="shared" si="2"/>
        <v>66.028075410280749</v>
      </c>
      <c r="G25" s="246">
        <f t="shared" si="2"/>
        <v>100</v>
      </c>
      <c r="H25" s="247">
        <f t="shared" si="2"/>
        <v>100</v>
      </c>
    </row>
    <row r="26" spans="1:8" s="3" customFormat="1" ht="16.5" customHeight="1" x14ac:dyDescent="0.2">
      <c r="A26" s="248" t="s">
        <v>38</v>
      </c>
      <c r="B26" s="323">
        <v>47571</v>
      </c>
      <c r="C26" s="219">
        <v>35415</v>
      </c>
      <c r="D26" s="219">
        <v>26637</v>
      </c>
      <c r="E26" s="219">
        <v>24637</v>
      </c>
      <c r="F26" s="246">
        <f t="shared" si="2"/>
        <v>74.446616636185908</v>
      </c>
      <c r="G26" s="246">
        <f t="shared" si="2"/>
        <v>75.213892418466756</v>
      </c>
      <c r="H26" s="247">
        <f t="shared" si="2"/>
        <v>92.491646957239922</v>
      </c>
    </row>
    <row r="27" spans="1:8" s="3" customFormat="1" ht="16.5" customHeight="1" x14ac:dyDescent="0.2">
      <c r="A27" s="239" t="s">
        <v>10</v>
      </c>
      <c r="B27" s="321">
        <f>SUM(B28:B33)</f>
        <v>3634192</v>
      </c>
      <c r="C27" s="213">
        <f>SUM(C28:C33)</f>
        <v>3444937</v>
      </c>
      <c r="D27" s="213">
        <f>SUM(D28:D33)</f>
        <v>3444940</v>
      </c>
      <c r="E27" s="213">
        <f>SUM(E28:E33)</f>
        <v>3458940</v>
      </c>
      <c r="F27" s="243">
        <f t="shared" si="2"/>
        <v>94.792377507847689</v>
      </c>
      <c r="G27" s="243">
        <f t="shared" si="2"/>
        <v>100.00008708432114</v>
      </c>
      <c r="H27" s="244">
        <f t="shared" si="2"/>
        <v>100.40639314472821</v>
      </c>
    </row>
    <row r="28" spans="1:8" s="3" customFormat="1" ht="16.5" customHeight="1" x14ac:dyDescent="0.2">
      <c r="A28" s="248" t="s">
        <v>461</v>
      </c>
      <c r="B28" s="323">
        <v>742362</v>
      </c>
      <c r="C28" s="219">
        <v>736301</v>
      </c>
      <c r="D28" s="219">
        <v>736301</v>
      </c>
      <c r="E28" s="219">
        <v>736301</v>
      </c>
      <c r="F28" s="246">
        <f t="shared" si="2"/>
        <v>99.183551959825536</v>
      </c>
      <c r="G28" s="246">
        <f t="shared" si="2"/>
        <v>100</v>
      </c>
      <c r="H28" s="247">
        <f t="shared" si="2"/>
        <v>100</v>
      </c>
    </row>
    <row r="29" spans="1:8" s="3" customFormat="1" ht="16.5" customHeight="1" x14ac:dyDescent="0.2">
      <c r="A29" s="248" t="s">
        <v>460</v>
      </c>
      <c r="B29" s="323">
        <v>47766</v>
      </c>
      <c r="C29" s="219">
        <v>47946</v>
      </c>
      <c r="D29" s="219">
        <v>47946</v>
      </c>
      <c r="E29" s="219">
        <v>47946</v>
      </c>
      <c r="F29" s="246">
        <f t="shared" si="2"/>
        <v>100.37683708076874</v>
      </c>
      <c r="G29" s="246">
        <f t="shared" si="2"/>
        <v>100</v>
      </c>
      <c r="H29" s="247">
        <f t="shared" si="2"/>
        <v>100</v>
      </c>
    </row>
    <row r="30" spans="1:8" s="3" customFormat="1" ht="16.5" customHeight="1" x14ac:dyDescent="0.2">
      <c r="A30" s="248" t="s">
        <v>30</v>
      </c>
      <c r="B30" s="323">
        <v>356793</v>
      </c>
      <c r="C30" s="219">
        <v>344547</v>
      </c>
      <c r="D30" s="219">
        <v>344550</v>
      </c>
      <c r="E30" s="219">
        <v>358550</v>
      </c>
      <c r="F30" s="246">
        <f t="shared" si="2"/>
        <v>96.567757775516895</v>
      </c>
      <c r="G30" s="246">
        <f t="shared" si="2"/>
        <v>100.0008707084955</v>
      </c>
      <c r="H30" s="247">
        <f t="shared" si="2"/>
        <v>104.06327093310115</v>
      </c>
    </row>
    <row r="31" spans="1:8" s="3" customFormat="1" ht="16.5" customHeight="1" x14ac:dyDescent="0.2">
      <c r="A31" s="248" t="s">
        <v>34</v>
      </c>
      <c r="B31" s="323">
        <v>506467</v>
      </c>
      <c r="C31" s="219">
        <v>456456</v>
      </c>
      <c r="D31" s="219">
        <v>456456</v>
      </c>
      <c r="E31" s="219">
        <v>456456</v>
      </c>
      <c r="F31" s="246">
        <f t="shared" si="2"/>
        <v>90.125516568700419</v>
      </c>
      <c r="G31" s="246">
        <f t="shared" si="2"/>
        <v>100</v>
      </c>
      <c r="H31" s="247">
        <f t="shared" si="2"/>
        <v>100</v>
      </c>
    </row>
    <row r="32" spans="1:8" s="3" customFormat="1" ht="16.5" customHeight="1" x14ac:dyDescent="0.2">
      <c r="A32" s="248" t="s">
        <v>35</v>
      </c>
      <c r="B32" s="323">
        <v>1223907</v>
      </c>
      <c r="C32" s="219">
        <v>1120755</v>
      </c>
      <c r="D32" s="219">
        <v>1120755</v>
      </c>
      <c r="E32" s="219">
        <v>1120755</v>
      </c>
      <c r="F32" s="246">
        <f t="shared" si="2"/>
        <v>91.571908649921923</v>
      </c>
      <c r="G32" s="246">
        <f t="shared" si="2"/>
        <v>100</v>
      </c>
      <c r="H32" s="247">
        <f t="shared" si="2"/>
        <v>100</v>
      </c>
    </row>
    <row r="33" spans="1:8" s="3" customFormat="1" ht="16.5" customHeight="1" x14ac:dyDescent="0.2">
      <c r="A33" s="248" t="s">
        <v>37</v>
      </c>
      <c r="B33" s="323">
        <v>756897</v>
      </c>
      <c r="C33" s="219">
        <v>738932</v>
      </c>
      <c r="D33" s="219">
        <v>738932</v>
      </c>
      <c r="E33" s="219">
        <v>738932</v>
      </c>
      <c r="F33" s="246">
        <f t="shared" si="2"/>
        <v>97.626493433056282</v>
      </c>
      <c r="G33" s="246">
        <f t="shared" si="2"/>
        <v>100</v>
      </c>
      <c r="H33" s="247">
        <f t="shared" si="2"/>
        <v>100</v>
      </c>
    </row>
    <row r="34" spans="1:8" s="3" customFormat="1" ht="16.5" customHeight="1" x14ac:dyDescent="0.2">
      <c r="A34" s="239" t="s">
        <v>51</v>
      </c>
      <c r="B34" s="321">
        <f>SUM(B35:B37)</f>
        <v>232505</v>
      </c>
      <c r="C34" s="213">
        <f t="shared" ref="C34:E34" si="3">SUM(C35:C37)</f>
        <v>214228</v>
      </c>
      <c r="D34" s="213">
        <f t="shared" si="3"/>
        <v>215626</v>
      </c>
      <c r="E34" s="213">
        <f t="shared" si="3"/>
        <v>214427</v>
      </c>
      <c r="F34" s="243">
        <f t="shared" si="2"/>
        <v>92.139093782929407</v>
      </c>
      <c r="G34" s="243">
        <f t="shared" si="2"/>
        <v>100.6525757604048</v>
      </c>
      <c r="H34" s="244">
        <f t="shared" si="2"/>
        <v>99.443944607793128</v>
      </c>
    </row>
    <row r="35" spans="1:8" s="3" customFormat="1" ht="16.5" customHeight="1" x14ac:dyDescent="0.2">
      <c r="A35" s="248" t="s">
        <v>460</v>
      </c>
      <c r="B35" s="323">
        <v>31592</v>
      </c>
      <c r="C35" s="219">
        <v>34228</v>
      </c>
      <c r="D35" s="219">
        <v>35626</v>
      </c>
      <c r="E35" s="219">
        <v>34427</v>
      </c>
      <c r="F35" s="246">
        <f t="shared" si="2"/>
        <v>108.34388452772853</v>
      </c>
      <c r="G35" s="246">
        <f t="shared" si="2"/>
        <v>104.08437536519808</v>
      </c>
      <c r="H35" s="247">
        <f>E35/D35*100</f>
        <v>96.634480435636888</v>
      </c>
    </row>
    <row r="36" spans="1:8" s="3" customFormat="1" ht="16.5" customHeight="1" x14ac:dyDescent="0.2">
      <c r="A36" s="248" t="s">
        <v>30</v>
      </c>
      <c r="B36" s="323">
        <v>20913</v>
      </c>
      <c r="C36" s="219">
        <v>0</v>
      </c>
      <c r="D36" s="219">
        <v>0</v>
      </c>
      <c r="E36" s="219">
        <v>0</v>
      </c>
      <c r="F36" s="246">
        <f t="shared" ref="F36:F37" si="4">C36/B36*100</f>
        <v>0</v>
      </c>
      <c r="G36" s="250" t="s">
        <v>987</v>
      </c>
      <c r="H36" s="251" t="s">
        <v>987</v>
      </c>
    </row>
    <row r="37" spans="1:8" s="3" customFormat="1" ht="16.5" customHeight="1" x14ac:dyDescent="0.2">
      <c r="A37" s="248" t="s">
        <v>34</v>
      </c>
      <c r="B37" s="323">
        <v>180000</v>
      </c>
      <c r="C37" s="219">
        <v>180000</v>
      </c>
      <c r="D37" s="219">
        <v>180000</v>
      </c>
      <c r="E37" s="219">
        <v>180000</v>
      </c>
      <c r="F37" s="246">
        <f t="shared" si="4"/>
        <v>100</v>
      </c>
      <c r="G37" s="246">
        <f t="shared" ref="G37" si="5">D37/C37*100</f>
        <v>100</v>
      </c>
      <c r="H37" s="247">
        <f t="shared" ref="H37" si="6">E37/D37*100</f>
        <v>100</v>
      </c>
    </row>
    <row r="38" spans="1:8" s="3" customFormat="1" ht="6" customHeight="1" x14ac:dyDescent="0.2">
      <c r="A38" s="252"/>
      <c r="B38" s="323"/>
      <c r="C38" s="219"/>
      <c r="D38" s="219"/>
      <c r="E38" s="219"/>
      <c r="F38" s="253"/>
      <c r="G38" s="253"/>
      <c r="H38" s="254"/>
    </row>
    <row r="39" spans="1:8" s="3" customFormat="1" ht="29.25" customHeight="1" x14ac:dyDescent="0.2">
      <c r="A39" s="249" t="s">
        <v>462</v>
      </c>
      <c r="B39" s="321">
        <v>24322084</v>
      </c>
      <c r="C39" s="213">
        <v>24122320</v>
      </c>
      <c r="D39" s="213">
        <v>24062118</v>
      </c>
      <c r="E39" s="213">
        <v>24060851</v>
      </c>
      <c r="F39" s="243">
        <f t="shared" ref="F39:H39" si="7">C39/B39*100</f>
        <v>99.178672353898619</v>
      </c>
      <c r="G39" s="243">
        <f t="shared" si="7"/>
        <v>99.750430306869319</v>
      </c>
      <c r="H39" s="244">
        <f t="shared" si="7"/>
        <v>99.994734461862421</v>
      </c>
    </row>
    <row r="40" spans="1:8" s="3" customFormat="1" ht="6" customHeight="1" x14ac:dyDescent="0.2">
      <c r="A40" s="255"/>
      <c r="B40" s="326"/>
      <c r="C40" s="256"/>
      <c r="D40" s="256"/>
      <c r="E40" s="256"/>
      <c r="F40" s="253"/>
      <c r="G40" s="253"/>
      <c r="H40" s="254"/>
    </row>
    <row r="41" spans="1:8" s="3" customFormat="1" ht="29.25" customHeight="1" x14ac:dyDescent="0.2">
      <c r="A41" s="249" t="s">
        <v>39</v>
      </c>
      <c r="B41" s="321">
        <f>SUM(B42:B51)</f>
        <v>2775440</v>
      </c>
      <c r="C41" s="213">
        <f>SUM(C42:C51)</f>
        <v>3112668</v>
      </c>
      <c r="D41" s="213">
        <f>SUM(D42:D51)</f>
        <v>2933366</v>
      </c>
      <c r="E41" s="213">
        <f>SUM(E42:E51)</f>
        <v>2331606</v>
      </c>
      <c r="F41" s="243">
        <f t="shared" ref="F41:H42" si="8">C41/B41*100</f>
        <v>112.15043380509036</v>
      </c>
      <c r="G41" s="243">
        <f t="shared" si="8"/>
        <v>94.239604095264895</v>
      </c>
      <c r="H41" s="244">
        <f t="shared" si="8"/>
        <v>79.485683000348402</v>
      </c>
    </row>
    <row r="42" spans="1:8" s="3" customFormat="1" ht="16.5" customHeight="1" x14ac:dyDescent="0.2">
      <c r="A42" s="248" t="s">
        <v>54</v>
      </c>
      <c r="B42" s="323">
        <v>20700</v>
      </c>
      <c r="C42" s="219">
        <v>30600</v>
      </c>
      <c r="D42" s="219">
        <v>27400</v>
      </c>
      <c r="E42" s="219">
        <v>7800</v>
      </c>
      <c r="F42" s="246">
        <f t="shared" si="8"/>
        <v>147.82608695652172</v>
      </c>
      <c r="G42" s="246">
        <f t="shared" si="8"/>
        <v>89.542483660130728</v>
      </c>
      <c r="H42" s="247">
        <f t="shared" si="8"/>
        <v>28.467153284671532</v>
      </c>
    </row>
    <row r="43" spans="1:8" s="1" customFormat="1" ht="16.5" customHeight="1" x14ac:dyDescent="0.2">
      <c r="A43" s="248" t="s">
        <v>40</v>
      </c>
      <c r="B43" s="323">
        <v>19204</v>
      </c>
      <c r="C43" s="219">
        <v>0</v>
      </c>
      <c r="D43" s="219">
        <v>0</v>
      </c>
      <c r="E43" s="219">
        <v>0</v>
      </c>
      <c r="F43" s="246">
        <f t="shared" ref="F43:F50" si="9">C43/B43*100</f>
        <v>0</v>
      </c>
      <c r="G43" s="250" t="s">
        <v>987</v>
      </c>
      <c r="H43" s="251" t="s">
        <v>987</v>
      </c>
    </row>
    <row r="44" spans="1:8" s="3" customFormat="1" ht="16.5" customHeight="1" x14ac:dyDescent="0.2">
      <c r="A44" s="248" t="s">
        <v>461</v>
      </c>
      <c r="B44" s="323">
        <v>892621</v>
      </c>
      <c r="C44" s="219">
        <v>1846063</v>
      </c>
      <c r="D44" s="219">
        <v>1162433</v>
      </c>
      <c r="E44" s="219">
        <v>2054130</v>
      </c>
      <c r="F44" s="246">
        <f t="shared" si="9"/>
        <v>206.81375410168482</v>
      </c>
      <c r="G44" s="246">
        <f t="shared" ref="G44:G50" si="10">D44/C44*100</f>
        <v>62.9682193944627</v>
      </c>
      <c r="H44" s="247">
        <f t="shared" ref="H44:H50" si="11">E44/D44*100</f>
        <v>176.7095393885067</v>
      </c>
    </row>
    <row r="45" spans="1:8" s="3" customFormat="1" ht="16.5" customHeight="1" x14ac:dyDescent="0.2">
      <c r="A45" s="248" t="s">
        <v>460</v>
      </c>
      <c r="B45" s="323">
        <v>32866</v>
      </c>
      <c r="C45" s="219">
        <v>21329</v>
      </c>
      <c r="D45" s="219">
        <v>22631</v>
      </c>
      <c r="E45" s="219">
        <v>22631</v>
      </c>
      <c r="F45" s="246">
        <f t="shared" si="9"/>
        <v>64.896853891559672</v>
      </c>
      <c r="G45" s="246">
        <f t="shared" si="10"/>
        <v>106.10436494913029</v>
      </c>
      <c r="H45" s="247">
        <f t="shared" si="11"/>
        <v>100</v>
      </c>
    </row>
    <row r="46" spans="1:8" s="3" customFormat="1" ht="16.5" customHeight="1" x14ac:dyDescent="0.2">
      <c r="A46" s="248" t="s">
        <v>30</v>
      </c>
      <c r="B46" s="323">
        <v>73459</v>
      </c>
      <c r="C46" s="219">
        <v>73588</v>
      </c>
      <c r="D46" s="219">
        <v>100588</v>
      </c>
      <c r="E46" s="219">
        <v>0</v>
      </c>
      <c r="F46" s="246">
        <f t="shared" si="9"/>
        <v>100.17560816237629</v>
      </c>
      <c r="G46" s="246">
        <f t="shared" si="10"/>
        <v>136.69076479860846</v>
      </c>
      <c r="H46" s="247">
        <f t="shared" si="11"/>
        <v>0</v>
      </c>
    </row>
    <row r="47" spans="1:8" s="3" customFormat="1" ht="16.5" customHeight="1" x14ac:dyDescent="0.2">
      <c r="A47" s="248" t="s">
        <v>34</v>
      </c>
      <c r="B47" s="323">
        <v>388013</v>
      </c>
      <c r="C47" s="219">
        <v>36100</v>
      </c>
      <c r="D47" s="219">
        <v>55300</v>
      </c>
      <c r="E47" s="219">
        <v>0</v>
      </c>
      <c r="F47" s="246">
        <f t="shared" si="9"/>
        <v>9.3038119856808912</v>
      </c>
      <c r="G47" s="246">
        <f t="shared" si="10"/>
        <v>153.18559556786704</v>
      </c>
      <c r="H47" s="247">
        <f t="shared" si="11"/>
        <v>0</v>
      </c>
    </row>
    <row r="48" spans="1:8" s="3" customFormat="1" ht="16.5" customHeight="1" x14ac:dyDescent="0.2">
      <c r="A48" s="248" t="s">
        <v>35</v>
      </c>
      <c r="B48" s="323">
        <v>663265</v>
      </c>
      <c r="C48" s="219">
        <v>766922</v>
      </c>
      <c r="D48" s="219">
        <v>673822</v>
      </c>
      <c r="E48" s="219">
        <v>0</v>
      </c>
      <c r="F48" s="246">
        <f t="shared" si="9"/>
        <v>115.62829336690463</v>
      </c>
      <c r="G48" s="246">
        <f t="shared" si="10"/>
        <v>87.860564698887245</v>
      </c>
      <c r="H48" s="247">
        <f t="shared" si="11"/>
        <v>0</v>
      </c>
    </row>
    <row r="49" spans="1:8" s="3" customFormat="1" ht="16.5" customHeight="1" x14ac:dyDescent="0.2">
      <c r="A49" s="248" t="s">
        <v>37</v>
      </c>
      <c r="B49" s="323">
        <v>685212</v>
      </c>
      <c r="C49" s="219">
        <v>337966</v>
      </c>
      <c r="D49" s="219">
        <v>891092</v>
      </c>
      <c r="E49" s="219">
        <v>246945</v>
      </c>
      <c r="F49" s="246">
        <f t="shared" si="9"/>
        <v>49.322837311664124</v>
      </c>
      <c r="G49" s="246">
        <f t="shared" si="10"/>
        <v>263.66320872513802</v>
      </c>
      <c r="H49" s="247">
        <f t="shared" si="11"/>
        <v>27.712626754588754</v>
      </c>
    </row>
    <row r="50" spans="1:8" s="3" customFormat="1" ht="16.5" customHeight="1" x14ac:dyDescent="0.2">
      <c r="A50" s="248" t="s">
        <v>38</v>
      </c>
      <c r="B50" s="323">
        <v>100</v>
      </c>
      <c r="C50" s="219">
        <v>100</v>
      </c>
      <c r="D50" s="219">
        <v>100</v>
      </c>
      <c r="E50" s="219">
        <v>100</v>
      </c>
      <c r="F50" s="246">
        <f t="shared" si="9"/>
        <v>100</v>
      </c>
      <c r="G50" s="246">
        <f t="shared" si="10"/>
        <v>100</v>
      </c>
      <c r="H50" s="247">
        <f t="shared" si="11"/>
        <v>100</v>
      </c>
    </row>
    <row r="51" spans="1:8" s="3" customFormat="1" ht="6" customHeight="1" x14ac:dyDescent="0.2">
      <c r="A51" s="258"/>
      <c r="B51" s="323"/>
      <c r="C51" s="219"/>
      <c r="D51" s="219"/>
      <c r="E51" s="219"/>
      <c r="F51" s="253"/>
      <c r="G51" s="253"/>
      <c r="H51" s="254"/>
    </row>
    <row r="52" spans="1:8" s="9" customFormat="1" ht="16.5" customHeight="1" x14ac:dyDescent="0.2">
      <c r="A52" s="259" t="s">
        <v>52</v>
      </c>
      <c r="B52" s="321">
        <f>SUM(B53:B63)</f>
        <v>2295092</v>
      </c>
      <c r="C52" s="213">
        <f>SUM(C53:C63)</f>
        <v>3481006</v>
      </c>
      <c r="D52" s="213">
        <f>SUM(D53:D63)</f>
        <v>3579134</v>
      </c>
      <c r="E52" s="213">
        <f>SUM(E53:E63)</f>
        <v>2528262</v>
      </c>
      <c r="F52" s="243">
        <f t="shared" ref="F52:H53" si="12">C52/B52*100</f>
        <v>151.67174126353103</v>
      </c>
      <c r="G52" s="243">
        <f t="shared" si="12"/>
        <v>102.81895521007434</v>
      </c>
      <c r="H52" s="244">
        <f t="shared" si="12"/>
        <v>70.638931093387384</v>
      </c>
    </row>
    <row r="53" spans="1:8" s="9" customFormat="1" ht="16.5" customHeight="1" x14ac:dyDescent="0.2">
      <c r="A53" s="248" t="s">
        <v>54</v>
      </c>
      <c r="B53" s="323">
        <v>16641</v>
      </c>
      <c r="C53" s="219">
        <v>34280</v>
      </c>
      <c r="D53" s="219">
        <v>0</v>
      </c>
      <c r="E53" s="219">
        <v>0</v>
      </c>
      <c r="F53" s="246">
        <f t="shared" si="12"/>
        <v>205.99723574304426</v>
      </c>
      <c r="G53" s="246">
        <f t="shared" si="12"/>
        <v>0</v>
      </c>
      <c r="H53" s="251" t="s">
        <v>987</v>
      </c>
    </row>
    <row r="54" spans="1:8" s="9" customFormat="1" ht="16.5" customHeight="1" x14ac:dyDescent="0.2">
      <c r="A54" s="248" t="s">
        <v>461</v>
      </c>
      <c r="B54" s="323">
        <v>520700</v>
      </c>
      <c r="C54" s="219">
        <v>783300</v>
      </c>
      <c r="D54" s="219">
        <v>456700</v>
      </c>
      <c r="E54" s="219">
        <v>194885</v>
      </c>
      <c r="F54" s="246">
        <f t="shared" ref="F54:F63" si="13">C54/B54*100</f>
        <v>150.43211062031881</v>
      </c>
      <c r="G54" s="246">
        <f t="shared" ref="G54:G63" si="14">D54/C54*100</f>
        <v>58.304608706753477</v>
      </c>
      <c r="H54" s="247">
        <f t="shared" ref="H54:H63" si="15">E54/D54*100</f>
        <v>42.672432669148236</v>
      </c>
    </row>
    <row r="55" spans="1:8" s="9" customFormat="1" ht="16.5" customHeight="1" x14ac:dyDescent="0.2">
      <c r="A55" s="248" t="s">
        <v>460</v>
      </c>
      <c r="B55" s="323">
        <v>18575</v>
      </c>
      <c r="C55" s="219">
        <v>19041</v>
      </c>
      <c r="D55" s="219">
        <v>153287</v>
      </c>
      <c r="E55" s="219">
        <v>336076</v>
      </c>
      <c r="F55" s="246">
        <f t="shared" si="13"/>
        <v>102.50874831763122</v>
      </c>
      <c r="G55" s="246">
        <f t="shared" si="14"/>
        <v>805.03650018381393</v>
      </c>
      <c r="H55" s="247">
        <f t="shared" si="15"/>
        <v>219.24625049743292</v>
      </c>
    </row>
    <row r="56" spans="1:8" s="9" customFormat="1" ht="16.5" customHeight="1" x14ac:dyDescent="0.2">
      <c r="A56" s="248" t="s">
        <v>29</v>
      </c>
      <c r="B56" s="323">
        <v>1000</v>
      </c>
      <c r="C56" s="219">
        <v>146000</v>
      </c>
      <c r="D56" s="219">
        <v>0</v>
      </c>
      <c r="E56" s="219">
        <v>0</v>
      </c>
      <c r="F56" s="246">
        <f t="shared" si="13"/>
        <v>14600</v>
      </c>
      <c r="G56" s="246">
        <f t="shared" si="14"/>
        <v>0</v>
      </c>
      <c r="H56" s="251" t="s">
        <v>987</v>
      </c>
    </row>
    <row r="57" spans="1:8" s="9" customFormat="1" ht="16.5" customHeight="1" x14ac:dyDescent="0.2">
      <c r="A57" s="248" t="s">
        <v>30</v>
      </c>
      <c r="B57" s="323">
        <v>101565</v>
      </c>
      <c r="C57" s="219">
        <v>812788</v>
      </c>
      <c r="D57" s="219">
        <v>1399325</v>
      </c>
      <c r="E57" s="219">
        <v>1264967</v>
      </c>
      <c r="F57" s="246">
        <f t="shared" si="13"/>
        <v>800.26387042780482</v>
      </c>
      <c r="G57" s="246">
        <f t="shared" si="14"/>
        <v>172.16359001363207</v>
      </c>
      <c r="H57" s="247">
        <f t="shared" si="15"/>
        <v>90.398370642988581</v>
      </c>
    </row>
    <row r="58" spans="1:8" s="9" customFormat="1" ht="16.5" customHeight="1" x14ac:dyDescent="0.2">
      <c r="A58" s="248" t="s">
        <v>32</v>
      </c>
      <c r="B58" s="323">
        <v>59948</v>
      </c>
      <c r="C58" s="219">
        <v>42050</v>
      </c>
      <c r="D58" s="219">
        <v>42500</v>
      </c>
      <c r="E58" s="219">
        <v>32750</v>
      </c>
      <c r="F58" s="246">
        <f t="shared" si="13"/>
        <v>70.144124908253829</v>
      </c>
      <c r="G58" s="246">
        <f t="shared" si="14"/>
        <v>101.07015457788347</v>
      </c>
      <c r="H58" s="247">
        <f t="shared" si="15"/>
        <v>77.058823529411768</v>
      </c>
    </row>
    <row r="59" spans="1:8" s="9" customFormat="1" ht="16.5" customHeight="1" x14ac:dyDescent="0.2">
      <c r="A59" s="248" t="s">
        <v>34</v>
      </c>
      <c r="B59" s="323">
        <v>535969</v>
      </c>
      <c r="C59" s="219">
        <v>590607</v>
      </c>
      <c r="D59" s="219">
        <v>469610</v>
      </c>
      <c r="E59" s="219">
        <v>8639</v>
      </c>
      <c r="F59" s="246">
        <f t="shared" si="13"/>
        <v>110.19424630902159</v>
      </c>
      <c r="G59" s="246">
        <f t="shared" si="14"/>
        <v>79.513111087406685</v>
      </c>
      <c r="H59" s="247">
        <f t="shared" si="15"/>
        <v>1.8396115925981134</v>
      </c>
    </row>
    <row r="60" spans="1:8" s="9" customFormat="1" ht="16.5" customHeight="1" x14ac:dyDescent="0.2">
      <c r="A60" s="248" t="s">
        <v>35</v>
      </c>
      <c r="B60" s="327">
        <v>344705</v>
      </c>
      <c r="C60" s="257">
        <v>473501</v>
      </c>
      <c r="D60" s="257">
        <v>499060</v>
      </c>
      <c r="E60" s="257">
        <v>523747</v>
      </c>
      <c r="F60" s="246">
        <f t="shared" si="13"/>
        <v>137.36412294570718</v>
      </c>
      <c r="G60" s="246">
        <f t="shared" si="14"/>
        <v>105.39787666763112</v>
      </c>
      <c r="H60" s="247">
        <f t="shared" si="15"/>
        <v>104.94669979561576</v>
      </c>
    </row>
    <row r="61" spans="1:8" s="9" customFormat="1" ht="16.5" customHeight="1" x14ac:dyDescent="0.2">
      <c r="A61" s="248" t="s">
        <v>36</v>
      </c>
      <c r="B61" s="323">
        <v>167095</v>
      </c>
      <c r="C61" s="219">
        <v>0</v>
      </c>
      <c r="D61" s="219">
        <v>0</v>
      </c>
      <c r="E61" s="219">
        <v>0</v>
      </c>
      <c r="F61" s="246">
        <f t="shared" si="13"/>
        <v>0</v>
      </c>
      <c r="G61" s="250" t="s">
        <v>987</v>
      </c>
      <c r="H61" s="251" t="s">
        <v>987</v>
      </c>
    </row>
    <row r="62" spans="1:8" s="9" customFormat="1" ht="16.5" customHeight="1" x14ac:dyDescent="0.2">
      <c r="A62" s="248" t="s">
        <v>37</v>
      </c>
      <c r="B62" s="323">
        <v>82389</v>
      </c>
      <c r="C62" s="219">
        <v>337000</v>
      </c>
      <c r="D62" s="219">
        <v>367500</v>
      </c>
      <c r="E62" s="219">
        <v>142648</v>
      </c>
      <c r="F62" s="246">
        <f t="shared" si="13"/>
        <v>409.03518673609341</v>
      </c>
      <c r="G62" s="246">
        <f t="shared" si="14"/>
        <v>109.05044510385757</v>
      </c>
      <c r="H62" s="247">
        <f t="shared" si="15"/>
        <v>38.815782312925165</v>
      </c>
    </row>
    <row r="63" spans="1:8" s="9" customFormat="1" ht="16.5" customHeight="1" x14ac:dyDescent="0.2">
      <c r="A63" s="248" t="s">
        <v>38</v>
      </c>
      <c r="B63" s="323">
        <v>446505</v>
      </c>
      <c r="C63" s="219">
        <v>242439</v>
      </c>
      <c r="D63" s="219">
        <v>191152</v>
      </c>
      <c r="E63" s="219">
        <v>24550</v>
      </c>
      <c r="F63" s="246">
        <f t="shared" si="13"/>
        <v>54.297040346692647</v>
      </c>
      <c r="G63" s="246">
        <f t="shared" si="14"/>
        <v>78.845400286257572</v>
      </c>
      <c r="H63" s="247">
        <f t="shared" si="15"/>
        <v>12.843182388884239</v>
      </c>
    </row>
    <row r="64" spans="1:8" s="3" customFormat="1" ht="6" customHeight="1" x14ac:dyDescent="0.2">
      <c r="A64" s="252"/>
      <c r="B64" s="328"/>
      <c r="C64" s="260"/>
      <c r="D64" s="260"/>
      <c r="E64" s="260"/>
      <c r="F64" s="253"/>
      <c r="G64" s="253"/>
      <c r="H64" s="254"/>
    </row>
    <row r="65" spans="1:8" s="3" customFormat="1" ht="29.25" customHeight="1" x14ac:dyDescent="0.2">
      <c r="A65" s="249" t="s">
        <v>463</v>
      </c>
      <c r="B65" s="324">
        <v>114403</v>
      </c>
      <c r="C65" s="230">
        <v>201389</v>
      </c>
      <c r="D65" s="230">
        <v>212680</v>
      </c>
      <c r="E65" s="230">
        <v>158876</v>
      </c>
      <c r="F65" s="243">
        <f t="shared" ref="F65:H65" si="16">C65/B65*100</f>
        <v>176.03471936924731</v>
      </c>
      <c r="G65" s="243">
        <f t="shared" si="16"/>
        <v>105.60656242396556</v>
      </c>
      <c r="H65" s="244">
        <f t="shared" si="16"/>
        <v>74.701899567425244</v>
      </c>
    </row>
    <row r="66" spans="1:8" s="10" customFormat="1" ht="6" customHeight="1" x14ac:dyDescent="0.2">
      <c r="A66" s="261"/>
      <c r="B66" s="605"/>
      <c r="C66" s="606"/>
      <c r="D66" s="606"/>
      <c r="E66" s="606"/>
      <c r="F66" s="262"/>
      <c r="G66" s="262"/>
      <c r="H66" s="263"/>
    </row>
    <row r="67" spans="1:8" s="3" customFormat="1" ht="16.5" customHeight="1" x14ac:dyDescent="0.2">
      <c r="A67" s="249" t="s">
        <v>452</v>
      </c>
      <c r="B67" s="324">
        <v>0</v>
      </c>
      <c r="C67" s="230">
        <v>300000</v>
      </c>
      <c r="D67" s="230">
        <v>500000</v>
      </c>
      <c r="E67" s="230">
        <v>900000</v>
      </c>
      <c r="F67" s="331" t="s">
        <v>987</v>
      </c>
      <c r="G67" s="243">
        <f t="shared" ref="G67" si="17">D67/C67*100</f>
        <v>166.66666666666669</v>
      </c>
      <c r="H67" s="244">
        <f t="shared" ref="H67" si="18">E67/D67*100</f>
        <v>180</v>
      </c>
    </row>
    <row r="68" spans="1:8" s="10" customFormat="1" ht="6" customHeight="1" thickBot="1" x14ac:dyDescent="0.25">
      <c r="A68" s="261"/>
      <c r="B68" s="605"/>
      <c r="C68" s="606"/>
      <c r="D68" s="606"/>
      <c r="E68" s="606"/>
      <c r="F68" s="262"/>
      <c r="G68" s="262"/>
      <c r="H68" s="263"/>
    </row>
    <row r="69" spans="1:8" s="9" customFormat="1" ht="16.5" customHeight="1" thickBot="1" x14ac:dyDescent="0.25">
      <c r="A69" s="264" t="s">
        <v>7</v>
      </c>
      <c r="B69" s="325">
        <f>B4+B5+B12+B27+B34+B39+B41+B52+B65+B67</f>
        <v>39328725</v>
      </c>
      <c r="C69" s="235">
        <f>C4+C5+C12+C27+C34+C39+C41+C52+C65+C67</f>
        <v>40728613</v>
      </c>
      <c r="D69" s="235">
        <f>D4+D5+D12+D27+D34+D39+D41+D52+D65+D67</f>
        <v>40514857</v>
      </c>
      <c r="E69" s="235">
        <f>E4+E5+E12+E27+E34+E39+E41+E52+E65+E67</f>
        <v>39435687</v>
      </c>
      <c r="F69" s="265">
        <f t="shared" ref="F69:H69" si="19">C69/B69*100</f>
        <v>103.55945431742322</v>
      </c>
      <c r="G69" s="265">
        <f t="shared" si="19"/>
        <v>99.475169949931768</v>
      </c>
      <c r="H69" s="266">
        <f t="shared" si="19"/>
        <v>97.336359844488655</v>
      </c>
    </row>
  </sheetData>
  <mergeCells count="4">
    <mergeCell ref="A2:A3"/>
    <mergeCell ref="F2:F3"/>
    <mergeCell ref="G2:G3"/>
    <mergeCell ref="H2:H3"/>
  </mergeCells>
  <printOptions horizontalCentered="1"/>
  <pageMargins left="0.31496062992125984" right="0.31496062992125984" top="0.59055118110236227" bottom="0.39370078740157483" header="0.31496062992125984" footer="0.11811023622047245"/>
  <pageSetup paperSize="9" scale="65" firstPageNumber="3" orientation="portrait" useFirstPageNumber="1" r:id="rId1"/>
  <headerFooter>
    <oddHeader>&amp;L&amp;"Tahoma,Kurzíva"Střednědobý výhled rozpočtu Moravskoslezského kraje na léta 2024-2026&amp;R&amp;"Tahoma,Kurzíva"Bilance příjmů a výdajů v letech 2024-2026</oddHeader>
    <oddFooter>&amp;C&amp;"Tahoma,Obyčejné"&amp;P</oddFooter>
  </headerFooter>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23AC2-2D03-4C09-AA7C-C8A09803F46D}">
  <sheetPr>
    <pageSetUpPr fitToPage="1"/>
  </sheetPr>
  <dimension ref="A1:M81"/>
  <sheetViews>
    <sheetView zoomScaleNormal="100" zoomScaleSheetLayoutView="100" workbookViewId="0">
      <pane ySplit="4" topLeftCell="A5" activePane="bottomLeft" state="frozen"/>
      <selection activeCell="F20" sqref="F20"/>
      <selection pane="bottomLeft" activeCell="F20" sqref="F20"/>
    </sheetView>
  </sheetViews>
  <sheetFormatPr defaultColWidth="9" defaultRowHeight="12.75" x14ac:dyDescent="0.2"/>
  <cols>
    <col min="1" max="1" width="57.42578125" style="37" customWidth="1"/>
    <col min="2" max="2" width="12.42578125" style="37" hidden="1" customWidth="1"/>
    <col min="3" max="6" width="11.28515625" style="37" customWidth="1"/>
    <col min="7" max="16384" width="9" style="37"/>
  </cols>
  <sheetData>
    <row r="1" spans="1:13" ht="15" customHeight="1" x14ac:dyDescent="0.2">
      <c r="A1" s="21" t="s">
        <v>57</v>
      </c>
    </row>
    <row r="2" spans="1:13" ht="27.75" customHeight="1" thickBot="1" x14ac:dyDescent="0.25">
      <c r="A2" s="638" t="s">
        <v>615</v>
      </c>
      <c r="B2" s="638"/>
      <c r="C2" s="638"/>
      <c r="D2" s="638"/>
      <c r="E2" s="638"/>
      <c r="F2" s="638"/>
    </row>
    <row r="3" spans="1:13" s="38" customFormat="1" ht="27.75" customHeight="1" x14ac:dyDescent="0.2">
      <c r="A3" s="639" t="s">
        <v>68</v>
      </c>
      <c r="B3" s="641" t="s">
        <v>69</v>
      </c>
      <c r="C3" s="643" t="s">
        <v>70</v>
      </c>
      <c r="D3" s="644"/>
      <c r="E3" s="644"/>
      <c r="F3" s="645"/>
    </row>
    <row r="4" spans="1:13" s="38" customFormat="1" ht="18" customHeight="1" thickBot="1" x14ac:dyDescent="0.25">
      <c r="A4" s="640"/>
      <c r="B4" s="642"/>
      <c r="C4" s="304">
        <v>2023</v>
      </c>
      <c r="D4" s="304">
        <v>2024</v>
      </c>
      <c r="E4" s="304">
        <v>2025</v>
      </c>
      <c r="F4" s="305">
        <v>2026</v>
      </c>
    </row>
    <row r="5" spans="1:13" s="38" customFormat="1" ht="15.75" customHeight="1" x14ac:dyDescent="0.2">
      <c r="A5" s="311" t="s">
        <v>71</v>
      </c>
      <c r="B5" s="312"/>
      <c r="C5" s="313">
        <f>C7+C25+C33</f>
        <v>2454033</v>
      </c>
      <c r="D5" s="313">
        <f>D7+D25+D33</f>
        <v>4273951</v>
      </c>
      <c r="E5" s="313">
        <f>E7+E25+E33</f>
        <v>5154423</v>
      </c>
      <c r="F5" s="314">
        <f>F7+F25+F33</f>
        <v>5480190</v>
      </c>
      <c r="J5" s="120"/>
      <c r="K5" s="120"/>
      <c r="L5" s="120"/>
      <c r="M5" s="120"/>
    </row>
    <row r="6" spans="1:13" s="38" customFormat="1" ht="15" customHeight="1" x14ac:dyDescent="0.2">
      <c r="A6" s="402" t="s">
        <v>72</v>
      </c>
      <c r="B6" s="403"/>
      <c r="C6" s="404"/>
      <c r="D6" s="404"/>
      <c r="E6" s="404"/>
      <c r="F6" s="405"/>
    </row>
    <row r="7" spans="1:13" s="38" customFormat="1" ht="18" customHeight="1" x14ac:dyDescent="0.2">
      <c r="A7" s="406" t="s">
        <v>229</v>
      </c>
      <c r="B7" s="403"/>
      <c r="C7" s="423">
        <f>SUM(C8:C24)</f>
        <v>616608</v>
      </c>
      <c r="D7" s="423">
        <f>SUM(D8:D24)</f>
        <v>2752218</v>
      </c>
      <c r="E7" s="423">
        <f>SUM(E8:E24)</f>
        <v>2707086</v>
      </c>
      <c r="F7" s="424">
        <f>SUM(F8:F24)</f>
        <v>2686665</v>
      </c>
    </row>
    <row r="8" spans="1:13" s="38" customFormat="1" ht="15" customHeight="1" x14ac:dyDescent="0.2">
      <c r="A8" s="407" t="s">
        <v>230</v>
      </c>
      <c r="B8" s="403"/>
      <c r="C8" s="408">
        <v>195368</v>
      </c>
      <c r="D8" s="408">
        <v>205136</v>
      </c>
      <c r="E8" s="408">
        <v>215393</v>
      </c>
      <c r="F8" s="409">
        <v>226162</v>
      </c>
    </row>
    <row r="9" spans="1:13" s="38" customFormat="1" ht="25.5" customHeight="1" x14ac:dyDescent="0.2">
      <c r="A9" s="407" t="s">
        <v>231</v>
      </c>
      <c r="B9" s="403">
        <v>27355</v>
      </c>
      <c r="C9" s="408">
        <v>344090</v>
      </c>
      <c r="D9" s="408">
        <v>388820</v>
      </c>
      <c r="E9" s="408">
        <v>404373</v>
      </c>
      <c r="F9" s="410">
        <v>416504</v>
      </c>
    </row>
    <row r="10" spans="1:13" s="38" customFormat="1" ht="25.5" customHeight="1" x14ac:dyDescent="0.2">
      <c r="A10" s="407" t="s">
        <v>494</v>
      </c>
      <c r="B10" s="403" t="s">
        <v>491</v>
      </c>
      <c r="C10" s="411">
        <v>4000</v>
      </c>
      <c r="D10" s="411">
        <v>4000</v>
      </c>
      <c r="E10" s="411">
        <v>4000</v>
      </c>
      <c r="F10" s="412">
        <v>4000</v>
      </c>
    </row>
    <row r="11" spans="1:13" s="38" customFormat="1" ht="15" customHeight="1" x14ac:dyDescent="0.2">
      <c r="A11" s="437" t="s">
        <v>493</v>
      </c>
      <c r="B11" s="329" t="s">
        <v>490</v>
      </c>
      <c r="C11" s="438">
        <v>0</v>
      </c>
      <c r="D11" s="438">
        <v>9262</v>
      </c>
      <c r="E11" s="438">
        <v>10000</v>
      </c>
      <c r="F11" s="439">
        <v>0</v>
      </c>
    </row>
    <row r="12" spans="1:13" s="38" customFormat="1" ht="25.5" customHeight="1" x14ac:dyDescent="0.2">
      <c r="A12" s="407" t="s">
        <v>464</v>
      </c>
      <c r="B12" s="403"/>
      <c r="C12" s="411">
        <v>35000</v>
      </c>
      <c r="D12" s="411">
        <v>0</v>
      </c>
      <c r="E12" s="411">
        <v>0</v>
      </c>
      <c r="F12" s="412">
        <v>0</v>
      </c>
    </row>
    <row r="13" spans="1:13" s="38" customFormat="1" ht="25.5" customHeight="1" x14ac:dyDescent="0.2">
      <c r="A13" s="407" t="s">
        <v>465</v>
      </c>
      <c r="B13" s="403"/>
      <c r="C13" s="411">
        <v>37794</v>
      </c>
      <c r="D13" s="411">
        <v>0</v>
      </c>
      <c r="E13" s="411">
        <v>0</v>
      </c>
      <c r="F13" s="412">
        <v>0</v>
      </c>
    </row>
    <row r="14" spans="1:13" s="38" customFormat="1" ht="22.5" x14ac:dyDescent="0.2">
      <c r="A14" s="407" t="s">
        <v>617</v>
      </c>
      <c r="B14" s="403"/>
      <c r="C14" s="411">
        <v>356</v>
      </c>
      <c r="D14" s="411">
        <v>0</v>
      </c>
      <c r="E14" s="411">
        <v>0</v>
      </c>
      <c r="F14" s="412">
        <v>0</v>
      </c>
    </row>
    <row r="15" spans="1:13" s="38" customFormat="1" ht="40.5" customHeight="1" x14ac:dyDescent="0.2">
      <c r="A15" s="413" t="s">
        <v>500</v>
      </c>
      <c r="B15" s="403"/>
      <c r="C15" s="411">
        <v>0</v>
      </c>
      <c r="D15" s="411">
        <v>0</v>
      </c>
      <c r="E15" s="411">
        <v>60000</v>
      </c>
      <c r="F15" s="412">
        <v>0</v>
      </c>
    </row>
    <row r="16" spans="1:13" s="38" customFormat="1" ht="25.5" customHeight="1" x14ac:dyDescent="0.2">
      <c r="A16" s="413" t="s">
        <v>618</v>
      </c>
      <c r="B16" s="403"/>
      <c r="C16" s="411">
        <v>0</v>
      </c>
      <c r="D16" s="411">
        <v>0</v>
      </c>
      <c r="E16" s="411">
        <v>0</v>
      </c>
      <c r="F16" s="412">
        <v>89999</v>
      </c>
    </row>
    <row r="17" spans="1:7" s="38" customFormat="1" ht="25.5" customHeight="1" x14ac:dyDescent="0.2">
      <c r="A17" s="310" t="s">
        <v>466</v>
      </c>
      <c r="B17" s="403"/>
      <c r="C17" s="411">
        <v>0</v>
      </c>
      <c r="D17" s="411">
        <v>1600000</v>
      </c>
      <c r="E17" s="411">
        <v>850000</v>
      </c>
      <c r="F17" s="412">
        <v>1750000</v>
      </c>
      <c r="G17" s="430"/>
    </row>
    <row r="18" spans="1:7" s="38" customFormat="1" ht="25.5" customHeight="1" x14ac:dyDescent="0.2">
      <c r="A18" s="437" t="s">
        <v>624</v>
      </c>
      <c r="B18" s="329"/>
      <c r="C18" s="438">
        <v>0</v>
      </c>
      <c r="D18" s="438">
        <v>45000</v>
      </c>
      <c r="E18" s="438">
        <v>30000</v>
      </c>
      <c r="F18" s="439">
        <v>0</v>
      </c>
      <c r="G18" s="430"/>
    </row>
    <row r="19" spans="1:7" s="38" customFormat="1" ht="15" customHeight="1" x14ac:dyDescent="0.2">
      <c r="A19" s="437" t="s">
        <v>497</v>
      </c>
      <c r="B19" s="329"/>
      <c r="C19" s="438">
        <v>0</v>
      </c>
      <c r="D19" s="438">
        <v>0</v>
      </c>
      <c r="E19" s="438">
        <v>30000</v>
      </c>
      <c r="F19" s="439">
        <v>0</v>
      </c>
      <c r="G19" s="430"/>
    </row>
    <row r="20" spans="1:7" s="38" customFormat="1" ht="25.5" customHeight="1" x14ac:dyDescent="0.2">
      <c r="A20" s="437" t="s">
        <v>446</v>
      </c>
      <c r="B20" s="329"/>
      <c r="C20" s="438">
        <v>0</v>
      </c>
      <c r="D20" s="438">
        <v>275000</v>
      </c>
      <c r="E20" s="438">
        <v>224022</v>
      </c>
      <c r="F20" s="439">
        <v>0</v>
      </c>
      <c r="G20" s="430"/>
    </row>
    <row r="21" spans="1:7" s="38" customFormat="1" ht="25.5" customHeight="1" x14ac:dyDescent="0.2">
      <c r="A21" s="437" t="s">
        <v>498</v>
      </c>
      <c r="B21" s="329"/>
      <c r="C21" s="438">
        <v>0</v>
      </c>
      <c r="D21" s="438">
        <v>0</v>
      </c>
      <c r="E21" s="438">
        <v>15000</v>
      </c>
      <c r="F21" s="439">
        <v>0</v>
      </c>
      <c r="G21" s="430"/>
    </row>
    <row r="22" spans="1:7" s="38" customFormat="1" ht="25.5" customHeight="1" x14ac:dyDescent="0.2">
      <c r="A22" s="437" t="s">
        <v>625</v>
      </c>
      <c r="B22" s="329"/>
      <c r="C22" s="438">
        <v>0</v>
      </c>
      <c r="D22" s="438">
        <v>25000</v>
      </c>
      <c r="E22" s="438">
        <v>20000</v>
      </c>
      <c r="F22" s="439">
        <v>0</v>
      </c>
      <c r="G22" s="430"/>
    </row>
    <row r="23" spans="1:7" s="38" customFormat="1" ht="25.5" customHeight="1" x14ac:dyDescent="0.2">
      <c r="A23" s="437" t="s">
        <v>501</v>
      </c>
      <c r="B23" s="329"/>
      <c r="C23" s="438">
        <v>0</v>
      </c>
      <c r="D23" s="438">
        <v>100000</v>
      </c>
      <c r="E23" s="438">
        <v>473967</v>
      </c>
      <c r="F23" s="439">
        <v>0</v>
      </c>
      <c r="G23" s="430"/>
    </row>
    <row r="24" spans="1:7" s="38" customFormat="1" ht="25.5" customHeight="1" x14ac:dyDescent="0.2">
      <c r="A24" s="437" t="s">
        <v>499</v>
      </c>
      <c r="B24" s="329"/>
      <c r="C24" s="438">
        <v>0</v>
      </c>
      <c r="D24" s="438">
        <v>100000</v>
      </c>
      <c r="E24" s="438">
        <v>370331</v>
      </c>
      <c r="F24" s="439">
        <v>200000</v>
      </c>
      <c r="G24" s="430"/>
    </row>
    <row r="25" spans="1:7" s="38" customFormat="1" ht="15.75" customHeight="1" x14ac:dyDescent="0.2">
      <c r="A25" s="330" t="s">
        <v>467</v>
      </c>
      <c r="B25" s="329"/>
      <c r="C25" s="414">
        <f>SUM(C26:C32)</f>
        <v>123903</v>
      </c>
      <c r="D25" s="414">
        <f>SUM(D26:D32)</f>
        <v>205186</v>
      </c>
      <c r="E25" s="414">
        <f>SUM(E26:E32)</f>
        <v>259362</v>
      </c>
      <c r="F25" s="415">
        <f>SUM(F26:F32)</f>
        <v>180900</v>
      </c>
      <c r="G25" s="430"/>
    </row>
    <row r="26" spans="1:7" s="38" customFormat="1" ht="15" customHeight="1" x14ac:dyDescent="0.2">
      <c r="A26" s="310" t="s">
        <v>261</v>
      </c>
      <c r="B26" s="309"/>
      <c r="C26" s="411">
        <v>77584</v>
      </c>
      <c r="D26" s="411">
        <v>90331</v>
      </c>
      <c r="E26" s="411">
        <v>113900</v>
      </c>
      <c r="F26" s="412">
        <v>129524</v>
      </c>
      <c r="G26" s="430"/>
    </row>
    <row r="27" spans="1:7" s="38" customFormat="1" ht="15" customHeight="1" x14ac:dyDescent="0.2">
      <c r="A27" s="310" t="s">
        <v>232</v>
      </c>
      <c r="B27" s="309"/>
      <c r="C27" s="411">
        <v>20055</v>
      </c>
      <c r="D27" s="411">
        <v>20857</v>
      </c>
      <c r="E27" s="411">
        <v>21482</v>
      </c>
      <c r="F27" s="412">
        <v>22126</v>
      </c>
    </row>
    <row r="28" spans="1:7" s="38" customFormat="1" ht="15" customHeight="1" x14ac:dyDescent="0.2">
      <c r="A28" s="310" t="s">
        <v>616</v>
      </c>
      <c r="B28" s="309"/>
      <c r="C28" s="411">
        <v>21642</v>
      </c>
      <c r="D28" s="411">
        <v>28635</v>
      </c>
      <c r="E28" s="411">
        <v>28980</v>
      </c>
      <c r="F28" s="412">
        <v>29250</v>
      </c>
    </row>
    <row r="29" spans="1:7" s="38" customFormat="1" ht="25.5" customHeight="1" x14ac:dyDescent="0.2">
      <c r="A29" s="310" t="s">
        <v>495</v>
      </c>
      <c r="B29" s="403"/>
      <c r="C29" s="411">
        <v>4622</v>
      </c>
      <c r="D29" s="411">
        <v>363</v>
      </c>
      <c r="E29" s="411">
        <v>0</v>
      </c>
      <c r="F29" s="412">
        <v>0</v>
      </c>
    </row>
    <row r="30" spans="1:7" s="38" customFormat="1" ht="45" x14ac:dyDescent="0.2">
      <c r="A30" s="310" t="s">
        <v>492</v>
      </c>
      <c r="B30" s="403"/>
      <c r="C30" s="411">
        <v>0</v>
      </c>
      <c r="D30" s="411">
        <v>0</v>
      </c>
      <c r="E30" s="411">
        <v>30000</v>
      </c>
      <c r="F30" s="412">
        <v>0</v>
      </c>
    </row>
    <row r="31" spans="1:7" s="38" customFormat="1" ht="25.5" customHeight="1" x14ac:dyDescent="0.2">
      <c r="A31" s="437" t="s">
        <v>619</v>
      </c>
      <c r="B31" s="528"/>
      <c r="C31" s="411">
        <v>0</v>
      </c>
      <c r="D31" s="411">
        <v>15000</v>
      </c>
      <c r="E31" s="411">
        <v>15000</v>
      </c>
      <c r="F31" s="412">
        <v>0</v>
      </c>
    </row>
    <row r="32" spans="1:7" s="38" customFormat="1" ht="25.5" customHeight="1" x14ac:dyDescent="0.2">
      <c r="A32" s="437" t="s">
        <v>854</v>
      </c>
      <c r="B32" s="329"/>
      <c r="C32" s="411">
        <v>0</v>
      </c>
      <c r="D32" s="411">
        <v>50000</v>
      </c>
      <c r="E32" s="411">
        <v>50000</v>
      </c>
      <c r="F32" s="412">
        <v>0</v>
      </c>
      <c r="G32" s="122"/>
    </row>
    <row r="33" spans="1:6" s="38" customFormat="1" ht="27" customHeight="1" x14ac:dyDescent="0.2">
      <c r="A33" s="330" t="s">
        <v>233</v>
      </c>
      <c r="B33" s="329"/>
      <c r="C33" s="529">
        <v>1713522</v>
      </c>
      <c r="D33" s="529">
        <f>1366547-50000</f>
        <v>1316547</v>
      </c>
      <c r="E33" s="529">
        <f>2237975-50000</f>
        <v>2187975</v>
      </c>
      <c r="F33" s="436">
        <v>2612625</v>
      </c>
    </row>
    <row r="34" spans="1:6" s="38" customFormat="1" ht="29.25" customHeight="1" x14ac:dyDescent="0.2">
      <c r="A34" s="39" t="s">
        <v>73</v>
      </c>
      <c r="B34" s="40"/>
      <c r="C34" s="432">
        <f>C36+C38+C42+C45+C57+C73</f>
        <v>24322084</v>
      </c>
      <c r="D34" s="432">
        <f>D36+D38+D42+D45+D57+D73</f>
        <v>24122320</v>
      </c>
      <c r="E34" s="432">
        <f>E36+E38+E42+E45+E57+E73</f>
        <v>24062118</v>
      </c>
      <c r="F34" s="435">
        <f>F36+F38+F42+F45+F57+F73</f>
        <v>24060851</v>
      </c>
    </row>
    <row r="35" spans="1:6" s="38" customFormat="1" ht="15" customHeight="1" x14ac:dyDescent="0.2">
      <c r="A35" s="267" t="s">
        <v>72</v>
      </c>
      <c r="B35" s="268"/>
      <c r="C35" s="393"/>
      <c r="D35" s="395"/>
      <c r="E35" s="395"/>
      <c r="F35" s="394"/>
    </row>
    <row r="36" spans="1:6" s="38" customFormat="1" ht="15.75" customHeight="1" x14ac:dyDescent="0.2">
      <c r="A36" s="269" t="s">
        <v>75</v>
      </c>
      <c r="B36" s="268"/>
      <c r="C36" s="423">
        <f t="shared" ref="C36:F36" si="0">SUM(C37)</f>
        <v>500</v>
      </c>
      <c r="D36" s="426">
        <f t="shared" si="0"/>
        <v>500</v>
      </c>
      <c r="E36" s="426">
        <f t="shared" si="0"/>
        <v>500</v>
      </c>
      <c r="F36" s="424">
        <f t="shared" si="0"/>
        <v>500</v>
      </c>
    </row>
    <row r="37" spans="1:6" s="38" customFormat="1" ht="15" customHeight="1" x14ac:dyDescent="0.2">
      <c r="A37" s="270" t="s">
        <v>74</v>
      </c>
      <c r="B37" s="268">
        <v>4001</v>
      </c>
      <c r="C37" s="416">
        <v>500</v>
      </c>
      <c r="D37" s="417">
        <v>500</v>
      </c>
      <c r="E37" s="417">
        <v>500</v>
      </c>
      <c r="F37" s="418">
        <v>500</v>
      </c>
    </row>
    <row r="38" spans="1:6" s="38" customFormat="1" ht="15.75" customHeight="1" x14ac:dyDescent="0.2">
      <c r="A38" s="269" t="s">
        <v>78</v>
      </c>
      <c r="B38" s="268"/>
      <c r="C38" s="423">
        <f>SUM(C39:C41)</f>
        <v>3024947</v>
      </c>
      <c r="D38" s="426">
        <f>SUM(D39:D41)</f>
        <v>3024947</v>
      </c>
      <c r="E38" s="426">
        <f>SUM(E39:E41)</f>
        <v>3024947</v>
      </c>
      <c r="F38" s="424">
        <f>SUM(F39:F41)</f>
        <v>3024947</v>
      </c>
    </row>
    <row r="39" spans="1:6" s="38" customFormat="1" ht="25.5" customHeight="1" x14ac:dyDescent="0.2">
      <c r="A39" s="270" t="s">
        <v>76</v>
      </c>
      <c r="B39" s="268">
        <v>13305</v>
      </c>
      <c r="C39" s="416">
        <v>2997000</v>
      </c>
      <c r="D39" s="416">
        <v>2997000</v>
      </c>
      <c r="E39" s="416">
        <v>2997000</v>
      </c>
      <c r="F39" s="418">
        <v>2997000</v>
      </c>
    </row>
    <row r="40" spans="1:6" s="38" customFormat="1" ht="25.5" customHeight="1" x14ac:dyDescent="0.2">
      <c r="A40" s="270" t="s">
        <v>468</v>
      </c>
      <c r="B40" s="268"/>
      <c r="C40" s="416">
        <v>1947</v>
      </c>
      <c r="D40" s="416">
        <v>1947</v>
      </c>
      <c r="E40" s="416">
        <v>1947</v>
      </c>
      <c r="F40" s="418">
        <v>1947</v>
      </c>
    </row>
    <row r="41" spans="1:6" s="38" customFormat="1" ht="25.5" customHeight="1" x14ac:dyDescent="0.2">
      <c r="A41" s="270" t="s">
        <v>77</v>
      </c>
      <c r="B41" s="268">
        <v>13307</v>
      </c>
      <c r="C41" s="416">
        <v>26000</v>
      </c>
      <c r="D41" s="417">
        <v>26000</v>
      </c>
      <c r="E41" s="417">
        <v>26000</v>
      </c>
      <c r="F41" s="418">
        <v>26000</v>
      </c>
    </row>
    <row r="42" spans="1:6" s="38" customFormat="1" ht="15.75" customHeight="1" x14ac:dyDescent="0.2">
      <c r="A42" s="269" t="s">
        <v>82</v>
      </c>
      <c r="B42" s="268"/>
      <c r="C42" s="423">
        <f>SUM(C43:C44)</f>
        <v>22030</v>
      </c>
      <c r="D42" s="423">
        <f>SUM(D43:D44)</f>
        <v>17521</v>
      </c>
      <c r="E42" s="423">
        <f>SUM(E43:E44)</f>
        <v>14587</v>
      </c>
      <c r="F42" s="424">
        <f>SUM(F43:F44)</f>
        <v>13320</v>
      </c>
    </row>
    <row r="43" spans="1:6" s="38" customFormat="1" ht="25.5" customHeight="1" x14ac:dyDescent="0.2">
      <c r="A43" s="270" t="s">
        <v>79</v>
      </c>
      <c r="B43" s="268">
        <v>35018</v>
      </c>
      <c r="C43" s="416">
        <v>12000</v>
      </c>
      <c r="D43" s="417">
        <v>12000</v>
      </c>
      <c r="E43" s="417">
        <v>12000</v>
      </c>
      <c r="F43" s="418">
        <v>12000</v>
      </c>
    </row>
    <row r="44" spans="1:6" s="38" customFormat="1" ht="25.5" customHeight="1" x14ac:dyDescent="0.2">
      <c r="A44" s="270" t="s">
        <v>80</v>
      </c>
      <c r="B44" s="268" t="s">
        <v>81</v>
      </c>
      <c r="C44" s="416">
        <v>10030</v>
      </c>
      <c r="D44" s="417">
        <v>5521</v>
      </c>
      <c r="E44" s="417">
        <v>2587</v>
      </c>
      <c r="F44" s="418">
        <v>1320</v>
      </c>
    </row>
    <row r="45" spans="1:6" s="38" customFormat="1" ht="15.75" customHeight="1" x14ac:dyDescent="0.2">
      <c r="A45" s="271" t="s">
        <v>486</v>
      </c>
      <c r="B45" s="272"/>
      <c r="C45" s="423">
        <f>SUM(C46:C56)</f>
        <v>21194775</v>
      </c>
      <c r="D45" s="423">
        <f>SUM(D46:D56)</f>
        <v>21037430</v>
      </c>
      <c r="E45" s="423">
        <f>SUM(E46:E56)</f>
        <v>20984254</v>
      </c>
      <c r="F45" s="424">
        <f>SUM(F46:F56)</f>
        <v>20984254</v>
      </c>
    </row>
    <row r="46" spans="1:6" s="38" customFormat="1" ht="15" customHeight="1" x14ac:dyDescent="0.2">
      <c r="A46" s="270" t="s">
        <v>83</v>
      </c>
      <c r="B46" s="268">
        <v>33155</v>
      </c>
      <c r="C46" s="416">
        <v>1450299</v>
      </c>
      <c r="D46" s="416">
        <v>1450299</v>
      </c>
      <c r="E46" s="416">
        <v>1450299</v>
      </c>
      <c r="F46" s="418">
        <v>1450299</v>
      </c>
    </row>
    <row r="47" spans="1:6" s="38" customFormat="1" ht="15" customHeight="1" x14ac:dyDescent="0.2">
      <c r="A47" s="270" t="s">
        <v>487</v>
      </c>
      <c r="B47" s="268">
        <v>33092</v>
      </c>
      <c r="C47" s="416">
        <v>20000</v>
      </c>
      <c r="D47" s="416">
        <v>20000</v>
      </c>
      <c r="E47" s="417">
        <v>20000</v>
      </c>
      <c r="F47" s="418">
        <v>20000</v>
      </c>
    </row>
    <row r="48" spans="1:6" s="38" customFormat="1" ht="15" customHeight="1" x14ac:dyDescent="0.2">
      <c r="A48" s="270" t="s">
        <v>84</v>
      </c>
      <c r="B48" s="268">
        <v>33122</v>
      </c>
      <c r="C48" s="416">
        <v>690</v>
      </c>
      <c r="D48" s="417">
        <v>690</v>
      </c>
      <c r="E48" s="417">
        <v>690</v>
      </c>
      <c r="F48" s="418">
        <v>690</v>
      </c>
    </row>
    <row r="49" spans="1:7" s="38" customFormat="1" ht="15" customHeight="1" x14ac:dyDescent="0.2">
      <c r="A49" s="270" t="s">
        <v>85</v>
      </c>
      <c r="B49" s="268">
        <v>33160</v>
      </c>
      <c r="C49" s="416">
        <v>100</v>
      </c>
      <c r="D49" s="417">
        <v>100</v>
      </c>
      <c r="E49" s="417">
        <v>100</v>
      </c>
      <c r="F49" s="418">
        <v>100</v>
      </c>
    </row>
    <row r="50" spans="1:7" s="38" customFormat="1" ht="15" customHeight="1" x14ac:dyDescent="0.2">
      <c r="A50" s="270" t="s">
        <v>86</v>
      </c>
      <c r="B50" s="268">
        <v>33353</v>
      </c>
      <c r="C50" s="416">
        <v>19507145</v>
      </c>
      <c r="D50" s="416">
        <v>19507145</v>
      </c>
      <c r="E50" s="416">
        <v>19507145</v>
      </c>
      <c r="F50" s="418">
        <v>19507145</v>
      </c>
    </row>
    <row r="51" spans="1:7" s="38" customFormat="1" ht="15" customHeight="1" x14ac:dyDescent="0.2">
      <c r="A51" s="270" t="s">
        <v>87</v>
      </c>
      <c r="B51" s="268">
        <v>33354</v>
      </c>
      <c r="C51" s="416">
        <v>3500</v>
      </c>
      <c r="D51" s="417">
        <v>3500</v>
      </c>
      <c r="E51" s="417">
        <v>3500</v>
      </c>
      <c r="F51" s="418">
        <v>3500</v>
      </c>
    </row>
    <row r="52" spans="1:7" s="38" customFormat="1" ht="15" customHeight="1" x14ac:dyDescent="0.2">
      <c r="A52" s="270" t="s">
        <v>88</v>
      </c>
      <c r="B52" s="268">
        <v>33166</v>
      </c>
      <c r="C52" s="416">
        <v>2400</v>
      </c>
      <c r="D52" s="417">
        <v>2400</v>
      </c>
      <c r="E52" s="417">
        <v>2400</v>
      </c>
      <c r="F52" s="418">
        <v>2400</v>
      </c>
    </row>
    <row r="53" spans="1:7" s="38" customFormat="1" ht="15" customHeight="1" x14ac:dyDescent="0.2">
      <c r="A53" s="270" t="s">
        <v>89</v>
      </c>
      <c r="B53" s="268">
        <v>33192</v>
      </c>
      <c r="C53" s="416">
        <v>120</v>
      </c>
      <c r="D53" s="417">
        <v>120</v>
      </c>
      <c r="E53" s="417">
        <v>120</v>
      </c>
      <c r="F53" s="418">
        <v>120</v>
      </c>
    </row>
    <row r="54" spans="1:7" s="38" customFormat="1" ht="15" customHeight="1" x14ac:dyDescent="0.2">
      <c r="A54" s="270" t="s">
        <v>620</v>
      </c>
      <c r="B54" s="268">
        <v>33086</v>
      </c>
      <c r="C54" s="416">
        <v>51330</v>
      </c>
      <c r="D54" s="417">
        <v>0</v>
      </c>
      <c r="E54" s="417">
        <v>0</v>
      </c>
      <c r="F54" s="418">
        <v>0</v>
      </c>
    </row>
    <row r="55" spans="1:7" s="38" customFormat="1" ht="36" customHeight="1" x14ac:dyDescent="0.2">
      <c r="A55" s="270" t="s">
        <v>621</v>
      </c>
      <c r="B55" s="268">
        <v>33087</v>
      </c>
      <c r="C55" s="416">
        <v>106015</v>
      </c>
      <c r="D55" s="417">
        <v>0</v>
      </c>
      <c r="E55" s="417">
        <v>0</v>
      </c>
      <c r="F55" s="418">
        <v>0</v>
      </c>
    </row>
    <row r="56" spans="1:7" s="38" customFormat="1" ht="25.5" customHeight="1" x14ac:dyDescent="0.2">
      <c r="A56" s="270" t="s">
        <v>622</v>
      </c>
      <c r="B56" s="268">
        <v>33088</v>
      </c>
      <c r="C56" s="416">
        <v>53176</v>
      </c>
      <c r="D56" s="417">
        <v>53176</v>
      </c>
      <c r="E56" s="417">
        <v>0</v>
      </c>
      <c r="F56" s="418">
        <v>0</v>
      </c>
    </row>
    <row r="57" spans="1:7" s="38" customFormat="1" ht="15.75" customHeight="1" x14ac:dyDescent="0.2">
      <c r="A57" s="269" t="s">
        <v>95</v>
      </c>
      <c r="B57" s="268"/>
      <c r="C57" s="423">
        <f>SUM(C58:C72)</f>
        <v>16880</v>
      </c>
      <c r="D57" s="423">
        <f>SUM(D58:D72)</f>
        <v>17330</v>
      </c>
      <c r="E57" s="426">
        <f>SUM(E58:E72)</f>
        <v>17330</v>
      </c>
      <c r="F57" s="424">
        <f>SUM(F58:F72)</f>
        <v>17330</v>
      </c>
    </row>
    <row r="58" spans="1:7" s="38" customFormat="1" ht="15" customHeight="1" x14ac:dyDescent="0.2">
      <c r="A58" s="273" t="s">
        <v>90</v>
      </c>
      <c r="B58" s="272" t="s">
        <v>489</v>
      </c>
      <c r="C58" s="427">
        <f>1200+130</f>
        <v>1330</v>
      </c>
      <c r="D58" s="428">
        <f>1200+130</f>
        <v>1330</v>
      </c>
      <c r="E58" s="428">
        <f>1200+130</f>
        <v>1330</v>
      </c>
      <c r="F58" s="429">
        <f>1200+130</f>
        <v>1330</v>
      </c>
      <c r="G58" s="430"/>
    </row>
    <row r="59" spans="1:7" s="38" customFormat="1" ht="15" customHeight="1" x14ac:dyDescent="0.2">
      <c r="A59" s="270" t="s">
        <v>234</v>
      </c>
      <c r="B59" s="268">
        <v>34013</v>
      </c>
      <c r="C59" s="427">
        <v>700</v>
      </c>
      <c r="D59" s="428">
        <v>1200</v>
      </c>
      <c r="E59" s="428">
        <v>1200</v>
      </c>
      <c r="F59" s="429">
        <v>1200</v>
      </c>
    </row>
    <row r="60" spans="1:7" s="38" customFormat="1" ht="15" customHeight="1" x14ac:dyDescent="0.2">
      <c r="A60" s="273" t="s">
        <v>469</v>
      </c>
      <c r="B60" s="272">
        <v>34021</v>
      </c>
      <c r="C60" s="427">
        <v>350</v>
      </c>
      <c r="D60" s="428">
        <v>300</v>
      </c>
      <c r="E60" s="428">
        <v>300</v>
      </c>
      <c r="F60" s="429">
        <v>300</v>
      </c>
    </row>
    <row r="61" spans="1:7" s="38" customFormat="1" ht="15" customHeight="1" x14ac:dyDescent="0.2">
      <c r="A61" s="273" t="s">
        <v>470</v>
      </c>
      <c r="B61" s="272">
        <v>34026</v>
      </c>
      <c r="C61" s="427">
        <v>200</v>
      </c>
      <c r="D61" s="428">
        <v>100</v>
      </c>
      <c r="E61" s="428">
        <v>100</v>
      </c>
      <c r="F61" s="429">
        <v>100</v>
      </c>
    </row>
    <row r="62" spans="1:7" s="38" customFormat="1" ht="25.5" customHeight="1" x14ac:dyDescent="0.2">
      <c r="A62" s="273" t="s">
        <v>471</v>
      </c>
      <c r="B62" s="272">
        <v>34031</v>
      </c>
      <c r="C62" s="427">
        <v>400</v>
      </c>
      <c r="D62" s="428">
        <v>400</v>
      </c>
      <c r="E62" s="428">
        <v>400</v>
      </c>
      <c r="F62" s="429">
        <v>400</v>
      </c>
    </row>
    <row r="63" spans="1:7" s="38" customFormat="1" ht="25.5" customHeight="1" x14ac:dyDescent="0.2">
      <c r="A63" s="273" t="s">
        <v>472</v>
      </c>
      <c r="B63" s="272">
        <v>34054</v>
      </c>
      <c r="C63" s="427">
        <v>800</v>
      </c>
      <c r="D63" s="428">
        <v>900</v>
      </c>
      <c r="E63" s="428">
        <v>900</v>
      </c>
      <c r="F63" s="429">
        <v>900</v>
      </c>
    </row>
    <row r="64" spans="1:7" s="38" customFormat="1" ht="15" customHeight="1" x14ac:dyDescent="0.2">
      <c r="A64" s="274" t="s">
        <v>473</v>
      </c>
      <c r="B64" s="268">
        <v>34503</v>
      </c>
      <c r="C64" s="427">
        <v>200</v>
      </c>
      <c r="D64" s="428">
        <v>200</v>
      </c>
      <c r="E64" s="428">
        <v>200</v>
      </c>
      <c r="F64" s="429">
        <v>200</v>
      </c>
    </row>
    <row r="65" spans="1:7" s="38" customFormat="1" ht="15" customHeight="1" x14ac:dyDescent="0.2">
      <c r="A65" s="270" t="s">
        <v>474</v>
      </c>
      <c r="B65" s="272">
        <v>34017</v>
      </c>
      <c r="C65" s="427">
        <v>400</v>
      </c>
      <c r="D65" s="428">
        <v>400</v>
      </c>
      <c r="E65" s="428">
        <v>400</v>
      </c>
      <c r="F65" s="429">
        <v>400</v>
      </c>
    </row>
    <row r="66" spans="1:7" s="38" customFormat="1" ht="15" customHeight="1" x14ac:dyDescent="0.2">
      <c r="A66" s="270" t="s">
        <v>475</v>
      </c>
      <c r="B66" s="268">
        <v>34502</v>
      </c>
      <c r="C66" s="427">
        <v>3000</v>
      </c>
      <c r="D66" s="428">
        <v>3000</v>
      </c>
      <c r="E66" s="428">
        <v>3000</v>
      </c>
      <c r="F66" s="429">
        <v>3000</v>
      </c>
    </row>
    <row r="67" spans="1:7" s="38" customFormat="1" ht="15" customHeight="1" x14ac:dyDescent="0.2">
      <c r="A67" s="274" t="s">
        <v>473</v>
      </c>
      <c r="B67" s="268">
        <v>34503</v>
      </c>
      <c r="C67" s="427">
        <v>200</v>
      </c>
      <c r="D67" s="428">
        <v>200</v>
      </c>
      <c r="E67" s="428">
        <v>200</v>
      </c>
      <c r="F67" s="429">
        <v>200</v>
      </c>
    </row>
    <row r="68" spans="1:7" s="38" customFormat="1" ht="25.5" customHeight="1" x14ac:dyDescent="0.2">
      <c r="A68" s="270" t="s">
        <v>476</v>
      </c>
      <c r="B68" s="268">
        <v>34949</v>
      </c>
      <c r="C68" s="427">
        <v>500</v>
      </c>
      <c r="D68" s="428">
        <v>500</v>
      </c>
      <c r="E68" s="428">
        <v>500</v>
      </c>
      <c r="F68" s="429">
        <v>500</v>
      </c>
    </row>
    <row r="69" spans="1:7" s="38" customFormat="1" ht="15" customHeight="1" x14ac:dyDescent="0.2">
      <c r="A69" s="270" t="s">
        <v>91</v>
      </c>
      <c r="B69" s="268" t="s">
        <v>92</v>
      </c>
      <c r="C69" s="427">
        <v>200</v>
      </c>
      <c r="D69" s="428">
        <v>200</v>
      </c>
      <c r="E69" s="428">
        <v>200</v>
      </c>
      <c r="F69" s="429">
        <v>200</v>
      </c>
    </row>
    <row r="70" spans="1:7" s="38" customFormat="1" ht="15" customHeight="1" x14ac:dyDescent="0.2">
      <c r="A70" s="270" t="s">
        <v>93</v>
      </c>
      <c r="B70" s="268">
        <v>34090</v>
      </c>
      <c r="C70" s="427">
        <v>600</v>
      </c>
      <c r="D70" s="428">
        <v>600</v>
      </c>
      <c r="E70" s="428">
        <v>600</v>
      </c>
      <c r="F70" s="429">
        <v>600</v>
      </c>
    </row>
    <row r="71" spans="1:7" s="38" customFormat="1" ht="25.5" customHeight="1" x14ac:dyDescent="0.2">
      <c r="A71" s="270" t="s">
        <v>94</v>
      </c>
      <c r="B71" s="268">
        <v>34352</v>
      </c>
      <c r="C71" s="427">
        <v>7000</v>
      </c>
      <c r="D71" s="428">
        <v>7000</v>
      </c>
      <c r="E71" s="428">
        <v>7000</v>
      </c>
      <c r="F71" s="429">
        <v>7000</v>
      </c>
    </row>
    <row r="72" spans="1:7" s="38" customFormat="1" ht="15" customHeight="1" x14ac:dyDescent="0.2">
      <c r="A72" s="270" t="s">
        <v>235</v>
      </c>
      <c r="B72" s="268">
        <v>34341</v>
      </c>
      <c r="C72" s="427">
        <v>1000</v>
      </c>
      <c r="D72" s="428">
        <v>1000</v>
      </c>
      <c r="E72" s="428">
        <v>1000</v>
      </c>
      <c r="F72" s="429">
        <v>1000</v>
      </c>
    </row>
    <row r="73" spans="1:7" s="38" customFormat="1" ht="15.75" customHeight="1" x14ac:dyDescent="0.2">
      <c r="A73" s="269" t="s">
        <v>264</v>
      </c>
      <c r="B73" s="268"/>
      <c r="C73" s="423">
        <f>SUM(C74:C77)</f>
        <v>62952</v>
      </c>
      <c r="D73" s="423">
        <f t="shared" ref="D73:F73" si="1">SUM(D74:D77)</f>
        <v>24592</v>
      </c>
      <c r="E73" s="423">
        <f t="shared" si="1"/>
        <v>20500</v>
      </c>
      <c r="F73" s="424">
        <f t="shared" si="1"/>
        <v>20500</v>
      </c>
    </row>
    <row r="74" spans="1:7" s="38" customFormat="1" ht="25.5" customHeight="1" x14ac:dyDescent="0.2">
      <c r="A74" s="419" t="s">
        <v>265</v>
      </c>
      <c r="B74" s="420"/>
      <c r="C74" s="421">
        <v>51348</v>
      </c>
      <c r="D74" s="421">
        <v>4092</v>
      </c>
      <c r="E74" s="421">
        <v>0</v>
      </c>
      <c r="F74" s="422">
        <v>0</v>
      </c>
    </row>
    <row r="75" spans="1:7" s="38" customFormat="1" ht="25.5" customHeight="1" x14ac:dyDescent="0.2">
      <c r="A75" s="275" t="s">
        <v>266</v>
      </c>
      <c r="B75" s="268"/>
      <c r="C75" s="416">
        <v>11104</v>
      </c>
      <c r="D75" s="417">
        <v>0</v>
      </c>
      <c r="E75" s="417">
        <v>0</v>
      </c>
      <c r="F75" s="418">
        <v>0</v>
      </c>
    </row>
    <row r="76" spans="1:7" s="38" customFormat="1" ht="15" customHeight="1" x14ac:dyDescent="0.2">
      <c r="A76" s="270" t="s">
        <v>488</v>
      </c>
      <c r="B76" s="268"/>
      <c r="C76" s="416">
        <v>0</v>
      </c>
      <c r="D76" s="417">
        <v>20000</v>
      </c>
      <c r="E76" s="417">
        <v>20000</v>
      </c>
      <c r="F76" s="418">
        <v>20000</v>
      </c>
    </row>
    <row r="77" spans="1:7" s="38" customFormat="1" ht="15" customHeight="1" x14ac:dyDescent="0.2">
      <c r="A77" s="431" t="s">
        <v>623</v>
      </c>
      <c r="B77" s="276"/>
      <c r="C77" s="425">
        <v>500</v>
      </c>
      <c r="D77" s="421">
        <v>500</v>
      </c>
      <c r="E77" s="421">
        <v>500</v>
      </c>
      <c r="F77" s="422">
        <v>500</v>
      </c>
    </row>
    <row r="78" spans="1:7" s="38" customFormat="1" ht="6" customHeight="1" x14ac:dyDescent="0.2">
      <c r="A78" s="277"/>
      <c r="B78" s="276"/>
      <c r="C78" s="396"/>
      <c r="D78" s="397"/>
      <c r="E78" s="397"/>
      <c r="F78" s="398"/>
    </row>
    <row r="79" spans="1:7" s="38" customFormat="1" ht="29.25" customHeight="1" x14ac:dyDescent="0.2">
      <c r="A79" s="39" t="s">
        <v>236</v>
      </c>
      <c r="B79" s="40"/>
      <c r="C79" s="432">
        <v>114403</v>
      </c>
      <c r="D79" s="433">
        <v>201389</v>
      </c>
      <c r="E79" s="434">
        <v>212680</v>
      </c>
      <c r="F79" s="435">
        <v>158876</v>
      </c>
      <c r="G79" s="122"/>
    </row>
    <row r="80" spans="1:7" s="38" customFormat="1" ht="6" customHeight="1" x14ac:dyDescent="0.2">
      <c r="A80" s="278"/>
      <c r="B80" s="276"/>
      <c r="C80" s="399"/>
      <c r="D80" s="400"/>
      <c r="E80" s="400"/>
      <c r="F80" s="401"/>
    </row>
    <row r="81" spans="1:6" s="38" customFormat="1" ht="16.5" customHeight="1" thickBot="1" x14ac:dyDescent="0.25">
      <c r="A81" s="41" t="s">
        <v>96</v>
      </c>
      <c r="B81" s="42"/>
      <c r="C81" s="530">
        <f>C5+C34+C79</f>
        <v>26890520</v>
      </c>
      <c r="D81" s="531">
        <f>D5+D34+D79</f>
        <v>28597660</v>
      </c>
      <c r="E81" s="531">
        <f>E5+E34+E79</f>
        <v>29429221</v>
      </c>
      <c r="F81" s="532">
        <f>F5+F34+F79</f>
        <v>29699917</v>
      </c>
    </row>
  </sheetData>
  <mergeCells count="4">
    <mergeCell ref="A2:F2"/>
    <mergeCell ref="A3:A4"/>
    <mergeCell ref="B3:B4"/>
    <mergeCell ref="C3:F3"/>
  </mergeCells>
  <printOptions horizontalCentered="1"/>
  <pageMargins left="0.39370078740157483" right="0.39370078740157483" top="0.59055118110236227" bottom="0.39370078740157483" header="0.31496062992125984" footer="0.11811023622047245"/>
  <pageSetup paperSize="9" scale="94" firstPageNumber="4" fitToHeight="0" orientation="portrait" useFirstPageNumber="1" r:id="rId1"/>
  <headerFooter>
    <oddHeader>&amp;L&amp;"Tahoma,Kurzíva"&amp;9Střednědobý výhled rozpočtu Moravskoslezského kraje na léta 2024-2026&amp;R&amp;"Tahoma,Kurzíva"&amp;9Přehled očekávaných účelových dotací v letech 2024-2026</oddHeader>
    <oddFooter>&amp;C&amp;"Tahoma,Obyčejné"&amp;P</oddFooter>
  </headerFooter>
  <rowBreaks count="2" manualBreakCount="2">
    <brk id="37" max="5" man="1"/>
    <brk id="7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755F4-C1D1-4AEF-81D1-9C9F5D43CC12}">
  <sheetPr>
    <pageSetUpPr fitToPage="1"/>
  </sheetPr>
  <dimension ref="A1:XEZ66"/>
  <sheetViews>
    <sheetView zoomScaleNormal="100" workbookViewId="0">
      <pane ySplit="5" topLeftCell="A6" activePane="bottomLeft" state="frozen"/>
      <selection activeCell="F20" sqref="F20"/>
      <selection pane="bottomLeft" activeCell="F20" sqref="F20"/>
    </sheetView>
  </sheetViews>
  <sheetFormatPr defaultRowHeight="12.75" x14ac:dyDescent="0.2"/>
  <cols>
    <col min="1" max="1" width="42.7109375" style="450" customWidth="1"/>
    <col min="2" max="3" width="5.7109375" style="450" hidden="1" customWidth="1"/>
    <col min="4" max="8" width="10.7109375" style="450" customWidth="1"/>
    <col min="9" max="9" width="44.7109375" style="450" customWidth="1"/>
    <col min="10" max="244" width="9.140625" style="450"/>
    <col min="245" max="245" width="5.5703125" style="450" customWidth="1"/>
    <col min="246" max="246" width="32" style="450" customWidth="1"/>
    <col min="247" max="248" width="9.85546875" style="450" customWidth="1"/>
    <col min="249" max="250" width="9.42578125" style="450" customWidth="1"/>
    <col min="251" max="251" width="11.140625" style="450" customWidth="1"/>
    <col min="252" max="254" width="8.5703125" style="450" customWidth="1"/>
    <col min="255" max="255" width="32.140625" style="450" customWidth="1"/>
    <col min="256" max="256" width="8" style="450" hidden="1" customWidth="1"/>
    <col min="257" max="500" width="9.140625" style="450"/>
    <col min="501" max="501" width="5.5703125" style="450" customWidth="1"/>
    <col min="502" max="502" width="32" style="450" customWidth="1"/>
    <col min="503" max="504" width="9.85546875" style="450" customWidth="1"/>
    <col min="505" max="506" width="9.42578125" style="450" customWidth="1"/>
    <col min="507" max="507" width="11.140625" style="450" customWidth="1"/>
    <col min="508" max="510" width="8.5703125" style="450" customWidth="1"/>
    <col min="511" max="511" width="32.140625" style="450" customWidth="1"/>
    <col min="512" max="512" width="8" style="450" hidden="1" customWidth="1"/>
    <col min="513" max="756" width="9.140625" style="450"/>
    <col min="757" max="757" width="5.5703125" style="450" customWidth="1"/>
    <col min="758" max="758" width="32" style="450" customWidth="1"/>
    <col min="759" max="760" width="9.85546875" style="450" customWidth="1"/>
    <col min="761" max="762" width="9.42578125" style="450" customWidth="1"/>
    <col min="763" max="763" width="11.140625" style="450" customWidth="1"/>
    <col min="764" max="766" width="8.5703125" style="450" customWidth="1"/>
    <col min="767" max="767" width="32.140625" style="450" customWidth="1"/>
    <col min="768" max="768" width="8" style="450" hidden="1" customWidth="1"/>
    <col min="769" max="1012" width="9.140625" style="450"/>
    <col min="1013" max="1013" width="5.5703125" style="450" customWidth="1"/>
    <col min="1014" max="1014" width="32" style="450" customWidth="1"/>
    <col min="1015" max="1016" width="9.85546875" style="450" customWidth="1"/>
    <col min="1017" max="1018" width="9.42578125" style="450" customWidth="1"/>
    <col min="1019" max="1019" width="11.140625" style="450" customWidth="1"/>
    <col min="1020" max="1022" width="8.5703125" style="450" customWidth="1"/>
    <col min="1023" max="1023" width="32.140625" style="450" customWidth="1"/>
    <col min="1024" max="1024" width="8" style="450" hidden="1" customWidth="1"/>
    <col min="1025" max="1268" width="9.140625" style="450"/>
    <col min="1269" max="1269" width="5.5703125" style="450" customWidth="1"/>
    <col min="1270" max="1270" width="32" style="450" customWidth="1"/>
    <col min="1271" max="1272" width="9.85546875" style="450" customWidth="1"/>
    <col min="1273" max="1274" width="9.42578125" style="450" customWidth="1"/>
    <col min="1275" max="1275" width="11.140625" style="450" customWidth="1"/>
    <col min="1276" max="1278" width="8.5703125" style="450" customWidth="1"/>
    <col min="1279" max="1279" width="32.140625" style="450" customWidth="1"/>
    <col min="1280" max="1280" width="8" style="450" hidden="1" customWidth="1"/>
    <col min="1281" max="1524" width="9.140625" style="450"/>
    <col min="1525" max="1525" width="5.5703125" style="450" customWidth="1"/>
    <col min="1526" max="1526" width="32" style="450" customWidth="1"/>
    <col min="1527" max="1528" width="9.85546875" style="450" customWidth="1"/>
    <col min="1529" max="1530" width="9.42578125" style="450" customWidth="1"/>
    <col min="1531" max="1531" width="11.140625" style="450" customWidth="1"/>
    <col min="1532" max="1534" width="8.5703125" style="450" customWidth="1"/>
    <col min="1535" max="1535" width="32.140625" style="450" customWidth="1"/>
    <col min="1536" max="1536" width="8" style="450" hidden="1" customWidth="1"/>
    <col min="1537" max="1780" width="9.140625" style="450"/>
    <col min="1781" max="1781" width="5.5703125" style="450" customWidth="1"/>
    <col min="1782" max="1782" width="32" style="450" customWidth="1"/>
    <col min="1783" max="1784" width="9.85546875" style="450" customWidth="1"/>
    <col min="1785" max="1786" width="9.42578125" style="450" customWidth="1"/>
    <col min="1787" max="1787" width="11.140625" style="450" customWidth="1"/>
    <col min="1788" max="1790" width="8.5703125" style="450" customWidth="1"/>
    <col min="1791" max="1791" width="32.140625" style="450" customWidth="1"/>
    <col min="1792" max="1792" width="8" style="450" hidden="1" customWidth="1"/>
    <col min="1793" max="2036" width="9.140625" style="450"/>
    <col min="2037" max="2037" width="5.5703125" style="450" customWidth="1"/>
    <col min="2038" max="2038" width="32" style="450" customWidth="1"/>
    <col min="2039" max="2040" width="9.85546875" style="450" customWidth="1"/>
    <col min="2041" max="2042" width="9.42578125" style="450" customWidth="1"/>
    <col min="2043" max="2043" width="11.140625" style="450" customWidth="1"/>
    <col min="2044" max="2046" width="8.5703125" style="450" customWidth="1"/>
    <col min="2047" max="2047" width="32.140625" style="450" customWidth="1"/>
    <col min="2048" max="2048" width="8" style="450" hidden="1" customWidth="1"/>
    <col min="2049" max="2292" width="9.140625" style="450"/>
    <col min="2293" max="2293" width="5.5703125" style="450" customWidth="1"/>
    <col min="2294" max="2294" width="32" style="450" customWidth="1"/>
    <col min="2295" max="2296" width="9.85546875" style="450" customWidth="1"/>
    <col min="2297" max="2298" width="9.42578125" style="450" customWidth="1"/>
    <col min="2299" max="2299" width="11.140625" style="450" customWidth="1"/>
    <col min="2300" max="2302" width="8.5703125" style="450" customWidth="1"/>
    <col min="2303" max="2303" width="32.140625" style="450" customWidth="1"/>
    <col min="2304" max="2304" width="8" style="450" hidden="1" customWidth="1"/>
    <col min="2305" max="2548" width="9.140625" style="450"/>
    <col min="2549" max="2549" width="5.5703125" style="450" customWidth="1"/>
    <col min="2550" max="2550" width="32" style="450" customWidth="1"/>
    <col min="2551" max="2552" width="9.85546875" style="450" customWidth="1"/>
    <col min="2553" max="2554" width="9.42578125" style="450" customWidth="1"/>
    <col min="2555" max="2555" width="11.140625" style="450" customWidth="1"/>
    <col min="2556" max="2558" width="8.5703125" style="450" customWidth="1"/>
    <col min="2559" max="2559" width="32.140625" style="450" customWidth="1"/>
    <col min="2560" max="2560" width="8" style="450" hidden="1" customWidth="1"/>
    <col min="2561" max="2804" width="9.140625" style="450"/>
    <col min="2805" max="2805" width="5.5703125" style="450" customWidth="1"/>
    <col min="2806" max="2806" width="32" style="450" customWidth="1"/>
    <col min="2807" max="2808" width="9.85546875" style="450" customWidth="1"/>
    <col min="2809" max="2810" width="9.42578125" style="450" customWidth="1"/>
    <col min="2811" max="2811" width="11.140625" style="450" customWidth="1"/>
    <col min="2812" max="2814" width="8.5703125" style="450" customWidth="1"/>
    <col min="2815" max="2815" width="32.140625" style="450" customWidth="1"/>
    <col min="2816" max="2816" width="8" style="450" hidden="1" customWidth="1"/>
    <col min="2817" max="3060" width="9.140625" style="450"/>
    <col min="3061" max="3061" width="5.5703125" style="450" customWidth="1"/>
    <col min="3062" max="3062" width="32" style="450" customWidth="1"/>
    <col min="3063" max="3064" width="9.85546875" style="450" customWidth="1"/>
    <col min="3065" max="3066" width="9.42578125" style="450" customWidth="1"/>
    <col min="3067" max="3067" width="11.140625" style="450" customWidth="1"/>
    <col min="3068" max="3070" width="8.5703125" style="450" customWidth="1"/>
    <col min="3071" max="3071" width="32.140625" style="450" customWidth="1"/>
    <col min="3072" max="3072" width="8" style="450" hidden="1" customWidth="1"/>
    <col min="3073" max="3316" width="9.140625" style="450"/>
    <col min="3317" max="3317" width="5.5703125" style="450" customWidth="1"/>
    <col min="3318" max="3318" width="32" style="450" customWidth="1"/>
    <col min="3319" max="3320" width="9.85546875" style="450" customWidth="1"/>
    <col min="3321" max="3322" width="9.42578125" style="450" customWidth="1"/>
    <col min="3323" max="3323" width="11.140625" style="450" customWidth="1"/>
    <col min="3324" max="3326" width="8.5703125" style="450" customWidth="1"/>
    <col min="3327" max="3327" width="32.140625" style="450" customWidth="1"/>
    <col min="3328" max="3328" width="8" style="450" hidden="1" customWidth="1"/>
    <col min="3329" max="3572" width="9.140625" style="450"/>
    <col min="3573" max="3573" width="5.5703125" style="450" customWidth="1"/>
    <col min="3574" max="3574" width="32" style="450" customWidth="1"/>
    <col min="3575" max="3576" width="9.85546875" style="450" customWidth="1"/>
    <col min="3577" max="3578" width="9.42578125" style="450" customWidth="1"/>
    <col min="3579" max="3579" width="11.140625" style="450" customWidth="1"/>
    <col min="3580" max="3582" width="8.5703125" style="450" customWidth="1"/>
    <col min="3583" max="3583" width="32.140625" style="450" customWidth="1"/>
    <col min="3584" max="3584" width="8" style="450" hidden="1" customWidth="1"/>
    <col min="3585" max="3828" width="9.140625" style="450"/>
    <col min="3829" max="3829" width="5.5703125" style="450" customWidth="1"/>
    <col min="3830" max="3830" width="32" style="450" customWidth="1"/>
    <col min="3831" max="3832" width="9.85546875" style="450" customWidth="1"/>
    <col min="3833" max="3834" width="9.42578125" style="450" customWidth="1"/>
    <col min="3835" max="3835" width="11.140625" style="450" customWidth="1"/>
    <col min="3836" max="3838" width="8.5703125" style="450" customWidth="1"/>
    <col min="3839" max="3839" width="32.140625" style="450" customWidth="1"/>
    <col min="3840" max="3840" width="8" style="450" hidden="1" customWidth="1"/>
    <col min="3841" max="4084" width="9.140625" style="450"/>
    <col min="4085" max="4085" width="5.5703125" style="450" customWidth="1"/>
    <col min="4086" max="4086" width="32" style="450" customWidth="1"/>
    <col min="4087" max="4088" width="9.85546875" style="450" customWidth="1"/>
    <col min="4089" max="4090" width="9.42578125" style="450" customWidth="1"/>
    <col min="4091" max="4091" width="11.140625" style="450" customWidth="1"/>
    <col min="4092" max="4094" width="8.5703125" style="450" customWidth="1"/>
    <col min="4095" max="4095" width="32.140625" style="450" customWidth="1"/>
    <col min="4096" max="4096" width="8" style="450" hidden="1" customWidth="1"/>
    <col min="4097" max="4340" width="9.140625" style="450"/>
    <col min="4341" max="4341" width="5.5703125" style="450" customWidth="1"/>
    <col min="4342" max="4342" width="32" style="450" customWidth="1"/>
    <col min="4343" max="4344" width="9.85546875" style="450" customWidth="1"/>
    <col min="4345" max="4346" width="9.42578125" style="450" customWidth="1"/>
    <col min="4347" max="4347" width="11.140625" style="450" customWidth="1"/>
    <col min="4348" max="4350" width="8.5703125" style="450" customWidth="1"/>
    <col min="4351" max="4351" width="32.140625" style="450" customWidth="1"/>
    <col min="4352" max="4352" width="8" style="450" hidden="1" customWidth="1"/>
    <col min="4353" max="4596" width="9.140625" style="450"/>
    <col min="4597" max="4597" width="5.5703125" style="450" customWidth="1"/>
    <col min="4598" max="4598" width="32" style="450" customWidth="1"/>
    <col min="4599" max="4600" width="9.85546875" style="450" customWidth="1"/>
    <col min="4601" max="4602" width="9.42578125" style="450" customWidth="1"/>
    <col min="4603" max="4603" width="11.140625" style="450" customWidth="1"/>
    <col min="4604" max="4606" width="8.5703125" style="450" customWidth="1"/>
    <col min="4607" max="4607" width="32.140625" style="450" customWidth="1"/>
    <col min="4608" max="4608" width="8" style="450" hidden="1" customWidth="1"/>
    <col min="4609" max="4852" width="9.140625" style="450"/>
    <col min="4853" max="4853" width="5.5703125" style="450" customWidth="1"/>
    <col min="4854" max="4854" width="32" style="450" customWidth="1"/>
    <col min="4855" max="4856" width="9.85546875" style="450" customWidth="1"/>
    <col min="4857" max="4858" width="9.42578125" style="450" customWidth="1"/>
    <col min="4859" max="4859" width="11.140625" style="450" customWidth="1"/>
    <col min="4860" max="4862" width="8.5703125" style="450" customWidth="1"/>
    <col min="4863" max="4863" width="32.140625" style="450" customWidth="1"/>
    <col min="4864" max="4864" width="8" style="450" hidden="1" customWidth="1"/>
    <col min="4865" max="5108" width="9.140625" style="450"/>
    <col min="5109" max="5109" width="5.5703125" style="450" customWidth="1"/>
    <col min="5110" max="5110" width="32" style="450" customWidth="1"/>
    <col min="5111" max="5112" width="9.85546875" style="450" customWidth="1"/>
    <col min="5113" max="5114" width="9.42578125" style="450" customWidth="1"/>
    <col min="5115" max="5115" width="11.140625" style="450" customWidth="1"/>
    <col min="5116" max="5118" width="8.5703125" style="450" customWidth="1"/>
    <col min="5119" max="5119" width="32.140625" style="450" customWidth="1"/>
    <col min="5120" max="5120" width="8" style="450" hidden="1" customWidth="1"/>
    <col min="5121" max="5364" width="9.140625" style="450"/>
    <col min="5365" max="5365" width="5.5703125" style="450" customWidth="1"/>
    <col min="5366" max="5366" width="32" style="450" customWidth="1"/>
    <col min="5367" max="5368" width="9.85546875" style="450" customWidth="1"/>
    <col min="5369" max="5370" width="9.42578125" style="450" customWidth="1"/>
    <col min="5371" max="5371" width="11.140625" style="450" customWidth="1"/>
    <col min="5372" max="5374" width="8.5703125" style="450" customWidth="1"/>
    <col min="5375" max="5375" width="32.140625" style="450" customWidth="1"/>
    <col min="5376" max="5376" width="8" style="450" hidden="1" customWidth="1"/>
    <col min="5377" max="5620" width="9.140625" style="450"/>
    <col min="5621" max="5621" width="5.5703125" style="450" customWidth="1"/>
    <col min="5622" max="5622" width="32" style="450" customWidth="1"/>
    <col min="5623" max="5624" width="9.85546875" style="450" customWidth="1"/>
    <col min="5625" max="5626" width="9.42578125" style="450" customWidth="1"/>
    <col min="5627" max="5627" width="11.140625" style="450" customWidth="1"/>
    <col min="5628" max="5630" width="8.5703125" style="450" customWidth="1"/>
    <col min="5631" max="5631" width="32.140625" style="450" customWidth="1"/>
    <col min="5632" max="5632" width="8" style="450" hidden="1" customWidth="1"/>
    <col min="5633" max="5876" width="9.140625" style="450"/>
    <col min="5877" max="5877" width="5.5703125" style="450" customWidth="1"/>
    <col min="5878" max="5878" width="32" style="450" customWidth="1"/>
    <col min="5879" max="5880" width="9.85546875" style="450" customWidth="1"/>
    <col min="5881" max="5882" width="9.42578125" style="450" customWidth="1"/>
    <col min="5883" max="5883" width="11.140625" style="450" customWidth="1"/>
    <col min="5884" max="5886" width="8.5703125" style="450" customWidth="1"/>
    <col min="5887" max="5887" width="32.140625" style="450" customWidth="1"/>
    <col min="5888" max="5888" width="8" style="450" hidden="1" customWidth="1"/>
    <col min="5889" max="6132" width="9.140625" style="450"/>
    <col min="6133" max="6133" width="5.5703125" style="450" customWidth="1"/>
    <col min="6134" max="6134" width="32" style="450" customWidth="1"/>
    <col min="6135" max="6136" width="9.85546875" style="450" customWidth="1"/>
    <col min="6137" max="6138" width="9.42578125" style="450" customWidth="1"/>
    <col min="6139" max="6139" width="11.140625" style="450" customWidth="1"/>
    <col min="6140" max="6142" width="8.5703125" style="450" customWidth="1"/>
    <col min="6143" max="6143" width="32.140625" style="450" customWidth="1"/>
    <col min="6144" max="6144" width="8" style="450" hidden="1" customWidth="1"/>
    <col min="6145" max="6388" width="9.140625" style="450"/>
    <col min="6389" max="6389" width="5.5703125" style="450" customWidth="1"/>
    <col min="6390" max="6390" width="32" style="450" customWidth="1"/>
    <col min="6391" max="6392" width="9.85546875" style="450" customWidth="1"/>
    <col min="6393" max="6394" width="9.42578125" style="450" customWidth="1"/>
    <col min="6395" max="6395" width="11.140625" style="450" customWidth="1"/>
    <col min="6396" max="6398" width="8.5703125" style="450" customWidth="1"/>
    <col min="6399" max="6399" width="32.140625" style="450" customWidth="1"/>
    <col min="6400" max="6400" width="8" style="450" hidden="1" customWidth="1"/>
    <col min="6401" max="6644" width="9.140625" style="450"/>
    <col min="6645" max="6645" width="5.5703125" style="450" customWidth="1"/>
    <col min="6646" max="6646" width="32" style="450" customWidth="1"/>
    <col min="6647" max="6648" width="9.85546875" style="450" customWidth="1"/>
    <col min="6649" max="6650" width="9.42578125" style="450" customWidth="1"/>
    <col min="6651" max="6651" width="11.140625" style="450" customWidth="1"/>
    <col min="6652" max="6654" width="8.5703125" style="450" customWidth="1"/>
    <col min="6655" max="6655" width="32.140625" style="450" customWidth="1"/>
    <col min="6656" max="6656" width="8" style="450" hidden="1" customWidth="1"/>
    <col min="6657" max="6900" width="9.140625" style="450"/>
    <col min="6901" max="6901" width="5.5703125" style="450" customWidth="1"/>
    <col min="6902" max="6902" width="32" style="450" customWidth="1"/>
    <col min="6903" max="6904" width="9.85546875" style="450" customWidth="1"/>
    <col min="6905" max="6906" width="9.42578125" style="450" customWidth="1"/>
    <col min="6907" max="6907" width="11.140625" style="450" customWidth="1"/>
    <col min="6908" max="6910" width="8.5703125" style="450" customWidth="1"/>
    <col min="6911" max="6911" width="32.140625" style="450" customWidth="1"/>
    <col min="6912" max="6912" width="8" style="450" hidden="1" customWidth="1"/>
    <col min="6913" max="7156" width="9.140625" style="450"/>
    <col min="7157" max="7157" width="5.5703125" style="450" customWidth="1"/>
    <col min="7158" max="7158" width="32" style="450" customWidth="1"/>
    <col min="7159" max="7160" width="9.85546875" style="450" customWidth="1"/>
    <col min="7161" max="7162" width="9.42578125" style="450" customWidth="1"/>
    <col min="7163" max="7163" width="11.140625" style="450" customWidth="1"/>
    <col min="7164" max="7166" width="8.5703125" style="450" customWidth="1"/>
    <col min="7167" max="7167" width="32.140625" style="450" customWidth="1"/>
    <col min="7168" max="7168" width="8" style="450" hidden="1" customWidth="1"/>
    <col min="7169" max="7412" width="9.140625" style="450"/>
    <col min="7413" max="7413" width="5.5703125" style="450" customWidth="1"/>
    <col min="7414" max="7414" width="32" style="450" customWidth="1"/>
    <col min="7415" max="7416" width="9.85546875" style="450" customWidth="1"/>
    <col min="7417" max="7418" width="9.42578125" style="450" customWidth="1"/>
    <col min="7419" max="7419" width="11.140625" style="450" customWidth="1"/>
    <col min="7420" max="7422" width="8.5703125" style="450" customWidth="1"/>
    <col min="7423" max="7423" width="32.140625" style="450" customWidth="1"/>
    <col min="7424" max="7424" width="8" style="450" hidden="1" customWidth="1"/>
    <col min="7425" max="7668" width="9.140625" style="450"/>
    <col min="7669" max="7669" width="5.5703125" style="450" customWidth="1"/>
    <col min="7670" max="7670" width="32" style="450" customWidth="1"/>
    <col min="7671" max="7672" width="9.85546875" style="450" customWidth="1"/>
    <col min="7673" max="7674" width="9.42578125" style="450" customWidth="1"/>
    <col min="7675" max="7675" width="11.140625" style="450" customWidth="1"/>
    <col min="7676" max="7678" width="8.5703125" style="450" customWidth="1"/>
    <col min="7679" max="7679" width="32.140625" style="450" customWidth="1"/>
    <col min="7680" max="7680" width="8" style="450" hidden="1" customWidth="1"/>
    <col min="7681" max="7924" width="9.140625" style="450"/>
    <col min="7925" max="7925" width="5.5703125" style="450" customWidth="1"/>
    <col min="7926" max="7926" width="32" style="450" customWidth="1"/>
    <col min="7927" max="7928" width="9.85546875" style="450" customWidth="1"/>
    <col min="7929" max="7930" width="9.42578125" style="450" customWidth="1"/>
    <col min="7931" max="7931" width="11.140625" style="450" customWidth="1"/>
    <col min="7932" max="7934" width="8.5703125" style="450" customWidth="1"/>
    <col min="7935" max="7935" width="32.140625" style="450" customWidth="1"/>
    <col min="7936" max="7936" width="8" style="450" hidden="1" customWidth="1"/>
    <col min="7937" max="8180" width="9.140625" style="450"/>
    <col min="8181" max="8181" width="5.5703125" style="450" customWidth="1"/>
    <col min="8182" max="8182" width="32" style="450" customWidth="1"/>
    <col min="8183" max="8184" width="9.85546875" style="450" customWidth="1"/>
    <col min="8185" max="8186" width="9.42578125" style="450" customWidth="1"/>
    <col min="8187" max="8187" width="11.140625" style="450" customWidth="1"/>
    <col min="8188" max="8190" width="8.5703125" style="450" customWidth="1"/>
    <col min="8191" max="8191" width="32.140625" style="450" customWidth="1"/>
    <col min="8192" max="8192" width="8" style="450" hidden="1" customWidth="1"/>
    <col min="8193" max="8436" width="9.140625" style="450"/>
    <col min="8437" max="8437" width="5.5703125" style="450" customWidth="1"/>
    <col min="8438" max="8438" width="32" style="450" customWidth="1"/>
    <col min="8439" max="8440" width="9.85546875" style="450" customWidth="1"/>
    <col min="8441" max="8442" width="9.42578125" style="450" customWidth="1"/>
    <col min="8443" max="8443" width="11.140625" style="450" customWidth="1"/>
    <col min="8444" max="8446" width="8.5703125" style="450" customWidth="1"/>
    <col min="8447" max="8447" width="32.140625" style="450" customWidth="1"/>
    <col min="8448" max="8448" width="8" style="450" hidden="1" customWidth="1"/>
    <col min="8449" max="8692" width="9.140625" style="450"/>
    <col min="8693" max="8693" width="5.5703125" style="450" customWidth="1"/>
    <col min="8694" max="8694" width="32" style="450" customWidth="1"/>
    <col min="8695" max="8696" width="9.85546875" style="450" customWidth="1"/>
    <col min="8697" max="8698" width="9.42578125" style="450" customWidth="1"/>
    <col min="8699" max="8699" width="11.140625" style="450" customWidth="1"/>
    <col min="8700" max="8702" width="8.5703125" style="450" customWidth="1"/>
    <col min="8703" max="8703" width="32.140625" style="450" customWidth="1"/>
    <col min="8704" max="8704" width="8" style="450" hidden="1" customWidth="1"/>
    <col min="8705" max="8948" width="9.140625" style="450"/>
    <col min="8949" max="8949" width="5.5703125" style="450" customWidth="1"/>
    <col min="8950" max="8950" width="32" style="450" customWidth="1"/>
    <col min="8951" max="8952" width="9.85546875" style="450" customWidth="1"/>
    <col min="8953" max="8954" width="9.42578125" style="450" customWidth="1"/>
    <col min="8955" max="8955" width="11.140625" style="450" customWidth="1"/>
    <col min="8956" max="8958" width="8.5703125" style="450" customWidth="1"/>
    <col min="8959" max="8959" width="32.140625" style="450" customWidth="1"/>
    <col min="8960" max="8960" width="8" style="450" hidden="1" customWidth="1"/>
    <col min="8961" max="9204" width="9.140625" style="450"/>
    <col min="9205" max="9205" width="5.5703125" style="450" customWidth="1"/>
    <col min="9206" max="9206" width="32" style="450" customWidth="1"/>
    <col min="9207" max="9208" width="9.85546875" style="450" customWidth="1"/>
    <col min="9209" max="9210" width="9.42578125" style="450" customWidth="1"/>
    <col min="9211" max="9211" width="11.140625" style="450" customWidth="1"/>
    <col min="9212" max="9214" width="8.5703125" style="450" customWidth="1"/>
    <col min="9215" max="9215" width="32.140625" style="450" customWidth="1"/>
    <col min="9216" max="9216" width="8" style="450" hidden="1" customWidth="1"/>
    <col min="9217" max="9460" width="9.140625" style="450"/>
    <col min="9461" max="9461" width="5.5703125" style="450" customWidth="1"/>
    <col min="9462" max="9462" width="32" style="450" customWidth="1"/>
    <col min="9463" max="9464" width="9.85546875" style="450" customWidth="1"/>
    <col min="9465" max="9466" width="9.42578125" style="450" customWidth="1"/>
    <col min="9467" max="9467" width="11.140625" style="450" customWidth="1"/>
    <col min="9468" max="9470" width="8.5703125" style="450" customWidth="1"/>
    <col min="9471" max="9471" width="32.140625" style="450" customWidth="1"/>
    <col min="9472" max="9472" width="8" style="450" hidden="1" customWidth="1"/>
    <col min="9473" max="9716" width="9.140625" style="450"/>
    <col min="9717" max="9717" width="5.5703125" style="450" customWidth="1"/>
    <col min="9718" max="9718" width="32" style="450" customWidth="1"/>
    <col min="9719" max="9720" width="9.85546875" style="450" customWidth="1"/>
    <col min="9721" max="9722" width="9.42578125" style="450" customWidth="1"/>
    <col min="9723" max="9723" width="11.140625" style="450" customWidth="1"/>
    <col min="9724" max="9726" width="8.5703125" style="450" customWidth="1"/>
    <col min="9727" max="9727" width="32.140625" style="450" customWidth="1"/>
    <col min="9728" max="9728" width="8" style="450" hidden="1" customWidth="1"/>
    <col min="9729" max="9972" width="9.140625" style="450"/>
    <col min="9973" max="9973" width="5.5703125" style="450" customWidth="1"/>
    <col min="9974" max="9974" width="32" style="450" customWidth="1"/>
    <col min="9975" max="9976" width="9.85546875" style="450" customWidth="1"/>
    <col min="9977" max="9978" width="9.42578125" style="450" customWidth="1"/>
    <col min="9979" max="9979" width="11.140625" style="450" customWidth="1"/>
    <col min="9980" max="9982" width="8.5703125" style="450" customWidth="1"/>
    <col min="9983" max="9983" width="32.140625" style="450" customWidth="1"/>
    <col min="9984" max="9984" width="8" style="450" hidden="1" customWidth="1"/>
    <col min="9985" max="10228" width="9.140625" style="450"/>
    <col min="10229" max="10229" width="5.5703125" style="450" customWidth="1"/>
    <col min="10230" max="10230" width="32" style="450" customWidth="1"/>
    <col min="10231" max="10232" width="9.85546875" style="450" customWidth="1"/>
    <col min="10233" max="10234" width="9.42578125" style="450" customWidth="1"/>
    <col min="10235" max="10235" width="11.140625" style="450" customWidth="1"/>
    <col min="10236" max="10238" width="8.5703125" style="450" customWidth="1"/>
    <col min="10239" max="10239" width="32.140625" style="450" customWidth="1"/>
    <col min="10240" max="10240" width="8" style="450" hidden="1" customWidth="1"/>
    <col min="10241" max="10484" width="9.140625" style="450"/>
    <col min="10485" max="10485" width="5.5703125" style="450" customWidth="1"/>
    <col min="10486" max="10486" width="32" style="450" customWidth="1"/>
    <col min="10487" max="10488" width="9.85546875" style="450" customWidth="1"/>
    <col min="10489" max="10490" width="9.42578125" style="450" customWidth="1"/>
    <col min="10491" max="10491" width="11.140625" style="450" customWidth="1"/>
    <col min="10492" max="10494" width="8.5703125" style="450" customWidth="1"/>
    <col min="10495" max="10495" width="32.140625" style="450" customWidth="1"/>
    <col min="10496" max="10496" width="8" style="450" hidden="1" customWidth="1"/>
    <col min="10497" max="10740" width="9.140625" style="450"/>
    <col min="10741" max="10741" width="5.5703125" style="450" customWidth="1"/>
    <col min="10742" max="10742" width="32" style="450" customWidth="1"/>
    <col min="10743" max="10744" width="9.85546875" style="450" customWidth="1"/>
    <col min="10745" max="10746" width="9.42578125" style="450" customWidth="1"/>
    <col min="10747" max="10747" width="11.140625" style="450" customWidth="1"/>
    <col min="10748" max="10750" width="8.5703125" style="450" customWidth="1"/>
    <col min="10751" max="10751" width="32.140625" style="450" customWidth="1"/>
    <col min="10752" max="10752" width="8" style="450" hidden="1" customWidth="1"/>
    <col min="10753" max="10996" width="9.140625" style="450"/>
    <col min="10997" max="10997" width="5.5703125" style="450" customWidth="1"/>
    <col min="10998" max="10998" width="32" style="450" customWidth="1"/>
    <col min="10999" max="11000" width="9.85546875" style="450" customWidth="1"/>
    <col min="11001" max="11002" width="9.42578125" style="450" customWidth="1"/>
    <col min="11003" max="11003" width="11.140625" style="450" customWidth="1"/>
    <col min="11004" max="11006" width="8.5703125" style="450" customWidth="1"/>
    <col min="11007" max="11007" width="32.140625" style="450" customWidth="1"/>
    <col min="11008" max="11008" width="8" style="450" hidden="1" customWidth="1"/>
    <col min="11009" max="11252" width="9.140625" style="450"/>
    <col min="11253" max="11253" width="5.5703125" style="450" customWidth="1"/>
    <col min="11254" max="11254" width="32" style="450" customWidth="1"/>
    <col min="11255" max="11256" width="9.85546875" style="450" customWidth="1"/>
    <col min="11257" max="11258" width="9.42578125" style="450" customWidth="1"/>
    <col min="11259" max="11259" width="11.140625" style="450" customWidth="1"/>
    <col min="11260" max="11262" width="8.5703125" style="450" customWidth="1"/>
    <col min="11263" max="11263" width="32.140625" style="450" customWidth="1"/>
    <col min="11264" max="11264" width="8" style="450" hidden="1" customWidth="1"/>
    <col min="11265" max="11508" width="9.140625" style="450"/>
    <col min="11509" max="11509" width="5.5703125" style="450" customWidth="1"/>
    <col min="11510" max="11510" width="32" style="450" customWidth="1"/>
    <col min="11511" max="11512" width="9.85546875" style="450" customWidth="1"/>
    <col min="11513" max="11514" width="9.42578125" style="450" customWidth="1"/>
    <col min="11515" max="11515" width="11.140625" style="450" customWidth="1"/>
    <col min="11516" max="11518" width="8.5703125" style="450" customWidth="1"/>
    <col min="11519" max="11519" width="32.140625" style="450" customWidth="1"/>
    <col min="11520" max="11520" width="8" style="450" hidden="1" customWidth="1"/>
    <col min="11521" max="11764" width="9.140625" style="450"/>
    <col min="11765" max="11765" width="5.5703125" style="450" customWidth="1"/>
    <col min="11766" max="11766" width="32" style="450" customWidth="1"/>
    <col min="11767" max="11768" width="9.85546875" style="450" customWidth="1"/>
    <col min="11769" max="11770" width="9.42578125" style="450" customWidth="1"/>
    <col min="11771" max="11771" width="11.140625" style="450" customWidth="1"/>
    <col min="11772" max="11774" width="8.5703125" style="450" customWidth="1"/>
    <col min="11775" max="11775" width="32.140625" style="450" customWidth="1"/>
    <col min="11776" max="11776" width="8" style="450" hidden="1" customWidth="1"/>
    <col min="11777" max="12020" width="9.140625" style="450"/>
    <col min="12021" max="12021" width="5.5703125" style="450" customWidth="1"/>
    <col min="12022" max="12022" width="32" style="450" customWidth="1"/>
    <col min="12023" max="12024" width="9.85546875" style="450" customWidth="1"/>
    <col min="12025" max="12026" width="9.42578125" style="450" customWidth="1"/>
    <col min="12027" max="12027" width="11.140625" style="450" customWidth="1"/>
    <col min="12028" max="12030" width="8.5703125" style="450" customWidth="1"/>
    <col min="12031" max="12031" width="32.140625" style="450" customWidth="1"/>
    <col min="12032" max="12032" width="8" style="450" hidden="1" customWidth="1"/>
    <col min="12033" max="12276" width="9.140625" style="450"/>
    <col min="12277" max="12277" width="5.5703125" style="450" customWidth="1"/>
    <col min="12278" max="12278" width="32" style="450" customWidth="1"/>
    <col min="12279" max="12280" width="9.85546875" style="450" customWidth="1"/>
    <col min="12281" max="12282" width="9.42578125" style="450" customWidth="1"/>
    <col min="12283" max="12283" width="11.140625" style="450" customWidth="1"/>
    <col min="12284" max="12286" width="8.5703125" style="450" customWidth="1"/>
    <col min="12287" max="12287" width="32.140625" style="450" customWidth="1"/>
    <col min="12288" max="12288" width="8" style="450" hidden="1" customWidth="1"/>
    <col min="12289" max="12532" width="9.140625" style="450"/>
    <col min="12533" max="12533" width="5.5703125" style="450" customWidth="1"/>
    <col min="12534" max="12534" width="32" style="450" customWidth="1"/>
    <col min="12535" max="12536" width="9.85546875" style="450" customWidth="1"/>
    <col min="12537" max="12538" width="9.42578125" style="450" customWidth="1"/>
    <col min="12539" max="12539" width="11.140625" style="450" customWidth="1"/>
    <col min="12540" max="12542" width="8.5703125" style="450" customWidth="1"/>
    <col min="12543" max="12543" width="32.140625" style="450" customWidth="1"/>
    <col min="12544" max="12544" width="8" style="450" hidden="1" customWidth="1"/>
    <col min="12545" max="12788" width="9.140625" style="450"/>
    <col min="12789" max="12789" width="5.5703125" style="450" customWidth="1"/>
    <col min="12790" max="12790" width="32" style="450" customWidth="1"/>
    <col min="12791" max="12792" width="9.85546875" style="450" customWidth="1"/>
    <col min="12793" max="12794" width="9.42578125" style="450" customWidth="1"/>
    <col min="12795" max="12795" width="11.140625" style="450" customWidth="1"/>
    <col min="12796" max="12798" width="8.5703125" style="450" customWidth="1"/>
    <col min="12799" max="12799" width="32.140625" style="450" customWidth="1"/>
    <col min="12800" max="12800" width="8" style="450" hidden="1" customWidth="1"/>
    <col min="12801" max="13044" width="9.140625" style="450"/>
    <col min="13045" max="13045" width="5.5703125" style="450" customWidth="1"/>
    <col min="13046" max="13046" width="32" style="450" customWidth="1"/>
    <col min="13047" max="13048" width="9.85546875" style="450" customWidth="1"/>
    <col min="13049" max="13050" width="9.42578125" style="450" customWidth="1"/>
    <col min="13051" max="13051" width="11.140625" style="450" customWidth="1"/>
    <col min="13052" max="13054" width="8.5703125" style="450" customWidth="1"/>
    <col min="13055" max="13055" width="32.140625" style="450" customWidth="1"/>
    <col min="13056" max="13056" width="8" style="450" hidden="1" customWidth="1"/>
    <col min="13057" max="13300" width="9.140625" style="450"/>
    <col min="13301" max="13301" width="5.5703125" style="450" customWidth="1"/>
    <col min="13302" max="13302" width="32" style="450" customWidth="1"/>
    <col min="13303" max="13304" width="9.85546875" style="450" customWidth="1"/>
    <col min="13305" max="13306" width="9.42578125" style="450" customWidth="1"/>
    <col min="13307" max="13307" width="11.140625" style="450" customWidth="1"/>
    <col min="13308" max="13310" width="8.5703125" style="450" customWidth="1"/>
    <col min="13311" max="13311" width="32.140625" style="450" customWidth="1"/>
    <col min="13312" max="13312" width="8" style="450" hidden="1" customWidth="1"/>
    <col min="13313" max="13556" width="9.140625" style="450"/>
    <col min="13557" max="13557" width="5.5703125" style="450" customWidth="1"/>
    <col min="13558" max="13558" width="32" style="450" customWidth="1"/>
    <col min="13559" max="13560" width="9.85546875" style="450" customWidth="1"/>
    <col min="13561" max="13562" width="9.42578125" style="450" customWidth="1"/>
    <col min="13563" max="13563" width="11.140625" style="450" customWidth="1"/>
    <col min="13564" max="13566" width="8.5703125" style="450" customWidth="1"/>
    <col min="13567" max="13567" width="32.140625" style="450" customWidth="1"/>
    <col min="13568" max="13568" width="8" style="450" hidden="1" customWidth="1"/>
    <col min="13569" max="13812" width="9.140625" style="450"/>
    <col min="13813" max="13813" width="5.5703125" style="450" customWidth="1"/>
    <col min="13814" max="13814" width="32" style="450" customWidth="1"/>
    <col min="13815" max="13816" width="9.85546875" style="450" customWidth="1"/>
    <col min="13817" max="13818" width="9.42578125" style="450" customWidth="1"/>
    <col min="13819" max="13819" width="11.140625" style="450" customWidth="1"/>
    <col min="13820" max="13822" width="8.5703125" style="450" customWidth="1"/>
    <col min="13823" max="13823" width="32.140625" style="450" customWidth="1"/>
    <col min="13824" max="13824" width="8" style="450" hidden="1" customWidth="1"/>
    <col min="13825" max="14068" width="9.140625" style="450"/>
    <col min="14069" max="14069" width="5.5703125" style="450" customWidth="1"/>
    <col min="14070" max="14070" width="32" style="450" customWidth="1"/>
    <col min="14071" max="14072" width="9.85546875" style="450" customWidth="1"/>
    <col min="14073" max="14074" width="9.42578125" style="450" customWidth="1"/>
    <col min="14075" max="14075" width="11.140625" style="450" customWidth="1"/>
    <col min="14076" max="14078" width="8.5703125" style="450" customWidth="1"/>
    <col min="14079" max="14079" width="32.140625" style="450" customWidth="1"/>
    <col min="14080" max="14080" width="8" style="450" hidden="1" customWidth="1"/>
    <col min="14081" max="14324" width="9.140625" style="450"/>
    <col min="14325" max="14325" width="5.5703125" style="450" customWidth="1"/>
    <col min="14326" max="14326" width="32" style="450" customWidth="1"/>
    <col min="14327" max="14328" width="9.85546875" style="450" customWidth="1"/>
    <col min="14329" max="14330" width="9.42578125" style="450" customWidth="1"/>
    <col min="14331" max="14331" width="11.140625" style="450" customWidth="1"/>
    <col min="14332" max="14334" width="8.5703125" style="450" customWidth="1"/>
    <col min="14335" max="14335" width="32.140625" style="450" customWidth="1"/>
    <col min="14336" max="14336" width="8" style="450" hidden="1" customWidth="1"/>
    <col min="14337" max="14580" width="9.140625" style="450"/>
    <col min="14581" max="14581" width="5.5703125" style="450" customWidth="1"/>
    <col min="14582" max="14582" width="32" style="450" customWidth="1"/>
    <col min="14583" max="14584" width="9.85546875" style="450" customWidth="1"/>
    <col min="14585" max="14586" width="9.42578125" style="450" customWidth="1"/>
    <col min="14587" max="14587" width="11.140625" style="450" customWidth="1"/>
    <col min="14588" max="14590" width="8.5703125" style="450" customWidth="1"/>
    <col min="14591" max="14591" width="32.140625" style="450" customWidth="1"/>
    <col min="14592" max="14592" width="8" style="450" hidden="1" customWidth="1"/>
    <col min="14593" max="14836" width="9.140625" style="450"/>
    <col min="14837" max="14837" width="5.5703125" style="450" customWidth="1"/>
    <col min="14838" max="14838" width="32" style="450" customWidth="1"/>
    <col min="14839" max="14840" width="9.85546875" style="450" customWidth="1"/>
    <col min="14841" max="14842" width="9.42578125" style="450" customWidth="1"/>
    <col min="14843" max="14843" width="11.140625" style="450" customWidth="1"/>
    <col min="14844" max="14846" width="8.5703125" style="450" customWidth="1"/>
    <col min="14847" max="14847" width="32.140625" style="450" customWidth="1"/>
    <col min="14848" max="14848" width="8" style="450" hidden="1" customWidth="1"/>
    <col min="14849" max="15092" width="9.140625" style="450"/>
    <col min="15093" max="15093" width="5.5703125" style="450" customWidth="1"/>
    <col min="15094" max="15094" width="32" style="450" customWidth="1"/>
    <col min="15095" max="15096" width="9.85546875" style="450" customWidth="1"/>
    <col min="15097" max="15098" width="9.42578125" style="450" customWidth="1"/>
    <col min="15099" max="15099" width="11.140625" style="450" customWidth="1"/>
    <col min="15100" max="15102" width="8.5703125" style="450" customWidth="1"/>
    <col min="15103" max="15103" width="32.140625" style="450" customWidth="1"/>
    <col min="15104" max="15104" width="8" style="450" hidden="1" customWidth="1"/>
    <col min="15105" max="15348" width="9.140625" style="450"/>
    <col min="15349" max="15349" width="5.5703125" style="450" customWidth="1"/>
    <col min="15350" max="15350" width="32" style="450" customWidth="1"/>
    <col min="15351" max="15352" width="9.85546875" style="450" customWidth="1"/>
    <col min="15353" max="15354" width="9.42578125" style="450" customWidth="1"/>
    <col min="15355" max="15355" width="11.140625" style="450" customWidth="1"/>
    <col min="15356" max="15358" width="8.5703125" style="450" customWidth="1"/>
    <col min="15359" max="15359" width="32.140625" style="450" customWidth="1"/>
    <col min="15360" max="15360" width="8" style="450" hidden="1" customWidth="1"/>
    <col min="15361" max="15604" width="9.140625" style="450"/>
    <col min="15605" max="15605" width="5.5703125" style="450" customWidth="1"/>
    <col min="15606" max="15606" width="32" style="450" customWidth="1"/>
    <col min="15607" max="15608" width="9.85546875" style="450" customWidth="1"/>
    <col min="15609" max="15610" width="9.42578125" style="450" customWidth="1"/>
    <col min="15611" max="15611" width="11.140625" style="450" customWidth="1"/>
    <col min="15612" max="15614" width="8.5703125" style="450" customWidth="1"/>
    <col min="15615" max="15615" width="32.140625" style="450" customWidth="1"/>
    <col min="15616" max="15616" width="8" style="450" hidden="1" customWidth="1"/>
    <col min="15617" max="15860" width="9.140625" style="450"/>
    <col min="15861" max="15861" width="5.5703125" style="450" customWidth="1"/>
    <col min="15862" max="15862" width="32" style="450" customWidth="1"/>
    <col min="15863" max="15864" width="9.85546875" style="450" customWidth="1"/>
    <col min="15865" max="15866" width="9.42578125" style="450" customWidth="1"/>
    <col min="15867" max="15867" width="11.140625" style="450" customWidth="1"/>
    <col min="15868" max="15870" width="8.5703125" style="450" customWidth="1"/>
    <col min="15871" max="15871" width="32.140625" style="450" customWidth="1"/>
    <col min="15872" max="15872" width="8" style="450" hidden="1" customWidth="1"/>
    <col min="15873" max="16116" width="9.140625" style="450"/>
    <col min="16117" max="16117" width="5.5703125" style="450" customWidth="1"/>
    <col min="16118" max="16118" width="32" style="450" customWidth="1"/>
    <col min="16119" max="16120" width="9.85546875" style="450" customWidth="1"/>
    <col min="16121" max="16122" width="9.42578125" style="450" customWidth="1"/>
    <col min="16123" max="16123" width="11.140625" style="450" customWidth="1"/>
    <col min="16124" max="16126" width="8.5703125" style="450" customWidth="1"/>
    <col min="16127" max="16127" width="32.140625" style="450" customWidth="1"/>
    <col min="16128" max="16128" width="8" style="450" hidden="1" customWidth="1"/>
    <col min="16129" max="16384" width="9.140625" style="450"/>
  </cols>
  <sheetData>
    <row r="1" spans="1:9" s="56" customFormat="1" ht="15" customHeight="1" x14ac:dyDescent="0.2">
      <c r="A1" s="21" t="s">
        <v>58</v>
      </c>
      <c r="B1" s="21"/>
      <c r="C1" s="21"/>
      <c r="I1" s="534"/>
    </row>
    <row r="2" spans="1:9" s="56" customFormat="1" ht="30" customHeight="1" x14ac:dyDescent="0.2">
      <c r="A2" s="649" t="s">
        <v>222</v>
      </c>
      <c r="B2" s="649"/>
      <c r="C2" s="649"/>
      <c r="D2" s="650"/>
      <c r="E2" s="650"/>
      <c r="F2" s="650"/>
      <c r="G2" s="650"/>
      <c r="H2" s="650"/>
      <c r="I2" s="650"/>
    </row>
    <row r="3" spans="1:9" s="56" customFormat="1" ht="13.5" thickBot="1" x14ac:dyDescent="0.25">
      <c r="A3" s="57"/>
      <c r="B3" s="57"/>
      <c r="C3" s="57"/>
      <c r="D3" s="58"/>
      <c r="E3" s="121"/>
      <c r="F3" s="121"/>
      <c r="G3" s="121"/>
      <c r="H3" s="121"/>
      <c r="I3" s="58" t="s">
        <v>98</v>
      </c>
    </row>
    <row r="4" spans="1:9" s="56" customFormat="1" ht="21" customHeight="1" x14ac:dyDescent="0.2">
      <c r="A4" s="651" t="s">
        <v>136</v>
      </c>
      <c r="B4" s="123"/>
      <c r="C4" s="123"/>
      <c r="D4" s="653" t="s">
        <v>138</v>
      </c>
      <c r="E4" s="655" t="s">
        <v>174</v>
      </c>
      <c r="F4" s="656"/>
      <c r="G4" s="657"/>
      <c r="H4" s="658"/>
      <c r="I4" s="659" t="s">
        <v>145</v>
      </c>
    </row>
    <row r="5" spans="1:9" s="56" customFormat="1" ht="21" customHeight="1" thickBot="1" x14ac:dyDescent="0.25">
      <c r="A5" s="652"/>
      <c r="B5" s="124" t="s">
        <v>626</v>
      </c>
      <c r="C5" s="124" t="s">
        <v>627</v>
      </c>
      <c r="D5" s="654"/>
      <c r="E5" s="55" t="s">
        <v>332</v>
      </c>
      <c r="F5" s="55" t="s">
        <v>340</v>
      </c>
      <c r="G5" s="55" t="s">
        <v>628</v>
      </c>
      <c r="H5" s="55" t="s">
        <v>629</v>
      </c>
      <c r="I5" s="660"/>
    </row>
    <row r="6" spans="1:9" s="59" customFormat="1" ht="18" customHeight="1" x14ac:dyDescent="0.2">
      <c r="A6" s="646" t="s">
        <v>146</v>
      </c>
      <c r="B6" s="647"/>
      <c r="C6" s="647"/>
      <c r="D6" s="647"/>
      <c r="E6" s="647"/>
      <c r="F6" s="647"/>
      <c r="G6" s="647"/>
      <c r="H6" s="647"/>
      <c r="I6" s="648"/>
    </row>
    <row r="7" spans="1:9" s="59" customFormat="1" ht="34.5" customHeight="1" x14ac:dyDescent="0.2">
      <c r="A7" s="523" t="s">
        <v>850</v>
      </c>
      <c r="B7" s="524">
        <v>3535</v>
      </c>
      <c r="C7" s="524"/>
      <c r="D7" s="525">
        <f t="shared" ref="D7:D9" si="0">SUM(E7:H7)</f>
        <v>24600</v>
      </c>
      <c r="E7" s="526">
        <v>24600</v>
      </c>
      <c r="F7" s="525">
        <v>0</v>
      </c>
      <c r="G7" s="525">
        <v>0</v>
      </c>
      <c r="H7" s="525">
        <v>0</v>
      </c>
      <c r="I7" s="527" t="s">
        <v>851</v>
      </c>
    </row>
    <row r="8" spans="1:9" s="59" customFormat="1" ht="34.5" customHeight="1" x14ac:dyDescent="0.2">
      <c r="A8" s="523" t="s">
        <v>852</v>
      </c>
      <c r="B8" s="524">
        <v>3558</v>
      </c>
      <c r="C8" s="524"/>
      <c r="D8" s="525">
        <f t="shared" si="0"/>
        <v>1990</v>
      </c>
      <c r="E8" s="526">
        <v>1990</v>
      </c>
      <c r="F8" s="525">
        <v>0</v>
      </c>
      <c r="G8" s="525">
        <v>0</v>
      </c>
      <c r="H8" s="525">
        <v>0</v>
      </c>
      <c r="I8" s="527" t="s">
        <v>851</v>
      </c>
    </row>
    <row r="9" spans="1:9" s="59" customFormat="1" ht="35.25" customHeight="1" thickBot="1" x14ac:dyDescent="0.25">
      <c r="A9" s="523" t="s">
        <v>853</v>
      </c>
      <c r="B9" s="524">
        <v>3526</v>
      </c>
      <c r="C9" s="524"/>
      <c r="D9" s="525">
        <f t="shared" si="0"/>
        <v>7690</v>
      </c>
      <c r="E9" s="526">
        <v>7690</v>
      </c>
      <c r="F9" s="525">
        <v>0</v>
      </c>
      <c r="G9" s="525">
        <v>0</v>
      </c>
      <c r="H9" s="525">
        <v>0</v>
      </c>
      <c r="I9" s="527" t="s">
        <v>851</v>
      </c>
    </row>
    <row r="10" spans="1:9" s="59" customFormat="1" ht="25.5" customHeight="1" thickBot="1" x14ac:dyDescent="0.25">
      <c r="A10" s="63" t="s">
        <v>147</v>
      </c>
      <c r="B10" s="130"/>
      <c r="C10" s="130"/>
      <c r="D10" s="65">
        <f>SUM(D7:D9)</f>
        <v>34280</v>
      </c>
      <c r="E10" s="65">
        <f>SUM(E7:E9)</f>
        <v>34280</v>
      </c>
      <c r="F10" s="65">
        <f>SUM(F7:F9)</f>
        <v>0</v>
      </c>
      <c r="G10" s="65">
        <f>SUM(G7:G9)</f>
        <v>0</v>
      </c>
      <c r="H10" s="65">
        <f>SUM(H7:H9)</f>
        <v>0</v>
      </c>
      <c r="I10" s="64"/>
    </row>
    <row r="11" spans="1:9" s="59" customFormat="1" ht="18" customHeight="1" x14ac:dyDescent="0.2">
      <c r="A11" s="646" t="s">
        <v>382</v>
      </c>
      <c r="B11" s="647"/>
      <c r="C11" s="647"/>
      <c r="D11" s="647"/>
      <c r="E11" s="647"/>
      <c r="F11" s="647"/>
      <c r="G11" s="647"/>
      <c r="H11" s="647"/>
      <c r="I11" s="648"/>
    </row>
    <row r="12" spans="1:9" s="59" customFormat="1" ht="63" x14ac:dyDescent="0.2">
      <c r="A12" s="333" t="s">
        <v>630</v>
      </c>
      <c r="B12" s="334">
        <v>3522</v>
      </c>
      <c r="C12" s="334"/>
      <c r="D12" s="128">
        <f>SUM(E12:H12)</f>
        <v>1000</v>
      </c>
      <c r="E12" s="143">
        <v>1000</v>
      </c>
      <c r="F12" s="128">
        <v>0</v>
      </c>
      <c r="G12" s="128">
        <v>0</v>
      </c>
      <c r="H12" s="128">
        <v>0</v>
      </c>
      <c r="I12" s="335" t="s">
        <v>631</v>
      </c>
    </row>
    <row r="13" spans="1:9" s="59" customFormat="1" ht="24" customHeight="1" x14ac:dyDescent="0.2">
      <c r="A13" s="333" t="s">
        <v>632</v>
      </c>
      <c r="B13" s="334">
        <v>3530</v>
      </c>
      <c r="C13" s="334"/>
      <c r="D13" s="128">
        <f>SUM(E13:H13)</f>
        <v>43300</v>
      </c>
      <c r="E13" s="143">
        <v>43300</v>
      </c>
      <c r="F13" s="128">
        <v>0</v>
      </c>
      <c r="G13" s="128">
        <v>0</v>
      </c>
      <c r="H13" s="128">
        <v>0</v>
      </c>
      <c r="I13" s="335" t="s">
        <v>633</v>
      </c>
    </row>
    <row r="14" spans="1:9" s="59" customFormat="1" ht="24" customHeight="1" x14ac:dyDescent="0.2">
      <c r="A14" s="333" t="s">
        <v>634</v>
      </c>
      <c r="B14" s="334">
        <v>3532</v>
      </c>
      <c r="C14" s="334"/>
      <c r="D14" s="128">
        <f>SUM(E14:H14)</f>
        <v>79700</v>
      </c>
      <c r="E14" s="143">
        <v>79700</v>
      </c>
      <c r="F14" s="128">
        <v>0</v>
      </c>
      <c r="G14" s="128">
        <v>0</v>
      </c>
      <c r="H14" s="128">
        <v>0</v>
      </c>
      <c r="I14" s="335" t="s">
        <v>633</v>
      </c>
    </row>
    <row r="15" spans="1:9" s="59" customFormat="1" ht="24" customHeight="1" x14ac:dyDescent="0.2">
      <c r="A15" s="333" t="s">
        <v>635</v>
      </c>
      <c r="B15" s="334">
        <v>3528</v>
      </c>
      <c r="C15" s="334"/>
      <c r="D15" s="128">
        <f>SUM(E15:H15)</f>
        <v>58700</v>
      </c>
      <c r="E15" s="143">
        <v>58700</v>
      </c>
      <c r="F15" s="128">
        <v>0</v>
      </c>
      <c r="G15" s="128">
        <v>0</v>
      </c>
      <c r="H15" s="128">
        <v>0</v>
      </c>
      <c r="I15" s="335" t="s">
        <v>633</v>
      </c>
    </row>
    <row r="16" spans="1:9" s="59" customFormat="1" ht="24.75" customHeight="1" thickBot="1" x14ac:dyDescent="0.25">
      <c r="A16" s="333" t="s">
        <v>636</v>
      </c>
      <c r="B16" s="334">
        <v>3527</v>
      </c>
      <c r="C16" s="334"/>
      <c r="D16" s="128">
        <f>SUM(E16:H16)</f>
        <v>77700</v>
      </c>
      <c r="E16" s="143">
        <v>77700</v>
      </c>
      <c r="F16" s="128">
        <v>0</v>
      </c>
      <c r="G16" s="128">
        <v>0</v>
      </c>
      <c r="H16" s="128">
        <v>0</v>
      </c>
      <c r="I16" s="335" t="s">
        <v>633</v>
      </c>
    </row>
    <row r="17" spans="1:9" s="59" customFormat="1" ht="16.5" customHeight="1" thickBot="1" x14ac:dyDescent="0.25">
      <c r="A17" s="63" t="s">
        <v>449</v>
      </c>
      <c r="B17" s="125"/>
      <c r="C17" s="125"/>
      <c r="D17" s="61">
        <f>SUM(D12:D16)</f>
        <v>260400</v>
      </c>
      <c r="E17" s="61">
        <f>SUM(E12:E16)</f>
        <v>260400</v>
      </c>
      <c r="F17" s="61">
        <f>SUM(F12:F16)</f>
        <v>0</v>
      </c>
      <c r="G17" s="61">
        <f>SUM(G12:G16)</f>
        <v>0</v>
      </c>
      <c r="H17" s="61">
        <f>SUM(H12:H16)</f>
        <v>0</v>
      </c>
      <c r="I17" s="62"/>
    </row>
    <row r="18" spans="1:9" s="59" customFormat="1" ht="18" customHeight="1" x14ac:dyDescent="0.2">
      <c r="A18" s="646" t="s">
        <v>423</v>
      </c>
      <c r="B18" s="647"/>
      <c r="C18" s="647"/>
      <c r="D18" s="647"/>
      <c r="E18" s="647"/>
      <c r="F18" s="647"/>
      <c r="G18" s="647"/>
      <c r="H18" s="647"/>
      <c r="I18" s="648"/>
    </row>
    <row r="19" spans="1:9" s="59" customFormat="1" ht="24" customHeight="1" x14ac:dyDescent="0.2">
      <c r="A19" s="333" t="s">
        <v>638</v>
      </c>
      <c r="B19" s="334">
        <v>3556</v>
      </c>
      <c r="C19" s="334"/>
      <c r="D19" s="128">
        <f>SUM(E19:H19)</f>
        <v>490000</v>
      </c>
      <c r="E19" s="143">
        <v>13000</v>
      </c>
      <c r="F19" s="128">
        <v>147000</v>
      </c>
      <c r="G19" s="128">
        <v>330000</v>
      </c>
      <c r="H19" s="128">
        <v>0</v>
      </c>
      <c r="I19" s="335" t="s">
        <v>639</v>
      </c>
    </row>
    <row r="20" spans="1:9" s="59" customFormat="1" ht="45" customHeight="1" thickBot="1" x14ac:dyDescent="0.25">
      <c r="A20" s="333" t="s">
        <v>568</v>
      </c>
      <c r="B20" s="334">
        <v>7043</v>
      </c>
      <c r="C20" s="334"/>
      <c r="D20" s="128">
        <f>SUM(E20:H20)</f>
        <v>160667</v>
      </c>
      <c r="E20" s="143">
        <f>6041+34228</f>
        <v>40269</v>
      </c>
      <c r="F20" s="128">
        <f>6287+35626</f>
        <v>41913</v>
      </c>
      <c r="G20" s="128">
        <f>6076+34427</f>
        <v>40503</v>
      </c>
      <c r="H20" s="128">
        <f>5696+32286</f>
        <v>37982</v>
      </c>
      <c r="I20" s="335" t="s">
        <v>637</v>
      </c>
    </row>
    <row r="21" spans="1:9" s="59" customFormat="1" ht="16.5" customHeight="1" thickBot="1" x14ac:dyDescent="0.25">
      <c r="A21" s="63" t="s">
        <v>437</v>
      </c>
      <c r="B21" s="130"/>
      <c r="C21" s="130"/>
      <c r="D21" s="61">
        <f>SUM(D19:D20)</f>
        <v>650667</v>
      </c>
      <c r="E21" s="61">
        <f t="shared" ref="E21:H21" si="1">SUM(E19:E20)</f>
        <v>53269</v>
      </c>
      <c r="F21" s="61">
        <f t="shared" si="1"/>
        <v>188913</v>
      </c>
      <c r="G21" s="61">
        <f t="shared" si="1"/>
        <v>370503</v>
      </c>
      <c r="H21" s="61">
        <f t="shared" si="1"/>
        <v>37982</v>
      </c>
      <c r="I21" s="62"/>
    </row>
    <row r="22" spans="1:9" s="59" customFormat="1" ht="18" customHeight="1" x14ac:dyDescent="0.2">
      <c r="A22" s="646" t="s">
        <v>103</v>
      </c>
      <c r="B22" s="647"/>
      <c r="C22" s="647"/>
      <c r="D22" s="647"/>
      <c r="E22" s="647"/>
      <c r="F22" s="647"/>
      <c r="G22" s="647"/>
      <c r="H22" s="647"/>
      <c r="I22" s="648"/>
    </row>
    <row r="23" spans="1:9" s="59" customFormat="1" ht="24" customHeight="1" x14ac:dyDescent="0.2">
      <c r="A23" s="333" t="s">
        <v>640</v>
      </c>
      <c r="B23" s="334">
        <v>3505</v>
      </c>
      <c r="C23" s="334"/>
      <c r="D23" s="128">
        <f t="shared" ref="D23:D30" si="2">SUM(E23:H23)</f>
        <v>2533467</v>
      </c>
      <c r="E23" s="143">
        <v>417000</v>
      </c>
      <c r="F23" s="128">
        <v>920000</v>
      </c>
      <c r="G23" s="128">
        <v>1194467</v>
      </c>
      <c r="H23" s="128">
        <v>2000</v>
      </c>
      <c r="I23" s="335" t="s">
        <v>641</v>
      </c>
    </row>
    <row r="24" spans="1:9" s="59" customFormat="1" ht="24" customHeight="1" x14ac:dyDescent="0.2">
      <c r="A24" s="333" t="s">
        <v>642</v>
      </c>
      <c r="B24" s="334">
        <v>3550</v>
      </c>
      <c r="C24" s="334"/>
      <c r="D24" s="128">
        <f t="shared" si="2"/>
        <v>29900</v>
      </c>
      <c r="E24" s="143">
        <v>25000</v>
      </c>
      <c r="F24" s="128">
        <v>4900</v>
      </c>
      <c r="G24" s="128">
        <v>0</v>
      </c>
      <c r="H24" s="128">
        <v>0</v>
      </c>
      <c r="I24" s="335" t="s">
        <v>643</v>
      </c>
    </row>
    <row r="25" spans="1:9" s="59" customFormat="1" ht="45" customHeight="1" x14ac:dyDescent="0.2">
      <c r="A25" s="333" t="s">
        <v>644</v>
      </c>
      <c r="B25" s="334">
        <v>3523</v>
      </c>
      <c r="C25" s="334"/>
      <c r="D25" s="128">
        <f t="shared" si="2"/>
        <v>151858</v>
      </c>
      <c r="E25" s="143">
        <v>105858</v>
      </c>
      <c r="F25" s="128">
        <v>46000</v>
      </c>
      <c r="G25" s="128">
        <v>0</v>
      </c>
      <c r="H25" s="128">
        <v>0</v>
      </c>
      <c r="I25" s="335" t="s">
        <v>645</v>
      </c>
    </row>
    <row r="26" spans="1:9" s="59" customFormat="1" ht="45" customHeight="1" x14ac:dyDescent="0.2">
      <c r="A26" s="333" t="s">
        <v>646</v>
      </c>
      <c r="B26" s="334">
        <v>3555</v>
      </c>
      <c r="C26" s="334"/>
      <c r="D26" s="128">
        <f t="shared" si="2"/>
        <v>219000</v>
      </c>
      <c r="E26" s="143">
        <v>102000</v>
      </c>
      <c r="F26" s="128">
        <v>89000</v>
      </c>
      <c r="G26" s="128">
        <v>28000</v>
      </c>
      <c r="H26" s="128">
        <v>0</v>
      </c>
      <c r="I26" s="335" t="s">
        <v>647</v>
      </c>
    </row>
    <row r="27" spans="1:9" s="59" customFormat="1" ht="24" customHeight="1" x14ac:dyDescent="0.2">
      <c r="A27" s="333" t="s">
        <v>648</v>
      </c>
      <c r="B27" s="334">
        <v>3549</v>
      </c>
      <c r="C27" s="334"/>
      <c r="D27" s="128">
        <f t="shared" si="2"/>
        <v>4900</v>
      </c>
      <c r="E27" s="143">
        <v>4000</v>
      </c>
      <c r="F27" s="128">
        <v>900</v>
      </c>
      <c r="G27" s="128">
        <v>0</v>
      </c>
      <c r="H27" s="128">
        <v>0</v>
      </c>
      <c r="I27" s="335" t="s">
        <v>649</v>
      </c>
    </row>
    <row r="28" spans="1:9" s="59" customFormat="1" ht="45" customHeight="1" x14ac:dyDescent="0.2">
      <c r="A28" s="333" t="s">
        <v>650</v>
      </c>
      <c r="B28" s="334">
        <v>3524</v>
      </c>
      <c r="C28" s="334"/>
      <c r="D28" s="128">
        <f t="shared" si="2"/>
        <v>133830</v>
      </c>
      <c r="E28" s="143">
        <v>50430</v>
      </c>
      <c r="F28" s="128">
        <v>83400</v>
      </c>
      <c r="G28" s="128">
        <v>0</v>
      </c>
      <c r="H28" s="128">
        <v>0</v>
      </c>
      <c r="I28" s="335" t="s">
        <v>651</v>
      </c>
    </row>
    <row r="29" spans="1:9" s="59" customFormat="1" ht="34.5" customHeight="1" x14ac:dyDescent="0.2">
      <c r="A29" s="333" t="s">
        <v>652</v>
      </c>
      <c r="B29" s="334">
        <v>3563</v>
      </c>
      <c r="C29" s="334"/>
      <c r="D29" s="128">
        <f t="shared" si="2"/>
        <v>161125</v>
      </c>
      <c r="E29" s="143">
        <v>60000</v>
      </c>
      <c r="F29" s="128">
        <v>101125</v>
      </c>
      <c r="G29" s="128">
        <v>0</v>
      </c>
      <c r="H29" s="128">
        <v>0</v>
      </c>
      <c r="I29" s="335" t="s">
        <v>637</v>
      </c>
    </row>
    <row r="30" spans="1:9" s="59" customFormat="1" ht="24.75" customHeight="1" thickBot="1" x14ac:dyDescent="0.25">
      <c r="A30" s="333" t="s">
        <v>653</v>
      </c>
      <c r="B30" s="334">
        <v>3514</v>
      </c>
      <c r="C30" s="334"/>
      <c r="D30" s="128">
        <f t="shared" si="2"/>
        <v>125000</v>
      </c>
      <c r="E30" s="143">
        <v>25000</v>
      </c>
      <c r="F30" s="128">
        <v>79000</v>
      </c>
      <c r="G30" s="128">
        <v>21000</v>
      </c>
      <c r="H30" s="128">
        <v>0</v>
      </c>
      <c r="I30" s="335" t="s">
        <v>654</v>
      </c>
    </row>
    <row r="31" spans="1:9" s="59" customFormat="1" ht="16.5" customHeight="1" thickBot="1" x14ac:dyDescent="0.25">
      <c r="A31" s="63" t="s">
        <v>107</v>
      </c>
      <c r="B31" s="130"/>
      <c r="C31" s="130"/>
      <c r="D31" s="61">
        <f>SUM(D23:D23)</f>
        <v>2533467</v>
      </c>
      <c r="E31" s="61">
        <f>SUM(E23:E23)</f>
        <v>417000</v>
      </c>
      <c r="F31" s="61">
        <f>SUM(F23:F23)</f>
        <v>920000</v>
      </c>
      <c r="G31" s="61">
        <f>SUM(G23:G23)</f>
        <v>1194467</v>
      </c>
      <c r="H31" s="61">
        <f>SUM(H23:H23)</f>
        <v>2000</v>
      </c>
      <c r="I31" s="62"/>
    </row>
    <row r="32" spans="1:9" s="59" customFormat="1" ht="18" customHeight="1" x14ac:dyDescent="0.2">
      <c r="A32" s="646" t="s">
        <v>110</v>
      </c>
      <c r="B32" s="647"/>
      <c r="C32" s="647"/>
      <c r="D32" s="647"/>
      <c r="E32" s="647"/>
      <c r="F32" s="647"/>
      <c r="G32" s="647"/>
      <c r="H32" s="647"/>
      <c r="I32" s="648"/>
    </row>
    <row r="33" spans="1:9" s="59" customFormat="1" ht="35.25" customHeight="1" thickBot="1" x14ac:dyDescent="0.25">
      <c r="A33" s="333" t="s">
        <v>655</v>
      </c>
      <c r="B33" s="336">
        <v>3562</v>
      </c>
      <c r="C33" s="336" t="s">
        <v>656</v>
      </c>
      <c r="D33" s="337">
        <v>8050</v>
      </c>
      <c r="E33" s="143">
        <v>5750</v>
      </c>
      <c r="F33" s="337">
        <v>6200</v>
      </c>
      <c r="G33" s="128">
        <v>2750</v>
      </c>
      <c r="H33" s="338">
        <v>0</v>
      </c>
      <c r="I33" s="335" t="s">
        <v>637</v>
      </c>
    </row>
    <row r="34" spans="1:9" s="59" customFormat="1" ht="16.5" customHeight="1" thickBot="1" x14ac:dyDescent="0.25">
      <c r="A34" s="63" t="s">
        <v>111</v>
      </c>
      <c r="B34" s="125"/>
      <c r="C34" s="125"/>
      <c r="D34" s="61">
        <f>SUM(D33:D33)</f>
        <v>8050</v>
      </c>
      <c r="E34" s="61">
        <f>SUM(E33:E33)</f>
        <v>5750</v>
      </c>
      <c r="F34" s="61">
        <f>SUM(F33:F33)</f>
        <v>6200</v>
      </c>
      <c r="G34" s="61">
        <f>SUM(G33:G33)</f>
        <v>2750</v>
      </c>
      <c r="H34" s="61">
        <f>SUM(H33:H33)</f>
        <v>0</v>
      </c>
      <c r="I34" s="62"/>
    </row>
    <row r="35" spans="1:9" s="59" customFormat="1" ht="18" customHeight="1" x14ac:dyDescent="0.2">
      <c r="A35" s="646" t="s">
        <v>112</v>
      </c>
      <c r="B35" s="647"/>
      <c r="C35" s="647"/>
      <c r="D35" s="647"/>
      <c r="E35" s="647"/>
      <c r="F35" s="647"/>
      <c r="G35" s="647"/>
      <c r="H35" s="647"/>
      <c r="I35" s="648"/>
    </row>
    <row r="36" spans="1:9" s="59" customFormat="1" ht="24" customHeight="1" x14ac:dyDescent="0.2">
      <c r="A36" s="333" t="s">
        <v>657</v>
      </c>
      <c r="B36" s="334">
        <v>3512</v>
      </c>
      <c r="C36" s="334"/>
      <c r="D36" s="128">
        <f t="shared" ref="D36:D43" si="3">SUM(E36:H36)</f>
        <v>21300</v>
      </c>
      <c r="E36" s="143">
        <v>21300</v>
      </c>
      <c r="F36" s="128">
        <v>0</v>
      </c>
      <c r="G36" s="128">
        <v>0</v>
      </c>
      <c r="H36" s="128">
        <v>0</v>
      </c>
      <c r="I36" s="335" t="s">
        <v>658</v>
      </c>
    </row>
    <row r="37" spans="1:9" s="59" customFormat="1" ht="34.5" customHeight="1" x14ac:dyDescent="0.2">
      <c r="A37" s="333" t="s">
        <v>659</v>
      </c>
      <c r="B37" s="334">
        <v>3507</v>
      </c>
      <c r="C37" s="334" t="s">
        <v>656</v>
      </c>
      <c r="D37" s="128">
        <f t="shared" si="3"/>
        <v>1700</v>
      </c>
      <c r="E37" s="143">
        <v>800</v>
      </c>
      <c r="F37" s="128">
        <v>700</v>
      </c>
      <c r="G37" s="128">
        <v>200</v>
      </c>
      <c r="H37" s="128">
        <v>0</v>
      </c>
      <c r="I37" s="335" t="s">
        <v>660</v>
      </c>
    </row>
    <row r="38" spans="1:9" s="59" customFormat="1" ht="45" customHeight="1" x14ac:dyDescent="0.2">
      <c r="A38" s="333" t="s">
        <v>661</v>
      </c>
      <c r="B38" s="334">
        <v>3506</v>
      </c>
      <c r="C38" s="334" t="s">
        <v>656</v>
      </c>
      <c r="D38" s="128">
        <f t="shared" si="3"/>
        <v>980</v>
      </c>
      <c r="E38" s="143">
        <v>500</v>
      </c>
      <c r="F38" s="128">
        <v>280</v>
      </c>
      <c r="G38" s="128">
        <v>200</v>
      </c>
      <c r="H38" s="128">
        <v>0</v>
      </c>
      <c r="I38" s="335" t="s">
        <v>662</v>
      </c>
    </row>
    <row r="39" spans="1:9" s="59" customFormat="1" ht="34.5" customHeight="1" x14ac:dyDescent="0.2">
      <c r="A39" s="333" t="s">
        <v>663</v>
      </c>
      <c r="B39" s="334">
        <v>3540</v>
      </c>
      <c r="C39" s="334" t="s">
        <v>656</v>
      </c>
      <c r="D39" s="128">
        <f t="shared" si="3"/>
        <v>775</v>
      </c>
      <c r="E39" s="143">
        <v>300</v>
      </c>
      <c r="F39" s="128">
        <v>275</v>
      </c>
      <c r="G39" s="128">
        <v>200</v>
      </c>
      <c r="H39" s="128">
        <v>0</v>
      </c>
      <c r="I39" s="335" t="s">
        <v>660</v>
      </c>
    </row>
    <row r="40" spans="1:9" s="59" customFormat="1" ht="45" customHeight="1" x14ac:dyDescent="0.2">
      <c r="A40" s="333" t="s">
        <v>664</v>
      </c>
      <c r="B40" s="334">
        <v>3511</v>
      </c>
      <c r="C40" s="334" t="s">
        <v>656</v>
      </c>
      <c r="D40" s="128">
        <f t="shared" si="3"/>
        <v>1280</v>
      </c>
      <c r="E40" s="143">
        <v>700</v>
      </c>
      <c r="F40" s="128">
        <v>580</v>
      </c>
      <c r="G40" s="128">
        <v>0</v>
      </c>
      <c r="H40" s="128">
        <v>0</v>
      </c>
      <c r="I40" s="335" t="s">
        <v>665</v>
      </c>
    </row>
    <row r="41" spans="1:9" s="59" customFormat="1" ht="34.5" customHeight="1" x14ac:dyDescent="0.2">
      <c r="A41" s="333" t="s">
        <v>666</v>
      </c>
      <c r="B41" s="334">
        <v>3521</v>
      </c>
      <c r="C41" s="334" t="s">
        <v>656</v>
      </c>
      <c r="D41" s="128">
        <f t="shared" si="3"/>
        <v>253417</v>
      </c>
      <c r="E41" s="143">
        <v>253417</v>
      </c>
      <c r="F41" s="128">
        <v>0</v>
      </c>
      <c r="G41" s="128">
        <v>0</v>
      </c>
      <c r="H41" s="128">
        <v>0</v>
      </c>
      <c r="I41" s="335" t="s">
        <v>667</v>
      </c>
    </row>
    <row r="42" spans="1:9" s="59" customFormat="1" ht="45" customHeight="1" x14ac:dyDescent="0.2">
      <c r="A42" s="333" t="s">
        <v>668</v>
      </c>
      <c r="B42" s="334">
        <v>3509</v>
      </c>
      <c r="C42" s="334" t="s">
        <v>656</v>
      </c>
      <c r="D42" s="128">
        <f t="shared" si="3"/>
        <v>1600</v>
      </c>
      <c r="E42" s="143">
        <v>600</v>
      </c>
      <c r="F42" s="128">
        <v>600</v>
      </c>
      <c r="G42" s="128">
        <v>400</v>
      </c>
      <c r="H42" s="128">
        <v>0</v>
      </c>
      <c r="I42" s="335" t="s">
        <v>669</v>
      </c>
    </row>
    <row r="43" spans="1:9" s="59" customFormat="1" ht="45.75" customHeight="1" thickBot="1" x14ac:dyDescent="0.25">
      <c r="A43" s="333" t="s">
        <v>670</v>
      </c>
      <c r="B43" s="334">
        <v>3510</v>
      </c>
      <c r="C43" s="334" t="s">
        <v>656</v>
      </c>
      <c r="D43" s="128">
        <f t="shared" si="3"/>
        <v>640</v>
      </c>
      <c r="E43" s="143">
        <v>640</v>
      </c>
      <c r="F43" s="128">
        <v>0</v>
      </c>
      <c r="G43" s="128">
        <v>0</v>
      </c>
      <c r="H43" s="128">
        <v>0</v>
      </c>
      <c r="I43" s="335" t="s">
        <v>671</v>
      </c>
    </row>
    <row r="44" spans="1:9" s="59" customFormat="1" ht="16.5" customHeight="1" thickBot="1" x14ac:dyDescent="0.25">
      <c r="A44" s="63" t="s">
        <v>118</v>
      </c>
      <c r="B44" s="130"/>
      <c r="C44" s="130"/>
      <c r="D44" s="61">
        <f>SUM(D36:D43)</f>
        <v>281692</v>
      </c>
      <c r="E44" s="61">
        <f>SUM(E36:E43)</f>
        <v>278257</v>
      </c>
      <c r="F44" s="61">
        <f>SUM(F36:F43)</f>
        <v>2435</v>
      </c>
      <c r="G44" s="61">
        <f>SUM(G36:G43)</f>
        <v>1000</v>
      </c>
      <c r="H44" s="61">
        <f>SUM(H36:H43)</f>
        <v>0</v>
      </c>
      <c r="I44" s="62"/>
    </row>
    <row r="45" spans="1:9" s="59" customFormat="1" ht="18" customHeight="1" x14ac:dyDescent="0.2">
      <c r="A45" s="646" t="s">
        <v>119</v>
      </c>
      <c r="B45" s="647"/>
      <c r="C45" s="647"/>
      <c r="D45" s="647"/>
      <c r="E45" s="647"/>
      <c r="F45" s="647"/>
      <c r="G45" s="647"/>
      <c r="H45" s="647"/>
      <c r="I45" s="648"/>
    </row>
    <row r="46" spans="1:9" s="59" customFormat="1" ht="24" customHeight="1" x14ac:dyDescent="0.2">
      <c r="A46" s="333" t="s">
        <v>672</v>
      </c>
      <c r="B46" s="334">
        <v>3520</v>
      </c>
      <c r="C46" s="334"/>
      <c r="D46" s="128">
        <f>SUM(E46:H46)</f>
        <v>42167</v>
      </c>
      <c r="E46" s="143">
        <v>42167</v>
      </c>
      <c r="F46" s="128">
        <v>0</v>
      </c>
      <c r="G46" s="128">
        <v>0</v>
      </c>
      <c r="H46" s="128">
        <v>0</v>
      </c>
      <c r="I46" s="335" t="s">
        <v>673</v>
      </c>
    </row>
    <row r="47" spans="1:9" s="59" customFormat="1" ht="24.75" customHeight="1" thickBot="1" x14ac:dyDescent="0.25">
      <c r="A47" s="333" t="s">
        <v>674</v>
      </c>
      <c r="B47" s="334">
        <v>3502</v>
      </c>
      <c r="C47" s="334"/>
      <c r="D47" s="128">
        <f>SUM(E47:H47)</f>
        <v>1069547</v>
      </c>
      <c r="E47" s="143">
        <v>194100</v>
      </c>
      <c r="F47" s="128">
        <v>401700</v>
      </c>
      <c r="G47" s="128">
        <v>473747</v>
      </c>
      <c r="H47" s="128">
        <v>0</v>
      </c>
      <c r="I47" s="335" t="s">
        <v>675</v>
      </c>
    </row>
    <row r="48" spans="1:9" s="59" customFormat="1" ht="16.5" customHeight="1" thickBot="1" x14ac:dyDescent="0.25">
      <c r="A48" s="63" t="s">
        <v>120</v>
      </c>
      <c r="B48" s="130">
        <v>75</v>
      </c>
      <c r="C48" s="130"/>
      <c r="D48" s="61">
        <f>SUM(D46:D47)</f>
        <v>1111714</v>
      </c>
      <c r="E48" s="61">
        <f>SUM(E46:E47)</f>
        <v>236267</v>
      </c>
      <c r="F48" s="61">
        <f>SUM(F46:F47)</f>
        <v>401700</v>
      </c>
      <c r="G48" s="61">
        <f>SUM(G46:G47)</f>
        <v>473747</v>
      </c>
      <c r="H48" s="61">
        <f>SUM(H46:H47)</f>
        <v>0</v>
      </c>
      <c r="I48" s="62"/>
    </row>
    <row r="49" spans="1:1023 1025:2047 2049:3071 3073:4095 4097:5119 5121:6143 6145:7167 7169:8191 8193:9215 9217:10239 10241:11263 11265:12287 12289:13311 13313:14335 14337:15359 15361:16380" s="59" customFormat="1" ht="18" customHeight="1" x14ac:dyDescent="0.2">
      <c r="A49" s="646" t="s">
        <v>121</v>
      </c>
      <c r="B49" s="647"/>
      <c r="C49" s="647"/>
      <c r="D49" s="647"/>
      <c r="E49" s="647"/>
      <c r="F49" s="647"/>
      <c r="G49" s="647"/>
      <c r="H49" s="647"/>
      <c r="I49" s="648"/>
      <c r="J49" s="440"/>
      <c r="K49" s="440"/>
      <c r="L49" s="440"/>
      <c r="M49" s="440"/>
      <c r="N49" s="440"/>
      <c r="O49" s="440"/>
      <c r="P49" s="440"/>
      <c r="Q49" s="440"/>
      <c r="R49" s="440"/>
      <c r="S49" s="440"/>
      <c r="T49" s="440"/>
      <c r="U49" s="440"/>
      <c r="V49" s="440"/>
      <c r="W49" s="440"/>
      <c r="X49" s="440"/>
      <c r="Y49" s="440"/>
      <c r="Z49" s="440"/>
      <c r="AA49" s="440"/>
      <c r="AB49" s="440"/>
      <c r="AC49" s="440"/>
      <c r="AD49" s="440"/>
      <c r="AE49" s="440"/>
      <c r="AF49" s="440"/>
      <c r="AG49" s="440"/>
      <c r="AH49" s="440"/>
      <c r="AI49" s="440"/>
      <c r="AJ49" s="440"/>
      <c r="AK49" s="440"/>
      <c r="AL49" s="440"/>
      <c r="AM49" s="440"/>
      <c r="AN49" s="440"/>
      <c r="AO49" s="440"/>
      <c r="AP49" s="440"/>
      <c r="AQ49" s="440"/>
      <c r="AR49" s="440"/>
      <c r="AS49" s="440"/>
      <c r="AT49" s="440"/>
      <c r="AU49" s="440"/>
      <c r="AV49" s="440"/>
      <c r="AW49" s="440"/>
      <c r="AX49" s="440"/>
      <c r="AY49" s="440"/>
      <c r="AZ49" s="440"/>
      <c r="BA49" s="440"/>
      <c r="BB49" s="440"/>
      <c r="BC49" s="440"/>
      <c r="BD49" s="440"/>
      <c r="BE49" s="440"/>
      <c r="BF49" s="440"/>
      <c r="BG49" s="440"/>
      <c r="BH49" s="440"/>
      <c r="BI49" s="440"/>
      <c r="BJ49" s="440"/>
      <c r="BK49" s="440"/>
      <c r="BL49" s="440"/>
      <c r="BM49" s="440"/>
      <c r="BN49" s="440"/>
      <c r="BO49" s="440"/>
      <c r="BP49" s="440"/>
      <c r="BQ49" s="440"/>
      <c r="BR49" s="440"/>
      <c r="BS49" s="440"/>
      <c r="BT49" s="440"/>
      <c r="BU49" s="440"/>
      <c r="BV49" s="440"/>
      <c r="BW49" s="440"/>
      <c r="BX49" s="440"/>
      <c r="BY49" s="440"/>
      <c r="BZ49" s="440"/>
      <c r="CA49" s="440"/>
      <c r="CB49" s="440"/>
      <c r="CC49" s="440"/>
      <c r="CD49" s="440"/>
      <c r="CE49" s="440"/>
      <c r="CF49" s="440"/>
      <c r="CG49" s="440"/>
      <c r="CH49" s="440"/>
      <c r="CI49" s="440"/>
      <c r="CJ49" s="440"/>
      <c r="CK49" s="440"/>
      <c r="CL49" s="440"/>
      <c r="CM49" s="440"/>
      <c r="CN49" s="440"/>
      <c r="CO49" s="440"/>
      <c r="CP49" s="440"/>
      <c r="CQ49" s="440"/>
      <c r="CR49" s="440"/>
      <c r="CS49" s="440"/>
      <c r="CT49" s="440"/>
      <c r="CU49" s="440"/>
      <c r="CV49" s="440"/>
      <c r="CW49" s="440"/>
      <c r="CX49" s="440"/>
      <c r="CY49" s="440"/>
      <c r="CZ49" s="440"/>
      <c r="DA49" s="440"/>
      <c r="DB49" s="440"/>
      <c r="DC49" s="440"/>
      <c r="DD49" s="440"/>
      <c r="DE49" s="440"/>
      <c r="DF49" s="440"/>
      <c r="DG49" s="440"/>
      <c r="DH49" s="440"/>
      <c r="DI49" s="440"/>
      <c r="DJ49" s="440"/>
      <c r="DK49" s="440"/>
      <c r="DL49" s="440"/>
      <c r="DM49" s="440"/>
      <c r="DN49" s="440"/>
      <c r="DO49" s="440"/>
      <c r="DP49" s="440"/>
      <c r="DQ49" s="440"/>
      <c r="DR49" s="440"/>
      <c r="DS49" s="440"/>
      <c r="DT49" s="440"/>
      <c r="DU49" s="440"/>
      <c r="DV49" s="440"/>
      <c r="DW49" s="440"/>
      <c r="DX49" s="440"/>
      <c r="DY49" s="440"/>
      <c r="DZ49" s="440"/>
      <c r="EA49" s="440"/>
      <c r="EB49" s="440"/>
      <c r="EC49" s="440"/>
      <c r="ED49" s="440"/>
      <c r="EE49" s="440"/>
      <c r="EF49" s="440"/>
      <c r="EG49" s="440"/>
      <c r="EH49" s="440"/>
      <c r="EI49" s="440"/>
      <c r="EJ49" s="440"/>
      <c r="EK49" s="440"/>
      <c r="EL49" s="440"/>
      <c r="EM49" s="440"/>
      <c r="EN49" s="440"/>
      <c r="EO49" s="440"/>
      <c r="EP49" s="440"/>
      <c r="EQ49" s="440"/>
      <c r="ER49" s="440"/>
      <c r="ES49" s="440"/>
      <c r="ET49" s="440"/>
      <c r="EU49" s="440"/>
      <c r="EV49" s="440"/>
      <c r="EW49" s="440"/>
      <c r="EX49" s="440"/>
      <c r="EY49" s="440"/>
      <c r="EZ49" s="440"/>
      <c r="FA49" s="440"/>
      <c r="FB49" s="440"/>
      <c r="FC49" s="440"/>
      <c r="FD49" s="440"/>
      <c r="FE49" s="440"/>
      <c r="FF49" s="440"/>
      <c r="FG49" s="440"/>
      <c r="FH49" s="440"/>
      <c r="FI49" s="440"/>
      <c r="FJ49" s="440"/>
      <c r="FK49" s="440"/>
      <c r="FL49" s="440"/>
      <c r="FM49" s="440"/>
      <c r="FN49" s="440"/>
      <c r="FO49" s="440"/>
      <c r="FP49" s="440"/>
      <c r="FQ49" s="440"/>
      <c r="FR49" s="440"/>
      <c r="FS49" s="440"/>
      <c r="FT49" s="440"/>
      <c r="FU49" s="440"/>
      <c r="FV49" s="440"/>
      <c r="FW49" s="440"/>
      <c r="FX49" s="440"/>
      <c r="FY49" s="440"/>
      <c r="FZ49" s="440"/>
      <c r="GA49" s="440"/>
      <c r="GB49" s="440"/>
      <c r="GC49" s="440"/>
      <c r="GD49" s="440"/>
      <c r="GE49" s="440"/>
      <c r="GF49" s="440"/>
      <c r="GG49" s="440"/>
      <c r="GH49" s="440"/>
      <c r="GI49" s="440"/>
      <c r="GJ49" s="440"/>
      <c r="GK49" s="440"/>
      <c r="GL49" s="440"/>
      <c r="GM49" s="440"/>
      <c r="GN49" s="440"/>
      <c r="GO49" s="440"/>
      <c r="GP49" s="440"/>
      <c r="GQ49" s="440"/>
      <c r="GR49" s="440"/>
      <c r="GS49" s="440"/>
      <c r="GT49" s="440"/>
      <c r="GU49" s="440"/>
      <c r="GV49" s="440"/>
      <c r="GW49" s="440"/>
      <c r="GX49" s="440"/>
      <c r="GY49" s="440"/>
      <c r="GZ49" s="440"/>
      <c r="HA49" s="440"/>
      <c r="HB49" s="440"/>
      <c r="HC49" s="440"/>
      <c r="HD49" s="440"/>
      <c r="HE49" s="440"/>
      <c r="HF49" s="440"/>
      <c r="HG49" s="440"/>
      <c r="HH49" s="440"/>
      <c r="HI49" s="440"/>
      <c r="HJ49" s="440"/>
      <c r="HK49" s="440"/>
      <c r="HL49" s="440"/>
      <c r="HM49" s="440"/>
      <c r="HN49" s="440"/>
      <c r="HO49" s="440"/>
      <c r="HP49" s="440"/>
      <c r="HQ49" s="440"/>
      <c r="HR49" s="440"/>
      <c r="HS49" s="440"/>
      <c r="HT49" s="440"/>
      <c r="HU49" s="440"/>
      <c r="HV49" s="440"/>
      <c r="HW49" s="440"/>
      <c r="HX49" s="440"/>
      <c r="HY49" s="440"/>
      <c r="HZ49" s="440"/>
      <c r="IA49" s="440"/>
      <c r="IB49" s="440"/>
      <c r="IC49" s="440"/>
      <c r="ID49" s="440"/>
      <c r="IE49" s="440"/>
      <c r="IF49" s="440"/>
      <c r="IG49" s="440"/>
      <c r="IH49" s="440"/>
      <c r="II49" s="440"/>
      <c r="IJ49" s="440"/>
      <c r="IK49" s="440"/>
      <c r="IL49" s="440"/>
      <c r="IM49" s="440"/>
      <c r="IN49" s="440"/>
      <c r="IO49" s="440"/>
      <c r="IP49" s="440"/>
      <c r="IQ49" s="440"/>
      <c r="IR49" s="440"/>
      <c r="IS49" s="440"/>
      <c r="IT49" s="440"/>
      <c r="IU49" s="440"/>
      <c r="IW49" s="440"/>
      <c r="IX49" s="440"/>
      <c r="IY49" s="440"/>
      <c r="IZ49" s="440"/>
      <c r="JA49" s="440"/>
      <c r="JB49" s="440"/>
      <c r="JC49" s="440"/>
      <c r="JD49" s="440"/>
      <c r="JE49" s="440"/>
      <c r="JF49" s="440"/>
      <c r="JG49" s="440"/>
      <c r="JH49" s="440"/>
      <c r="JI49" s="440"/>
      <c r="JJ49" s="440"/>
      <c r="JK49" s="440"/>
      <c r="JL49" s="440"/>
      <c r="JM49" s="440"/>
      <c r="JN49" s="440"/>
      <c r="JO49" s="440"/>
      <c r="JP49" s="440"/>
      <c r="JQ49" s="440"/>
      <c r="JR49" s="440"/>
      <c r="JS49" s="440"/>
      <c r="JT49" s="440"/>
      <c r="JU49" s="440"/>
      <c r="JV49" s="440"/>
      <c r="JW49" s="440"/>
      <c r="JX49" s="440"/>
      <c r="JY49" s="440"/>
      <c r="JZ49" s="440"/>
      <c r="KA49" s="440"/>
      <c r="KB49" s="440"/>
      <c r="KC49" s="440"/>
      <c r="KD49" s="440"/>
      <c r="KE49" s="440"/>
      <c r="KF49" s="440"/>
      <c r="KG49" s="440"/>
      <c r="KH49" s="440"/>
      <c r="KI49" s="440"/>
      <c r="KJ49" s="440"/>
      <c r="KK49" s="440"/>
      <c r="KL49" s="440"/>
      <c r="KM49" s="440"/>
      <c r="KN49" s="440"/>
      <c r="KO49" s="440"/>
      <c r="KP49" s="440"/>
      <c r="KQ49" s="440"/>
      <c r="KR49" s="440"/>
      <c r="KS49" s="440"/>
      <c r="KT49" s="440"/>
      <c r="KU49" s="440"/>
      <c r="KV49" s="440"/>
      <c r="KW49" s="440"/>
      <c r="KX49" s="440"/>
      <c r="KY49" s="440"/>
      <c r="KZ49" s="440"/>
      <c r="LA49" s="440"/>
      <c r="LB49" s="440"/>
      <c r="LC49" s="440"/>
      <c r="LD49" s="440"/>
      <c r="LE49" s="440"/>
      <c r="LF49" s="440"/>
      <c r="LG49" s="440"/>
      <c r="LH49" s="440"/>
      <c r="LI49" s="440"/>
      <c r="LJ49" s="440"/>
      <c r="LK49" s="440"/>
      <c r="LL49" s="440"/>
      <c r="LM49" s="440"/>
      <c r="LN49" s="440"/>
      <c r="LO49" s="440"/>
      <c r="LP49" s="440"/>
      <c r="LQ49" s="440"/>
      <c r="LR49" s="440"/>
      <c r="LS49" s="440"/>
      <c r="LT49" s="440"/>
      <c r="LU49" s="440"/>
      <c r="LV49" s="440"/>
      <c r="LW49" s="440"/>
      <c r="LX49" s="440"/>
      <c r="LY49" s="440"/>
      <c r="LZ49" s="440"/>
      <c r="MA49" s="440"/>
      <c r="MB49" s="440"/>
      <c r="MC49" s="440"/>
      <c r="MD49" s="440"/>
      <c r="ME49" s="440"/>
      <c r="MF49" s="440"/>
      <c r="MG49" s="440"/>
      <c r="MH49" s="440"/>
      <c r="MI49" s="440"/>
      <c r="MJ49" s="440"/>
      <c r="MK49" s="440"/>
      <c r="ML49" s="440"/>
      <c r="MM49" s="440"/>
      <c r="MN49" s="440"/>
      <c r="MO49" s="440"/>
      <c r="MP49" s="440"/>
      <c r="MQ49" s="440"/>
      <c r="MR49" s="440"/>
      <c r="MS49" s="440"/>
      <c r="MT49" s="440"/>
      <c r="MU49" s="440"/>
      <c r="MV49" s="440"/>
      <c r="MW49" s="440"/>
      <c r="MX49" s="440"/>
      <c r="MY49" s="440"/>
      <c r="MZ49" s="440"/>
      <c r="NA49" s="440"/>
      <c r="NB49" s="440"/>
      <c r="NC49" s="440"/>
      <c r="ND49" s="440"/>
      <c r="NE49" s="440"/>
      <c r="NF49" s="440"/>
      <c r="NG49" s="440"/>
      <c r="NH49" s="440"/>
      <c r="NI49" s="440"/>
      <c r="NJ49" s="440"/>
      <c r="NK49" s="440"/>
      <c r="NL49" s="440"/>
      <c r="NM49" s="440"/>
      <c r="NN49" s="440"/>
      <c r="NO49" s="440"/>
      <c r="NP49" s="440"/>
      <c r="NQ49" s="440"/>
      <c r="NR49" s="440"/>
      <c r="NS49" s="440"/>
      <c r="NT49" s="440"/>
      <c r="NU49" s="440"/>
      <c r="NV49" s="440"/>
      <c r="NW49" s="440"/>
      <c r="NX49" s="440"/>
      <c r="NY49" s="440"/>
      <c r="NZ49" s="440"/>
      <c r="OA49" s="440"/>
      <c r="OB49" s="440"/>
      <c r="OC49" s="440"/>
      <c r="OD49" s="440"/>
      <c r="OE49" s="440"/>
      <c r="OF49" s="440"/>
      <c r="OG49" s="440"/>
      <c r="OH49" s="440"/>
      <c r="OI49" s="440"/>
      <c r="OJ49" s="440"/>
      <c r="OK49" s="440"/>
      <c r="OL49" s="440"/>
      <c r="OM49" s="440"/>
      <c r="ON49" s="440"/>
      <c r="OO49" s="440"/>
      <c r="OP49" s="440"/>
      <c r="OQ49" s="440"/>
      <c r="OR49" s="440"/>
      <c r="OS49" s="440"/>
      <c r="OT49" s="440"/>
      <c r="OU49" s="440"/>
      <c r="OV49" s="440"/>
      <c r="OW49" s="440"/>
      <c r="OX49" s="440"/>
      <c r="OY49" s="440"/>
      <c r="OZ49" s="440"/>
      <c r="PA49" s="440"/>
      <c r="PB49" s="440"/>
      <c r="PC49" s="440"/>
      <c r="PD49" s="440"/>
      <c r="PE49" s="440"/>
      <c r="PF49" s="440"/>
      <c r="PG49" s="440"/>
      <c r="PH49" s="440"/>
      <c r="PI49" s="440"/>
      <c r="PJ49" s="440"/>
      <c r="PK49" s="440"/>
      <c r="PL49" s="440"/>
      <c r="PM49" s="440"/>
      <c r="PN49" s="440"/>
      <c r="PO49" s="440"/>
      <c r="PP49" s="440"/>
      <c r="PQ49" s="440"/>
      <c r="PR49" s="440"/>
      <c r="PS49" s="440"/>
      <c r="PT49" s="440"/>
      <c r="PU49" s="440"/>
      <c r="PV49" s="440"/>
      <c r="PW49" s="440"/>
      <c r="PX49" s="440"/>
      <c r="PY49" s="440"/>
      <c r="PZ49" s="440"/>
      <c r="QA49" s="440"/>
      <c r="QB49" s="440"/>
      <c r="QC49" s="440"/>
      <c r="QD49" s="440"/>
      <c r="QE49" s="440"/>
      <c r="QF49" s="440"/>
      <c r="QG49" s="440"/>
      <c r="QH49" s="440"/>
      <c r="QI49" s="440"/>
      <c r="QJ49" s="440"/>
      <c r="QK49" s="440"/>
      <c r="QL49" s="440"/>
      <c r="QM49" s="440"/>
      <c r="QN49" s="440"/>
      <c r="QO49" s="440"/>
      <c r="QP49" s="440"/>
      <c r="QQ49" s="440"/>
      <c r="QR49" s="440"/>
      <c r="QS49" s="440"/>
      <c r="QT49" s="440"/>
      <c r="QU49" s="440"/>
      <c r="QV49" s="440"/>
      <c r="QW49" s="440"/>
      <c r="QX49" s="440"/>
      <c r="QY49" s="440"/>
      <c r="QZ49" s="440"/>
      <c r="RA49" s="440"/>
      <c r="RB49" s="440"/>
      <c r="RC49" s="440"/>
      <c r="RD49" s="440"/>
      <c r="RE49" s="440"/>
      <c r="RF49" s="440"/>
      <c r="RG49" s="440"/>
      <c r="RH49" s="440"/>
      <c r="RI49" s="440"/>
      <c r="RJ49" s="440"/>
      <c r="RK49" s="440"/>
      <c r="RL49" s="440"/>
      <c r="RM49" s="440"/>
      <c r="RN49" s="440"/>
      <c r="RO49" s="440"/>
      <c r="RP49" s="440"/>
      <c r="RQ49" s="440"/>
      <c r="RR49" s="440"/>
      <c r="RS49" s="440"/>
      <c r="RT49" s="440"/>
      <c r="RU49" s="440"/>
      <c r="RV49" s="440"/>
      <c r="RW49" s="440"/>
      <c r="RX49" s="440"/>
      <c r="RY49" s="440"/>
      <c r="RZ49" s="440"/>
      <c r="SA49" s="440"/>
      <c r="SB49" s="440"/>
      <c r="SC49" s="440"/>
      <c r="SD49" s="440"/>
      <c r="SE49" s="440"/>
      <c r="SF49" s="440"/>
      <c r="SG49" s="440"/>
      <c r="SH49" s="440"/>
      <c r="SI49" s="440"/>
      <c r="SJ49" s="440"/>
      <c r="SK49" s="440"/>
      <c r="SL49" s="440"/>
      <c r="SM49" s="440"/>
      <c r="SN49" s="440"/>
      <c r="SO49" s="440"/>
      <c r="SP49" s="440"/>
      <c r="SQ49" s="440"/>
      <c r="SS49" s="440"/>
      <c r="ST49" s="440"/>
      <c r="SU49" s="440"/>
      <c r="SV49" s="440"/>
      <c r="SW49" s="440"/>
      <c r="SX49" s="440"/>
      <c r="SY49" s="440"/>
      <c r="SZ49" s="440"/>
      <c r="TA49" s="440"/>
      <c r="TB49" s="440"/>
      <c r="TC49" s="440"/>
      <c r="TD49" s="440"/>
      <c r="TE49" s="440"/>
      <c r="TF49" s="440"/>
      <c r="TG49" s="440"/>
      <c r="TH49" s="440"/>
      <c r="TI49" s="440"/>
      <c r="TJ49" s="440"/>
      <c r="TK49" s="440"/>
      <c r="TL49" s="440"/>
      <c r="TM49" s="440"/>
      <c r="TN49" s="440"/>
      <c r="TO49" s="440"/>
      <c r="TP49" s="440"/>
      <c r="TQ49" s="440"/>
      <c r="TR49" s="440"/>
      <c r="TS49" s="440"/>
      <c r="TT49" s="440"/>
      <c r="TU49" s="440"/>
      <c r="TV49" s="440"/>
      <c r="TW49" s="440"/>
      <c r="TX49" s="440"/>
      <c r="TY49" s="440"/>
      <c r="TZ49" s="440"/>
      <c r="UA49" s="440"/>
      <c r="UB49" s="440"/>
      <c r="UC49" s="440"/>
      <c r="UD49" s="440"/>
      <c r="UE49" s="440"/>
      <c r="UF49" s="440"/>
      <c r="UG49" s="440"/>
      <c r="UH49" s="440"/>
      <c r="UI49" s="440"/>
      <c r="UJ49" s="440"/>
      <c r="UK49" s="440"/>
      <c r="UL49" s="440"/>
      <c r="UM49" s="440"/>
      <c r="UN49" s="440"/>
      <c r="UO49" s="440"/>
      <c r="UP49" s="440"/>
      <c r="UQ49" s="440"/>
      <c r="UR49" s="440"/>
      <c r="US49" s="440"/>
      <c r="UT49" s="440"/>
      <c r="UU49" s="440"/>
      <c r="UV49" s="440"/>
      <c r="UW49" s="440"/>
      <c r="UX49" s="440"/>
      <c r="UY49" s="440"/>
      <c r="UZ49" s="440"/>
      <c r="VA49" s="440"/>
      <c r="VB49" s="440"/>
      <c r="VC49" s="440"/>
      <c r="VD49" s="440"/>
      <c r="VE49" s="440"/>
      <c r="VF49" s="440"/>
      <c r="VG49" s="440"/>
      <c r="VH49" s="440"/>
      <c r="VI49" s="440"/>
      <c r="VJ49" s="440"/>
      <c r="VK49" s="440"/>
      <c r="VL49" s="440"/>
      <c r="VM49" s="440"/>
      <c r="VN49" s="440"/>
      <c r="VO49" s="440"/>
      <c r="VP49" s="440"/>
      <c r="VQ49" s="440"/>
      <c r="VR49" s="440"/>
      <c r="VS49" s="440"/>
      <c r="VT49" s="440"/>
      <c r="VU49" s="440"/>
      <c r="VV49" s="440"/>
      <c r="VW49" s="440"/>
      <c r="VX49" s="440"/>
      <c r="VY49" s="440"/>
      <c r="VZ49" s="440"/>
      <c r="WA49" s="440"/>
      <c r="WB49" s="440"/>
      <c r="WC49" s="440"/>
      <c r="WD49" s="440"/>
      <c r="WE49" s="440"/>
      <c r="WF49" s="440"/>
      <c r="WG49" s="440"/>
      <c r="WH49" s="440"/>
      <c r="WI49" s="440"/>
      <c r="WJ49" s="440"/>
      <c r="WK49" s="440"/>
      <c r="WL49" s="440"/>
      <c r="WM49" s="440"/>
      <c r="WN49" s="440"/>
      <c r="WO49" s="440"/>
      <c r="WP49" s="440"/>
      <c r="WQ49" s="440"/>
      <c r="WR49" s="440"/>
      <c r="WS49" s="440"/>
      <c r="WT49" s="440"/>
      <c r="WU49" s="440"/>
      <c r="WV49" s="440"/>
      <c r="WW49" s="440"/>
      <c r="WX49" s="440"/>
      <c r="WY49" s="440"/>
      <c r="WZ49" s="440"/>
      <c r="XA49" s="440"/>
      <c r="XB49" s="440"/>
      <c r="XC49" s="440"/>
      <c r="XD49" s="440"/>
      <c r="XE49" s="440"/>
      <c r="XF49" s="440"/>
      <c r="XG49" s="440"/>
      <c r="XH49" s="440"/>
      <c r="XI49" s="440"/>
      <c r="XJ49" s="440"/>
      <c r="XK49" s="440"/>
      <c r="XL49" s="440"/>
      <c r="XM49" s="440"/>
      <c r="XN49" s="440"/>
      <c r="XO49" s="440"/>
      <c r="XP49" s="440"/>
      <c r="XQ49" s="440"/>
      <c r="XR49" s="440"/>
      <c r="XS49" s="440"/>
      <c r="XT49" s="440"/>
      <c r="XU49" s="440"/>
      <c r="XV49" s="440"/>
      <c r="XW49" s="440"/>
      <c r="XX49" s="440"/>
      <c r="XY49" s="440"/>
      <c r="XZ49" s="440"/>
      <c r="YA49" s="440"/>
      <c r="YB49" s="440"/>
      <c r="YC49" s="440"/>
      <c r="YD49" s="440"/>
      <c r="YE49" s="440"/>
      <c r="YF49" s="440"/>
      <c r="YG49" s="440"/>
      <c r="YH49" s="440"/>
      <c r="YI49" s="440"/>
      <c r="YJ49" s="440"/>
      <c r="YK49" s="440"/>
      <c r="YL49" s="440"/>
      <c r="YM49" s="440"/>
      <c r="YN49" s="440"/>
      <c r="YO49" s="440"/>
      <c r="YP49" s="440"/>
      <c r="YQ49" s="440"/>
      <c r="YR49" s="440"/>
      <c r="YS49" s="440"/>
      <c r="YT49" s="440"/>
      <c r="YU49" s="440"/>
      <c r="YV49" s="440"/>
      <c r="YW49" s="440"/>
      <c r="YX49" s="440"/>
      <c r="YY49" s="440"/>
      <c r="YZ49" s="440"/>
      <c r="ZA49" s="440"/>
      <c r="ZB49" s="440"/>
      <c r="ZC49" s="440"/>
      <c r="ZD49" s="440"/>
      <c r="ZE49" s="440"/>
      <c r="ZF49" s="440"/>
      <c r="ZG49" s="440"/>
      <c r="ZH49" s="440"/>
      <c r="ZI49" s="440"/>
      <c r="ZJ49" s="440"/>
      <c r="ZK49" s="440"/>
      <c r="ZL49" s="440"/>
      <c r="ZM49" s="440"/>
      <c r="ZN49" s="440"/>
      <c r="ZO49" s="440"/>
      <c r="ZP49" s="440"/>
      <c r="ZQ49" s="440"/>
      <c r="ZR49" s="440"/>
      <c r="ZS49" s="440"/>
      <c r="ZT49" s="440"/>
      <c r="ZU49" s="440"/>
      <c r="ZV49" s="440"/>
      <c r="ZW49" s="440"/>
      <c r="ZX49" s="440"/>
      <c r="ZY49" s="440"/>
      <c r="ZZ49" s="440"/>
      <c r="AAA49" s="440"/>
      <c r="AAB49" s="440"/>
      <c r="AAC49" s="440"/>
      <c r="AAD49" s="440"/>
      <c r="AAE49" s="440"/>
      <c r="AAF49" s="440"/>
      <c r="AAG49" s="440"/>
      <c r="AAH49" s="440"/>
      <c r="AAI49" s="440"/>
      <c r="AAJ49" s="440"/>
      <c r="AAK49" s="440"/>
      <c r="AAL49" s="440"/>
      <c r="AAM49" s="440"/>
      <c r="AAN49" s="440"/>
      <c r="AAO49" s="440"/>
      <c r="AAP49" s="440"/>
      <c r="AAQ49" s="440"/>
      <c r="AAR49" s="440"/>
      <c r="AAS49" s="440"/>
      <c r="AAT49" s="440"/>
      <c r="AAU49" s="440"/>
      <c r="AAV49" s="440"/>
      <c r="AAW49" s="440"/>
      <c r="AAX49" s="440"/>
      <c r="AAY49" s="440"/>
      <c r="AAZ49" s="440"/>
      <c r="ABA49" s="440"/>
      <c r="ABB49" s="440"/>
      <c r="ABC49" s="440"/>
      <c r="ABD49" s="440"/>
      <c r="ABE49" s="440"/>
      <c r="ABF49" s="440"/>
      <c r="ABG49" s="440"/>
      <c r="ABH49" s="440"/>
      <c r="ABI49" s="440"/>
      <c r="ABJ49" s="440"/>
      <c r="ABK49" s="440"/>
      <c r="ABL49" s="440"/>
      <c r="ABM49" s="440"/>
      <c r="ABN49" s="440"/>
      <c r="ABO49" s="440"/>
      <c r="ABP49" s="440"/>
      <c r="ABQ49" s="440"/>
      <c r="ABR49" s="440"/>
      <c r="ABS49" s="440"/>
      <c r="ABT49" s="440"/>
      <c r="ABU49" s="440"/>
      <c r="ABV49" s="440"/>
      <c r="ABW49" s="440"/>
      <c r="ABX49" s="440"/>
      <c r="ABY49" s="440"/>
      <c r="ABZ49" s="440"/>
      <c r="ACA49" s="440"/>
      <c r="ACB49" s="440"/>
      <c r="ACC49" s="440"/>
      <c r="ACD49" s="440"/>
      <c r="ACE49" s="440"/>
      <c r="ACF49" s="440"/>
      <c r="ACG49" s="440"/>
      <c r="ACH49" s="440"/>
      <c r="ACI49" s="440"/>
      <c r="ACJ49" s="440"/>
      <c r="ACK49" s="440"/>
      <c r="ACL49" s="440"/>
      <c r="ACM49" s="440"/>
      <c r="ACO49" s="440"/>
      <c r="ACP49" s="440"/>
      <c r="ACQ49" s="440"/>
      <c r="ACR49" s="440"/>
      <c r="ACS49" s="440"/>
      <c r="ACT49" s="440"/>
      <c r="ACU49" s="440"/>
      <c r="ACV49" s="440"/>
      <c r="ACW49" s="440"/>
      <c r="ACX49" s="440"/>
      <c r="ACY49" s="440"/>
      <c r="ACZ49" s="440"/>
      <c r="ADA49" s="440"/>
      <c r="ADB49" s="440"/>
      <c r="ADC49" s="440"/>
      <c r="ADD49" s="440"/>
      <c r="ADE49" s="440"/>
      <c r="ADF49" s="440"/>
      <c r="ADG49" s="440"/>
      <c r="ADH49" s="440"/>
      <c r="ADI49" s="440"/>
      <c r="ADJ49" s="440"/>
      <c r="ADK49" s="440"/>
      <c r="ADL49" s="440"/>
      <c r="ADM49" s="440"/>
      <c r="ADN49" s="440"/>
      <c r="ADO49" s="440"/>
      <c r="ADP49" s="440"/>
      <c r="ADQ49" s="440"/>
      <c r="ADR49" s="440"/>
      <c r="ADS49" s="440"/>
      <c r="ADT49" s="440"/>
      <c r="ADU49" s="440"/>
      <c r="ADV49" s="440"/>
      <c r="ADW49" s="440"/>
      <c r="ADX49" s="440"/>
      <c r="ADY49" s="440"/>
      <c r="ADZ49" s="440"/>
      <c r="AEA49" s="440"/>
      <c r="AEB49" s="440"/>
      <c r="AEC49" s="440"/>
      <c r="AED49" s="440"/>
      <c r="AEE49" s="440"/>
      <c r="AEF49" s="440"/>
      <c r="AEG49" s="440"/>
      <c r="AEH49" s="440"/>
      <c r="AEI49" s="440"/>
      <c r="AEJ49" s="440"/>
      <c r="AEK49" s="440"/>
      <c r="AEL49" s="440"/>
      <c r="AEM49" s="440"/>
      <c r="AEN49" s="440"/>
      <c r="AEO49" s="440"/>
      <c r="AEP49" s="440"/>
      <c r="AEQ49" s="440"/>
      <c r="AER49" s="440"/>
      <c r="AES49" s="440"/>
      <c r="AET49" s="440"/>
      <c r="AEU49" s="440"/>
      <c r="AEV49" s="440"/>
      <c r="AEW49" s="440"/>
      <c r="AEX49" s="440"/>
      <c r="AEY49" s="440"/>
      <c r="AEZ49" s="440"/>
      <c r="AFA49" s="440"/>
      <c r="AFB49" s="440"/>
      <c r="AFC49" s="440"/>
      <c r="AFD49" s="440"/>
      <c r="AFE49" s="440"/>
      <c r="AFF49" s="440"/>
      <c r="AFG49" s="440"/>
      <c r="AFH49" s="440"/>
      <c r="AFI49" s="440"/>
      <c r="AFJ49" s="440"/>
      <c r="AFK49" s="440"/>
      <c r="AFL49" s="440"/>
      <c r="AFM49" s="440"/>
      <c r="AFN49" s="440"/>
      <c r="AFO49" s="440"/>
      <c r="AFP49" s="440"/>
      <c r="AFQ49" s="440"/>
      <c r="AFR49" s="440"/>
      <c r="AFS49" s="440"/>
      <c r="AFT49" s="440"/>
      <c r="AFU49" s="440"/>
      <c r="AFV49" s="440"/>
      <c r="AFW49" s="440"/>
      <c r="AFX49" s="440"/>
      <c r="AFY49" s="440"/>
      <c r="AFZ49" s="440"/>
      <c r="AGA49" s="440"/>
      <c r="AGB49" s="440"/>
      <c r="AGC49" s="440"/>
      <c r="AGD49" s="440"/>
      <c r="AGE49" s="440"/>
      <c r="AGF49" s="440"/>
      <c r="AGG49" s="440"/>
      <c r="AGH49" s="440"/>
      <c r="AGI49" s="440"/>
      <c r="AGJ49" s="440"/>
      <c r="AGK49" s="440"/>
      <c r="AGL49" s="440"/>
      <c r="AGM49" s="440"/>
      <c r="AGN49" s="440"/>
      <c r="AGO49" s="440"/>
      <c r="AGP49" s="440"/>
      <c r="AGQ49" s="440"/>
      <c r="AGR49" s="440"/>
      <c r="AGS49" s="440"/>
      <c r="AGT49" s="440"/>
      <c r="AGU49" s="440"/>
      <c r="AGV49" s="440"/>
      <c r="AGW49" s="440"/>
      <c r="AGX49" s="440"/>
      <c r="AGY49" s="440"/>
      <c r="AGZ49" s="440"/>
      <c r="AHA49" s="440"/>
      <c r="AHB49" s="440"/>
      <c r="AHC49" s="440"/>
      <c r="AHD49" s="440"/>
      <c r="AHE49" s="440"/>
      <c r="AHF49" s="440"/>
      <c r="AHG49" s="440"/>
      <c r="AHH49" s="440"/>
      <c r="AHI49" s="440"/>
      <c r="AHJ49" s="440"/>
      <c r="AHK49" s="440"/>
      <c r="AHL49" s="440"/>
      <c r="AHM49" s="440"/>
      <c r="AHN49" s="440"/>
      <c r="AHO49" s="440"/>
      <c r="AHP49" s="440"/>
      <c r="AHQ49" s="440"/>
      <c r="AHR49" s="440"/>
      <c r="AHS49" s="440"/>
      <c r="AHT49" s="440"/>
      <c r="AHU49" s="440"/>
      <c r="AHV49" s="440"/>
      <c r="AHW49" s="440"/>
      <c r="AHX49" s="440"/>
      <c r="AHY49" s="440"/>
      <c r="AHZ49" s="440"/>
      <c r="AIA49" s="440"/>
      <c r="AIB49" s="440"/>
      <c r="AIC49" s="440"/>
      <c r="AID49" s="440"/>
      <c r="AIE49" s="440"/>
      <c r="AIF49" s="440"/>
      <c r="AIG49" s="440"/>
      <c r="AIH49" s="440"/>
      <c r="AII49" s="440"/>
      <c r="AIJ49" s="440"/>
      <c r="AIK49" s="440"/>
      <c r="AIL49" s="440"/>
      <c r="AIM49" s="440"/>
      <c r="AIN49" s="440"/>
      <c r="AIO49" s="440"/>
      <c r="AIP49" s="440"/>
      <c r="AIQ49" s="440"/>
      <c r="AIR49" s="440"/>
      <c r="AIS49" s="440"/>
      <c r="AIT49" s="440"/>
      <c r="AIU49" s="440"/>
      <c r="AIV49" s="440"/>
      <c r="AIW49" s="440"/>
      <c r="AIX49" s="440"/>
      <c r="AIY49" s="440"/>
      <c r="AIZ49" s="440"/>
      <c r="AJA49" s="440"/>
      <c r="AJB49" s="440"/>
      <c r="AJC49" s="440"/>
      <c r="AJD49" s="440"/>
      <c r="AJE49" s="440"/>
      <c r="AJF49" s="440"/>
      <c r="AJG49" s="440"/>
      <c r="AJH49" s="440"/>
      <c r="AJI49" s="440"/>
      <c r="AJJ49" s="440"/>
      <c r="AJK49" s="440"/>
      <c r="AJL49" s="440"/>
      <c r="AJM49" s="440"/>
      <c r="AJN49" s="440"/>
      <c r="AJO49" s="440"/>
      <c r="AJP49" s="440"/>
      <c r="AJQ49" s="440"/>
      <c r="AJR49" s="440"/>
      <c r="AJS49" s="440"/>
      <c r="AJT49" s="440"/>
      <c r="AJU49" s="440"/>
      <c r="AJV49" s="440"/>
      <c r="AJW49" s="440"/>
      <c r="AJX49" s="440"/>
      <c r="AJY49" s="440"/>
      <c r="AJZ49" s="440"/>
      <c r="AKA49" s="440"/>
      <c r="AKB49" s="440"/>
      <c r="AKC49" s="440"/>
      <c r="AKD49" s="440"/>
      <c r="AKE49" s="440"/>
      <c r="AKF49" s="440"/>
      <c r="AKG49" s="440"/>
      <c r="AKH49" s="440"/>
      <c r="AKI49" s="440"/>
      <c r="AKJ49" s="440"/>
      <c r="AKK49" s="440"/>
      <c r="AKL49" s="440"/>
      <c r="AKM49" s="440"/>
      <c r="AKN49" s="440"/>
      <c r="AKO49" s="440"/>
      <c r="AKP49" s="440"/>
      <c r="AKQ49" s="440"/>
      <c r="AKR49" s="440"/>
      <c r="AKS49" s="440"/>
      <c r="AKT49" s="440"/>
      <c r="AKU49" s="440"/>
      <c r="AKV49" s="440"/>
      <c r="AKW49" s="440"/>
      <c r="AKX49" s="440"/>
      <c r="AKY49" s="440"/>
      <c r="AKZ49" s="440"/>
      <c r="ALA49" s="440"/>
      <c r="ALB49" s="440"/>
      <c r="ALC49" s="440"/>
      <c r="ALD49" s="440"/>
      <c r="ALE49" s="440"/>
      <c r="ALF49" s="440"/>
      <c r="ALG49" s="440"/>
      <c r="ALH49" s="440"/>
      <c r="ALI49" s="440"/>
      <c r="ALJ49" s="440"/>
      <c r="ALK49" s="440"/>
      <c r="ALL49" s="440"/>
      <c r="ALM49" s="440"/>
      <c r="ALN49" s="440"/>
      <c r="ALO49" s="440"/>
      <c r="ALP49" s="440"/>
      <c r="ALQ49" s="440"/>
      <c r="ALR49" s="440"/>
      <c r="ALS49" s="440"/>
      <c r="ALT49" s="440"/>
      <c r="ALU49" s="440"/>
      <c r="ALV49" s="440"/>
      <c r="ALW49" s="440"/>
      <c r="ALX49" s="440"/>
      <c r="ALY49" s="440"/>
      <c r="ALZ49" s="440"/>
      <c r="AMA49" s="440"/>
      <c r="AMB49" s="440"/>
      <c r="AMC49" s="440"/>
      <c r="AMD49" s="440"/>
      <c r="AME49" s="440"/>
      <c r="AMF49" s="440"/>
      <c r="AMG49" s="440"/>
      <c r="AMH49" s="440"/>
      <c r="AMI49" s="440"/>
      <c r="AMK49" s="440"/>
      <c r="AML49" s="440"/>
      <c r="AMM49" s="440"/>
      <c r="AMN49" s="440"/>
      <c r="AMO49" s="440"/>
      <c r="AMP49" s="440"/>
      <c r="AMQ49" s="440"/>
      <c r="AMR49" s="440"/>
      <c r="AMS49" s="440"/>
      <c r="AMT49" s="440"/>
      <c r="AMU49" s="440"/>
      <c r="AMV49" s="440"/>
      <c r="AMW49" s="440"/>
      <c r="AMX49" s="440"/>
      <c r="AMY49" s="440"/>
      <c r="AMZ49" s="440"/>
      <c r="ANA49" s="440"/>
      <c r="ANB49" s="440"/>
      <c r="ANC49" s="440"/>
      <c r="AND49" s="440"/>
      <c r="ANE49" s="440"/>
      <c r="ANF49" s="440"/>
      <c r="ANG49" s="440"/>
      <c r="ANH49" s="440"/>
      <c r="ANI49" s="440"/>
      <c r="ANJ49" s="440"/>
      <c r="ANK49" s="440"/>
      <c r="ANL49" s="440"/>
      <c r="ANM49" s="440"/>
      <c r="ANN49" s="440"/>
      <c r="ANO49" s="440"/>
      <c r="ANP49" s="440"/>
      <c r="ANQ49" s="440"/>
      <c r="ANR49" s="440"/>
      <c r="ANS49" s="440"/>
      <c r="ANT49" s="440"/>
      <c r="ANU49" s="440"/>
      <c r="ANV49" s="440"/>
      <c r="ANW49" s="440"/>
      <c r="ANX49" s="440"/>
      <c r="ANY49" s="440"/>
      <c r="ANZ49" s="440"/>
      <c r="AOA49" s="440"/>
      <c r="AOB49" s="440"/>
      <c r="AOC49" s="440"/>
      <c r="AOD49" s="440"/>
      <c r="AOE49" s="440"/>
      <c r="AOF49" s="440"/>
      <c r="AOG49" s="440"/>
      <c r="AOH49" s="440"/>
      <c r="AOI49" s="440"/>
      <c r="AOJ49" s="440"/>
      <c r="AOK49" s="440"/>
      <c r="AOL49" s="440"/>
      <c r="AOM49" s="440"/>
      <c r="AON49" s="440"/>
      <c r="AOO49" s="440"/>
      <c r="AOP49" s="440"/>
      <c r="AOQ49" s="440"/>
      <c r="AOR49" s="440"/>
      <c r="AOS49" s="440"/>
      <c r="AOT49" s="440"/>
      <c r="AOU49" s="440"/>
      <c r="AOV49" s="440"/>
      <c r="AOW49" s="440"/>
      <c r="AOX49" s="440"/>
      <c r="AOY49" s="440"/>
      <c r="AOZ49" s="440"/>
      <c r="APA49" s="440"/>
      <c r="APB49" s="440"/>
      <c r="APC49" s="440"/>
      <c r="APD49" s="440"/>
      <c r="APE49" s="440"/>
      <c r="APF49" s="440"/>
      <c r="APG49" s="440"/>
      <c r="APH49" s="440"/>
      <c r="API49" s="440"/>
      <c r="APJ49" s="440"/>
      <c r="APK49" s="440"/>
      <c r="APL49" s="440"/>
      <c r="APM49" s="440"/>
      <c r="APN49" s="440"/>
      <c r="APO49" s="440"/>
      <c r="APP49" s="440"/>
      <c r="APQ49" s="440"/>
      <c r="APR49" s="440"/>
      <c r="APS49" s="440"/>
      <c r="APT49" s="440"/>
      <c r="APU49" s="440"/>
      <c r="APV49" s="440"/>
      <c r="APW49" s="440"/>
      <c r="APX49" s="440"/>
      <c r="APY49" s="440"/>
      <c r="APZ49" s="440"/>
      <c r="AQA49" s="440"/>
      <c r="AQB49" s="440"/>
      <c r="AQC49" s="440"/>
      <c r="AQD49" s="440"/>
      <c r="AQE49" s="440"/>
      <c r="AQF49" s="440"/>
      <c r="AQG49" s="440"/>
      <c r="AQH49" s="440"/>
      <c r="AQI49" s="440"/>
      <c r="AQJ49" s="440"/>
      <c r="AQK49" s="440"/>
      <c r="AQL49" s="440"/>
      <c r="AQM49" s="440"/>
      <c r="AQN49" s="440"/>
      <c r="AQO49" s="440"/>
      <c r="AQP49" s="440"/>
      <c r="AQQ49" s="440"/>
      <c r="AQR49" s="440"/>
      <c r="AQS49" s="440"/>
      <c r="AQT49" s="440"/>
      <c r="AQU49" s="440"/>
      <c r="AQV49" s="440"/>
      <c r="AQW49" s="440"/>
      <c r="AQX49" s="440"/>
      <c r="AQY49" s="440"/>
      <c r="AQZ49" s="440"/>
      <c r="ARA49" s="440"/>
      <c r="ARB49" s="440"/>
      <c r="ARC49" s="440"/>
      <c r="ARD49" s="440"/>
      <c r="ARE49" s="440"/>
      <c r="ARF49" s="440"/>
      <c r="ARG49" s="440"/>
      <c r="ARH49" s="440"/>
      <c r="ARI49" s="440"/>
      <c r="ARJ49" s="440"/>
      <c r="ARK49" s="440"/>
      <c r="ARL49" s="440"/>
      <c r="ARM49" s="440"/>
      <c r="ARN49" s="440"/>
      <c r="ARO49" s="440"/>
      <c r="ARP49" s="440"/>
      <c r="ARQ49" s="440"/>
      <c r="ARR49" s="440"/>
      <c r="ARS49" s="440"/>
      <c r="ART49" s="440"/>
      <c r="ARU49" s="440"/>
      <c r="ARV49" s="440"/>
      <c r="ARW49" s="440"/>
      <c r="ARX49" s="440"/>
      <c r="ARY49" s="440"/>
      <c r="ARZ49" s="440"/>
      <c r="ASA49" s="440"/>
      <c r="ASB49" s="440"/>
      <c r="ASC49" s="440"/>
      <c r="ASD49" s="440"/>
      <c r="ASE49" s="440"/>
      <c r="ASF49" s="440"/>
      <c r="ASG49" s="440"/>
      <c r="ASH49" s="440"/>
      <c r="ASI49" s="440"/>
      <c r="ASJ49" s="440"/>
      <c r="ASK49" s="440"/>
      <c r="ASL49" s="440"/>
      <c r="ASM49" s="440"/>
      <c r="ASN49" s="440"/>
      <c r="ASO49" s="440"/>
      <c r="ASP49" s="440"/>
      <c r="ASQ49" s="440"/>
      <c r="ASR49" s="440"/>
      <c r="ASS49" s="440"/>
      <c r="AST49" s="440"/>
      <c r="ASU49" s="440"/>
      <c r="ASV49" s="440"/>
      <c r="ASW49" s="440"/>
      <c r="ASX49" s="440"/>
      <c r="ASY49" s="440"/>
      <c r="ASZ49" s="440"/>
      <c r="ATA49" s="440"/>
      <c r="ATB49" s="440"/>
      <c r="ATC49" s="440"/>
      <c r="ATD49" s="440"/>
      <c r="ATE49" s="440"/>
      <c r="ATF49" s="440"/>
      <c r="ATG49" s="440"/>
      <c r="ATH49" s="440"/>
      <c r="ATI49" s="440"/>
      <c r="ATJ49" s="440"/>
      <c r="ATK49" s="440"/>
      <c r="ATL49" s="440"/>
      <c r="ATM49" s="440"/>
      <c r="ATN49" s="440"/>
      <c r="ATO49" s="440"/>
      <c r="ATP49" s="440"/>
      <c r="ATQ49" s="440"/>
      <c r="ATR49" s="440"/>
      <c r="ATS49" s="440"/>
      <c r="ATT49" s="440"/>
      <c r="ATU49" s="440"/>
      <c r="ATV49" s="440"/>
      <c r="ATW49" s="440"/>
      <c r="ATX49" s="440"/>
      <c r="ATY49" s="440"/>
      <c r="ATZ49" s="440"/>
      <c r="AUA49" s="440"/>
      <c r="AUB49" s="440"/>
      <c r="AUC49" s="440"/>
      <c r="AUD49" s="440"/>
      <c r="AUE49" s="440"/>
      <c r="AUF49" s="440"/>
      <c r="AUG49" s="440"/>
      <c r="AUH49" s="440"/>
      <c r="AUI49" s="440"/>
      <c r="AUJ49" s="440"/>
      <c r="AUK49" s="440"/>
      <c r="AUL49" s="440"/>
      <c r="AUM49" s="440"/>
      <c r="AUN49" s="440"/>
      <c r="AUO49" s="440"/>
      <c r="AUP49" s="440"/>
      <c r="AUQ49" s="440"/>
      <c r="AUR49" s="440"/>
      <c r="AUS49" s="440"/>
      <c r="AUT49" s="440"/>
      <c r="AUU49" s="440"/>
      <c r="AUV49" s="440"/>
      <c r="AUW49" s="440"/>
      <c r="AUX49" s="440"/>
      <c r="AUY49" s="440"/>
      <c r="AUZ49" s="440"/>
      <c r="AVA49" s="440"/>
      <c r="AVB49" s="440"/>
      <c r="AVC49" s="440"/>
      <c r="AVD49" s="440"/>
      <c r="AVE49" s="440"/>
      <c r="AVF49" s="440"/>
      <c r="AVG49" s="440"/>
      <c r="AVH49" s="440"/>
      <c r="AVI49" s="440"/>
      <c r="AVJ49" s="440"/>
      <c r="AVK49" s="440"/>
      <c r="AVL49" s="440"/>
      <c r="AVM49" s="440"/>
      <c r="AVN49" s="440"/>
      <c r="AVO49" s="440"/>
      <c r="AVP49" s="440"/>
      <c r="AVQ49" s="440"/>
      <c r="AVR49" s="440"/>
      <c r="AVS49" s="440"/>
      <c r="AVT49" s="440"/>
      <c r="AVU49" s="440"/>
      <c r="AVV49" s="440"/>
      <c r="AVW49" s="440"/>
      <c r="AVX49" s="440"/>
      <c r="AVY49" s="440"/>
      <c r="AVZ49" s="440"/>
      <c r="AWA49" s="440"/>
      <c r="AWB49" s="440"/>
      <c r="AWC49" s="440"/>
      <c r="AWD49" s="440"/>
      <c r="AWE49" s="440"/>
      <c r="AWG49" s="440"/>
      <c r="AWH49" s="440"/>
      <c r="AWI49" s="440"/>
      <c r="AWJ49" s="440"/>
      <c r="AWK49" s="440"/>
      <c r="AWL49" s="440"/>
      <c r="AWM49" s="440"/>
      <c r="AWN49" s="440"/>
      <c r="AWO49" s="440"/>
      <c r="AWP49" s="440"/>
      <c r="AWQ49" s="440"/>
      <c r="AWR49" s="440"/>
      <c r="AWS49" s="440"/>
      <c r="AWT49" s="440"/>
      <c r="AWU49" s="440"/>
      <c r="AWV49" s="440"/>
      <c r="AWW49" s="440"/>
      <c r="AWX49" s="440"/>
      <c r="AWY49" s="440"/>
      <c r="AWZ49" s="440"/>
      <c r="AXA49" s="440"/>
      <c r="AXB49" s="440"/>
      <c r="AXC49" s="440"/>
      <c r="AXD49" s="440"/>
      <c r="AXE49" s="440"/>
      <c r="AXF49" s="440"/>
      <c r="AXG49" s="440"/>
      <c r="AXH49" s="440"/>
      <c r="AXI49" s="440"/>
      <c r="AXJ49" s="440"/>
      <c r="AXK49" s="440"/>
      <c r="AXL49" s="440"/>
      <c r="AXM49" s="440"/>
      <c r="AXN49" s="440"/>
      <c r="AXO49" s="440"/>
      <c r="AXP49" s="440"/>
      <c r="AXQ49" s="440"/>
      <c r="AXR49" s="440"/>
      <c r="AXS49" s="440"/>
      <c r="AXT49" s="440"/>
      <c r="AXU49" s="440"/>
      <c r="AXV49" s="440"/>
      <c r="AXW49" s="440"/>
      <c r="AXX49" s="440"/>
      <c r="AXY49" s="440"/>
      <c r="AXZ49" s="440"/>
      <c r="AYA49" s="440"/>
      <c r="AYB49" s="440"/>
      <c r="AYC49" s="440"/>
      <c r="AYD49" s="440"/>
      <c r="AYE49" s="440"/>
      <c r="AYF49" s="440"/>
      <c r="AYG49" s="440"/>
      <c r="AYH49" s="440"/>
      <c r="AYI49" s="440"/>
      <c r="AYJ49" s="440"/>
      <c r="AYK49" s="440"/>
      <c r="AYL49" s="440"/>
      <c r="AYM49" s="440"/>
      <c r="AYN49" s="440"/>
      <c r="AYO49" s="440"/>
      <c r="AYP49" s="440"/>
      <c r="AYQ49" s="440"/>
      <c r="AYR49" s="440"/>
      <c r="AYS49" s="440"/>
      <c r="AYT49" s="440"/>
      <c r="AYU49" s="440"/>
      <c r="AYV49" s="440"/>
      <c r="AYW49" s="440"/>
      <c r="AYX49" s="440"/>
      <c r="AYY49" s="440"/>
      <c r="AYZ49" s="440"/>
      <c r="AZA49" s="440"/>
      <c r="AZB49" s="440"/>
      <c r="AZC49" s="440"/>
      <c r="AZD49" s="440"/>
      <c r="AZE49" s="440"/>
      <c r="AZF49" s="440"/>
      <c r="AZG49" s="440"/>
      <c r="AZH49" s="440"/>
      <c r="AZI49" s="440"/>
      <c r="AZJ49" s="440"/>
      <c r="AZK49" s="440"/>
      <c r="AZL49" s="440"/>
      <c r="AZM49" s="440"/>
      <c r="AZN49" s="440"/>
      <c r="AZO49" s="440"/>
      <c r="AZP49" s="440"/>
      <c r="AZQ49" s="440"/>
      <c r="AZR49" s="440"/>
      <c r="AZS49" s="440"/>
      <c r="AZT49" s="440"/>
      <c r="AZU49" s="440"/>
      <c r="AZV49" s="440"/>
      <c r="AZW49" s="440"/>
      <c r="AZX49" s="440"/>
      <c r="AZY49" s="440"/>
      <c r="AZZ49" s="440"/>
      <c r="BAA49" s="440"/>
      <c r="BAB49" s="440"/>
      <c r="BAC49" s="440"/>
      <c r="BAD49" s="440"/>
      <c r="BAE49" s="440"/>
      <c r="BAF49" s="440"/>
      <c r="BAG49" s="440"/>
      <c r="BAH49" s="440"/>
      <c r="BAI49" s="440"/>
      <c r="BAJ49" s="440"/>
      <c r="BAK49" s="440"/>
      <c r="BAL49" s="440"/>
      <c r="BAM49" s="440"/>
      <c r="BAN49" s="440"/>
      <c r="BAO49" s="440"/>
      <c r="BAP49" s="440"/>
      <c r="BAQ49" s="440"/>
      <c r="BAR49" s="440"/>
      <c r="BAS49" s="440"/>
      <c r="BAT49" s="440"/>
      <c r="BAU49" s="440"/>
      <c r="BAV49" s="440"/>
      <c r="BAW49" s="440"/>
      <c r="BAX49" s="440"/>
      <c r="BAY49" s="440"/>
      <c r="BAZ49" s="440"/>
      <c r="BBA49" s="440"/>
      <c r="BBB49" s="440"/>
      <c r="BBC49" s="440"/>
      <c r="BBD49" s="440"/>
      <c r="BBE49" s="440"/>
      <c r="BBF49" s="440"/>
      <c r="BBG49" s="440"/>
      <c r="BBH49" s="440"/>
      <c r="BBI49" s="440"/>
      <c r="BBJ49" s="440"/>
      <c r="BBK49" s="440"/>
      <c r="BBL49" s="440"/>
      <c r="BBM49" s="440"/>
      <c r="BBN49" s="440"/>
      <c r="BBO49" s="440"/>
      <c r="BBP49" s="440"/>
      <c r="BBQ49" s="440"/>
      <c r="BBR49" s="440"/>
      <c r="BBS49" s="440"/>
      <c r="BBT49" s="440"/>
      <c r="BBU49" s="440"/>
      <c r="BBV49" s="440"/>
      <c r="BBW49" s="440"/>
      <c r="BBX49" s="440"/>
      <c r="BBY49" s="440"/>
      <c r="BBZ49" s="440"/>
      <c r="BCA49" s="440"/>
      <c r="BCB49" s="440"/>
      <c r="BCC49" s="440"/>
      <c r="BCD49" s="440"/>
      <c r="BCE49" s="440"/>
      <c r="BCF49" s="440"/>
      <c r="BCG49" s="440"/>
      <c r="BCH49" s="440"/>
      <c r="BCI49" s="440"/>
      <c r="BCJ49" s="440"/>
      <c r="BCK49" s="440"/>
      <c r="BCL49" s="440"/>
      <c r="BCM49" s="440"/>
      <c r="BCN49" s="440"/>
      <c r="BCO49" s="440"/>
      <c r="BCP49" s="440"/>
      <c r="BCQ49" s="440"/>
      <c r="BCR49" s="440"/>
      <c r="BCS49" s="440"/>
      <c r="BCT49" s="440"/>
      <c r="BCU49" s="440"/>
      <c r="BCV49" s="440"/>
      <c r="BCW49" s="440"/>
      <c r="BCX49" s="440"/>
      <c r="BCY49" s="440"/>
      <c r="BCZ49" s="440"/>
      <c r="BDA49" s="440"/>
      <c r="BDB49" s="440"/>
      <c r="BDC49" s="440"/>
      <c r="BDD49" s="440"/>
      <c r="BDE49" s="440"/>
      <c r="BDF49" s="440"/>
      <c r="BDG49" s="440"/>
      <c r="BDH49" s="440"/>
      <c r="BDI49" s="440"/>
      <c r="BDJ49" s="440"/>
      <c r="BDK49" s="440"/>
      <c r="BDL49" s="440"/>
      <c r="BDM49" s="440"/>
      <c r="BDN49" s="440"/>
      <c r="BDO49" s="440"/>
      <c r="BDP49" s="440"/>
      <c r="BDQ49" s="440"/>
      <c r="BDR49" s="440"/>
      <c r="BDS49" s="440"/>
      <c r="BDT49" s="440"/>
      <c r="BDU49" s="440"/>
      <c r="BDV49" s="440"/>
      <c r="BDW49" s="440"/>
      <c r="BDX49" s="440"/>
      <c r="BDY49" s="440"/>
      <c r="BDZ49" s="440"/>
      <c r="BEA49" s="440"/>
      <c r="BEB49" s="440"/>
      <c r="BEC49" s="440"/>
      <c r="BED49" s="440"/>
      <c r="BEE49" s="440"/>
      <c r="BEF49" s="440"/>
      <c r="BEG49" s="440"/>
      <c r="BEH49" s="440"/>
      <c r="BEI49" s="440"/>
      <c r="BEJ49" s="440"/>
      <c r="BEK49" s="440"/>
      <c r="BEL49" s="440"/>
      <c r="BEM49" s="440"/>
      <c r="BEN49" s="440"/>
      <c r="BEO49" s="440"/>
      <c r="BEP49" s="440"/>
      <c r="BEQ49" s="440"/>
      <c r="BER49" s="440"/>
      <c r="BES49" s="440"/>
      <c r="BET49" s="440"/>
      <c r="BEU49" s="440"/>
      <c r="BEV49" s="440"/>
      <c r="BEW49" s="440"/>
      <c r="BEX49" s="440"/>
      <c r="BEY49" s="440"/>
      <c r="BEZ49" s="440"/>
      <c r="BFA49" s="440"/>
      <c r="BFB49" s="440"/>
      <c r="BFC49" s="440"/>
      <c r="BFD49" s="440"/>
      <c r="BFE49" s="440"/>
      <c r="BFF49" s="440"/>
      <c r="BFG49" s="440"/>
      <c r="BFH49" s="440"/>
      <c r="BFI49" s="440"/>
      <c r="BFJ49" s="440"/>
      <c r="BFK49" s="440"/>
      <c r="BFL49" s="440"/>
      <c r="BFM49" s="440"/>
      <c r="BFN49" s="440"/>
      <c r="BFO49" s="440"/>
      <c r="BFP49" s="440"/>
      <c r="BFQ49" s="440"/>
      <c r="BFR49" s="440"/>
      <c r="BFS49" s="440"/>
      <c r="BFT49" s="440"/>
      <c r="BFU49" s="440"/>
      <c r="BFV49" s="440"/>
      <c r="BFW49" s="440"/>
      <c r="BFX49" s="440"/>
      <c r="BFY49" s="440"/>
      <c r="BFZ49" s="440"/>
      <c r="BGA49" s="440"/>
      <c r="BGC49" s="440"/>
      <c r="BGD49" s="440"/>
      <c r="BGE49" s="440"/>
      <c r="BGF49" s="440"/>
      <c r="BGG49" s="440"/>
      <c r="BGH49" s="440"/>
      <c r="BGI49" s="440"/>
      <c r="BGJ49" s="440"/>
      <c r="BGK49" s="440"/>
      <c r="BGL49" s="440"/>
      <c r="BGM49" s="440"/>
      <c r="BGN49" s="440"/>
      <c r="BGO49" s="440"/>
      <c r="BGP49" s="440"/>
      <c r="BGQ49" s="440"/>
      <c r="BGR49" s="440"/>
      <c r="BGS49" s="440"/>
      <c r="BGT49" s="440"/>
      <c r="BGU49" s="440"/>
      <c r="BGV49" s="440"/>
      <c r="BGW49" s="440"/>
      <c r="BGX49" s="440"/>
      <c r="BGY49" s="440"/>
      <c r="BGZ49" s="440"/>
      <c r="BHA49" s="440"/>
      <c r="BHB49" s="440"/>
      <c r="BHC49" s="440"/>
      <c r="BHD49" s="440"/>
      <c r="BHE49" s="440"/>
      <c r="BHF49" s="440"/>
      <c r="BHG49" s="440"/>
      <c r="BHH49" s="440"/>
      <c r="BHI49" s="440"/>
      <c r="BHJ49" s="440"/>
      <c r="BHK49" s="440"/>
      <c r="BHL49" s="440"/>
      <c r="BHM49" s="440"/>
      <c r="BHN49" s="440"/>
      <c r="BHO49" s="440"/>
      <c r="BHP49" s="440"/>
      <c r="BHQ49" s="440"/>
      <c r="BHR49" s="440"/>
      <c r="BHS49" s="440"/>
      <c r="BHT49" s="440"/>
      <c r="BHU49" s="440"/>
      <c r="BHV49" s="440"/>
      <c r="BHW49" s="440"/>
      <c r="BHX49" s="440"/>
      <c r="BHY49" s="440"/>
      <c r="BHZ49" s="440"/>
      <c r="BIA49" s="440"/>
      <c r="BIB49" s="440"/>
      <c r="BIC49" s="440"/>
      <c r="BID49" s="440"/>
      <c r="BIE49" s="440"/>
      <c r="BIF49" s="440"/>
      <c r="BIG49" s="440"/>
      <c r="BIH49" s="440"/>
      <c r="BII49" s="440"/>
      <c r="BIJ49" s="440"/>
      <c r="BIK49" s="440"/>
      <c r="BIL49" s="440"/>
      <c r="BIM49" s="440"/>
      <c r="BIN49" s="440"/>
      <c r="BIO49" s="440"/>
      <c r="BIP49" s="440"/>
      <c r="BIQ49" s="440"/>
      <c r="BIR49" s="440"/>
      <c r="BIS49" s="440"/>
      <c r="BIT49" s="440"/>
      <c r="BIU49" s="440"/>
      <c r="BIV49" s="440"/>
      <c r="BIW49" s="440"/>
      <c r="BIX49" s="440"/>
      <c r="BIY49" s="440"/>
      <c r="BIZ49" s="440"/>
      <c r="BJA49" s="440"/>
      <c r="BJB49" s="440"/>
      <c r="BJC49" s="440"/>
      <c r="BJD49" s="440"/>
      <c r="BJE49" s="440"/>
      <c r="BJF49" s="440"/>
      <c r="BJG49" s="440"/>
      <c r="BJH49" s="440"/>
      <c r="BJI49" s="440"/>
      <c r="BJJ49" s="440"/>
      <c r="BJK49" s="440"/>
      <c r="BJL49" s="440"/>
      <c r="BJM49" s="440"/>
      <c r="BJN49" s="440"/>
      <c r="BJO49" s="440"/>
      <c r="BJP49" s="440"/>
      <c r="BJQ49" s="440"/>
      <c r="BJR49" s="440"/>
      <c r="BJS49" s="440"/>
      <c r="BJT49" s="440"/>
      <c r="BJU49" s="440"/>
      <c r="BJV49" s="440"/>
      <c r="BJW49" s="440"/>
      <c r="BJX49" s="440"/>
      <c r="BJY49" s="440"/>
      <c r="BJZ49" s="440"/>
      <c r="BKA49" s="440"/>
      <c r="BKB49" s="440"/>
      <c r="BKC49" s="440"/>
      <c r="BKD49" s="440"/>
      <c r="BKE49" s="440"/>
      <c r="BKF49" s="440"/>
      <c r="BKG49" s="440"/>
      <c r="BKH49" s="440"/>
      <c r="BKI49" s="440"/>
      <c r="BKJ49" s="440"/>
      <c r="BKK49" s="440"/>
      <c r="BKL49" s="440"/>
      <c r="BKM49" s="440"/>
      <c r="BKN49" s="440"/>
      <c r="BKO49" s="440"/>
      <c r="BKP49" s="440"/>
      <c r="BKQ49" s="440"/>
      <c r="BKR49" s="440"/>
      <c r="BKS49" s="440"/>
      <c r="BKT49" s="440"/>
      <c r="BKU49" s="440"/>
      <c r="BKV49" s="440"/>
      <c r="BKW49" s="440"/>
      <c r="BKX49" s="440"/>
      <c r="BKY49" s="440"/>
      <c r="BKZ49" s="440"/>
      <c r="BLA49" s="440"/>
      <c r="BLB49" s="440"/>
      <c r="BLC49" s="440"/>
      <c r="BLD49" s="440"/>
      <c r="BLE49" s="440"/>
      <c r="BLF49" s="440"/>
      <c r="BLG49" s="440"/>
      <c r="BLH49" s="440"/>
      <c r="BLI49" s="440"/>
      <c r="BLJ49" s="440"/>
      <c r="BLK49" s="440"/>
      <c r="BLL49" s="440"/>
      <c r="BLM49" s="440"/>
      <c r="BLN49" s="440"/>
      <c r="BLO49" s="440"/>
      <c r="BLP49" s="440"/>
      <c r="BLQ49" s="440"/>
      <c r="BLR49" s="440"/>
      <c r="BLS49" s="440"/>
      <c r="BLT49" s="440"/>
      <c r="BLU49" s="440"/>
      <c r="BLV49" s="440"/>
      <c r="BLW49" s="440"/>
      <c r="BLX49" s="440"/>
      <c r="BLY49" s="440"/>
      <c r="BLZ49" s="440"/>
      <c r="BMA49" s="440"/>
      <c r="BMB49" s="440"/>
      <c r="BMC49" s="440"/>
      <c r="BMD49" s="440"/>
      <c r="BME49" s="440"/>
      <c r="BMF49" s="440"/>
      <c r="BMG49" s="440"/>
      <c r="BMH49" s="440"/>
      <c r="BMI49" s="440"/>
      <c r="BMJ49" s="440"/>
      <c r="BMK49" s="440"/>
      <c r="BML49" s="440"/>
      <c r="BMM49" s="440"/>
      <c r="BMN49" s="440"/>
      <c r="BMO49" s="440"/>
      <c r="BMP49" s="440"/>
      <c r="BMQ49" s="440"/>
      <c r="BMR49" s="440"/>
      <c r="BMS49" s="440"/>
      <c r="BMT49" s="440"/>
      <c r="BMU49" s="440"/>
      <c r="BMV49" s="440"/>
      <c r="BMW49" s="440"/>
      <c r="BMX49" s="440"/>
      <c r="BMY49" s="440"/>
      <c r="BMZ49" s="440"/>
      <c r="BNA49" s="440"/>
      <c r="BNB49" s="440"/>
      <c r="BNC49" s="440"/>
      <c r="BND49" s="440"/>
      <c r="BNE49" s="440"/>
      <c r="BNF49" s="440"/>
      <c r="BNG49" s="440"/>
      <c r="BNH49" s="440"/>
      <c r="BNI49" s="440"/>
      <c r="BNJ49" s="440"/>
      <c r="BNK49" s="440"/>
      <c r="BNL49" s="440"/>
      <c r="BNM49" s="440"/>
      <c r="BNN49" s="440"/>
      <c r="BNO49" s="440"/>
      <c r="BNP49" s="440"/>
      <c r="BNQ49" s="440"/>
      <c r="BNR49" s="440"/>
      <c r="BNS49" s="440"/>
      <c r="BNT49" s="440"/>
      <c r="BNU49" s="440"/>
      <c r="BNV49" s="440"/>
      <c r="BNW49" s="440"/>
      <c r="BNX49" s="440"/>
      <c r="BNY49" s="440"/>
      <c r="BNZ49" s="440"/>
      <c r="BOA49" s="440"/>
      <c r="BOB49" s="440"/>
      <c r="BOC49" s="440"/>
      <c r="BOD49" s="440"/>
      <c r="BOE49" s="440"/>
      <c r="BOF49" s="440"/>
      <c r="BOG49" s="440"/>
      <c r="BOH49" s="440"/>
      <c r="BOI49" s="440"/>
      <c r="BOJ49" s="440"/>
      <c r="BOK49" s="440"/>
      <c r="BOL49" s="440"/>
      <c r="BOM49" s="440"/>
      <c r="BON49" s="440"/>
      <c r="BOO49" s="440"/>
      <c r="BOP49" s="440"/>
      <c r="BOQ49" s="440"/>
      <c r="BOR49" s="440"/>
      <c r="BOS49" s="440"/>
      <c r="BOT49" s="440"/>
      <c r="BOU49" s="440"/>
      <c r="BOV49" s="440"/>
      <c r="BOW49" s="440"/>
      <c r="BOX49" s="440"/>
      <c r="BOY49" s="440"/>
      <c r="BOZ49" s="440"/>
      <c r="BPA49" s="440"/>
      <c r="BPB49" s="440"/>
      <c r="BPC49" s="440"/>
      <c r="BPD49" s="440"/>
      <c r="BPE49" s="440"/>
      <c r="BPF49" s="440"/>
      <c r="BPG49" s="440"/>
      <c r="BPH49" s="440"/>
      <c r="BPI49" s="440"/>
      <c r="BPJ49" s="440"/>
      <c r="BPK49" s="440"/>
      <c r="BPL49" s="440"/>
      <c r="BPM49" s="440"/>
      <c r="BPN49" s="440"/>
      <c r="BPO49" s="440"/>
      <c r="BPP49" s="440"/>
      <c r="BPQ49" s="440"/>
      <c r="BPR49" s="440"/>
      <c r="BPS49" s="440"/>
      <c r="BPT49" s="440"/>
      <c r="BPU49" s="440"/>
      <c r="BPV49" s="440"/>
      <c r="BPW49" s="440"/>
      <c r="BPY49" s="440"/>
      <c r="BPZ49" s="440"/>
      <c r="BQA49" s="440"/>
      <c r="BQB49" s="440"/>
      <c r="BQC49" s="440"/>
      <c r="BQD49" s="440"/>
      <c r="BQE49" s="440"/>
      <c r="BQF49" s="440"/>
      <c r="BQG49" s="440"/>
      <c r="BQH49" s="440"/>
      <c r="BQI49" s="440"/>
      <c r="BQJ49" s="440"/>
      <c r="BQK49" s="440"/>
      <c r="BQL49" s="440"/>
      <c r="BQM49" s="440"/>
      <c r="BQN49" s="440"/>
      <c r="BQO49" s="440"/>
      <c r="BQP49" s="440"/>
      <c r="BQQ49" s="440"/>
      <c r="BQR49" s="440"/>
      <c r="BQS49" s="440"/>
      <c r="BQT49" s="440"/>
      <c r="BQU49" s="440"/>
      <c r="BQV49" s="440"/>
      <c r="BQW49" s="440"/>
      <c r="BQX49" s="440"/>
      <c r="BQY49" s="440"/>
      <c r="BQZ49" s="440"/>
      <c r="BRA49" s="440"/>
      <c r="BRB49" s="440"/>
      <c r="BRC49" s="440"/>
      <c r="BRD49" s="440"/>
      <c r="BRE49" s="440"/>
      <c r="BRF49" s="440"/>
      <c r="BRG49" s="440"/>
      <c r="BRH49" s="440"/>
      <c r="BRI49" s="440"/>
      <c r="BRJ49" s="440"/>
      <c r="BRK49" s="440"/>
      <c r="BRL49" s="440"/>
      <c r="BRM49" s="440"/>
      <c r="BRN49" s="440"/>
      <c r="BRO49" s="440"/>
      <c r="BRP49" s="440"/>
      <c r="BRQ49" s="440"/>
      <c r="BRR49" s="440"/>
      <c r="BRS49" s="440"/>
      <c r="BRT49" s="440"/>
      <c r="BRU49" s="440"/>
      <c r="BRV49" s="440"/>
      <c r="BRW49" s="440"/>
      <c r="BRX49" s="440"/>
      <c r="BRY49" s="440"/>
      <c r="BRZ49" s="440"/>
      <c r="BSA49" s="440"/>
      <c r="BSB49" s="440"/>
      <c r="BSC49" s="440"/>
      <c r="BSD49" s="440"/>
      <c r="BSE49" s="440"/>
      <c r="BSF49" s="440"/>
      <c r="BSG49" s="440"/>
      <c r="BSH49" s="440"/>
      <c r="BSI49" s="440"/>
      <c r="BSJ49" s="440"/>
      <c r="BSK49" s="440"/>
      <c r="BSL49" s="440"/>
      <c r="BSM49" s="440"/>
      <c r="BSN49" s="440"/>
      <c r="BSO49" s="440"/>
      <c r="BSP49" s="440"/>
      <c r="BSQ49" s="440"/>
      <c r="BSR49" s="440"/>
      <c r="BSS49" s="440"/>
      <c r="BST49" s="440"/>
      <c r="BSU49" s="440"/>
      <c r="BSV49" s="440"/>
      <c r="BSW49" s="440"/>
      <c r="BSX49" s="440"/>
      <c r="BSY49" s="440"/>
      <c r="BSZ49" s="440"/>
      <c r="BTA49" s="440"/>
      <c r="BTB49" s="440"/>
      <c r="BTC49" s="440"/>
      <c r="BTD49" s="440"/>
      <c r="BTE49" s="440"/>
      <c r="BTF49" s="440"/>
      <c r="BTG49" s="440"/>
      <c r="BTH49" s="440"/>
      <c r="BTI49" s="440"/>
      <c r="BTJ49" s="440"/>
      <c r="BTK49" s="440"/>
      <c r="BTL49" s="440"/>
      <c r="BTM49" s="440"/>
      <c r="BTN49" s="440"/>
      <c r="BTO49" s="440"/>
      <c r="BTP49" s="440"/>
      <c r="BTQ49" s="440"/>
      <c r="BTR49" s="440"/>
      <c r="BTS49" s="440"/>
      <c r="BTT49" s="440"/>
      <c r="BTU49" s="440"/>
      <c r="BTV49" s="440"/>
      <c r="BTW49" s="440"/>
      <c r="BTX49" s="440"/>
      <c r="BTY49" s="440"/>
      <c r="BTZ49" s="440"/>
      <c r="BUA49" s="440"/>
      <c r="BUB49" s="440"/>
      <c r="BUC49" s="440"/>
      <c r="BUD49" s="440"/>
      <c r="BUE49" s="440"/>
      <c r="BUF49" s="440"/>
      <c r="BUG49" s="440"/>
      <c r="BUH49" s="440"/>
      <c r="BUI49" s="440"/>
      <c r="BUJ49" s="440"/>
      <c r="BUK49" s="440"/>
      <c r="BUL49" s="440"/>
      <c r="BUM49" s="440"/>
      <c r="BUN49" s="440"/>
      <c r="BUO49" s="440"/>
      <c r="BUP49" s="440"/>
      <c r="BUQ49" s="440"/>
      <c r="BUR49" s="440"/>
      <c r="BUS49" s="440"/>
      <c r="BUT49" s="440"/>
      <c r="BUU49" s="440"/>
      <c r="BUV49" s="440"/>
      <c r="BUW49" s="440"/>
      <c r="BUX49" s="440"/>
      <c r="BUY49" s="440"/>
      <c r="BUZ49" s="440"/>
      <c r="BVA49" s="440"/>
      <c r="BVB49" s="440"/>
      <c r="BVC49" s="440"/>
      <c r="BVD49" s="440"/>
      <c r="BVE49" s="440"/>
      <c r="BVF49" s="440"/>
      <c r="BVG49" s="440"/>
      <c r="BVH49" s="440"/>
      <c r="BVI49" s="440"/>
      <c r="BVJ49" s="440"/>
      <c r="BVK49" s="440"/>
      <c r="BVL49" s="440"/>
      <c r="BVM49" s="440"/>
      <c r="BVN49" s="440"/>
      <c r="BVO49" s="440"/>
      <c r="BVP49" s="440"/>
      <c r="BVQ49" s="440"/>
      <c r="BVR49" s="440"/>
      <c r="BVS49" s="440"/>
      <c r="BVT49" s="440"/>
      <c r="BVU49" s="440"/>
      <c r="BVV49" s="440"/>
      <c r="BVW49" s="440"/>
      <c r="BVX49" s="440"/>
      <c r="BVY49" s="440"/>
      <c r="BVZ49" s="440"/>
      <c r="BWA49" s="440"/>
      <c r="BWB49" s="440"/>
      <c r="BWC49" s="440"/>
      <c r="BWD49" s="440"/>
      <c r="BWE49" s="440"/>
      <c r="BWF49" s="440"/>
      <c r="BWG49" s="440"/>
      <c r="BWH49" s="440"/>
      <c r="BWI49" s="440"/>
      <c r="BWJ49" s="440"/>
      <c r="BWK49" s="440"/>
      <c r="BWL49" s="440"/>
      <c r="BWM49" s="440"/>
      <c r="BWN49" s="440"/>
      <c r="BWO49" s="440"/>
      <c r="BWP49" s="440"/>
      <c r="BWQ49" s="440"/>
      <c r="BWR49" s="440"/>
      <c r="BWS49" s="440"/>
      <c r="BWT49" s="440"/>
      <c r="BWU49" s="440"/>
      <c r="BWV49" s="440"/>
      <c r="BWW49" s="440"/>
      <c r="BWX49" s="440"/>
      <c r="BWY49" s="440"/>
      <c r="BWZ49" s="440"/>
      <c r="BXA49" s="440"/>
      <c r="BXB49" s="440"/>
      <c r="BXC49" s="440"/>
      <c r="BXD49" s="440"/>
      <c r="BXE49" s="440"/>
      <c r="BXF49" s="440"/>
      <c r="BXG49" s="440"/>
      <c r="BXH49" s="440"/>
      <c r="BXI49" s="440"/>
      <c r="BXJ49" s="440"/>
      <c r="BXK49" s="440"/>
      <c r="BXL49" s="440"/>
      <c r="BXM49" s="440"/>
      <c r="BXN49" s="440"/>
      <c r="BXO49" s="440"/>
      <c r="BXP49" s="440"/>
      <c r="BXQ49" s="440"/>
      <c r="BXR49" s="440"/>
      <c r="BXS49" s="440"/>
      <c r="BXT49" s="440"/>
      <c r="BXU49" s="440"/>
      <c r="BXV49" s="440"/>
      <c r="BXW49" s="440"/>
      <c r="BXX49" s="440"/>
      <c r="BXY49" s="440"/>
      <c r="BXZ49" s="440"/>
      <c r="BYA49" s="440"/>
      <c r="BYB49" s="440"/>
      <c r="BYC49" s="440"/>
      <c r="BYD49" s="440"/>
      <c r="BYE49" s="440"/>
      <c r="BYF49" s="440"/>
      <c r="BYG49" s="440"/>
      <c r="BYH49" s="440"/>
      <c r="BYI49" s="440"/>
      <c r="BYJ49" s="440"/>
      <c r="BYK49" s="440"/>
      <c r="BYL49" s="440"/>
      <c r="BYM49" s="440"/>
      <c r="BYN49" s="440"/>
      <c r="BYO49" s="440"/>
      <c r="BYP49" s="440"/>
      <c r="BYQ49" s="440"/>
      <c r="BYR49" s="440"/>
      <c r="BYS49" s="440"/>
      <c r="BYT49" s="440"/>
      <c r="BYU49" s="440"/>
      <c r="BYV49" s="440"/>
      <c r="BYW49" s="440"/>
      <c r="BYX49" s="440"/>
      <c r="BYY49" s="440"/>
      <c r="BYZ49" s="440"/>
      <c r="BZA49" s="440"/>
      <c r="BZB49" s="440"/>
      <c r="BZC49" s="440"/>
      <c r="BZD49" s="440"/>
      <c r="BZE49" s="440"/>
      <c r="BZF49" s="440"/>
      <c r="BZG49" s="440"/>
      <c r="BZH49" s="440"/>
      <c r="BZI49" s="440"/>
      <c r="BZJ49" s="440"/>
      <c r="BZK49" s="440"/>
      <c r="BZL49" s="440"/>
      <c r="BZM49" s="440"/>
      <c r="BZN49" s="440"/>
      <c r="BZO49" s="440"/>
      <c r="BZP49" s="440"/>
      <c r="BZQ49" s="440"/>
      <c r="BZR49" s="440"/>
      <c r="BZS49" s="440"/>
      <c r="BZU49" s="440"/>
      <c r="BZV49" s="440"/>
      <c r="BZW49" s="440"/>
      <c r="BZX49" s="440"/>
      <c r="BZY49" s="440"/>
      <c r="BZZ49" s="440"/>
      <c r="CAA49" s="440"/>
      <c r="CAB49" s="440"/>
      <c r="CAC49" s="440"/>
      <c r="CAD49" s="440"/>
      <c r="CAE49" s="440"/>
      <c r="CAF49" s="440"/>
      <c r="CAG49" s="440"/>
      <c r="CAH49" s="440"/>
      <c r="CAI49" s="440"/>
      <c r="CAJ49" s="440"/>
      <c r="CAK49" s="440"/>
      <c r="CAL49" s="440"/>
      <c r="CAM49" s="440"/>
      <c r="CAN49" s="440"/>
      <c r="CAO49" s="440"/>
      <c r="CAP49" s="440"/>
      <c r="CAQ49" s="440"/>
      <c r="CAR49" s="440"/>
      <c r="CAS49" s="440"/>
      <c r="CAT49" s="440"/>
      <c r="CAU49" s="440"/>
      <c r="CAV49" s="440"/>
      <c r="CAW49" s="440"/>
      <c r="CAX49" s="440"/>
      <c r="CAY49" s="440"/>
      <c r="CAZ49" s="440"/>
      <c r="CBA49" s="440"/>
      <c r="CBB49" s="440"/>
      <c r="CBC49" s="440"/>
      <c r="CBD49" s="440"/>
      <c r="CBE49" s="440"/>
      <c r="CBF49" s="440"/>
      <c r="CBG49" s="440"/>
      <c r="CBH49" s="440"/>
      <c r="CBI49" s="440"/>
      <c r="CBJ49" s="440"/>
      <c r="CBK49" s="440"/>
      <c r="CBL49" s="440"/>
      <c r="CBM49" s="440"/>
      <c r="CBN49" s="440"/>
      <c r="CBO49" s="440"/>
      <c r="CBP49" s="440"/>
      <c r="CBQ49" s="440"/>
      <c r="CBR49" s="440"/>
      <c r="CBS49" s="440"/>
      <c r="CBT49" s="440"/>
      <c r="CBU49" s="440"/>
      <c r="CBV49" s="440"/>
      <c r="CBW49" s="440"/>
      <c r="CBX49" s="440"/>
      <c r="CBY49" s="440"/>
      <c r="CBZ49" s="440"/>
      <c r="CCA49" s="440"/>
      <c r="CCB49" s="440"/>
      <c r="CCC49" s="440"/>
      <c r="CCD49" s="440"/>
      <c r="CCE49" s="440"/>
      <c r="CCF49" s="440"/>
      <c r="CCG49" s="440"/>
      <c r="CCH49" s="440"/>
      <c r="CCI49" s="440"/>
      <c r="CCJ49" s="440"/>
      <c r="CCK49" s="440"/>
      <c r="CCL49" s="440"/>
      <c r="CCM49" s="440"/>
      <c r="CCN49" s="440"/>
      <c r="CCO49" s="440"/>
      <c r="CCP49" s="440"/>
      <c r="CCQ49" s="440"/>
      <c r="CCR49" s="440"/>
      <c r="CCS49" s="440"/>
      <c r="CCT49" s="440"/>
      <c r="CCU49" s="440"/>
      <c r="CCV49" s="440"/>
      <c r="CCW49" s="440"/>
      <c r="CCX49" s="440"/>
      <c r="CCY49" s="440"/>
      <c r="CCZ49" s="440"/>
      <c r="CDA49" s="440"/>
      <c r="CDB49" s="440"/>
      <c r="CDC49" s="440"/>
      <c r="CDD49" s="440"/>
      <c r="CDE49" s="440"/>
      <c r="CDF49" s="440"/>
      <c r="CDG49" s="440"/>
      <c r="CDH49" s="440"/>
      <c r="CDI49" s="440"/>
      <c r="CDJ49" s="440"/>
      <c r="CDK49" s="440"/>
      <c r="CDL49" s="440"/>
      <c r="CDM49" s="440"/>
      <c r="CDN49" s="440"/>
      <c r="CDO49" s="440"/>
      <c r="CDP49" s="440"/>
      <c r="CDQ49" s="440"/>
      <c r="CDR49" s="440"/>
      <c r="CDS49" s="440"/>
      <c r="CDT49" s="440"/>
      <c r="CDU49" s="440"/>
      <c r="CDV49" s="440"/>
      <c r="CDW49" s="440"/>
      <c r="CDX49" s="440"/>
      <c r="CDY49" s="440"/>
      <c r="CDZ49" s="440"/>
      <c r="CEA49" s="440"/>
      <c r="CEB49" s="440"/>
      <c r="CEC49" s="440"/>
      <c r="CED49" s="440"/>
      <c r="CEE49" s="440"/>
      <c r="CEF49" s="440"/>
      <c r="CEG49" s="440"/>
      <c r="CEH49" s="440"/>
      <c r="CEI49" s="440"/>
      <c r="CEJ49" s="440"/>
      <c r="CEK49" s="440"/>
      <c r="CEL49" s="440"/>
      <c r="CEM49" s="440"/>
      <c r="CEN49" s="440"/>
      <c r="CEO49" s="440"/>
      <c r="CEP49" s="440"/>
      <c r="CEQ49" s="440"/>
      <c r="CER49" s="440"/>
      <c r="CES49" s="440"/>
      <c r="CET49" s="440"/>
      <c r="CEU49" s="440"/>
      <c r="CEV49" s="440"/>
      <c r="CEW49" s="440"/>
      <c r="CEX49" s="440"/>
      <c r="CEY49" s="440"/>
      <c r="CEZ49" s="440"/>
      <c r="CFA49" s="440"/>
      <c r="CFB49" s="440"/>
      <c r="CFC49" s="440"/>
      <c r="CFD49" s="440"/>
      <c r="CFE49" s="440"/>
      <c r="CFF49" s="440"/>
      <c r="CFG49" s="440"/>
      <c r="CFH49" s="440"/>
      <c r="CFI49" s="440"/>
      <c r="CFJ49" s="440"/>
      <c r="CFK49" s="440"/>
      <c r="CFL49" s="440"/>
      <c r="CFM49" s="440"/>
      <c r="CFN49" s="440"/>
      <c r="CFO49" s="440"/>
      <c r="CFP49" s="440"/>
      <c r="CFQ49" s="440"/>
      <c r="CFR49" s="440"/>
      <c r="CFS49" s="440"/>
      <c r="CFT49" s="440"/>
      <c r="CFU49" s="440"/>
      <c r="CFV49" s="440"/>
      <c r="CFW49" s="440"/>
      <c r="CFX49" s="440"/>
      <c r="CFY49" s="440"/>
      <c r="CFZ49" s="440"/>
      <c r="CGA49" s="440"/>
      <c r="CGB49" s="440"/>
      <c r="CGC49" s="440"/>
      <c r="CGD49" s="440"/>
      <c r="CGE49" s="440"/>
      <c r="CGF49" s="440"/>
      <c r="CGG49" s="440"/>
      <c r="CGH49" s="440"/>
      <c r="CGI49" s="440"/>
      <c r="CGJ49" s="440"/>
      <c r="CGK49" s="440"/>
      <c r="CGL49" s="440"/>
      <c r="CGM49" s="440"/>
      <c r="CGN49" s="440"/>
      <c r="CGO49" s="440"/>
      <c r="CGP49" s="440"/>
      <c r="CGQ49" s="440"/>
      <c r="CGR49" s="440"/>
      <c r="CGS49" s="440"/>
      <c r="CGT49" s="440"/>
      <c r="CGU49" s="440"/>
      <c r="CGV49" s="440"/>
      <c r="CGW49" s="440"/>
      <c r="CGX49" s="440"/>
      <c r="CGY49" s="440"/>
      <c r="CGZ49" s="440"/>
      <c r="CHA49" s="440"/>
      <c r="CHB49" s="440"/>
      <c r="CHC49" s="440"/>
      <c r="CHD49" s="440"/>
      <c r="CHE49" s="440"/>
      <c r="CHF49" s="440"/>
      <c r="CHG49" s="440"/>
      <c r="CHH49" s="440"/>
      <c r="CHI49" s="440"/>
      <c r="CHJ49" s="440"/>
      <c r="CHK49" s="440"/>
      <c r="CHL49" s="440"/>
      <c r="CHM49" s="440"/>
      <c r="CHN49" s="440"/>
      <c r="CHO49" s="440"/>
      <c r="CHP49" s="440"/>
      <c r="CHQ49" s="440"/>
      <c r="CHR49" s="440"/>
      <c r="CHS49" s="440"/>
      <c r="CHT49" s="440"/>
      <c r="CHU49" s="440"/>
      <c r="CHV49" s="440"/>
      <c r="CHW49" s="440"/>
      <c r="CHX49" s="440"/>
      <c r="CHY49" s="440"/>
      <c r="CHZ49" s="440"/>
      <c r="CIA49" s="440"/>
      <c r="CIB49" s="440"/>
      <c r="CIC49" s="440"/>
      <c r="CID49" s="440"/>
      <c r="CIE49" s="440"/>
      <c r="CIF49" s="440"/>
      <c r="CIG49" s="440"/>
      <c r="CIH49" s="440"/>
      <c r="CII49" s="440"/>
      <c r="CIJ49" s="440"/>
      <c r="CIK49" s="440"/>
      <c r="CIL49" s="440"/>
      <c r="CIM49" s="440"/>
      <c r="CIN49" s="440"/>
      <c r="CIO49" s="440"/>
      <c r="CIP49" s="440"/>
      <c r="CIQ49" s="440"/>
      <c r="CIR49" s="440"/>
      <c r="CIS49" s="440"/>
      <c r="CIT49" s="440"/>
      <c r="CIU49" s="440"/>
      <c r="CIV49" s="440"/>
      <c r="CIW49" s="440"/>
      <c r="CIX49" s="440"/>
      <c r="CIY49" s="440"/>
      <c r="CIZ49" s="440"/>
      <c r="CJA49" s="440"/>
      <c r="CJB49" s="440"/>
      <c r="CJC49" s="440"/>
      <c r="CJD49" s="440"/>
      <c r="CJE49" s="440"/>
      <c r="CJF49" s="440"/>
      <c r="CJG49" s="440"/>
      <c r="CJH49" s="440"/>
      <c r="CJI49" s="440"/>
      <c r="CJJ49" s="440"/>
      <c r="CJK49" s="440"/>
      <c r="CJL49" s="440"/>
      <c r="CJM49" s="440"/>
      <c r="CJN49" s="440"/>
      <c r="CJO49" s="440"/>
      <c r="CJQ49" s="440"/>
      <c r="CJR49" s="440"/>
      <c r="CJS49" s="440"/>
      <c r="CJT49" s="440"/>
      <c r="CJU49" s="440"/>
      <c r="CJV49" s="440"/>
      <c r="CJW49" s="440"/>
      <c r="CJX49" s="440"/>
      <c r="CJY49" s="440"/>
      <c r="CJZ49" s="440"/>
      <c r="CKA49" s="440"/>
      <c r="CKB49" s="440"/>
      <c r="CKC49" s="440"/>
      <c r="CKD49" s="440"/>
      <c r="CKE49" s="440"/>
      <c r="CKF49" s="440"/>
      <c r="CKG49" s="440"/>
      <c r="CKH49" s="440"/>
      <c r="CKI49" s="440"/>
      <c r="CKJ49" s="440"/>
      <c r="CKK49" s="440"/>
      <c r="CKL49" s="440"/>
      <c r="CKM49" s="440"/>
      <c r="CKN49" s="440"/>
      <c r="CKO49" s="440"/>
      <c r="CKP49" s="440"/>
      <c r="CKQ49" s="440"/>
      <c r="CKR49" s="440"/>
      <c r="CKS49" s="440"/>
      <c r="CKT49" s="440"/>
      <c r="CKU49" s="440"/>
      <c r="CKV49" s="440"/>
      <c r="CKW49" s="440"/>
      <c r="CKX49" s="440"/>
      <c r="CKY49" s="440"/>
      <c r="CKZ49" s="440"/>
      <c r="CLA49" s="440"/>
      <c r="CLB49" s="440"/>
      <c r="CLC49" s="440"/>
      <c r="CLD49" s="440"/>
      <c r="CLE49" s="440"/>
      <c r="CLF49" s="440"/>
      <c r="CLG49" s="440"/>
      <c r="CLH49" s="440"/>
      <c r="CLI49" s="440"/>
      <c r="CLJ49" s="440"/>
      <c r="CLK49" s="440"/>
      <c r="CLL49" s="440"/>
      <c r="CLM49" s="440"/>
      <c r="CLN49" s="440"/>
      <c r="CLO49" s="440"/>
      <c r="CLP49" s="440"/>
      <c r="CLQ49" s="440"/>
      <c r="CLR49" s="440"/>
      <c r="CLS49" s="440"/>
      <c r="CLT49" s="440"/>
      <c r="CLU49" s="440"/>
      <c r="CLV49" s="440"/>
      <c r="CLW49" s="440"/>
      <c r="CLX49" s="440"/>
      <c r="CLY49" s="440"/>
      <c r="CLZ49" s="440"/>
      <c r="CMA49" s="440"/>
      <c r="CMB49" s="440"/>
      <c r="CMC49" s="440"/>
      <c r="CMD49" s="440"/>
      <c r="CME49" s="440"/>
      <c r="CMF49" s="440"/>
      <c r="CMG49" s="440"/>
      <c r="CMH49" s="440"/>
      <c r="CMI49" s="440"/>
      <c r="CMJ49" s="440"/>
      <c r="CMK49" s="440"/>
      <c r="CML49" s="440"/>
      <c r="CMM49" s="440"/>
      <c r="CMN49" s="440"/>
      <c r="CMO49" s="440"/>
      <c r="CMP49" s="440"/>
      <c r="CMQ49" s="440"/>
      <c r="CMR49" s="440"/>
      <c r="CMS49" s="440"/>
      <c r="CMT49" s="440"/>
      <c r="CMU49" s="440"/>
      <c r="CMV49" s="440"/>
      <c r="CMW49" s="440"/>
      <c r="CMX49" s="440"/>
      <c r="CMY49" s="440"/>
      <c r="CMZ49" s="440"/>
      <c r="CNA49" s="440"/>
      <c r="CNB49" s="440"/>
      <c r="CNC49" s="440"/>
      <c r="CND49" s="440"/>
      <c r="CNE49" s="440"/>
      <c r="CNF49" s="440"/>
      <c r="CNG49" s="440"/>
      <c r="CNH49" s="440"/>
      <c r="CNI49" s="440"/>
      <c r="CNJ49" s="440"/>
      <c r="CNK49" s="440"/>
      <c r="CNL49" s="440"/>
      <c r="CNM49" s="440"/>
      <c r="CNN49" s="440"/>
      <c r="CNO49" s="440"/>
      <c r="CNP49" s="440"/>
      <c r="CNQ49" s="440"/>
      <c r="CNR49" s="440"/>
      <c r="CNS49" s="440"/>
      <c r="CNT49" s="440"/>
      <c r="CNU49" s="440"/>
      <c r="CNV49" s="440"/>
      <c r="CNW49" s="440"/>
      <c r="CNX49" s="440"/>
      <c r="CNY49" s="440"/>
      <c r="CNZ49" s="440"/>
      <c r="COA49" s="440"/>
      <c r="COB49" s="440"/>
      <c r="COC49" s="440"/>
      <c r="COD49" s="440"/>
      <c r="COE49" s="440"/>
      <c r="COF49" s="440"/>
      <c r="COG49" s="440"/>
      <c r="COH49" s="440"/>
      <c r="COI49" s="440"/>
      <c r="COJ49" s="440"/>
      <c r="COK49" s="440"/>
      <c r="COL49" s="440"/>
      <c r="COM49" s="440"/>
      <c r="CON49" s="440"/>
      <c r="COO49" s="440"/>
      <c r="COP49" s="440"/>
      <c r="COQ49" s="440"/>
      <c r="COR49" s="440"/>
      <c r="COS49" s="440"/>
      <c r="COT49" s="440"/>
      <c r="COU49" s="440"/>
      <c r="COV49" s="440"/>
      <c r="COW49" s="440"/>
      <c r="COX49" s="440"/>
      <c r="COY49" s="440"/>
      <c r="COZ49" s="440"/>
      <c r="CPA49" s="440"/>
      <c r="CPB49" s="440"/>
      <c r="CPC49" s="440"/>
      <c r="CPD49" s="440"/>
      <c r="CPE49" s="440"/>
      <c r="CPF49" s="440"/>
      <c r="CPG49" s="440"/>
      <c r="CPH49" s="440"/>
      <c r="CPI49" s="440"/>
      <c r="CPJ49" s="440"/>
      <c r="CPK49" s="440"/>
      <c r="CPL49" s="440"/>
      <c r="CPM49" s="440"/>
      <c r="CPN49" s="440"/>
      <c r="CPO49" s="440"/>
      <c r="CPP49" s="440"/>
      <c r="CPQ49" s="440"/>
      <c r="CPR49" s="440"/>
      <c r="CPS49" s="440"/>
      <c r="CPT49" s="440"/>
      <c r="CPU49" s="440"/>
      <c r="CPV49" s="440"/>
      <c r="CPW49" s="440"/>
      <c r="CPX49" s="440"/>
      <c r="CPY49" s="440"/>
      <c r="CPZ49" s="440"/>
      <c r="CQA49" s="440"/>
      <c r="CQB49" s="440"/>
      <c r="CQC49" s="440"/>
      <c r="CQD49" s="440"/>
      <c r="CQE49" s="440"/>
      <c r="CQF49" s="440"/>
      <c r="CQG49" s="440"/>
      <c r="CQH49" s="440"/>
      <c r="CQI49" s="440"/>
      <c r="CQJ49" s="440"/>
      <c r="CQK49" s="440"/>
      <c r="CQL49" s="440"/>
      <c r="CQM49" s="440"/>
      <c r="CQN49" s="440"/>
      <c r="CQO49" s="440"/>
      <c r="CQP49" s="440"/>
      <c r="CQQ49" s="440"/>
      <c r="CQR49" s="440"/>
      <c r="CQS49" s="440"/>
      <c r="CQT49" s="440"/>
      <c r="CQU49" s="440"/>
      <c r="CQV49" s="440"/>
      <c r="CQW49" s="440"/>
      <c r="CQX49" s="440"/>
      <c r="CQY49" s="440"/>
      <c r="CQZ49" s="440"/>
      <c r="CRA49" s="440"/>
      <c r="CRB49" s="440"/>
      <c r="CRC49" s="440"/>
      <c r="CRD49" s="440"/>
      <c r="CRE49" s="440"/>
      <c r="CRF49" s="440"/>
      <c r="CRG49" s="440"/>
      <c r="CRH49" s="440"/>
      <c r="CRI49" s="440"/>
      <c r="CRJ49" s="440"/>
      <c r="CRK49" s="440"/>
      <c r="CRL49" s="440"/>
      <c r="CRM49" s="440"/>
      <c r="CRN49" s="440"/>
      <c r="CRO49" s="440"/>
      <c r="CRP49" s="440"/>
      <c r="CRQ49" s="440"/>
      <c r="CRR49" s="440"/>
      <c r="CRS49" s="440"/>
      <c r="CRT49" s="440"/>
      <c r="CRU49" s="440"/>
      <c r="CRV49" s="440"/>
      <c r="CRW49" s="440"/>
      <c r="CRX49" s="440"/>
      <c r="CRY49" s="440"/>
      <c r="CRZ49" s="440"/>
      <c r="CSA49" s="440"/>
      <c r="CSB49" s="440"/>
      <c r="CSC49" s="440"/>
      <c r="CSD49" s="440"/>
      <c r="CSE49" s="440"/>
      <c r="CSF49" s="440"/>
      <c r="CSG49" s="440"/>
      <c r="CSH49" s="440"/>
      <c r="CSI49" s="440"/>
      <c r="CSJ49" s="440"/>
      <c r="CSK49" s="440"/>
      <c r="CSL49" s="440"/>
      <c r="CSM49" s="440"/>
      <c r="CSN49" s="440"/>
      <c r="CSO49" s="440"/>
      <c r="CSP49" s="440"/>
      <c r="CSQ49" s="440"/>
      <c r="CSR49" s="440"/>
      <c r="CSS49" s="440"/>
      <c r="CST49" s="440"/>
      <c r="CSU49" s="440"/>
      <c r="CSV49" s="440"/>
      <c r="CSW49" s="440"/>
      <c r="CSX49" s="440"/>
      <c r="CSY49" s="440"/>
      <c r="CSZ49" s="440"/>
      <c r="CTA49" s="440"/>
      <c r="CTB49" s="440"/>
      <c r="CTC49" s="440"/>
      <c r="CTD49" s="440"/>
      <c r="CTE49" s="440"/>
      <c r="CTF49" s="440"/>
      <c r="CTG49" s="440"/>
      <c r="CTH49" s="440"/>
      <c r="CTI49" s="440"/>
      <c r="CTJ49" s="440"/>
      <c r="CTK49" s="440"/>
      <c r="CTM49" s="440"/>
      <c r="CTN49" s="440"/>
      <c r="CTO49" s="440"/>
      <c r="CTP49" s="440"/>
      <c r="CTQ49" s="440"/>
      <c r="CTR49" s="440"/>
      <c r="CTS49" s="440"/>
      <c r="CTT49" s="440"/>
      <c r="CTU49" s="440"/>
      <c r="CTV49" s="440"/>
      <c r="CTW49" s="440"/>
      <c r="CTX49" s="440"/>
      <c r="CTY49" s="440"/>
      <c r="CTZ49" s="440"/>
      <c r="CUA49" s="440"/>
      <c r="CUB49" s="440"/>
      <c r="CUC49" s="440"/>
      <c r="CUD49" s="440"/>
      <c r="CUE49" s="440"/>
      <c r="CUF49" s="440"/>
      <c r="CUG49" s="440"/>
      <c r="CUH49" s="440"/>
      <c r="CUI49" s="440"/>
      <c r="CUJ49" s="440"/>
      <c r="CUK49" s="440"/>
      <c r="CUL49" s="440"/>
      <c r="CUM49" s="440"/>
      <c r="CUN49" s="440"/>
      <c r="CUO49" s="440"/>
      <c r="CUP49" s="440"/>
      <c r="CUQ49" s="440"/>
      <c r="CUR49" s="440"/>
      <c r="CUS49" s="440"/>
      <c r="CUT49" s="440"/>
      <c r="CUU49" s="440"/>
      <c r="CUV49" s="440"/>
      <c r="CUW49" s="440"/>
      <c r="CUX49" s="440"/>
      <c r="CUY49" s="440"/>
      <c r="CUZ49" s="440"/>
      <c r="CVA49" s="440"/>
      <c r="CVB49" s="440"/>
      <c r="CVC49" s="440"/>
      <c r="CVD49" s="440"/>
      <c r="CVE49" s="440"/>
      <c r="CVF49" s="440"/>
      <c r="CVG49" s="440"/>
      <c r="CVH49" s="440"/>
      <c r="CVI49" s="440"/>
      <c r="CVJ49" s="440"/>
      <c r="CVK49" s="440"/>
      <c r="CVL49" s="440"/>
      <c r="CVM49" s="440"/>
      <c r="CVN49" s="440"/>
      <c r="CVO49" s="440"/>
      <c r="CVP49" s="440"/>
      <c r="CVQ49" s="440"/>
      <c r="CVR49" s="440"/>
      <c r="CVS49" s="440"/>
      <c r="CVT49" s="440"/>
      <c r="CVU49" s="440"/>
      <c r="CVV49" s="440"/>
      <c r="CVW49" s="440"/>
      <c r="CVX49" s="440"/>
      <c r="CVY49" s="440"/>
      <c r="CVZ49" s="440"/>
      <c r="CWA49" s="440"/>
      <c r="CWB49" s="440"/>
      <c r="CWC49" s="440"/>
      <c r="CWD49" s="440"/>
      <c r="CWE49" s="440"/>
      <c r="CWF49" s="440"/>
      <c r="CWG49" s="440"/>
      <c r="CWH49" s="440"/>
      <c r="CWI49" s="440"/>
      <c r="CWJ49" s="440"/>
      <c r="CWK49" s="440"/>
      <c r="CWL49" s="440"/>
      <c r="CWM49" s="440"/>
      <c r="CWN49" s="440"/>
      <c r="CWO49" s="440"/>
      <c r="CWP49" s="440"/>
      <c r="CWQ49" s="440"/>
      <c r="CWR49" s="440"/>
      <c r="CWS49" s="440"/>
      <c r="CWT49" s="440"/>
      <c r="CWU49" s="440"/>
      <c r="CWV49" s="440"/>
      <c r="CWW49" s="440"/>
      <c r="CWX49" s="440"/>
      <c r="CWY49" s="440"/>
      <c r="CWZ49" s="440"/>
      <c r="CXA49" s="440"/>
      <c r="CXB49" s="440"/>
      <c r="CXC49" s="440"/>
      <c r="CXD49" s="440"/>
      <c r="CXE49" s="440"/>
      <c r="CXF49" s="440"/>
      <c r="CXG49" s="440"/>
      <c r="CXH49" s="440"/>
      <c r="CXI49" s="440"/>
      <c r="CXJ49" s="440"/>
      <c r="CXK49" s="440"/>
      <c r="CXL49" s="440"/>
      <c r="CXM49" s="440"/>
      <c r="CXN49" s="440"/>
      <c r="CXO49" s="440"/>
      <c r="CXP49" s="440"/>
      <c r="CXQ49" s="440"/>
      <c r="CXR49" s="440"/>
      <c r="CXS49" s="440"/>
      <c r="CXT49" s="440"/>
      <c r="CXU49" s="440"/>
      <c r="CXV49" s="440"/>
      <c r="CXW49" s="440"/>
      <c r="CXX49" s="440"/>
      <c r="CXY49" s="440"/>
      <c r="CXZ49" s="440"/>
      <c r="CYA49" s="440"/>
      <c r="CYB49" s="440"/>
      <c r="CYC49" s="440"/>
      <c r="CYD49" s="440"/>
      <c r="CYE49" s="440"/>
      <c r="CYF49" s="440"/>
      <c r="CYG49" s="440"/>
      <c r="CYH49" s="440"/>
      <c r="CYI49" s="440"/>
      <c r="CYJ49" s="440"/>
      <c r="CYK49" s="440"/>
      <c r="CYL49" s="440"/>
      <c r="CYM49" s="440"/>
      <c r="CYN49" s="440"/>
      <c r="CYO49" s="440"/>
      <c r="CYP49" s="440"/>
      <c r="CYQ49" s="440"/>
      <c r="CYR49" s="440"/>
      <c r="CYS49" s="440"/>
      <c r="CYT49" s="440"/>
      <c r="CYU49" s="440"/>
      <c r="CYV49" s="440"/>
      <c r="CYW49" s="440"/>
      <c r="CYX49" s="440"/>
      <c r="CYY49" s="440"/>
      <c r="CYZ49" s="440"/>
      <c r="CZA49" s="440"/>
      <c r="CZB49" s="440"/>
      <c r="CZC49" s="440"/>
      <c r="CZD49" s="440"/>
      <c r="CZE49" s="440"/>
      <c r="CZF49" s="440"/>
      <c r="CZG49" s="440"/>
      <c r="CZH49" s="440"/>
      <c r="CZI49" s="440"/>
      <c r="CZJ49" s="440"/>
      <c r="CZK49" s="440"/>
      <c r="CZL49" s="440"/>
      <c r="CZM49" s="440"/>
      <c r="CZN49" s="440"/>
      <c r="CZO49" s="440"/>
      <c r="CZP49" s="440"/>
      <c r="CZQ49" s="440"/>
      <c r="CZR49" s="440"/>
      <c r="CZS49" s="440"/>
      <c r="CZT49" s="440"/>
      <c r="CZU49" s="440"/>
      <c r="CZV49" s="440"/>
      <c r="CZW49" s="440"/>
      <c r="CZX49" s="440"/>
      <c r="CZY49" s="440"/>
      <c r="CZZ49" s="440"/>
      <c r="DAA49" s="440"/>
      <c r="DAB49" s="440"/>
      <c r="DAC49" s="440"/>
      <c r="DAD49" s="440"/>
      <c r="DAE49" s="440"/>
      <c r="DAF49" s="440"/>
      <c r="DAG49" s="440"/>
      <c r="DAH49" s="440"/>
      <c r="DAI49" s="440"/>
      <c r="DAJ49" s="440"/>
      <c r="DAK49" s="440"/>
      <c r="DAL49" s="440"/>
      <c r="DAM49" s="440"/>
      <c r="DAN49" s="440"/>
      <c r="DAO49" s="440"/>
      <c r="DAP49" s="440"/>
      <c r="DAQ49" s="440"/>
      <c r="DAR49" s="440"/>
      <c r="DAS49" s="440"/>
      <c r="DAT49" s="440"/>
      <c r="DAU49" s="440"/>
      <c r="DAV49" s="440"/>
      <c r="DAW49" s="440"/>
      <c r="DAX49" s="440"/>
      <c r="DAY49" s="440"/>
      <c r="DAZ49" s="440"/>
      <c r="DBA49" s="440"/>
      <c r="DBB49" s="440"/>
      <c r="DBC49" s="440"/>
      <c r="DBD49" s="440"/>
      <c r="DBE49" s="440"/>
      <c r="DBF49" s="440"/>
      <c r="DBG49" s="440"/>
      <c r="DBH49" s="440"/>
      <c r="DBI49" s="440"/>
      <c r="DBJ49" s="440"/>
      <c r="DBK49" s="440"/>
      <c r="DBL49" s="440"/>
      <c r="DBM49" s="440"/>
      <c r="DBN49" s="440"/>
      <c r="DBO49" s="440"/>
      <c r="DBP49" s="440"/>
      <c r="DBQ49" s="440"/>
      <c r="DBR49" s="440"/>
      <c r="DBS49" s="440"/>
      <c r="DBT49" s="440"/>
      <c r="DBU49" s="440"/>
      <c r="DBV49" s="440"/>
      <c r="DBW49" s="440"/>
      <c r="DBX49" s="440"/>
      <c r="DBY49" s="440"/>
      <c r="DBZ49" s="440"/>
      <c r="DCA49" s="440"/>
      <c r="DCB49" s="440"/>
      <c r="DCC49" s="440"/>
      <c r="DCD49" s="440"/>
      <c r="DCE49" s="440"/>
      <c r="DCF49" s="440"/>
      <c r="DCG49" s="440"/>
      <c r="DCH49" s="440"/>
      <c r="DCI49" s="440"/>
      <c r="DCJ49" s="440"/>
      <c r="DCK49" s="440"/>
      <c r="DCL49" s="440"/>
      <c r="DCM49" s="440"/>
      <c r="DCN49" s="440"/>
      <c r="DCO49" s="440"/>
      <c r="DCP49" s="440"/>
      <c r="DCQ49" s="440"/>
      <c r="DCR49" s="440"/>
      <c r="DCS49" s="440"/>
      <c r="DCT49" s="440"/>
      <c r="DCU49" s="440"/>
      <c r="DCV49" s="440"/>
      <c r="DCW49" s="440"/>
      <c r="DCX49" s="440"/>
      <c r="DCY49" s="440"/>
      <c r="DCZ49" s="440"/>
      <c r="DDA49" s="440"/>
      <c r="DDB49" s="440"/>
      <c r="DDC49" s="440"/>
      <c r="DDD49" s="440"/>
      <c r="DDE49" s="440"/>
      <c r="DDF49" s="440"/>
      <c r="DDG49" s="440"/>
      <c r="DDI49" s="440"/>
      <c r="DDJ49" s="440"/>
      <c r="DDK49" s="440"/>
      <c r="DDL49" s="440"/>
      <c r="DDM49" s="440"/>
      <c r="DDN49" s="440"/>
      <c r="DDO49" s="440"/>
      <c r="DDP49" s="440"/>
      <c r="DDQ49" s="440"/>
      <c r="DDR49" s="440"/>
      <c r="DDS49" s="440"/>
      <c r="DDT49" s="440"/>
      <c r="DDU49" s="440"/>
      <c r="DDV49" s="440"/>
      <c r="DDW49" s="440"/>
      <c r="DDX49" s="440"/>
      <c r="DDY49" s="440"/>
      <c r="DDZ49" s="440"/>
      <c r="DEA49" s="440"/>
      <c r="DEB49" s="440"/>
      <c r="DEC49" s="440"/>
      <c r="DED49" s="440"/>
      <c r="DEE49" s="440"/>
      <c r="DEF49" s="440"/>
      <c r="DEG49" s="440"/>
      <c r="DEH49" s="440"/>
      <c r="DEI49" s="440"/>
      <c r="DEJ49" s="440"/>
      <c r="DEK49" s="440"/>
      <c r="DEL49" s="440"/>
      <c r="DEM49" s="440"/>
      <c r="DEN49" s="440"/>
      <c r="DEO49" s="440"/>
      <c r="DEP49" s="440"/>
      <c r="DEQ49" s="440"/>
      <c r="DER49" s="440"/>
      <c r="DES49" s="440"/>
      <c r="DET49" s="440"/>
      <c r="DEU49" s="440"/>
      <c r="DEV49" s="440"/>
      <c r="DEW49" s="440"/>
      <c r="DEX49" s="440"/>
      <c r="DEY49" s="440"/>
      <c r="DEZ49" s="440"/>
      <c r="DFA49" s="440"/>
      <c r="DFB49" s="440"/>
      <c r="DFC49" s="440"/>
      <c r="DFD49" s="440"/>
      <c r="DFE49" s="440"/>
      <c r="DFF49" s="440"/>
      <c r="DFG49" s="440"/>
      <c r="DFH49" s="440"/>
      <c r="DFI49" s="440"/>
      <c r="DFJ49" s="440"/>
      <c r="DFK49" s="440"/>
      <c r="DFL49" s="440"/>
      <c r="DFM49" s="440"/>
      <c r="DFN49" s="440"/>
      <c r="DFO49" s="440"/>
      <c r="DFP49" s="440"/>
      <c r="DFQ49" s="440"/>
      <c r="DFR49" s="440"/>
      <c r="DFS49" s="440"/>
      <c r="DFT49" s="440"/>
      <c r="DFU49" s="440"/>
      <c r="DFV49" s="440"/>
      <c r="DFW49" s="440"/>
      <c r="DFX49" s="440"/>
      <c r="DFY49" s="440"/>
      <c r="DFZ49" s="440"/>
      <c r="DGA49" s="440"/>
      <c r="DGB49" s="440"/>
      <c r="DGC49" s="440"/>
      <c r="DGD49" s="440"/>
      <c r="DGE49" s="440"/>
      <c r="DGF49" s="440"/>
      <c r="DGG49" s="440"/>
      <c r="DGH49" s="440"/>
      <c r="DGI49" s="440"/>
      <c r="DGJ49" s="440"/>
      <c r="DGK49" s="440"/>
      <c r="DGL49" s="440"/>
      <c r="DGM49" s="440"/>
      <c r="DGN49" s="440"/>
      <c r="DGO49" s="440"/>
      <c r="DGP49" s="440"/>
      <c r="DGQ49" s="440"/>
      <c r="DGR49" s="440"/>
      <c r="DGS49" s="440"/>
      <c r="DGT49" s="440"/>
      <c r="DGU49" s="440"/>
      <c r="DGV49" s="440"/>
      <c r="DGW49" s="440"/>
      <c r="DGX49" s="440"/>
      <c r="DGY49" s="440"/>
      <c r="DGZ49" s="440"/>
      <c r="DHA49" s="440"/>
      <c r="DHB49" s="440"/>
      <c r="DHC49" s="440"/>
      <c r="DHD49" s="440"/>
      <c r="DHE49" s="440"/>
      <c r="DHF49" s="440"/>
      <c r="DHG49" s="440"/>
      <c r="DHH49" s="440"/>
      <c r="DHI49" s="440"/>
      <c r="DHJ49" s="440"/>
      <c r="DHK49" s="440"/>
      <c r="DHL49" s="440"/>
      <c r="DHM49" s="440"/>
      <c r="DHN49" s="440"/>
      <c r="DHO49" s="440"/>
      <c r="DHP49" s="440"/>
      <c r="DHQ49" s="440"/>
      <c r="DHR49" s="440"/>
      <c r="DHS49" s="440"/>
      <c r="DHT49" s="440"/>
      <c r="DHU49" s="440"/>
      <c r="DHV49" s="440"/>
      <c r="DHW49" s="440"/>
      <c r="DHX49" s="440"/>
      <c r="DHY49" s="440"/>
      <c r="DHZ49" s="440"/>
      <c r="DIA49" s="440"/>
      <c r="DIB49" s="440"/>
      <c r="DIC49" s="440"/>
      <c r="DID49" s="440"/>
      <c r="DIE49" s="440"/>
      <c r="DIF49" s="440"/>
      <c r="DIG49" s="440"/>
      <c r="DIH49" s="440"/>
      <c r="DII49" s="440"/>
      <c r="DIJ49" s="440"/>
      <c r="DIK49" s="440"/>
      <c r="DIL49" s="440"/>
      <c r="DIM49" s="440"/>
      <c r="DIN49" s="440"/>
      <c r="DIO49" s="440"/>
      <c r="DIP49" s="440"/>
      <c r="DIQ49" s="440"/>
      <c r="DIR49" s="440"/>
      <c r="DIS49" s="440"/>
      <c r="DIT49" s="440"/>
      <c r="DIU49" s="440"/>
      <c r="DIV49" s="440"/>
      <c r="DIW49" s="440"/>
      <c r="DIX49" s="440"/>
      <c r="DIY49" s="440"/>
      <c r="DIZ49" s="440"/>
      <c r="DJA49" s="440"/>
      <c r="DJB49" s="440"/>
      <c r="DJC49" s="440"/>
      <c r="DJD49" s="440"/>
      <c r="DJE49" s="440"/>
      <c r="DJF49" s="440"/>
      <c r="DJG49" s="440"/>
      <c r="DJH49" s="440"/>
      <c r="DJI49" s="440"/>
      <c r="DJJ49" s="440"/>
      <c r="DJK49" s="440"/>
      <c r="DJL49" s="440"/>
      <c r="DJM49" s="440"/>
      <c r="DJN49" s="440"/>
      <c r="DJO49" s="440"/>
      <c r="DJP49" s="440"/>
      <c r="DJQ49" s="440"/>
      <c r="DJR49" s="440"/>
      <c r="DJS49" s="440"/>
      <c r="DJT49" s="440"/>
      <c r="DJU49" s="440"/>
      <c r="DJV49" s="440"/>
      <c r="DJW49" s="440"/>
      <c r="DJX49" s="440"/>
      <c r="DJY49" s="440"/>
      <c r="DJZ49" s="440"/>
      <c r="DKA49" s="440"/>
      <c r="DKB49" s="440"/>
      <c r="DKC49" s="440"/>
      <c r="DKD49" s="440"/>
      <c r="DKE49" s="440"/>
      <c r="DKF49" s="440"/>
      <c r="DKG49" s="440"/>
      <c r="DKH49" s="440"/>
      <c r="DKI49" s="440"/>
      <c r="DKJ49" s="440"/>
      <c r="DKK49" s="440"/>
      <c r="DKL49" s="440"/>
      <c r="DKM49" s="440"/>
      <c r="DKN49" s="440"/>
      <c r="DKO49" s="440"/>
      <c r="DKP49" s="440"/>
      <c r="DKQ49" s="440"/>
      <c r="DKR49" s="440"/>
      <c r="DKS49" s="440"/>
      <c r="DKT49" s="440"/>
      <c r="DKU49" s="440"/>
      <c r="DKV49" s="440"/>
      <c r="DKW49" s="440"/>
      <c r="DKX49" s="440"/>
      <c r="DKY49" s="440"/>
      <c r="DKZ49" s="440"/>
      <c r="DLA49" s="440"/>
      <c r="DLB49" s="440"/>
      <c r="DLC49" s="440"/>
      <c r="DLD49" s="440"/>
      <c r="DLE49" s="440"/>
      <c r="DLF49" s="440"/>
      <c r="DLG49" s="440"/>
      <c r="DLH49" s="440"/>
      <c r="DLI49" s="440"/>
      <c r="DLJ49" s="440"/>
      <c r="DLK49" s="440"/>
      <c r="DLL49" s="440"/>
      <c r="DLM49" s="440"/>
      <c r="DLN49" s="440"/>
      <c r="DLO49" s="440"/>
      <c r="DLP49" s="440"/>
      <c r="DLQ49" s="440"/>
      <c r="DLR49" s="440"/>
      <c r="DLS49" s="440"/>
      <c r="DLT49" s="440"/>
      <c r="DLU49" s="440"/>
      <c r="DLV49" s="440"/>
      <c r="DLW49" s="440"/>
      <c r="DLX49" s="440"/>
      <c r="DLY49" s="440"/>
      <c r="DLZ49" s="440"/>
      <c r="DMA49" s="440"/>
      <c r="DMB49" s="440"/>
      <c r="DMC49" s="440"/>
      <c r="DMD49" s="440"/>
      <c r="DME49" s="440"/>
      <c r="DMF49" s="440"/>
      <c r="DMG49" s="440"/>
      <c r="DMH49" s="440"/>
      <c r="DMI49" s="440"/>
      <c r="DMJ49" s="440"/>
      <c r="DMK49" s="440"/>
      <c r="DML49" s="440"/>
      <c r="DMM49" s="440"/>
      <c r="DMN49" s="440"/>
      <c r="DMO49" s="440"/>
      <c r="DMP49" s="440"/>
      <c r="DMQ49" s="440"/>
      <c r="DMR49" s="440"/>
      <c r="DMS49" s="440"/>
      <c r="DMT49" s="440"/>
      <c r="DMU49" s="440"/>
      <c r="DMV49" s="440"/>
      <c r="DMW49" s="440"/>
      <c r="DMX49" s="440"/>
      <c r="DMY49" s="440"/>
      <c r="DMZ49" s="440"/>
      <c r="DNA49" s="440"/>
      <c r="DNB49" s="440"/>
      <c r="DNC49" s="440"/>
      <c r="DNE49" s="440"/>
      <c r="DNF49" s="440"/>
      <c r="DNG49" s="440"/>
      <c r="DNH49" s="440"/>
      <c r="DNI49" s="440"/>
      <c r="DNJ49" s="440"/>
      <c r="DNK49" s="440"/>
      <c r="DNL49" s="440"/>
      <c r="DNM49" s="440"/>
      <c r="DNN49" s="440"/>
      <c r="DNO49" s="440"/>
      <c r="DNP49" s="440"/>
      <c r="DNQ49" s="440"/>
      <c r="DNR49" s="440"/>
      <c r="DNS49" s="440"/>
      <c r="DNT49" s="440"/>
      <c r="DNU49" s="440"/>
      <c r="DNV49" s="440"/>
      <c r="DNW49" s="440"/>
      <c r="DNX49" s="440"/>
      <c r="DNY49" s="440"/>
      <c r="DNZ49" s="440"/>
      <c r="DOA49" s="440"/>
      <c r="DOB49" s="440"/>
      <c r="DOC49" s="440"/>
      <c r="DOD49" s="440"/>
      <c r="DOE49" s="440"/>
      <c r="DOF49" s="440"/>
      <c r="DOG49" s="440"/>
      <c r="DOH49" s="440"/>
      <c r="DOI49" s="440"/>
      <c r="DOJ49" s="440"/>
      <c r="DOK49" s="440"/>
      <c r="DOL49" s="440"/>
      <c r="DOM49" s="440"/>
      <c r="DON49" s="440"/>
      <c r="DOO49" s="440"/>
      <c r="DOP49" s="440"/>
      <c r="DOQ49" s="440"/>
      <c r="DOR49" s="440"/>
      <c r="DOS49" s="440"/>
      <c r="DOT49" s="440"/>
      <c r="DOU49" s="440"/>
      <c r="DOV49" s="440"/>
      <c r="DOW49" s="440"/>
      <c r="DOX49" s="440"/>
      <c r="DOY49" s="440"/>
      <c r="DOZ49" s="440"/>
      <c r="DPA49" s="440"/>
      <c r="DPB49" s="440"/>
      <c r="DPC49" s="440"/>
      <c r="DPD49" s="440"/>
      <c r="DPE49" s="440"/>
      <c r="DPF49" s="440"/>
      <c r="DPG49" s="440"/>
      <c r="DPH49" s="440"/>
      <c r="DPI49" s="440"/>
      <c r="DPJ49" s="440"/>
      <c r="DPK49" s="440"/>
      <c r="DPL49" s="440"/>
      <c r="DPM49" s="440"/>
      <c r="DPN49" s="440"/>
      <c r="DPO49" s="440"/>
      <c r="DPP49" s="440"/>
      <c r="DPQ49" s="440"/>
      <c r="DPR49" s="440"/>
      <c r="DPS49" s="440"/>
      <c r="DPT49" s="440"/>
      <c r="DPU49" s="440"/>
      <c r="DPV49" s="440"/>
      <c r="DPW49" s="440"/>
      <c r="DPX49" s="440"/>
      <c r="DPY49" s="440"/>
      <c r="DPZ49" s="440"/>
      <c r="DQA49" s="440"/>
      <c r="DQB49" s="440"/>
      <c r="DQC49" s="440"/>
      <c r="DQD49" s="440"/>
      <c r="DQE49" s="440"/>
      <c r="DQF49" s="440"/>
      <c r="DQG49" s="440"/>
      <c r="DQH49" s="440"/>
      <c r="DQI49" s="440"/>
      <c r="DQJ49" s="440"/>
      <c r="DQK49" s="440"/>
      <c r="DQL49" s="440"/>
      <c r="DQM49" s="440"/>
      <c r="DQN49" s="440"/>
      <c r="DQO49" s="440"/>
      <c r="DQP49" s="440"/>
      <c r="DQQ49" s="440"/>
      <c r="DQR49" s="440"/>
      <c r="DQS49" s="440"/>
      <c r="DQT49" s="440"/>
      <c r="DQU49" s="440"/>
      <c r="DQV49" s="440"/>
      <c r="DQW49" s="440"/>
      <c r="DQX49" s="440"/>
      <c r="DQY49" s="440"/>
      <c r="DQZ49" s="440"/>
      <c r="DRA49" s="440"/>
      <c r="DRB49" s="440"/>
      <c r="DRC49" s="440"/>
      <c r="DRD49" s="440"/>
      <c r="DRE49" s="440"/>
      <c r="DRF49" s="440"/>
      <c r="DRG49" s="440"/>
      <c r="DRH49" s="440"/>
      <c r="DRI49" s="440"/>
      <c r="DRJ49" s="440"/>
      <c r="DRK49" s="440"/>
      <c r="DRL49" s="440"/>
      <c r="DRM49" s="440"/>
      <c r="DRN49" s="440"/>
      <c r="DRO49" s="440"/>
      <c r="DRP49" s="440"/>
      <c r="DRQ49" s="440"/>
      <c r="DRR49" s="440"/>
      <c r="DRS49" s="440"/>
      <c r="DRT49" s="440"/>
      <c r="DRU49" s="440"/>
      <c r="DRV49" s="440"/>
      <c r="DRW49" s="440"/>
      <c r="DRX49" s="440"/>
      <c r="DRY49" s="440"/>
      <c r="DRZ49" s="440"/>
      <c r="DSA49" s="440"/>
      <c r="DSB49" s="440"/>
      <c r="DSC49" s="440"/>
      <c r="DSD49" s="440"/>
      <c r="DSE49" s="440"/>
      <c r="DSF49" s="440"/>
      <c r="DSG49" s="440"/>
      <c r="DSH49" s="440"/>
      <c r="DSI49" s="440"/>
      <c r="DSJ49" s="440"/>
      <c r="DSK49" s="440"/>
      <c r="DSL49" s="440"/>
      <c r="DSM49" s="440"/>
      <c r="DSN49" s="440"/>
      <c r="DSO49" s="440"/>
      <c r="DSP49" s="440"/>
      <c r="DSQ49" s="440"/>
      <c r="DSR49" s="440"/>
      <c r="DSS49" s="440"/>
      <c r="DST49" s="440"/>
      <c r="DSU49" s="440"/>
      <c r="DSV49" s="440"/>
      <c r="DSW49" s="440"/>
      <c r="DSX49" s="440"/>
      <c r="DSY49" s="440"/>
      <c r="DSZ49" s="440"/>
      <c r="DTA49" s="440"/>
      <c r="DTB49" s="440"/>
      <c r="DTC49" s="440"/>
      <c r="DTD49" s="440"/>
      <c r="DTE49" s="440"/>
      <c r="DTF49" s="440"/>
      <c r="DTG49" s="440"/>
      <c r="DTH49" s="440"/>
      <c r="DTI49" s="440"/>
      <c r="DTJ49" s="440"/>
      <c r="DTK49" s="440"/>
      <c r="DTL49" s="440"/>
      <c r="DTM49" s="440"/>
      <c r="DTN49" s="440"/>
      <c r="DTO49" s="440"/>
      <c r="DTP49" s="440"/>
      <c r="DTQ49" s="440"/>
      <c r="DTR49" s="440"/>
      <c r="DTS49" s="440"/>
      <c r="DTT49" s="440"/>
      <c r="DTU49" s="440"/>
      <c r="DTV49" s="440"/>
      <c r="DTW49" s="440"/>
      <c r="DTX49" s="440"/>
      <c r="DTY49" s="440"/>
      <c r="DTZ49" s="440"/>
      <c r="DUA49" s="440"/>
      <c r="DUB49" s="440"/>
      <c r="DUC49" s="440"/>
      <c r="DUD49" s="440"/>
      <c r="DUE49" s="440"/>
      <c r="DUF49" s="440"/>
      <c r="DUG49" s="440"/>
      <c r="DUH49" s="440"/>
      <c r="DUI49" s="440"/>
      <c r="DUJ49" s="440"/>
      <c r="DUK49" s="440"/>
      <c r="DUL49" s="440"/>
      <c r="DUM49" s="440"/>
      <c r="DUN49" s="440"/>
      <c r="DUO49" s="440"/>
      <c r="DUP49" s="440"/>
      <c r="DUQ49" s="440"/>
      <c r="DUR49" s="440"/>
      <c r="DUS49" s="440"/>
      <c r="DUT49" s="440"/>
      <c r="DUU49" s="440"/>
      <c r="DUV49" s="440"/>
      <c r="DUW49" s="440"/>
      <c r="DUX49" s="440"/>
      <c r="DUY49" s="440"/>
      <c r="DUZ49" s="440"/>
      <c r="DVA49" s="440"/>
      <c r="DVB49" s="440"/>
      <c r="DVC49" s="440"/>
      <c r="DVD49" s="440"/>
      <c r="DVE49" s="440"/>
      <c r="DVF49" s="440"/>
      <c r="DVG49" s="440"/>
      <c r="DVH49" s="440"/>
      <c r="DVI49" s="440"/>
      <c r="DVJ49" s="440"/>
      <c r="DVK49" s="440"/>
      <c r="DVL49" s="440"/>
      <c r="DVM49" s="440"/>
      <c r="DVN49" s="440"/>
      <c r="DVO49" s="440"/>
      <c r="DVP49" s="440"/>
      <c r="DVQ49" s="440"/>
      <c r="DVR49" s="440"/>
      <c r="DVS49" s="440"/>
      <c r="DVT49" s="440"/>
      <c r="DVU49" s="440"/>
      <c r="DVV49" s="440"/>
      <c r="DVW49" s="440"/>
      <c r="DVX49" s="440"/>
      <c r="DVY49" s="440"/>
      <c r="DVZ49" s="440"/>
      <c r="DWA49" s="440"/>
      <c r="DWB49" s="440"/>
      <c r="DWC49" s="440"/>
      <c r="DWD49" s="440"/>
      <c r="DWE49" s="440"/>
      <c r="DWF49" s="440"/>
      <c r="DWG49" s="440"/>
      <c r="DWH49" s="440"/>
      <c r="DWI49" s="440"/>
      <c r="DWJ49" s="440"/>
      <c r="DWK49" s="440"/>
      <c r="DWL49" s="440"/>
      <c r="DWM49" s="440"/>
      <c r="DWN49" s="440"/>
      <c r="DWO49" s="440"/>
      <c r="DWP49" s="440"/>
      <c r="DWQ49" s="440"/>
      <c r="DWR49" s="440"/>
      <c r="DWS49" s="440"/>
      <c r="DWT49" s="440"/>
      <c r="DWU49" s="440"/>
      <c r="DWV49" s="440"/>
      <c r="DWW49" s="440"/>
      <c r="DWX49" s="440"/>
      <c r="DWY49" s="440"/>
      <c r="DXA49" s="440"/>
      <c r="DXB49" s="440"/>
      <c r="DXC49" s="440"/>
      <c r="DXD49" s="440"/>
      <c r="DXE49" s="440"/>
      <c r="DXF49" s="440"/>
      <c r="DXG49" s="440"/>
      <c r="DXH49" s="440"/>
      <c r="DXI49" s="440"/>
      <c r="DXJ49" s="440"/>
      <c r="DXK49" s="440"/>
      <c r="DXL49" s="440"/>
      <c r="DXM49" s="440"/>
      <c r="DXN49" s="440"/>
      <c r="DXO49" s="440"/>
      <c r="DXP49" s="440"/>
      <c r="DXQ49" s="440"/>
      <c r="DXR49" s="440"/>
      <c r="DXS49" s="440"/>
      <c r="DXT49" s="440"/>
      <c r="DXU49" s="440"/>
      <c r="DXV49" s="440"/>
      <c r="DXW49" s="440"/>
      <c r="DXX49" s="440"/>
      <c r="DXY49" s="440"/>
      <c r="DXZ49" s="440"/>
      <c r="DYA49" s="440"/>
      <c r="DYB49" s="440"/>
      <c r="DYC49" s="440"/>
      <c r="DYD49" s="440"/>
      <c r="DYE49" s="440"/>
      <c r="DYF49" s="440"/>
      <c r="DYG49" s="440"/>
      <c r="DYH49" s="440"/>
      <c r="DYI49" s="440"/>
      <c r="DYJ49" s="440"/>
      <c r="DYK49" s="440"/>
      <c r="DYL49" s="440"/>
      <c r="DYM49" s="440"/>
      <c r="DYN49" s="440"/>
      <c r="DYO49" s="440"/>
      <c r="DYP49" s="440"/>
      <c r="DYQ49" s="440"/>
      <c r="DYR49" s="440"/>
      <c r="DYS49" s="440"/>
      <c r="DYT49" s="440"/>
      <c r="DYU49" s="440"/>
      <c r="DYV49" s="440"/>
      <c r="DYW49" s="440"/>
      <c r="DYX49" s="440"/>
      <c r="DYY49" s="440"/>
      <c r="DYZ49" s="440"/>
      <c r="DZA49" s="440"/>
      <c r="DZB49" s="440"/>
      <c r="DZC49" s="440"/>
      <c r="DZD49" s="440"/>
      <c r="DZE49" s="440"/>
      <c r="DZF49" s="440"/>
      <c r="DZG49" s="440"/>
      <c r="DZH49" s="440"/>
      <c r="DZI49" s="440"/>
      <c r="DZJ49" s="440"/>
      <c r="DZK49" s="440"/>
      <c r="DZL49" s="440"/>
      <c r="DZM49" s="440"/>
      <c r="DZN49" s="440"/>
      <c r="DZO49" s="440"/>
      <c r="DZP49" s="440"/>
      <c r="DZQ49" s="440"/>
      <c r="DZR49" s="440"/>
      <c r="DZS49" s="440"/>
      <c r="DZT49" s="440"/>
      <c r="DZU49" s="440"/>
      <c r="DZV49" s="440"/>
      <c r="DZW49" s="440"/>
      <c r="DZX49" s="440"/>
      <c r="DZY49" s="440"/>
      <c r="DZZ49" s="440"/>
      <c r="EAA49" s="440"/>
      <c r="EAB49" s="440"/>
      <c r="EAC49" s="440"/>
      <c r="EAD49" s="440"/>
      <c r="EAE49" s="440"/>
      <c r="EAF49" s="440"/>
      <c r="EAG49" s="440"/>
      <c r="EAH49" s="440"/>
      <c r="EAI49" s="440"/>
      <c r="EAJ49" s="440"/>
      <c r="EAK49" s="440"/>
      <c r="EAL49" s="440"/>
      <c r="EAM49" s="440"/>
      <c r="EAN49" s="440"/>
      <c r="EAO49" s="440"/>
      <c r="EAP49" s="440"/>
      <c r="EAQ49" s="440"/>
      <c r="EAR49" s="440"/>
      <c r="EAS49" s="440"/>
      <c r="EAT49" s="440"/>
      <c r="EAU49" s="440"/>
      <c r="EAV49" s="440"/>
      <c r="EAW49" s="440"/>
      <c r="EAX49" s="440"/>
      <c r="EAY49" s="440"/>
      <c r="EAZ49" s="440"/>
      <c r="EBA49" s="440"/>
      <c r="EBB49" s="440"/>
      <c r="EBC49" s="440"/>
      <c r="EBD49" s="440"/>
      <c r="EBE49" s="440"/>
      <c r="EBF49" s="440"/>
      <c r="EBG49" s="440"/>
      <c r="EBH49" s="440"/>
      <c r="EBI49" s="440"/>
      <c r="EBJ49" s="440"/>
      <c r="EBK49" s="440"/>
      <c r="EBL49" s="440"/>
      <c r="EBM49" s="440"/>
      <c r="EBN49" s="440"/>
      <c r="EBO49" s="440"/>
      <c r="EBP49" s="440"/>
      <c r="EBQ49" s="440"/>
      <c r="EBR49" s="440"/>
      <c r="EBS49" s="440"/>
      <c r="EBT49" s="440"/>
      <c r="EBU49" s="440"/>
      <c r="EBV49" s="440"/>
      <c r="EBW49" s="440"/>
      <c r="EBX49" s="440"/>
      <c r="EBY49" s="440"/>
      <c r="EBZ49" s="440"/>
      <c r="ECA49" s="440"/>
      <c r="ECB49" s="440"/>
      <c r="ECC49" s="440"/>
      <c r="ECD49" s="440"/>
      <c r="ECE49" s="440"/>
      <c r="ECF49" s="440"/>
      <c r="ECG49" s="440"/>
      <c r="ECH49" s="440"/>
      <c r="ECI49" s="440"/>
      <c r="ECJ49" s="440"/>
      <c r="ECK49" s="440"/>
      <c r="ECL49" s="440"/>
      <c r="ECM49" s="440"/>
      <c r="ECN49" s="440"/>
      <c r="ECO49" s="440"/>
      <c r="ECP49" s="440"/>
      <c r="ECQ49" s="440"/>
      <c r="ECR49" s="440"/>
      <c r="ECS49" s="440"/>
      <c r="ECT49" s="440"/>
      <c r="ECU49" s="440"/>
      <c r="ECV49" s="440"/>
      <c r="ECW49" s="440"/>
      <c r="ECX49" s="440"/>
      <c r="ECY49" s="440"/>
      <c r="ECZ49" s="440"/>
      <c r="EDA49" s="440"/>
      <c r="EDB49" s="440"/>
      <c r="EDC49" s="440"/>
      <c r="EDD49" s="440"/>
      <c r="EDE49" s="440"/>
      <c r="EDF49" s="440"/>
      <c r="EDG49" s="440"/>
      <c r="EDH49" s="440"/>
      <c r="EDI49" s="440"/>
      <c r="EDJ49" s="440"/>
      <c r="EDK49" s="440"/>
      <c r="EDL49" s="440"/>
      <c r="EDM49" s="440"/>
      <c r="EDN49" s="440"/>
      <c r="EDO49" s="440"/>
      <c r="EDP49" s="440"/>
      <c r="EDQ49" s="440"/>
      <c r="EDR49" s="440"/>
      <c r="EDS49" s="440"/>
      <c r="EDT49" s="440"/>
      <c r="EDU49" s="440"/>
      <c r="EDV49" s="440"/>
      <c r="EDW49" s="440"/>
      <c r="EDX49" s="440"/>
      <c r="EDY49" s="440"/>
      <c r="EDZ49" s="440"/>
      <c r="EEA49" s="440"/>
      <c r="EEB49" s="440"/>
      <c r="EEC49" s="440"/>
      <c r="EED49" s="440"/>
      <c r="EEE49" s="440"/>
      <c r="EEF49" s="440"/>
      <c r="EEG49" s="440"/>
      <c r="EEH49" s="440"/>
      <c r="EEI49" s="440"/>
      <c r="EEJ49" s="440"/>
      <c r="EEK49" s="440"/>
      <c r="EEL49" s="440"/>
      <c r="EEM49" s="440"/>
      <c r="EEN49" s="440"/>
      <c r="EEO49" s="440"/>
      <c r="EEP49" s="440"/>
      <c r="EEQ49" s="440"/>
      <c r="EER49" s="440"/>
      <c r="EES49" s="440"/>
      <c r="EET49" s="440"/>
      <c r="EEU49" s="440"/>
      <c r="EEV49" s="440"/>
      <c r="EEW49" s="440"/>
      <c r="EEX49" s="440"/>
      <c r="EEY49" s="440"/>
      <c r="EEZ49" s="440"/>
      <c r="EFA49" s="440"/>
      <c r="EFB49" s="440"/>
      <c r="EFC49" s="440"/>
      <c r="EFD49" s="440"/>
      <c r="EFE49" s="440"/>
      <c r="EFF49" s="440"/>
      <c r="EFG49" s="440"/>
      <c r="EFH49" s="440"/>
      <c r="EFI49" s="440"/>
      <c r="EFJ49" s="440"/>
      <c r="EFK49" s="440"/>
      <c r="EFL49" s="440"/>
      <c r="EFM49" s="440"/>
      <c r="EFN49" s="440"/>
      <c r="EFO49" s="440"/>
      <c r="EFP49" s="440"/>
      <c r="EFQ49" s="440"/>
      <c r="EFR49" s="440"/>
      <c r="EFS49" s="440"/>
      <c r="EFT49" s="440"/>
      <c r="EFU49" s="440"/>
      <c r="EFV49" s="440"/>
      <c r="EFW49" s="440"/>
      <c r="EFX49" s="440"/>
      <c r="EFY49" s="440"/>
      <c r="EFZ49" s="440"/>
      <c r="EGA49" s="440"/>
      <c r="EGB49" s="440"/>
      <c r="EGC49" s="440"/>
      <c r="EGD49" s="440"/>
      <c r="EGE49" s="440"/>
      <c r="EGF49" s="440"/>
      <c r="EGG49" s="440"/>
      <c r="EGH49" s="440"/>
      <c r="EGI49" s="440"/>
      <c r="EGJ49" s="440"/>
      <c r="EGK49" s="440"/>
      <c r="EGL49" s="440"/>
      <c r="EGM49" s="440"/>
      <c r="EGN49" s="440"/>
      <c r="EGO49" s="440"/>
      <c r="EGP49" s="440"/>
      <c r="EGQ49" s="440"/>
      <c r="EGR49" s="440"/>
      <c r="EGS49" s="440"/>
      <c r="EGT49" s="440"/>
      <c r="EGU49" s="440"/>
      <c r="EGW49" s="440"/>
      <c r="EGX49" s="440"/>
      <c r="EGY49" s="440"/>
      <c r="EGZ49" s="440"/>
      <c r="EHA49" s="440"/>
      <c r="EHB49" s="440"/>
      <c r="EHC49" s="440"/>
      <c r="EHD49" s="440"/>
      <c r="EHE49" s="440"/>
      <c r="EHF49" s="440"/>
      <c r="EHG49" s="440"/>
      <c r="EHH49" s="440"/>
      <c r="EHI49" s="440"/>
      <c r="EHJ49" s="440"/>
      <c r="EHK49" s="440"/>
      <c r="EHL49" s="440"/>
      <c r="EHM49" s="440"/>
      <c r="EHN49" s="440"/>
      <c r="EHO49" s="440"/>
      <c r="EHP49" s="440"/>
      <c r="EHQ49" s="440"/>
      <c r="EHR49" s="440"/>
      <c r="EHS49" s="440"/>
      <c r="EHT49" s="440"/>
      <c r="EHU49" s="440"/>
      <c r="EHV49" s="440"/>
      <c r="EHW49" s="440"/>
      <c r="EHX49" s="440"/>
      <c r="EHY49" s="440"/>
      <c r="EHZ49" s="440"/>
      <c r="EIA49" s="440"/>
      <c r="EIB49" s="440"/>
      <c r="EIC49" s="440"/>
      <c r="EID49" s="440"/>
      <c r="EIE49" s="440"/>
      <c r="EIF49" s="440"/>
      <c r="EIG49" s="440"/>
      <c r="EIH49" s="440"/>
      <c r="EII49" s="440"/>
      <c r="EIJ49" s="440"/>
      <c r="EIK49" s="440"/>
      <c r="EIL49" s="440"/>
      <c r="EIM49" s="440"/>
      <c r="EIN49" s="440"/>
      <c r="EIO49" s="440"/>
      <c r="EIP49" s="440"/>
      <c r="EIQ49" s="440"/>
      <c r="EIR49" s="440"/>
      <c r="EIS49" s="440"/>
      <c r="EIT49" s="440"/>
      <c r="EIU49" s="440"/>
      <c r="EIV49" s="440"/>
      <c r="EIW49" s="440"/>
      <c r="EIX49" s="440"/>
      <c r="EIY49" s="440"/>
      <c r="EIZ49" s="440"/>
      <c r="EJA49" s="440"/>
      <c r="EJB49" s="440"/>
      <c r="EJC49" s="440"/>
      <c r="EJD49" s="440"/>
      <c r="EJE49" s="440"/>
      <c r="EJF49" s="440"/>
      <c r="EJG49" s="440"/>
      <c r="EJH49" s="440"/>
      <c r="EJI49" s="440"/>
      <c r="EJJ49" s="440"/>
      <c r="EJK49" s="440"/>
      <c r="EJL49" s="440"/>
      <c r="EJM49" s="440"/>
      <c r="EJN49" s="440"/>
      <c r="EJO49" s="440"/>
      <c r="EJP49" s="440"/>
      <c r="EJQ49" s="440"/>
      <c r="EJR49" s="440"/>
      <c r="EJS49" s="440"/>
      <c r="EJT49" s="440"/>
      <c r="EJU49" s="440"/>
      <c r="EJV49" s="440"/>
      <c r="EJW49" s="440"/>
      <c r="EJX49" s="440"/>
      <c r="EJY49" s="440"/>
      <c r="EJZ49" s="440"/>
      <c r="EKA49" s="440"/>
      <c r="EKB49" s="440"/>
      <c r="EKC49" s="440"/>
      <c r="EKD49" s="440"/>
      <c r="EKE49" s="440"/>
      <c r="EKF49" s="440"/>
      <c r="EKG49" s="440"/>
      <c r="EKH49" s="440"/>
      <c r="EKI49" s="440"/>
      <c r="EKJ49" s="440"/>
      <c r="EKK49" s="440"/>
      <c r="EKL49" s="440"/>
      <c r="EKM49" s="440"/>
      <c r="EKN49" s="440"/>
      <c r="EKO49" s="440"/>
      <c r="EKP49" s="440"/>
      <c r="EKQ49" s="440"/>
      <c r="EKR49" s="440"/>
      <c r="EKS49" s="440"/>
      <c r="EKT49" s="440"/>
      <c r="EKU49" s="440"/>
      <c r="EKV49" s="440"/>
      <c r="EKW49" s="440"/>
      <c r="EKX49" s="440"/>
      <c r="EKY49" s="440"/>
      <c r="EKZ49" s="440"/>
      <c r="ELA49" s="440"/>
      <c r="ELB49" s="440"/>
      <c r="ELC49" s="440"/>
      <c r="ELD49" s="440"/>
      <c r="ELE49" s="440"/>
      <c r="ELF49" s="440"/>
      <c r="ELG49" s="440"/>
      <c r="ELH49" s="440"/>
      <c r="ELI49" s="440"/>
      <c r="ELJ49" s="440"/>
      <c r="ELK49" s="440"/>
      <c r="ELL49" s="440"/>
      <c r="ELM49" s="440"/>
      <c r="ELN49" s="440"/>
      <c r="ELO49" s="440"/>
      <c r="ELP49" s="440"/>
      <c r="ELQ49" s="440"/>
      <c r="ELR49" s="440"/>
      <c r="ELS49" s="440"/>
      <c r="ELT49" s="440"/>
      <c r="ELU49" s="440"/>
      <c r="ELV49" s="440"/>
      <c r="ELW49" s="440"/>
      <c r="ELX49" s="440"/>
      <c r="ELY49" s="440"/>
      <c r="ELZ49" s="440"/>
      <c r="EMA49" s="440"/>
      <c r="EMB49" s="440"/>
      <c r="EMC49" s="440"/>
      <c r="EMD49" s="440"/>
      <c r="EME49" s="440"/>
      <c r="EMF49" s="440"/>
      <c r="EMG49" s="440"/>
      <c r="EMH49" s="440"/>
      <c r="EMI49" s="440"/>
      <c r="EMJ49" s="440"/>
      <c r="EMK49" s="440"/>
      <c r="EML49" s="440"/>
      <c r="EMM49" s="440"/>
      <c r="EMN49" s="440"/>
      <c r="EMO49" s="440"/>
      <c r="EMP49" s="440"/>
      <c r="EMQ49" s="440"/>
      <c r="EMR49" s="440"/>
      <c r="EMS49" s="440"/>
      <c r="EMT49" s="440"/>
      <c r="EMU49" s="440"/>
      <c r="EMV49" s="440"/>
      <c r="EMW49" s="440"/>
      <c r="EMX49" s="440"/>
      <c r="EMY49" s="440"/>
      <c r="EMZ49" s="440"/>
      <c r="ENA49" s="440"/>
      <c r="ENB49" s="440"/>
      <c r="ENC49" s="440"/>
      <c r="END49" s="440"/>
      <c r="ENE49" s="440"/>
      <c r="ENF49" s="440"/>
      <c r="ENG49" s="440"/>
      <c r="ENH49" s="440"/>
      <c r="ENI49" s="440"/>
      <c r="ENJ49" s="440"/>
      <c r="ENK49" s="440"/>
      <c r="ENL49" s="440"/>
      <c r="ENM49" s="440"/>
      <c r="ENN49" s="440"/>
      <c r="ENO49" s="440"/>
      <c r="ENP49" s="440"/>
      <c r="ENQ49" s="440"/>
      <c r="ENR49" s="440"/>
      <c r="ENS49" s="440"/>
      <c r="ENT49" s="440"/>
      <c r="ENU49" s="440"/>
      <c r="ENV49" s="440"/>
      <c r="ENW49" s="440"/>
      <c r="ENX49" s="440"/>
      <c r="ENY49" s="440"/>
      <c r="ENZ49" s="440"/>
      <c r="EOA49" s="440"/>
      <c r="EOB49" s="440"/>
      <c r="EOC49" s="440"/>
      <c r="EOD49" s="440"/>
      <c r="EOE49" s="440"/>
      <c r="EOF49" s="440"/>
      <c r="EOG49" s="440"/>
      <c r="EOH49" s="440"/>
      <c r="EOI49" s="440"/>
      <c r="EOJ49" s="440"/>
      <c r="EOK49" s="440"/>
      <c r="EOL49" s="440"/>
      <c r="EOM49" s="440"/>
      <c r="EON49" s="440"/>
      <c r="EOO49" s="440"/>
      <c r="EOP49" s="440"/>
      <c r="EOQ49" s="440"/>
      <c r="EOR49" s="440"/>
      <c r="EOS49" s="440"/>
      <c r="EOT49" s="440"/>
      <c r="EOU49" s="440"/>
      <c r="EOV49" s="440"/>
      <c r="EOW49" s="440"/>
      <c r="EOX49" s="440"/>
      <c r="EOY49" s="440"/>
      <c r="EOZ49" s="440"/>
      <c r="EPA49" s="440"/>
      <c r="EPB49" s="440"/>
      <c r="EPC49" s="440"/>
      <c r="EPD49" s="440"/>
      <c r="EPE49" s="440"/>
      <c r="EPF49" s="440"/>
      <c r="EPG49" s="440"/>
      <c r="EPH49" s="440"/>
      <c r="EPI49" s="440"/>
      <c r="EPJ49" s="440"/>
      <c r="EPK49" s="440"/>
      <c r="EPL49" s="440"/>
      <c r="EPM49" s="440"/>
      <c r="EPN49" s="440"/>
      <c r="EPO49" s="440"/>
      <c r="EPP49" s="440"/>
      <c r="EPQ49" s="440"/>
      <c r="EPR49" s="440"/>
      <c r="EPS49" s="440"/>
      <c r="EPT49" s="440"/>
      <c r="EPU49" s="440"/>
      <c r="EPV49" s="440"/>
      <c r="EPW49" s="440"/>
      <c r="EPX49" s="440"/>
      <c r="EPY49" s="440"/>
      <c r="EPZ49" s="440"/>
      <c r="EQA49" s="440"/>
      <c r="EQB49" s="440"/>
      <c r="EQC49" s="440"/>
      <c r="EQD49" s="440"/>
      <c r="EQE49" s="440"/>
      <c r="EQF49" s="440"/>
      <c r="EQG49" s="440"/>
      <c r="EQH49" s="440"/>
      <c r="EQI49" s="440"/>
      <c r="EQJ49" s="440"/>
      <c r="EQK49" s="440"/>
      <c r="EQL49" s="440"/>
      <c r="EQM49" s="440"/>
      <c r="EQN49" s="440"/>
      <c r="EQO49" s="440"/>
      <c r="EQP49" s="440"/>
      <c r="EQQ49" s="440"/>
      <c r="EQS49" s="440"/>
      <c r="EQT49" s="440"/>
      <c r="EQU49" s="440"/>
      <c r="EQV49" s="440"/>
      <c r="EQW49" s="440"/>
      <c r="EQX49" s="440"/>
      <c r="EQY49" s="440"/>
      <c r="EQZ49" s="440"/>
      <c r="ERA49" s="440"/>
      <c r="ERB49" s="440"/>
      <c r="ERC49" s="440"/>
      <c r="ERD49" s="440"/>
      <c r="ERE49" s="440"/>
      <c r="ERF49" s="440"/>
      <c r="ERG49" s="440"/>
      <c r="ERH49" s="440"/>
      <c r="ERI49" s="440"/>
      <c r="ERJ49" s="440"/>
      <c r="ERK49" s="440"/>
      <c r="ERL49" s="440"/>
      <c r="ERM49" s="440"/>
      <c r="ERN49" s="440"/>
      <c r="ERO49" s="440"/>
      <c r="ERP49" s="440"/>
      <c r="ERQ49" s="440"/>
      <c r="ERR49" s="440"/>
      <c r="ERS49" s="440"/>
      <c r="ERT49" s="440"/>
      <c r="ERU49" s="440"/>
      <c r="ERV49" s="440"/>
      <c r="ERW49" s="440"/>
      <c r="ERX49" s="440"/>
      <c r="ERY49" s="440"/>
      <c r="ERZ49" s="440"/>
      <c r="ESA49" s="440"/>
      <c r="ESB49" s="440"/>
      <c r="ESC49" s="440"/>
      <c r="ESD49" s="440"/>
      <c r="ESE49" s="440"/>
      <c r="ESF49" s="440"/>
      <c r="ESG49" s="440"/>
      <c r="ESH49" s="440"/>
      <c r="ESI49" s="440"/>
      <c r="ESJ49" s="440"/>
      <c r="ESK49" s="440"/>
      <c r="ESL49" s="440"/>
      <c r="ESM49" s="440"/>
      <c r="ESN49" s="440"/>
      <c r="ESO49" s="440"/>
      <c r="ESP49" s="440"/>
      <c r="ESQ49" s="440"/>
      <c r="ESR49" s="440"/>
      <c r="ESS49" s="440"/>
      <c r="EST49" s="440"/>
      <c r="ESU49" s="440"/>
      <c r="ESV49" s="440"/>
      <c r="ESW49" s="440"/>
      <c r="ESX49" s="440"/>
      <c r="ESY49" s="440"/>
      <c r="ESZ49" s="440"/>
      <c r="ETA49" s="440"/>
      <c r="ETB49" s="440"/>
      <c r="ETC49" s="440"/>
      <c r="ETD49" s="440"/>
      <c r="ETE49" s="440"/>
      <c r="ETF49" s="440"/>
      <c r="ETG49" s="440"/>
      <c r="ETH49" s="440"/>
      <c r="ETI49" s="440"/>
      <c r="ETJ49" s="440"/>
      <c r="ETK49" s="440"/>
      <c r="ETL49" s="440"/>
      <c r="ETM49" s="440"/>
      <c r="ETN49" s="440"/>
      <c r="ETO49" s="440"/>
      <c r="ETP49" s="440"/>
      <c r="ETQ49" s="440"/>
      <c r="ETR49" s="440"/>
      <c r="ETS49" s="440"/>
      <c r="ETT49" s="440"/>
      <c r="ETU49" s="440"/>
      <c r="ETV49" s="440"/>
      <c r="ETW49" s="440"/>
      <c r="ETX49" s="440"/>
      <c r="ETY49" s="440"/>
      <c r="ETZ49" s="440"/>
      <c r="EUA49" s="440"/>
      <c r="EUB49" s="440"/>
      <c r="EUC49" s="440"/>
      <c r="EUD49" s="440"/>
      <c r="EUE49" s="440"/>
      <c r="EUF49" s="440"/>
      <c r="EUG49" s="440"/>
      <c r="EUH49" s="440"/>
      <c r="EUI49" s="440"/>
      <c r="EUJ49" s="440"/>
      <c r="EUK49" s="440"/>
      <c r="EUL49" s="440"/>
      <c r="EUM49" s="440"/>
      <c r="EUN49" s="440"/>
      <c r="EUO49" s="440"/>
      <c r="EUP49" s="440"/>
      <c r="EUQ49" s="440"/>
      <c r="EUR49" s="440"/>
      <c r="EUS49" s="440"/>
      <c r="EUT49" s="440"/>
      <c r="EUU49" s="440"/>
      <c r="EUV49" s="440"/>
      <c r="EUW49" s="440"/>
      <c r="EUX49" s="440"/>
      <c r="EUY49" s="440"/>
      <c r="EUZ49" s="440"/>
      <c r="EVA49" s="440"/>
      <c r="EVB49" s="440"/>
      <c r="EVC49" s="440"/>
      <c r="EVD49" s="440"/>
      <c r="EVE49" s="440"/>
      <c r="EVF49" s="440"/>
      <c r="EVG49" s="440"/>
      <c r="EVH49" s="440"/>
      <c r="EVI49" s="440"/>
      <c r="EVJ49" s="440"/>
      <c r="EVK49" s="440"/>
      <c r="EVL49" s="440"/>
      <c r="EVM49" s="440"/>
      <c r="EVN49" s="440"/>
      <c r="EVO49" s="440"/>
      <c r="EVP49" s="440"/>
      <c r="EVQ49" s="440"/>
      <c r="EVR49" s="440"/>
      <c r="EVS49" s="440"/>
      <c r="EVT49" s="440"/>
      <c r="EVU49" s="440"/>
      <c r="EVV49" s="440"/>
      <c r="EVW49" s="440"/>
      <c r="EVX49" s="440"/>
      <c r="EVY49" s="440"/>
      <c r="EVZ49" s="440"/>
      <c r="EWA49" s="440"/>
      <c r="EWB49" s="440"/>
      <c r="EWC49" s="440"/>
      <c r="EWD49" s="440"/>
      <c r="EWE49" s="440"/>
      <c r="EWF49" s="440"/>
      <c r="EWG49" s="440"/>
      <c r="EWH49" s="440"/>
      <c r="EWI49" s="440"/>
      <c r="EWJ49" s="440"/>
      <c r="EWK49" s="440"/>
      <c r="EWL49" s="440"/>
      <c r="EWM49" s="440"/>
      <c r="EWN49" s="440"/>
      <c r="EWO49" s="440"/>
      <c r="EWP49" s="440"/>
      <c r="EWQ49" s="440"/>
      <c r="EWR49" s="440"/>
      <c r="EWS49" s="440"/>
      <c r="EWT49" s="440"/>
      <c r="EWU49" s="440"/>
      <c r="EWV49" s="440"/>
      <c r="EWW49" s="440"/>
      <c r="EWX49" s="440"/>
      <c r="EWY49" s="440"/>
      <c r="EWZ49" s="440"/>
      <c r="EXA49" s="440"/>
      <c r="EXB49" s="440"/>
      <c r="EXC49" s="440"/>
      <c r="EXD49" s="440"/>
      <c r="EXE49" s="440"/>
      <c r="EXF49" s="440"/>
      <c r="EXG49" s="440"/>
      <c r="EXH49" s="440"/>
      <c r="EXI49" s="440"/>
      <c r="EXJ49" s="440"/>
      <c r="EXK49" s="440"/>
      <c r="EXL49" s="440"/>
      <c r="EXM49" s="440"/>
      <c r="EXN49" s="440"/>
      <c r="EXO49" s="440"/>
      <c r="EXP49" s="440"/>
      <c r="EXQ49" s="440"/>
      <c r="EXR49" s="440"/>
      <c r="EXS49" s="440"/>
      <c r="EXT49" s="440"/>
      <c r="EXU49" s="440"/>
      <c r="EXV49" s="440"/>
      <c r="EXW49" s="440"/>
      <c r="EXX49" s="440"/>
      <c r="EXY49" s="440"/>
      <c r="EXZ49" s="440"/>
      <c r="EYA49" s="440"/>
      <c r="EYB49" s="440"/>
      <c r="EYC49" s="440"/>
      <c r="EYD49" s="440"/>
      <c r="EYE49" s="440"/>
      <c r="EYF49" s="440"/>
      <c r="EYG49" s="440"/>
      <c r="EYH49" s="440"/>
      <c r="EYI49" s="440"/>
      <c r="EYJ49" s="440"/>
      <c r="EYK49" s="440"/>
      <c r="EYL49" s="440"/>
      <c r="EYM49" s="440"/>
      <c r="EYN49" s="440"/>
      <c r="EYO49" s="440"/>
      <c r="EYP49" s="440"/>
      <c r="EYQ49" s="440"/>
      <c r="EYR49" s="440"/>
      <c r="EYS49" s="440"/>
      <c r="EYT49" s="440"/>
      <c r="EYU49" s="440"/>
      <c r="EYV49" s="440"/>
      <c r="EYW49" s="440"/>
      <c r="EYX49" s="440"/>
      <c r="EYY49" s="440"/>
      <c r="EYZ49" s="440"/>
      <c r="EZA49" s="440"/>
      <c r="EZB49" s="440"/>
      <c r="EZC49" s="440"/>
      <c r="EZD49" s="440"/>
      <c r="EZE49" s="440"/>
      <c r="EZF49" s="440"/>
      <c r="EZG49" s="440"/>
      <c r="EZH49" s="440"/>
      <c r="EZI49" s="440"/>
      <c r="EZJ49" s="440"/>
      <c r="EZK49" s="440"/>
      <c r="EZL49" s="440"/>
      <c r="EZM49" s="440"/>
      <c r="EZN49" s="440"/>
      <c r="EZO49" s="440"/>
      <c r="EZP49" s="440"/>
      <c r="EZQ49" s="440"/>
      <c r="EZR49" s="440"/>
      <c r="EZS49" s="440"/>
      <c r="EZT49" s="440"/>
      <c r="EZU49" s="440"/>
      <c r="EZV49" s="440"/>
      <c r="EZW49" s="440"/>
      <c r="EZX49" s="440"/>
      <c r="EZY49" s="440"/>
      <c r="EZZ49" s="440"/>
      <c r="FAA49" s="440"/>
      <c r="FAB49" s="440"/>
      <c r="FAC49" s="440"/>
      <c r="FAD49" s="440"/>
      <c r="FAE49" s="440"/>
      <c r="FAF49" s="440"/>
      <c r="FAG49" s="440"/>
      <c r="FAH49" s="440"/>
      <c r="FAI49" s="440"/>
      <c r="FAJ49" s="440"/>
      <c r="FAK49" s="440"/>
      <c r="FAL49" s="440"/>
      <c r="FAM49" s="440"/>
      <c r="FAO49" s="440"/>
      <c r="FAP49" s="440"/>
      <c r="FAQ49" s="440"/>
      <c r="FAR49" s="440"/>
      <c r="FAS49" s="440"/>
      <c r="FAT49" s="440"/>
      <c r="FAU49" s="440"/>
      <c r="FAV49" s="440"/>
      <c r="FAW49" s="440"/>
      <c r="FAX49" s="440"/>
      <c r="FAY49" s="440"/>
      <c r="FAZ49" s="440"/>
      <c r="FBA49" s="440"/>
      <c r="FBB49" s="440"/>
      <c r="FBC49" s="440"/>
      <c r="FBD49" s="440"/>
      <c r="FBE49" s="440"/>
      <c r="FBF49" s="440"/>
      <c r="FBG49" s="440"/>
      <c r="FBH49" s="440"/>
      <c r="FBI49" s="440"/>
      <c r="FBJ49" s="440"/>
      <c r="FBK49" s="440"/>
      <c r="FBL49" s="440"/>
      <c r="FBM49" s="440"/>
      <c r="FBN49" s="440"/>
      <c r="FBO49" s="440"/>
      <c r="FBP49" s="440"/>
      <c r="FBQ49" s="440"/>
      <c r="FBR49" s="440"/>
      <c r="FBS49" s="440"/>
      <c r="FBT49" s="440"/>
      <c r="FBU49" s="440"/>
      <c r="FBV49" s="440"/>
      <c r="FBW49" s="440"/>
      <c r="FBX49" s="440"/>
      <c r="FBY49" s="440"/>
      <c r="FBZ49" s="440"/>
      <c r="FCA49" s="440"/>
      <c r="FCB49" s="440"/>
      <c r="FCC49" s="440"/>
      <c r="FCD49" s="440"/>
      <c r="FCE49" s="440"/>
      <c r="FCF49" s="440"/>
      <c r="FCG49" s="440"/>
      <c r="FCH49" s="440"/>
      <c r="FCI49" s="440"/>
      <c r="FCJ49" s="440"/>
      <c r="FCK49" s="440"/>
      <c r="FCL49" s="440"/>
      <c r="FCM49" s="440"/>
      <c r="FCN49" s="440"/>
      <c r="FCO49" s="440"/>
      <c r="FCP49" s="440"/>
      <c r="FCQ49" s="440"/>
      <c r="FCR49" s="440"/>
      <c r="FCS49" s="440"/>
      <c r="FCT49" s="440"/>
      <c r="FCU49" s="440"/>
      <c r="FCV49" s="440"/>
      <c r="FCW49" s="440"/>
      <c r="FCX49" s="440"/>
      <c r="FCY49" s="440"/>
      <c r="FCZ49" s="440"/>
      <c r="FDA49" s="440"/>
      <c r="FDB49" s="440"/>
      <c r="FDC49" s="440"/>
      <c r="FDD49" s="440"/>
      <c r="FDE49" s="440"/>
      <c r="FDF49" s="440"/>
      <c r="FDG49" s="440"/>
      <c r="FDH49" s="440"/>
      <c r="FDI49" s="440"/>
      <c r="FDJ49" s="440"/>
      <c r="FDK49" s="440"/>
      <c r="FDL49" s="440"/>
      <c r="FDM49" s="440"/>
      <c r="FDN49" s="440"/>
      <c r="FDO49" s="440"/>
      <c r="FDP49" s="440"/>
      <c r="FDQ49" s="440"/>
      <c r="FDR49" s="440"/>
      <c r="FDS49" s="440"/>
      <c r="FDT49" s="440"/>
      <c r="FDU49" s="440"/>
      <c r="FDV49" s="440"/>
      <c r="FDW49" s="440"/>
      <c r="FDX49" s="440"/>
      <c r="FDY49" s="440"/>
      <c r="FDZ49" s="440"/>
      <c r="FEA49" s="440"/>
      <c r="FEB49" s="440"/>
      <c r="FEC49" s="440"/>
      <c r="FED49" s="440"/>
      <c r="FEE49" s="440"/>
      <c r="FEF49" s="440"/>
      <c r="FEG49" s="440"/>
      <c r="FEH49" s="440"/>
      <c r="FEI49" s="440"/>
      <c r="FEJ49" s="440"/>
      <c r="FEK49" s="440"/>
      <c r="FEL49" s="440"/>
      <c r="FEM49" s="440"/>
      <c r="FEN49" s="440"/>
      <c r="FEO49" s="440"/>
      <c r="FEP49" s="440"/>
      <c r="FEQ49" s="440"/>
      <c r="FER49" s="440"/>
      <c r="FES49" s="440"/>
      <c r="FET49" s="440"/>
      <c r="FEU49" s="440"/>
      <c r="FEV49" s="440"/>
      <c r="FEW49" s="440"/>
      <c r="FEX49" s="440"/>
      <c r="FEY49" s="440"/>
      <c r="FEZ49" s="440"/>
      <c r="FFA49" s="440"/>
      <c r="FFB49" s="440"/>
      <c r="FFC49" s="440"/>
      <c r="FFD49" s="440"/>
      <c r="FFE49" s="440"/>
      <c r="FFF49" s="440"/>
      <c r="FFG49" s="440"/>
      <c r="FFH49" s="440"/>
      <c r="FFI49" s="440"/>
      <c r="FFJ49" s="440"/>
      <c r="FFK49" s="440"/>
      <c r="FFL49" s="440"/>
      <c r="FFM49" s="440"/>
      <c r="FFN49" s="440"/>
      <c r="FFO49" s="440"/>
      <c r="FFP49" s="440"/>
      <c r="FFQ49" s="440"/>
      <c r="FFR49" s="440"/>
      <c r="FFS49" s="440"/>
      <c r="FFT49" s="440"/>
      <c r="FFU49" s="440"/>
      <c r="FFV49" s="440"/>
      <c r="FFW49" s="440"/>
      <c r="FFX49" s="440"/>
      <c r="FFY49" s="440"/>
      <c r="FFZ49" s="440"/>
      <c r="FGA49" s="440"/>
      <c r="FGB49" s="440"/>
      <c r="FGC49" s="440"/>
      <c r="FGD49" s="440"/>
      <c r="FGE49" s="440"/>
      <c r="FGF49" s="440"/>
      <c r="FGG49" s="440"/>
      <c r="FGH49" s="440"/>
      <c r="FGI49" s="440"/>
      <c r="FGJ49" s="440"/>
      <c r="FGK49" s="440"/>
      <c r="FGL49" s="440"/>
      <c r="FGM49" s="440"/>
      <c r="FGN49" s="440"/>
      <c r="FGO49" s="440"/>
      <c r="FGP49" s="440"/>
      <c r="FGQ49" s="440"/>
      <c r="FGR49" s="440"/>
      <c r="FGS49" s="440"/>
      <c r="FGT49" s="440"/>
      <c r="FGU49" s="440"/>
      <c r="FGV49" s="440"/>
      <c r="FGW49" s="440"/>
      <c r="FGX49" s="440"/>
      <c r="FGY49" s="440"/>
      <c r="FGZ49" s="440"/>
      <c r="FHA49" s="440"/>
      <c r="FHB49" s="440"/>
      <c r="FHC49" s="440"/>
      <c r="FHD49" s="440"/>
      <c r="FHE49" s="440"/>
      <c r="FHF49" s="440"/>
      <c r="FHG49" s="440"/>
      <c r="FHH49" s="440"/>
      <c r="FHI49" s="440"/>
      <c r="FHJ49" s="440"/>
      <c r="FHK49" s="440"/>
      <c r="FHL49" s="440"/>
      <c r="FHM49" s="440"/>
      <c r="FHN49" s="440"/>
      <c r="FHO49" s="440"/>
      <c r="FHP49" s="440"/>
      <c r="FHQ49" s="440"/>
      <c r="FHR49" s="440"/>
      <c r="FHS49" s="440"/>
      <c r="FHT49" s="440"/>
      <c r="FHU49" s="440"/>
      <c r="FHV49" s="440"/>
      <c r="FHW49" s="440"/>
      <c r="FHX49" s="440"/>
      <c r="FHY49" s="440"/>
      <c r="FHZ49" s="440"/>
      <c r="FIA49" s="440"/>
      <c r="FIB49" s="440"/>
      <c r="FIC49" s="440"/>
      <c r="FID49" s="440"/>
      <c r="FIE49" s="440"/>
      <c r="FIF49" s="440"/>
      <c r="FIG49" s="440"/>
      <c r="FIH49" s="440"/>
      <c r="FII49" s="440"/>
      <c r="FIJ49" s="440"/>
      <c r="FIK49" s="440"/>
      <c r="FIL49" s="440"/>
      <c r="FIM49" s="440"/>
      <c r="FIN49" s="440"/>
      <c r="FIO49" s="440"/>
      <c r="FIP49" s="440"/>
      <c r="FIQ49" s="440"/>
      <c r="FIR49" s="440"/>
      <c r="FIS49" s="440"/>
      <c r="FIT49" s="440"/>
      <c r="FIU49" s="440"/>
      <c r="FIV49" s="440"/>
      <c r="FIW49" s="440"/>
      <c r="FIX49" s="440"/>
      <c r="FIY49" s="440"/>
      <c r="FIZ49" s="440"/>
      <c r="FJA49" s="440"/>
      <c r="FJB49" s="440"/>
      <c r="FJC49" s="440"/>
      <c r="FJD49" s="440"/>
      <c r="FJE49" s="440"/>
      <c r="FJF49" s="440"/>
      <c r="FJG49" s="440"/>
      <c r="FJH49" s="440"/>
      <c r="FJI49" s="440"/>
      <c r="FJJ49" s="440"/>
      <c r="FJK49" s="440"/>
      <c r="FJL49" s="440"/>
      <c r="FJM49" s="440"/>
      <c r="FJN49" s="440"/>
      <c r="FJO49" s="440"/>
      <c r="FJP49" s="440"/>
      <c r="FJQ49" s="440"/>
      <c r="FJR49" s="440"/>
      <c r="FJS49" s="440"/>
      <c r="FJT49" s="440"/>
      <c r="FJU49" s="440"/>
      <c r="FJV49" s="440"/>
      <c r="FJW49" s="440"/>
      <c r="FJX49" s="440"/>
      <c r="FJY49" s="440"/>
      <c r="FJZ49" s="440"/>
      <c r="FKA49" s="440"/>
      <c r="FKB49" s="440"/>
      <c r="FKC49" s="440"/>
      <c r="FKD49" s="440"/>
      <c r="FKE49" s="440"/>
      <c r="FKF49" s="440"/>
      <c r="FKG49" s="440"/>
      <c r="FKH49" s="440"/>
      <c r="FKI49" s="440"/>
      <c r="FKK49" s="440"/>
      <c r="FKL49" s="440"/>
      <c r="FKM49" s="440"/>
      <c r="FKN49" s="440"/>
      <c r="FKO49" s="440"/>
      <c r="FKP49" s="440"/>
      <c r="FKQ49" s="440"/>
      <c r="FKR49" s="440"/>
      <c r="FKS49" s="440"/>
      <c r="FKT49" s="440"/>
      <c r="FKU49" s="440"/>
      <c r="FKV49" s="440"/>
      <c r="FKW49" s="440"/>
      <c r="FKX49" s="440"/>
      <c r="FKY49" s="440"/>
      <c r="FKZ49" s="440"/>
      <c r="FLA49" s="440"/>
      <c r="FLB49" s="440"/>
      <c r="FLC49" s="440"/>
      <c r="FLD49" s="440"/>
      <c r="FLE49" s="440"/>
      <c r="FLF49" s="440"/>
      <c r="FLG49" s="440"/>
      <c r="FLH49" s="440"/>
      <c r="FLI49" s="440"/>
      <c r="FLJ49" s="440"/>
      <c r="FLK49" s="440"/>
      <c r="FLL49" s="440"/>
      <c r="FLM49" s="440"/>
      <c r="FLN49" s="440"/>
      <c r="FLO49" s="440"/>
      <c r="FLP49" s="440"/>
      <c r="FLQ49" s="440"/>
      <c r="FLR49" s="440"/>
      <c r="FLS49" s="440"/>
      <c r="FLT49" s="440"/>
      <c r="FLU49" s="440"/>
      <c r="FLV49" s="440"/>
      <c r="FLW49" s="440"/>
      <c r="FLX49" s="440"/>
      <c r="FLY49" s="440"/>
      <c r="FLZ49" s="440"/>
      <c r="FMA49" s="440"/>
      <c r="FMB49" s="440"/>
      <c r="FMC49" s="440"/>
      <c r="FMD49" s="440"/>
      <c r="FME49" s="440"/>
      <c r="FMF49" s="440"/>
      <c r="FMG49" s="440"/>
      <c r="FMH49" s="440"/>
      <c r="FMI49" s="440"/>
      <c r="FMJ49" s="440"/>
      <c r="FMK49" s="440"/>
      <c r="FML49" s="440"/>
      <c r="FMM49" s="440"/>
      <c r="FMN49" s="440"/>
      <c r="FMO49" s="440"/>
      <c r="FMP49" s="440"/>
      <c r="FMQ49" s="440"/>
      <c r="FMR49" s="440"/>
      <c r="FMS49" s="440"/>
      <c r="FMT49" s="440"/>
      <c r="FMU49" s="440"/>
      <c r="FMV49" s="440"/>
      <c r="FMW49" s="440"/>
      <c r="FMX49" s="440"/>
      <c r="FMY49" s="440"/>
      <c r="FMZ49" s="440"/>
      <c r="FNA49" s="440"/>
      <c r="FNB49" s="440"/>
      <c r="FNC49" s="440"/>
      <c r="FND49" s="440"/>
      <c r="FNE49" s="440"/>
      <c r="FNF49" s="440"/>
      <c r="FNG49" s="440"/>
      <c r="FNH49" s="440"/>
      <c r="FNI49" s="440"/>
      <c r="FNJ49" s="440"/>
      <c r="FNK49" s="440"/>
      <c r="FNL49" s="440"/>
      <c r="FNM49" s="440"/>
      <c r="FNN49" s="440"/>
      <c r="FNO49" s="440"/>
      <c r="FNP49" s="440"/>
      <c r="FNQ49" s="440"/>
      <c r="FNR49" s="440"/>
      <c r="FNS49" s="440"/>
      <c r="FNT49" s="440"/>
      <c r="FNU49" s="440"/>
      <c r="FNV49" s="440"/>
      <c r="FNW49" s="440"/>
      <c r="FNX49" s="440"/>
      <c r="FNY49" s="440"/>
      <c r="FNZ49" s="440"/>
      <c r="FOA49" s="440"/>
      <c r="FOB49" s="440"/>
      <c r="FOC49" s="440"/>
      <c r="FOD49" s="440"/>
      <c r="FOE49" s="440"/>
      <c r="FOF49" s="440"/>
      <c r="FOG49" s="440"/>
      <c r="FOH49" s="440"/>
      <c r="FOI49" s="440"/>
      <c r="FOJ49" s="440"/>
      <c r="FOK49" s="440"/>
      <c r="FOL49" s="440"/>
      <c r="FOM49" s="440"/>
      <c r="FON49" s="440"/>
      <c r="FOO49" s="440"/>
      <c r="FOP49" s="440"/>
      <c r="FOQ49" s="440"/>
      <c r="FOR49" s="440"/>
      <c r="FOS49" s="440"/>
      <c r="FOT49" s="440"/>
      <c r="FOU49" s="440"/>
      <c r="FOV49" s="440"/>
      <c r="FOW49" s="440"/>
      <c r="FOX49" s="440"/>
      <c r="FOY49" s="440"/>
      <c r="FOZ49" s="440"/>
      <c r="FPA49" s="440"/>
      <c r="FPB49" s="440"/>
      <c r="FPC49" s="440"/>
      <c r="FPD49" s="440"/>
      <c r="FPE49" s="440"/>
      <c r="FPF49" s="440"/>
      <c r="FPG49" s="440"/>
      <c r="FPH49" s="440"/>
      <c r="FPI49" s="440"/>
      <c r="FPJ49" s="440"/>
      <c r="FPK49" s="440"/>
      <c r="FPL49" s="440"/>
      <c r="FPM49" s="440"/>
      <c r="FPN49" s="440"/>
      <c r="FPO49" s="440"/>
      <c r="FPP49" s="440"/>
      <c r="FPQ49" s="440"/>
      <c r="FPR49" s="440"/>
      <c r="FPS49" s="440"/>
      <c r="FPT49" s="440"/>
      <c r="FPU49" s="440"/>
      <c r="FPV49" s="440"/>
      <c r="FPW49" s="440"/>
      <c r="FPX49" s="440"/>
      <c r="FPY49" s="440"/>
      <c r="FPZ49" s="440"/>
      <c r="FQA49" s="440"/>
      <c r="FQB49" s="440"/>
      <c r="FQC49" s="440"/>
      <c r="FQD49" s="440"/>
      <c r="FQE49" s="440"/>
      <c r="FQF49" s="440"/>
      <c r="FQG49" s="440"/>
      <c r="FQH49" s="440"/>
      <c r="FQI49" s="440"/>
      <c r="FQJ49" s="440"/>
      <c r="FQK49" s="440"/>
      <c r="FQL49" s="440"/>
      <c r="FQM49" s="440"/>
      <c r="FQN49" s="440"/>
      <c r="FQO49" s="440"/>
      <c r="FQP49" s="440"/>
      <c r="FQQ49" s="440"/>
      <c r="FQR49" s="440"/>
      <c r="FQS49" s="440"/>
      <c r="FQT49" s="440"/>
      <c r="FQU49" s="440"/>
      <c r="FQV49" s="440"/>
      <c r="FQW49" s="440"/>
      <c r="FQX49" s="440"/>
      <c r="FQY49" s="440"/>
      <c r="FQZ49" s="440"/>
      <c r="FRA49" s="440"/>
      <c r="FRB49" s="440"/>
      <c r="FRC49" s="440"/>
      <c r="FRD49" s="440"/>
      <c r="FRE49" s="440"/>
      <c r="FRF49" s="440"/>
      <c r="FRG49" s="440"/>
      <c r="FRH49" s="440"/>
      <c r="FRI49" s="440"/>
      <c r="FRJ49" s="440"/>
      <c r="FRK49" s="440"/>
      <c r="FRL49" s="440"/>
      <c r="FRM49" s="440"/>
      <c r="FRN49" s="440"/>
      <c r="FRO49" s="440"/>
      <c r="FRP49" s="440"/>
      <c r="FRQ49" s="440"/>
      <c r="FRR49" s="440"/>
      <c r="FRS49" s="440"/>
      <c r="FRT49" s="440"/>
      <c r="FRU49" s="440"/>
      <c r="FRV49" s="440"/>
      <c r="FRW49" s="440"/>
      <c r="FRX49" s="440"/>
      <c r="FRY49" s="440"/>
      <c r="FRZ49" s="440"/>
      <c r="FSA49" s="440"/>
      <c r="FSB49" s="440"/>
      <c r="FSC49" s="440"/>
      <c r="FSD49" s="440"/>
      <c r="FSE49" s="440"/>
      <c r="FSF49" s="440"/>
      <c r="FSG49" s="440"/>
      <c r="FSH49" s="440"/>
      <c r="FSI49" s="440"/>
      <c r="FSJ49" s="440"/>
      <c r="FSK49" s="440"/>
      <c r="FSL49" s="440"/>
      <c r="FSM49" s="440"/>
      <c r="FSN49" s="440"/>
      <c r="FSO49" s="440"/>
      <c r="FSP49" s="440"/>
      <c r="FSQ49" s="440"/>
      <c r="FSR49" s="440"/>
      <c r="FSS49" s="440"/>
      <c r="FST49" s="440"/>
      <c r="FSU49" s="440"/>
      <c r="FSV49" s="440"/>
      <c r="FSW49" s="440"/>
      <c r="FSX49" s="440"/>
      <c r="FSY49" s="440"/>
      <c r="FSZ49" s="440"/>
      <c r="FTA49" s="440"/>
      <c r="FTB49" s="440"/>
      <c r="FTC49" s="440"/>
      <c r="FTD49" s="440"/>
      <c r="FTE49" s="440"/>
      <c r="FTF49" s="440"/>
      <c r="FTG49" s="440"/>
      <c r="FTH49" s="440"/>
      <c r="FTI49" s="440"/>
      <c r="FTJ49" s="440"/>
      <c r="FTK49" s="440"/>
      <c r="FTL49" s="440"/>
      <c r="FTM49" s="440"/>
      <c r="FTN49" s="440"/>
      <c r="FTO49" s="440"/>
      <c r="FTP49" s="440"/>
      <c r="FTQ49" s="440"/>
      <c r="FTR49" s="440"/>
      <c r="FTS49" s="440"/>
      <c r="FTT49" s="440"/>
      <c r="FTU49" s="440"/>
      <c r="FTV49" s="440"/>
      <c r="FTW49" s="440"/>
      <c r="FTX49" s="440"/>
      <c r="FTY49" s="440"/>
      <c r="FTZ49" s="440"/>
      <c r="FUA49" s="440"/>
      <c r="FUB49" s="440"/>
      <c r="FUC49" s="440"/>
      <c r="FUD49" s="440"/>
      <c r="FUE49" s="440"/>
      <c r="FUG49" s="440"/>
      <c r="FUH49" s="440"/>
      <c r="FUI49" s="440"/>
      <c r="FUJ49" s="440"/>
      <c r="FUK49" s="440"/>
      <c r="FUL49" s="440"/>
      <c r="FUM49" s="440"/>
      <c r="FUN49" s="440"/>
      <c r="FUO49" s="440"/>
      <c r="FUP49" s="440"/>
      <c r="FUQ49" s="440"/>
      <c r="FUR49" s="440"/>
      <c r="FUS49" s="440"/>
      <c r="FUT49" s="440"/>
      <c r="FUU49" s="440"/>
      <c r="FUV49" s="440"/>
      <c r="FUW49" s="440"/>
      <c r="FUX49" s="440"/>
      <c r="FUY49" s="440"/>
      <c r="FUZ49" s="440"/>
      <c r="FVA49" s="440"/>
      <c r="FVB49" s="440"/>
      <c r="FVC49" s="440"/>
      <c r="FVD49" s="440"/>
      <c r="FVE49" s="440"/>
      <c r="FVF49" s="440"/>
      <c r="FVG49" s="440"/>
      <c r="FVH49" s="440"/>
      <c r="FVI49" s="440"/>
      <c r="FVJ49" s="440"/>
      <c r="FVK49" s="440"/>
      <c r="FVL49" s="440"/>
      <c r="FVM49" s="440"/>
      <c r="FVN49" s="440"/>
      <c r="FVO49" s="440"/>
      <c r="FVP49" s="440"/>
      <c r="FVQ49" s="440"/>
      <c r="FVR49" s="440"/>
      <c r="FVS49" s="440"/>
      <c r="FVT49" s="440"/>
      <c r="FVU49" s="440"/>
      <c r="FVV49" s="440"/>
      <c r="FVW49" s="440"/>
      <c r="FVX49" s="440"/>
      <c r="FVY49" s="440"/>
      <c r="FVZ49" s="440"/>
      <c r="FWA49" s="440"/>
      <c r="FWB49" s="440"/>
      <c r="FWC49" s="440"/>
      <c r="FWD49" s="440"/>
      <c r="FWE49" s="440"/>
      <c r="FWF49" s="440"/>
      <c r="FWG49" s="440"/>
      <c r="FWH49" s="440"/>
      <c r="FWI49" s="440"/>
      <c r="FWJ49" s="440"/>
      <c r="FWK49" s="440"/>
      <c r="FWL49" s="440"/>
      <c r="FWM49" s="440"/>
      <c r="FWN49" s="440"/>
      <c r="FWO49" s="440"/>
      <c r="FWP49" s="440"/>
      <c r="FWQ49" s="440"/>
      <c r="FWR49" s="440"/>
      <c r="FWS49" s="440"/>
      <c r="FWT49" s="440"/>
      <c r="FWU49" s="440"/>
      <c r="FWV49" s="440"/>
      <c r="FWW49" s="440"/>
      <c r="FWX49" s="440"/>
      <c r="FWY49" s="440"/>
      <c r="FWZ49" s="440"/>
      <c r="FXA49" s="440"/>
      <c r="FXB49" s="440"/>
      <c r="FXC49" s="440"/>
      <c r="FXD49" s="440"/>
      <c r="FXE49" s="440"/>
      <c r="FXF49" s="440"/>
      <c r="FXG49" s="440"/>
      <c r="FXH49" s="440"/>
      <c r="FXI49" s="440"/>
      <c r="FXJ49" s="440"/>
      <c r="FXK49" s="440"/>
      <c r="FXL49" s="440"/>
      <c r="FXM49" s="440"/>
      <c r="FXN49" s="440"/>
      <c r="FXO49" s="440"/>
      <c r="FXP49" s="440"/>
      <c r="FXQ49" s="440"/>
      <c r="FXR49" s="440"/>
      <c r="FXS49" s="440"/>
      <c r="FXT49" s="440"/>
      <c r="FXU49" s="440"/>
      <c r="FXV49" s="440"/>
      <c r="FXW49" s="440"/>
      <c r="FXX49" s="440"/>
      <c r="FXY49" s="440"/>
      <c r="FXZ49" s="440"/>
      <c r="FYA49" s="440"/>
      <c r="FYB49" s="440"/>
      <c r="FYC49" s="440"/>
      <c r="FYD49" s="440"/>
      <c r="FYE49" s="440"/>
      <c r="FYF49" s="440"/>
      <c r="FYG49" s="440"/>
      <c r="FYH49" s="440"/>
      <c r="FYI49" s="440"/>
      <c r="FYJ49" s="440"/>
      <c r="FYK49" s="440"/>
      <c r="FYL49" s="440"/>
      <c r="FYM49" s="440"/>
      <c r="FYN49" s="440"/>
      <c r="FYO49" s="440"/>
      <c r="FYP49" s="440"/>
      <c r="FYQ49" s="440"/>
      <c r="FYR49" s="440"/>
      <c r="FYS49" s="440"/>
      <c r="FYT49" s="440"/>
      <c r="FYU49" s="440"/>
      <c r="FYV49" s="440"/>
      <c r="FYW49" s="440"/>
      <c r="FYX49" s="440"/>
      <c r="FYY49" s="440"/>
      <c r="FYZ49" s="440"/>
      <c r="FZA49" s="440"/>
      <c r="FZB49" s="440"/>
      <c r="FZC49" s="440"/>
      <c r="FZD49" s="440"/>
      <c r="FZE49" s="440"/>
      <c r="FZF49" s="440"/>
      <c r="FZG49" s="440"/>
      <c r="FZH49" s="440"/>
      <c r="FZI49" s="440"/>
      <c r="FZJ49" s="440"/>
      <c r="FZK49" s="440"/>
      <c r="FZL49" s="440"/>
      <c r="FZM49" s="440"/>
      <c r="FZN49" s="440"/>
      <c r="FZO49" s="440"/>
      <c r="FZP49" s="440"/>
      <c r="FZQ49" s="440"/>
      <c r="FZR49" s="440"/>
      <c r="FZS49" s="440"/>
      <c r="FZT49" s="440"/>
      <c r="FZU49" s="440"/>
      <c r="FZV49" s="440"/>
      <c r="FZW49" s="440"/>
      <c r="FZX49" s="440"/>
      <c r="FZY49" s="440"/>
      <c r="FZZ49" s="440"/>
      <c r="GAA49" s="440"/>
      <c r="GAB49" s="440"/>
      <c r="GAC49" s="440"/>
      <c r="GAD49" s="440"/>
      <c r="GAE49" s="440"/>
      <c r="GAF49" s="440"/>
      <c r="GAG49" s="440"/>
      <c r="GAH49" s="440"/>
      <c r="GAI49" s="440"/>
      <c r="GAJ49" s="440"/>
      <c r="GAK49" s="440"/>
      <c r="GAL49" s="440"/>
      <c r="GAM49" s="440"/>
      <c r="GAN49" s="440"/>
      <c r="GAO49" s="440"/>
      <c r="GAP49" s="440"/>
      <c r="GAQ49" s="440"/>
      <c r="GAR49" s="440"/>
      <c r="GAS49" s="440"/>
      <c r="GAT49" s="440"/>
      <c r="GAU49" s="440"/>
      <c r="GAV49" s="440"/>
      <c r="GAW49" s="440"/>
      <c r="GAX49" s="440"/>
      <c r="GAY49" s="440"/>
      <c r="GAZ49" s="440"/>
      <c r="GBA49" s="440"/>
      <c r="GBB49" s="440"/>
      <c r="GBC49" s="440"/>
      <c r="GBD49" s="440"/>
      <c r="GBE49" s="440"/>
      <c r="GBF49" s="440"/>
      <c r="GBG49" s="440"/>
      <c r="GBH49" s="440"/>
      <c r="GBI49" s="440"/>
      <c r="GBJ49" s="440"/>
      <c r="GBK49" s="440"/>
      <c r="GBL49" s="440"/>
      <c r="GBM49" s="440"/>
      <c r="GBN49" s="440"/>
      <c r="GBO49" s="440"/>
      <c r="GBP49" s="440"/>
      <c r="GBQ49" s="440"/>
      <c r="GBR49" s="440"/>
      <c r="GBS49" s="440"/>
      <c r="GBT49" s="440"/>
      <c r="GBU49" s="440"/>
      <c r="GBV49" s="440"/>
      <c r="GBW49" s="440"/>
      <c r="GBX49" s="440"/>
      <c r="GBY49" s="440"/>
      <c r="GBZ49" s="440"/>
      <c r="GCA49" s="440"/>
      <c r="GCB49" s="440"/>
      <c r="GCC49" s="440"/>
      <c r="GCD49" s="440"/>
      <c r="GCE49" s="440"/>
      <c r="GCF49" s="440"/>
      <c r="GCG49" s="440"/>
      <c r="GCH49" s="440"/>
      <c r="GCI49" s="440"/>
      <c r="GCJ49" s="440"/>
      <c r="GCK49" s="440"/>
      <c r="GCL49" s="440"/>
      <c r="GCM49" s="440"/>
      <c r="GCN49" s="440"/>
      <c r="GCO49" s="440"/>
      <c r="GCP49" s="440"/>
      <c r="GCQ49" s="440"/>
      <c r="GCR49" s="440"/>
      <c r="GCS49" s="440"/>
      <c r="GCT49" s="440"/>
      <c r="GCU49" s="440"/>
      <c r="GCV49" s="440"/>
      <c r="GCW49" s="440"/>
      <c r="GCX49" s="440"/>
      <c r="GCY49" s="440"/>
      <c r="GCZ49" s="440"/>
      <c r="GDA49" s="440"/>
      <c r="GDB49" s="440"/>
      <c r="GDC49" s="440"/>
      <c r="GDD49" s="440"/>
      <c r="GDE49" s="440"/>
      <c r="GDF49" s="440"/>
      <c r="GDG49" s="440"/>
      <c r="GDH49" s="440"/>
      <c r="GDI49" s="440"/>
      <c r="GDJ49" s="440"/>
      <c r="GDK49" s="440"/>
      <c r="GDL49" s="440"/>
      <c r="GDM49" s="440"/>
      <c r="GDN49" s="440"/>
      <c r="GDO49" s="440"/>
      <c r="GDP49" s="440"/>
      <c r="GDQ49" s="440"/>
      <c r="GDR49" s="440"/>
      <c r="GDS49" s="440"/>
      <c r="GDT49" s="440"/>
      <c r="GDU49" s="440"/>
      <c r="GDV49" s="440"/>
      <c r="GDW49" s="440"/>
      <c r="GDX49" s="440"/>
      <c r="GDY49" s="440"/>
      <c r="GDZ49" s="440"/>
      <c r="GEA49" s="440"/>
      <c r="GEC49" s="440"/>
      <c r="GED49" s="440"/>
      <c r="GEE49" s="440"/>
      <c r="GEF49" s="440"/>
      <c r="GEG49" s="440"/>
      <c r="GEH49" s="440"/>
      <c r="GEI49" s="440"/>
      <c r="GEJ49" s="440"/>
      <c r="GEK49" s="440"/>
      <c r="GEL49" s="440"/>
      <c r="GEM49" s="440"/>
      <c r="GEN49" s="440"/>
      <c r="GEO49" s="440"/>
      <c r="GEP49" s="440"/>
      <c r="GEQ49" s="440"/>
      <c r="GER49" s="440"/>
      <c r="GES49" s="440"/>
      <c r="GET49" s="440"/>
      <c r="GEU49" s="440"/>
      <c r="GEV49" s="440"/>
      <c r="GEW49" s="440"/>
      <c r="GEX49" s="440"/>
      <c r="GEY49" s="440"/>
      <c r="GEZ49" s="440"/>
      <c r="GFA49" s="440"/>
      <c r="GFB49" s="440"/>
      <c r="GFC49" s="440"/>
      <c r="GFD49" s="440"/>
      <c r="GFE49" s="440"/>
      <c r="GFF49" s="440"/>
      <c r="GFG49" s="440"/>
      <c r="GFH49" s="440"/>
      <c r="GFI49" s="440"/>
      <c r="GFJ49" s="440"/>
      <c r="GFK49" s="440"/>
      <c r="GFL49" s="440"/>
      <c r="GFM49" s="440"/>
      <c r="GFN49" s="440"/>
      <c r="GFO49" s="440"/>
      <c r="GFP49" s="440"/>
      <c r="GFQ49" s="440"/>
      <c r="GFR49" s="440"/>
      <c r="GFS49" s="440"/>
      <c r="GFT49" s="440"/>
      <c r="GFU49" s="440"/>
      <c r="GFV49" s="440"/>
      <c r="GFW49" s="440"/>
      <c r="GFX49" s="440"/>
      <c r="GFY49" s="440"/>
      <c r="GFZ49" s="440"/>
      <c r="GGA49" s="440"/>
      <c r="GGB49" s="440"/>
      <c r="GGC49" s="440"/>
      <c r="GGD49" s="440"/>
      <c r="GGE49" s="440"/>
      <c r="GGF49" s="440"/>
      <c r="GGG49" s="440"/>
      <c r="GGH49" s="440"/>
      <c r="GGI49" s="440"/>
      <c r="GGJ49" s="440"/>
      <c r="GGK49" s="440"/>
      <c r="GGL49" s="440"/>
      <c r="GGM49" s="440"/>
      <c r="GGN49" s="440"/>
      <c r="GGO49" s="440"/>
      <c r="GGP49" s="440"/>
      <c r="GGQ49" s="440"/>
      <c r="GGR49" s="440"/>
      <c r="GGS49" s="440"/>
      <c r="GGT49" s="440"/>
      <c r="GGU49" s="440"/>
      <c r="GGV49" s="440"/>
      <c r="GGW49" s="440"/>
      <c r="GGX49" s="440"/>
      <c r="GGY49" s="440"/>
      <c r="GGZ49" s="440"/>
      <c r="GHA49" s="440"/>
      <c r="GHB49" s="440"/>
      <c r="GHC49" s="440"/>
      <c r="GHD49" s="440"/>
      <c r="GHE49" s="440"/>
      <c r="GHF49" s="440"/>
      <c r="GHG49" s="440"/>
      <c r="GHH49" s="440"/>
      <c r="GHI49" s="440"/>
      <c r="GHJ49" s="440"/>
      <c r="GHK49" s="440"/>
      <c r="GHL49" s="440"/>
      <c r="GHM49" s="440"/>
      <c r="GHN49" s="440"/>
      <c r="GHO49" s="440"/>
      <c r="GHP49" s="440"/>
      <c r="GHQ49" s="440"/>
      <c r="GHR49" s="440"/>
      <c r="GHS49" s="440"/>
      <c r="GHT49" s="440"/>
      <c r="GHU49" s="440"/>
      <c r="GHV49" s="440"/>
      <c r="GHW49" s="440"/>
      <c r="GHX49" s="440"/>
      <c r="GHY49" s="440"/>
      <c r="GHZ49" s="440"/>
      <c r="GIA49" s="440"/>
      <c r="GIB49" s="440"/>
      <c r="GIC49" s="440"/>
      <c r="GID49" s="440"/>
      <c r="GIE49" s="440"/>
      <c r="GIF49" s="440"/>
      <c r="GIG49" s="440"/>
      <c r="GIH49" s="440"/>
      <c r="GII49" s="440"/>
      <c r="GIJ49" s="440"/>
      <c r="GIK49" s="440"/>
      <c r="GIL49" s="440"/>
      <c r="GIM49" s="440"/>
      <c r="GIN49" s="440"/>
      <c r="GIO49" s="440"/>
      <c r="GIP49" s="440"/>
      <c r="GIQ49" s="440"/>
      <c r="GIR49" s="440"/>
      <c r="GIS49" s="440"/>
      <c r="GIT49" s="440"/>
      <c r="GIU49" s="440"/>
      <c r="GIV49" s="440"/>
      <c r="GIW49" s="440"/>
      <c r="GIX49" s="440"/>
      <c r="GIY49" s="440"/>
      <c r="GIZ49" s="440"/>
      <c r="GJA49" s="440"/>
      <c r="GJB49" s="440"/>
      <c r="GJC49" s="440"/>
      <c r="GJD49" s="440"/>
      <c r="GJE49" s="440"/>
      <c r="GJF49" s="440"/>
      <c r="GJG49" s="440"/>
      <c r="GJH49" s="440"/>
      <c r="GJI49" s="440"/>
      <c r="GJJ49" s="440"/>
      <c r="GJK49" s="440"/>
      <c r="GJL49" s="440"/>
      <c r="GJM49" s="440"/>
      <c r="GJN49" s="440"/>
      <c r="GJO49" s="440"/>
      <c r="GJP49" s="440"/>
      <c r="GJQ49" s="440"/>
      <c r="GJR49" s="440"/>
      <c r="GJS49" s="440"/>
      <c r="GJT49" s="440"/>
      <c r="GJU49" s="440"/>
      <c r="GJV49" s="440"/>
      <c r="GJW49" s="440"/>
      <c r="GJX49" s="440"/>
      <c r="GJY49" s="440"/>
      <c r="GJZ49" s="440"/>
      <c r="GKA49" s="440"/>
      <c r="GKB49" s="440"/>
      <c r="GKC49" s="440"/>
      <c r="GKD49" s="440"/>
      <c r="GKE49" s="440"/>
      <c r="GKF49" s="440"/>
      <c r="GKG49" s="440"/>
      <c r="GKH49" s="440"/>
      <c r="GKI49" s="440"/>
      <c r="GKJ49" s="440"/>
      <c r="GKK49" s="440"/>
      <c r="GKL49" s="440"/>
      <c r="GKM49" s="440"/>
      <c r="GKN49" s="440"/>
      <c r="GKO49" s="440"/>
      <c r="GKP49" s="440"/>
      <c r="GKQ49" s="440"/>
      <c r="GKR49" s="440"/>
      <c r="GKS49" s="440"/>
      <c r="GKT49" s="440"/>
      <c r="GKU49" s="440"/>
      <c r="GKV49" s="440"/>
      <c r="GKW49" s="440"/>
      <c r="GKX49" s="440"/>
      <c r="GKY49" s="440"/>
      <c r="GKZ49" s="440"/>
      <c r="GLA49" s="440"/>
      <c r="GLB49" s="440"/>
      <c r="GLC49" s="440"/>
      <c r="GLD49" s="440"/>
      <c r="GLE49" s="440"/>
      <c r="GLF49" s="440"/>
      <c r="GLG49" s="440"/>
      <c r="GLH49" s="440"/>
      <c r="GLI49" s="440"/>
      <c r="GLJ49" s="440"/>
      <c r="GLK49" s="440"/>
      <c r="GLL49" s="440"/>
      <c r="GLM49" s="440"/>
      <c r="GLN49" s="440"/>
      <c r="GLO49" s="440"/>
      <c r="GLP49" s="440"/>
      <c r="GLQ49" s="440"/>
      <c r="GLR49" s="440"/>
      <c r="GLS49" s="440"/>
      <c r="GLT49" s="440"/>
      <c r="GLU49" s="440"/>
      <c r="GLV49" s="440"/>
      <c r="GLW49" s="440"/>
      <c r="GLX49" s="440"/>
      <c r="GLY49" s="440"/>
      <c r="GLZ49" s="440"/>
      <c r="GMA49" s="440"/>
      <c r="GMB49" s="440"/>
      <c r="GMC49" s="440"/>
      <c r="GMD49" s="440"/>
      <c r="GME49" s="440"/>
      <c r="GMF49" s="440"/>
      <c r="GMG49" s="440"/>
      <c r="GMH49" s="440"/>
      <c r="GMI49" s="440"/>
      <c r="GMJ49" s="440"/>
      <c r="GMK49" s="440"/>
      <c r="GML49" s="440"/>
      <c r="GMM49" s="440"/>
      <c r="GMN49" s="440"/>
      <c r="GMO49" s="440"/>
      <c r="GMP49" s="440"/>
      <c r="GMQ49" s="440"/>
      <c r="GMR49" s="440"/>
      <c r="GMS49" s="440"/>
      <c r="GMT49" s="440"/>
      <c r="GMU49" s="440"/>
      <c r="GMV49" s="440"/>
      <c r="GMW49" s="440"/>
      <c r="GMX49" s="440"/>
      <c r="GMY49" s="440"/>
      <c r="GMZ49" s="440"/>
      <c r="GNA49" s="440"/>
      <c r="GNB49" s="440"/>
      <c r="GNC49" s="440"/>
      <c r="GND49" s="440"/>
      <c r="GNE49" s="440"/>
      <c r="GNF49" s="440"/>
      <c r="GNG49" s="440"/>
      <c r="GNH49" s="440"/>
      <c r="GNI49" s="440"/>
      <c r="GNJ49" s="440"/>
      <c r="GNK49" s="440"/>
      <c r="GNL49" s="440"/>
      <c r="GNM49" s="440"/>
      <c r="GNN49" s="440"/>
      <c r="GNO49" s="440"/>
      <c r="GNP49" s="440"/>
      <c r="GNQ49" s="440"/>
      <c r="GNR49" s="440"/>
      <c r="GNS49" s="440"/>
      <c r="GNT49" s="440"/>
      <c r="GNU49" s="440"/>
      <c r="GNV49" s="440"/>
      <c r="GNW49" s="440"/>
      <c r="GNY49" s="440"/>
      <c r="GNZ49" s="440"/>
      <c r="GOA49" s="440"/>
      <c r="GOB49" s="440"/>
      <c r="GOC49" s="440"/>
      <c r="GOD49" s="440"/>
      <c r="GOE49" s="440"/>
      <c r="GOF49" s="440"/>
      <c r="GOG49" s="440"/>
      <c r="GOH49" s="440"/>
      <c r="GOI49" s="440"/>
      <c r="GOJ49" s="440"/>
      <c r="GOK49" s="440"/>
      <c r="GOL49" s="440"/>
      <c r="GOM49" s="440"/>
      <c r="GON49" s="440"/>
      <c r="GOO49" s="440"/>
      <c r="GOP49" s="440"/>
      <c r="GOQ49" s="440"/>
      <c r="GOR49" s="440"/>
      <c r="GOS49" s="440"/>
      <c r="GOT49" s="440"/>
      <c r="GOU49" s="440"/>
      <c r="GOV49" s="440"/>
      <c r="GOW49" s="440"/>
      <c r="GOX49" s="440"/>
      <c r="GOY49" s="440"/>
      <c r="GOZ49" s="440"/>
      <c r="GPA49" s="440"/>
      <c r="GPB49" s="440"/>
      <c r="GPC49" s="440"/>
      <c r="GPD49" s="440"/>
      <c r="GPE49" s="440"/>
      <c r="GPF49" s="440"/>
      <c r="GPG49" s="440"/>
      <c r="GPH49" s="440"/>
      <c r="GPI49" s="440"/>
      <c r="GPJ49" s="440"/>
      <c r="GPK49" s="440"/>
      <c r="GPL49" s="440"/>
      <c r="GPM49" s="440"/>
      <c r="GPN49" s="440"/>
      <c r="GPO49" s="440"/>
      <c r="GPP49" s="440"/>
      <c r="GPQ49" s="440"/>
      <c r="GPR49" s="440"/>
      <c r="GPS49" s="440"/>
      <c r="GPT49" s="440"/>
      <c r="GPU49" s="440"/>
      <c r="GPV49" s="440"/>
      <c r="GPW49" s="440"/>
      <c r="GPX49" s="440"/>
      <c r="GPY49" s="440"/>
      <c r="GPZ49" s="440"/>
      <c r="GQA49" s="440"/>
      <c r="GQB49" s="440"/>
      <c r="GQC49" s="440"/>
      <c r="GQD49" s="440"/>
      <c r="GQE49" s="440"/>
      <c r="GQF49" s="440"/>
      <c r="GQG49" s="440"/>
      <c r="GQH49" s="440"/>
      <c r="GQI49" s="440"/>
      <c r="GQJ49" s="440"/>
      <c r="GQK49" s="440"/>
      <c r="GQL49" s="440"/>
      <c r="GQM49" s="440"/>
      <c r="GQN49" s="440"/>
      <c r="GQO49" s="440"/>
      <c r="GQP49" s="440"/>
      <c r="GQQ49" s="440"/>
      <c r="GQR49" s="440"/>
      <c r="GQS49" s="440"/>
      <c r="GQT49" s="440"/>
      <c r="GQU49" s="440"/>
      <c r="GQV49" s="440"/>
      <c r="GQW49" s="440"/>
      <c r="GQX49" s="440"/>
      <c r="GQY49" s="440"/>
      <c r="GQZ49" s="440"/>
      <c r="GRA49" s="440"/>
      <c r="GRB49" s="440"/>
      <c r="GRC49" s="440"/>
      <c r="GRD49" s="440"/>
      <c r="GRE49" s="440"/>
      <c r="GRF49" s="440"/>
      <c r="GRG49" s="440"/>
      <c r="GRH49" s="440"/>
      <c r="GRI49" s="440"/>
      <c r="GRJ49" s="440"/>
      <c r="GRK49" s="440"/>
      <c r="GRL49" s="440"/>
      <c r="GRM49" s="440"/>
      <c r="GRN49" s="440"/>
      <c r="GRO49" s="440"/>
      <c r="GRP49" s="440"/>
      <c r="GRQ49" s="440"/>
      <c r="GRR49" s="440"/>
      <c r="GRS49" s="440"/>
      <c r="GRT49" s="440"/>
      <c r="GRU49" s="440"/>
      <c r="GRV49" s="440"/>
      <c r="GRW49" s="440"/>
      <c r="GRX49" s="440"/>
      <c r="GRY49" s="440"/>
      <c r="GRZ49" s="440"/>
      <c r="GSA49" s="440"/>
      <c r="GSB49" s="440"/>
      <c r="GSC49" s="440"/>
      <c r="GSD49" s="440"/>
      <c r="GSE49" s="440"/>
      <c r="GSF49" s="440"/>
      <c r="GSG49" s="440"/>
      <c r="GSH49" s="440"/>
      <c r="GSI49" s="440"/>
      <c r="GSJ49" s="440"/>
      <c r="GSK49" s="440"/>
      <c r="GSL49" s="440"/>
      <c r="GSM49" s="440"/>
      <c r="GSN49" s="440"/>
      <c r="GSO49" s="440"/>
      <c r="GSP49" s="440"/>
      <c r="GSQ49" s="440"/>
      <c r="GSR49" s="440"/>
      <c r="GSS49" s="440"/>
      <c r="GST49" s="440"/>
      <c r="GSU49" s="440"/>
      <c r="GSV49" s="440"/>
      <c r="GSW49" s="440"/>
      <c r="GSX49" s="440"/>
      <c r="GSY49" s="440"/>
      <c r="GSZ49" s="440"/>
      <c r="GTA49" s="440"/>
      <c r="GTB49" s="440"/>
      <c r="GTC49" s="440"/>
      <c r="GTD49" s="440"/>
      <c r="GTE49" s="440"/>
      <c r="GTF49" s="440"/>
      <c r="GTG49" s="440"/>
      <c r="GTH49" s="440"/>
      <c r="GTI49" s="440"/>
      <c r="GTJ49" s="440"/>
      <c r="GTK49" s="440"/>
      <c r="GTL49" s="440"/>
      <c r="GTM49" s="440"/>
      <c r="GTN49" s="440"/>
      <c r="GTO49" s="440"/>
      <c r="GTP49" s="440"/>
      <c r="GTQ49" s="440"/>
      <c r="GTR49" s="440"/>
      <c r="GTS49" s="440"/>
      <c r="GTT49" s="440"/>
      <c r="GTU49" s="440"/>
      <c r="GTV49" s="440"/>
      <c r="GTW49" s="440"/>
      <c r="GTX49" s="440"/>
      <c r="GTY49" s="440"/>
      <c r="GTZ49" s="440"/>
      <c r="GUA49" s="440"/>
      <c r="GUB49" s="440"/>
      <c r="GUC49" s="440"/>
      <c r="GUD49" s="440"/>
      <c r="GUE49" s="440"/>
      <c r="GUF49" s="440"/>
      <c r="GUG49" s="440"/>
      <c r="GUH49" s="440"/>
      <c r="GUI49" s="440"/>
      <c r="GUJ49" s="440"/>
      <c r="GUK49" s="440"/>
      <c r="GUL49" s="440"/>
      <c r="GUM49" s="440"/>
      <c r="GUN49" s="440"/>
      <c r="GUO49" s="440"/>
      <c r="GUP49" s="440"/>
      <c r="GUQ49" s="440"/>
      <c r="GUR49" s="440"/>
      <c r="GUS49" s="440"/>
      <c r="GUT49" s="440"/>
      <c r="GUU49" s="440"/>
      <c r="GUV49" s="440"/>
      <c r="GUW49" s="440"/>
      <c r="GUX49" s="440"/>
      <c r="GUY49" s="440"/>
      <c r="GUZ49" s="440"/>
      <c r="GVA49" s="440"/>
      <c r="GVB49" s="440"/>
      <c r="GVC49" s="440"/>
      <c r="GVD49" s="440"/>
      <c r="GVE49" s="440"/>
      <c r="GVF49" s="440"/>
      <c r="GVG49" s="440"/>
      <c r="GVH49" s="440"/>
      <c r="GVI49" s="440"/>
      <c r="GVJ49" s="440"/>
      <c r="GVK49" s="440"/>
      <c r="GVL49" s="440"/>
      <c r="GVM49" s="440"/>
      <c r="GVN49" s="440"/>
      <c r="GVO49" s="440"/>
      <c r="GVP49" s="440"/>
      <c r="GVQ49" s="440"/>
      <c r="GVR49" s="440"/>
      <c r="GVS49" s="440"/>
      <c r="GVT49" s="440"/>
      <c r="GVU49" s="440"/>
      <c r="GVV49" s="440"/>
      <c r="GVW49" s="440"/>
      <c r="GVX49" s="440"/>
      <c r="GVY49" s="440"/>
      <c r="GVZ49" s="440"/>
      <c r="GWA49" s="440"/>
      <c r="GWB49" s="440"/>
      <c r="GWC49" s="440"/>
      <c r="GWD49" s="440"/>
      <c r="GWE49" s="440"/>
      <c r="GWF49" s="440"/>
      <c r="GWG49" s="440"/>
      <c r="GWH49" s="440"/>
      <c r="GWI49" s="440"/>
      <c r="GWJ49" s="440"/>
      <c r="GWK49" s="440"/>
      <c r="GWL49" s="440"/>
      <c r="GWM49" s="440"/>
      <c r="GWN49" s="440"/>
      <c r="GWO49" s="440"/>
      <c r="GWP49" s="440"/>
      <c r="GWQ49" s="440"/>
      <c r="GWR49" s="440"/>
      <c r="GWS49" s="440"/>
      <c r="GWT49" s="440"/>
      <c r="GWU49" s="440"/>
      <c r="GWV49" s="440"/>
      <c r="GWW49" s="440"/>
      <c r="GWX49" s="440"/>
      <c r="GWY49" s="440"/>
      <c r="GWZ49" s="440"/>
      <c r="GXA49" s="440"/>
      <c r="GXB49" s="440"/>
      <c r="GXC49" s="440"/>
      <c r="GXD49" s="440"/>
      <c r="GXE49" s="440"/>
      <c r="GXF49" s="440"/>
      <c r="GXG49" s="440"/>
      <c r="GXH49" s="440"/>
      <c r="GXI49" s="440"/>
      <c r="GXJ49" s="440"/>
      <c r="GXK49" s="440"/>
      <c r="GXL49" s="440"/>
      <c r="GXM49" s="440"/>
      <c r="GXN49" s="440"/>
      <c r="GXO49" s="440"/>
      <c r="GXP49" s="440"/>
      <c r="GXQ49" s="440"/>
      <c r="GXR49" s="440"/>
      <c r="GXS49" s="440"/>
      <c r="GXU49" s="440"/>
      <c r="GXV49" s="440"/>
      <c r="GXW49" s="440"/>
      <c r="GXX49" s="440"/>
      <c r="GXY49" s="440"/>
      <c r="GXZ49" s="440"/>
      <c r="GYA49" s="440"/>
      <c r="GYB49" s="440"/>
      <c r="GYC49" s="440"/>
      <c r="GYD49" s="440"/>
      <c r="GYE49" s="440"/>
      <c r="GYF49" s="440"/>
      <c r="GYG49" s="440"/>
      <c r="GYH49" s="440"/>
      <c r="GYI49" s="440"/>
      <c r="GYJ49" s="440"/>
      <c r="GYK49" s="440"/>
      <c r="GYL49" s="440"/>
      <c r="GYM49" s="440"/>
      <c r="GYN49" s="440"/>
      <c r="GYO49" s="440"/>
      <c r="GYP49" s="440"/>
      <c r="GYQ49" s="440"/>
      <c r="GYR49" s="440"/>
      <c r="GYS49" s="440"/>
      <c r="GYT49" s="440"/>
      <c r="GYU49" s="440"/>
      <c r="GYV49" s="440"/>
      <c r="GYW49" s="440"/>
      <c r="GYX49" s="440"/>
      <c r="GYY49" s="440"/>
      <c r="GYZ49" s="440"/>
      <c r="GZA49" s="440"/>
      <c r="GZB49" s="440"/>
      <c r="GZC49" s="440"/>
      <c r="GZD49" s="440"/>
      <c r="GZE49" s="440"/>
      <c r="GZF49" s="440"/>
      <c r="GZG49" s="440"/>
      <c r="GZH49" s="440"/>
      <c r="GZI49" s="440"/>
      <c r="GZJ49" s="440"/>
      <c r="GZK49" s="440"/>
      <c r="GZL49" s="440"/>
      <c r="GZM49" s="440"/>
      <c r="GZN49" s="440"/>
      <c r="GZO49" s="440"/>
      <c r="GZP49" s="440"/>
      <c r="GZQ49" s="440"/>
      <c r="GZR49" s="440"/>
      <c r="GZS49" s="440"/>
      <c r="GZT49" s="440"/>
      <c r="GZU49" s="440"/>
      <c r="GZV49" s="440"/>
      <c r="GZW49" s="440"/>
      <c r="GZX49" s="440"/>
      <c r="GZY49" s="440"/>
      <c r="GZZ49" s="440"/>
      <c r="HAA49" s="440"/>
      <c r="HAB49" s="440"/>
      <c r="HAC49" s="440"/>
      <c r="HAD49" s="440"/>
      <c r="HAE49" s="440"/>
      <c r="HAF49" s="440"/>
      <c r="HAG49" s="440"/>
      <c r="HAH49" s="440"/>
      <c r="HAI49" s="440"/>
      <c r="HAJ49" s="440"/>
      <c r="HAK49" s="440"/>
      <c r="HAL49" s="440"/>
      <c r="HAM49" s="440"/>
      <c r="HAN49" s="440"/>
      <c r="HAO49" s="440"/>
      <c r="HAP49" s="440"/>
      <c r="HAQ49" s="440"/>
      <c r="HAR49" s="440"/>
      <c r="HAS49" s="440"/>
      <c r="HAT49" s="440"/>
      <c r="HAU49" s="440"/>
      <c r="HAV49" s="440"/>
      <c r="HAW49" s="440"/>
      <c r="HAX49" s="440"/>
      <c r="HAY49" s="440"/>
      <c r="HAZ49" s="440"/>
      <c r="HBA49" s="440"/>
      <c r="HBB49" s="440"/>
      <c r="HBC49" s="440"/>
      <c r="HBD49" s="440"/>
      <c r="HBE49" s="440"/>
      <c r="HBF49" s="440"/>
      <c r="HBG49" s="440"/>
      <c r="HBH49" s="440"/>
      <c r="HBI49" s="440"/>
      <c r="HBJ49" s="440"/>
      <c r="HBK49" s="440"/>
      <c r="HBL49" s="440"/>
      <c r="HBM49" s="440"/>
      <c r="HBN49" s="440"/>
      <c r="HBO49" s="440"/>
      <c r="HBP49" s="440"/>
      <c r="HBQ49" s="440"/>
      <c r="HBR49" s="440"/>
      <c r="HBS49" s="440"/>
      <c r="HBT49" s="440"/>
      <c r="HBU49" s="440"/>
      <c r="HBV49" s="440"/>
      <c r="HBW49" s="440"/>
      <c r="HBX49" s="440"/>
      <c r="HBY49" s="440"/>
      <c r="HBZ49" s="440"/>
      <c r="HCA49" s="440"/>
      <c r="HCB49" s="440"/>
      <c r="HCC49" s="440"/>
      <c r="HCD49" s="440"/>
      <c r="HCE49" s="440"/>
      <c r="HCF49" s="440"/>
      <c r="HCG49" s="440"/>
      <c r="HCH49" s="440"/>
      <c r="HCI49" s="440"/>
      <c r="HCJ49" s="440"/>
      <c r="HCK49" s="440"/>
      <c r="HCL49" s="440"/>
      <c r="HCM49" s="440"/>
      <c r="HCN49" s="440"/>
      <c r="HCO49" s="440"/>
      <c r="HCP49" s="440"/>
      <c r="HCQ49" s="440"/>
      <c r="HCR49" s="440"/>
      <c r="HCS49" s="440"/>
      <c r="HCT49" s="440"/>
      <c r="HCU49" s="440"/>
      <c r="HCV49" s="440"/>
      <c r="HCW49" s="440"/>
      <c r="HCX49" s="440"/>
      <c r="HCY49" s="440"/>
      <c r="HCZ49" s="440"/>
      <c r="HDA49" s="440"/>
      <c r="HDB49" s="440"/>
      <c r="HDC49" s="440"/>
      <c r="HDD49" s="440"/>
      <c r="HDE49" s="440"/>
      <c r="HDF49" s="440"/>
      <c r="HDG49" s="440"/>
      <c r="HDH49" s="440"/>
      <c r="HDI49" s="440"/>
      <c r="HDJ49" s="440"/>
      <c r="HDK49" s="440"/>
      <c r="HDL49" s="440"/>
      <c r="HDM49" s="440"/>
      <c r="HDN49" s="440"/>
      <c r="HDO49" s="440"/>
      <c r="HDP49" s="440"/>
      <c r="HDQ49" s="440"/>
      <c r="HDR49" s="440"/>
      <c r="HDS49" s="440"/>
      <c r="HDT49" s="440"/>
      <c r="HDU49" s="440"/>
      <c r="HDV49" s="440"/>
      <c r="HDW49" s="440"/>
      <c r="HDX49" s="440"/>
      <c r="HDY49" s="440"/>
      <c r="HDZ49" s="440"/>
      <c r="HEA49" s="440"/>
      <c r="HEB49" s="440"/>
      <c r="HEC49" s="440"/>
      <c r="HED49" s="440"/>
      <c r="HEE49" s="440"/>
      <c r="HEF49" s="440"/>
      <c r="HEG49" s="440"/>
      <c r="HEH49" s="440"/>
      <c r="HEI49" s="440"/>
      <c r="HEJ49" s="440"/>
      <c r="HEK49" s="440"/>
      <c r="HEL49" s="440"/>
      <c r="HEM49" s="440"/>
      <c r="HEN49" s="440"/>
      <c r="HEO49" s="440"/>
      <c r="HEP49" s="440"/>
      <c r="HEQ49" s="440"/>
      <c r="HER49" s="440"/>
      <c r="HES49" s="440"/>
      <c r="HET49" s="440"/>
      <c r="HEU49" s="440"/>
      <c r="HEV49" s="440"/>
      <c r="HEW49" s="440"/>
      <c r="HEX49" s="440"/>
      <c r="HEY49" s="440"/>
      <c r="HEZ49" s="440"/>
      <c r="HFA49" s="440"/>
      <c r="HFB49" s="440"/>
      <c r="HFC49" s="440"/>
      <c r="HFD49" s="440"/>
      <c r="HFE49" s="440"/>
      <c r="HFF49" s="440"/>
      <c r="HFG49" s="440"/>
      <c r="HFH49" s="440"/>
      <c r="HFI49" s="440"/>
      <c r="HFJ49" s="440"/>
      <c r="HFK49" s="440"/>
      <c r="HFL49" s="440"/>
      <c r="HFM49" s="440"/>
      <c r="HFN49" s="440"/>
      <c r="HFO49" s="440"/>
      <c r="HFP49" s="440"/>
      <c r="HFQ49" s="440"/>
      <c r="HFR49" s="440"/>
      <c r="HFS49" s="440"/>
      <c r="HFT49" s="440"/>
      <c r="HFU49" s="440"/>
      <c r="HFV49" s="440"/>
      <c r="HFW49" s="440"/>
      <c r="HFX49" s="440"/>
      <c r="HFY49" s="440"/>
      <c r="HFZ49" s="440"/>
      <c r="HGA49" s="440"/>
      <c r="HGB49" s="440"/>
      <c r="HGC49" s="440"/>
      <c r="HGD49" s="440"/>
      <c r="HGE49" s="440"/>
      <c r="HGF49" s="440"/>
      <c r="HGG49" s="440"/>
      <c r="HGH49" s="440"/>
      <c r="HGI49" s="440"/>
      <c r="HGJ49" s="440"/>
      <c r="HGK49" s="440"/>
      <c r="HGL49" s="440"/>
      <c r="HGM49" s="440"/>
      <c r="HGN49" s="440"/>
      <c r="HGO49" s="440"/>
      <c r="HGP49" s="440"/>
      <c r="HGQ49" s="440"/>
      <c r="HGR49" s="440"/>
      <c r="HGS49" s="440"/>
      <c r="HGT49" s="440"/>
      <c r="HGU49" s="440"/>
      <c r="HGV49" s="440"/>
      <c r="HGW49" s="440"/>
      <c r="HGX49" s="440"/>
      <c r="HGY49" s="440"/>
      <c r="HGZ49" s="440"/>
      <c r="HHA49" s="440"/>
      <c r="HHB49" s="440"/>
      <c r="HHC49" s="440"/>
      <c r="HHD49" s="440"/>
      <c r="HHE49" s="440"/>
      <c r="HHF49" s="440"/>
      <c r="HHG49" s="440"/>
      <c r="HHH49" s="440"/>
      <c r="HHI49" s="440"/>
      <c r="HHJ49" s="440"/>
      <c r="HHK49" s="440"/>
      <c r="HHL49" s="440"/>
      <c r="HHM49" s="440"/>
      <c r="HHN49" s="440"/>
      <c r="HHO49" s="440"/>
      <c r="HHQ49" s="440"/>
      <c r="HHR49" s="440"/>
      <c r="HHS49" s="440"/>
      <c r="HHT49" s="440"/>
      <c r="HHU49" s="440"/>
      <c r="HHV49" s="440"/>
      <c r="HHW49" s="440"/>
      <c r="HHX49" s="440"/>
      <c r="HHY49" s="440"/>
      <c r="HHZ49" s="440"/>
      <c r="HIA49" s="440"/>
      <c r="HIB49" s="440"/>
      <c r="HIC49" s="440"/>
      <c r="HID49" s="440"/>
      <c r="HIE49" s="440"/>
      <c r="HIF49" s="440"/>
      <c r="HIG49" s="440"/>
      <c r="HIH49" s="440"/>
      <c r="HII49" s="440"/>
      <c r="HIJ49" s="440"/>
      <c r="HIK49" s="440"/>
      <c r="HIL49" s="440"/>
      <c r="HIM49" s="440"/>
      <c r="HIN49" s="440"/>
      <c r="HIO49" s="440"/>
      <c r="HIP49" s="440"/>
      <c r="HIQ49" s="440"/>
      <c r="HIR49" s="440"/>
      <c r="HIS49" s="440"/>
      <c r="HIT49" s="440"/>
      <c r="HIU49" s="440"/>
      <c r="HIV49" s="440"/>
      <c r="HIW49" s="440"/>
      <c r="HIX49" s="440"/>
      <c r="HIY49" s="440"/>
      <c r="HIZ49" s="440"/>
      <c r="HJA49" s="440"/>
      <c r="HJB49" s="440"/>
      <c r="HJC49" s="440"/>
      <c r="HJD49" s="440"/>
      <c r="HJE49" s="440"/>
      <c r="HJF49" s="440"/>
      <c r="HJG49" s="440"/>
      <c r="HJH49" s="440"/>
      <c r="HJI49" s="440"/>
      <c r="HJJ49" s="440"/>
      <c r="HJK49" s="440"/>
      <c r="HJL49" s="440"/>
      <c r="HJM49" s="440"/>
      <c r="HJN49" s="440"/>
      <c r="HJO49" s="440"/>
      <c r="HJP49" s="440"/>
      <c r="HJQ49" s="440"/>
      <c r="HJR49" s="440"/>
      <c r="HJS49" s="440"/>
      <c r="HJT49" s="440"/>
      <c r="HJU49" s="440"/>
      <c r="HJV49" s="440"/>
      <c r="HJW49" s="440"/>
      <c r="HJX49" s="440"/>
      <c r="HJY49" s="440"/>
      <c r="HJZ49" s="440"/>
      <c r="HKA49" s="440"/>
      <c r="HKB49" s="440"/>
      <c r="HKC49" s="440"/>
      <c r="HKD49" s="440"/>
      <c r="HKE49" s="440"/>
      <c r="HKF49" s="440"/>
      <c r="HKG49" s="440"/>
      <c r="HKH49" s="440"/>
      <c r="HKI49" s="440"/>
      <c r="HKJ49" s="440"/>
      <c r="HKK49" s="440"/>
      <c r="HKL49" s="440"/>
      <c r="HKM49" s="440"/>
      <c r="HKN49" s="440"/>
      <c r="HKO49" s="440"/>
      <c r="HKP49" s="440"/>
      <c r="HKQ49" s="440"/>
      <c r="HKR49" s="440"/>
      <c r="HKS49" s="440"/>
      <c r="HKT49" s="440"/>
      <c r="HKU49" s="440"/>
      <c r="HKV49" s="440"/>
      <c r="HKW49" s="440"/>
      <c r="HKX49" s="440"/>
      <c r="HKY49" s="440"/>
      <c r="HKZ49" s="440"/>
      <c r="HLA49" s="440"/>
      <c r="HLB49" s="440"/>
      <c r="HLC49" s="440"/>
      <c r="HLD49" s="440"/>
      <c r="HLE49" s="440"/>
      <c r="HLF49" s="440"/>
      <c r="HLG49" s="440"/>
      <c r="HLH49" s="440"/>
      <c r="HLI49" s="440"/>
      <c r="HLJ49" s="440"/>
      <c r="HLK49" s="440"/>
      <c r="HLL49" s="440"/>
      <c r="HLM49" s="440"/>
      <c r="HLN49" s="440"/>
      <c r="HLO49" s="440"/>
      <c r="HLP49" s="440"/>
      <c r="HLQ49" s="440"/>
      <c r="HLR49" s="440"/>
      <c r="HLS49" s="440"/>
      <c r="HLT49" s="440"/>
      <c r="HLU49" s="440"/>
      <c r="HLV49" s="440"/>
      <c r="HLW49" s="440"/>
      <c r="HLX49" s="440"/>
      <c r="HLY49" s="440"/>
      <c r="HLZ49" s="440"/>
      <c r="HMA49" s="440"/>
      <c r="HMB49" s="440"/>
      <c r="HMC49" s="440"/>
      <c r="HMD49" s="440"/>
      <c r="HME49" s="440"/>
      <c r="HMF49" s="440"/>
      <c r="HMG49" s="440"/>
      <c r="HMH49" s="440"/>
      <c r="HMI49" s="440"/>
      <c r="HMJ49" s="440"/>
      <c r="HMK49" s="440"/>
      <c r="HML49" s="440"/>
      <c r="HMM49" s="440"/>
      <c r="HMN49" s="440"/>
      <c r="HMO49" s="440"/>
      <c r="HMP49" s="440"/>
      <c r="HMQ49" s="440"/>
      <c r="HMR49" s="440"/>
      <c r="HMS49" s="440"/>
      <c r="HMT49" s="440"/>
      <c r="HMU49" s="440"/>
      <c r="HMV49" s="440"/>
      <c r="HMW49" s="440"/>
      <c r="HMX49" s="440"/>
      <c r="HMY49" s="440"/>
      <c r="HMZ49" s="440"/>
      <c r="HNA49" s="440"/>
      <c r="HNB49" s="440"/>
      <c r="HNC49" s="440"/>
      <c r="HND49" s="440"/>
      <c r="HNE49" s="440"/>
      <c r="HNF49" s="440"/>
      <c r="HNG49" s="440"/>
      <c r="HNH49" s="440"/>
      <c r="HNI49" s="440"/>
      <c r="HNJ49" s="440"/>
      <c r="HNK49" s="440"/>
      <c r="HNL49" s="440"/>
      <c r="HNM49" s="440"/>
      <c r="HNN49" s="440"/>
      <c r="HNO49" s="440"/>
      <c r="HNP49" s="440"/>
      <c r="HNQ49" s="440"/>
      <c r="HNR49" s="440"/>
      <c r="HNS49" s="440"/>
      <c r="HNT49" s="440"/>
      <c r="HNU49" s="440"/>
      <c r="HNV49" s="440"/>
      <c r="HNW49" s="440"/>
      <c r="HNX49" s="440"/>
      <c r="HNY49" s="440"/>
      <c r="HNZ49" s="440"/>
      <c r="HOA49" s="440"/>
      <c r="HOB49" s="440"/>
      <c r="HOC49" s="440"/>
      <c r="HOD49" s="440"/>
      <c r="HOE49" s="440"/>
      <c r="HOF49" s="440"/>
      <c r="HOG49" s="440"/>
      <c r="HOH49" s="440"/>
      <c r="HOI49" s="440"/>
      <c r="HOJ49" s="440"/>
      <c r="HOK49" s="440"/>
      <c r="HOL49" s="440"/>
      <c r="HOM49" s="440"/>
      <c r="HON49" s="440"/>
      <c r="HOO49" s="440"/>
      <c r="HOP49" s="440"/>
      <c r="HOQ49" s="440"/>
      <c r="HOR49" s="440"/>
      <c r="HOS49" s="440"/>
      <c r="HOT49" s="440"/>
      <c r="HOU49" s="440"/>
      <c r="HOV49" s="440"/>
      <c r="HOW49" s="440"/>
      <c r="HOX49" s="440"/>
      <c r="HOY49" s="440"/>
      <c r="HOZ49" s="440"/>
      <c r="HPA49" s="440"/>
      <c r="HPB49" s="440"/>
      <c r="HPC49" s="440"/>
      <c r="HPD49" s="440"/>
      <c r="HPE49" s="440"/>
      <c r="HPF49" s="440"/>
      <c r="HPG49" s="440"/>
      <c r="HPH49" s="440"/>
      <c r="HPI49" s="440"/>
      <c r="HPJ49" s="440"/>
      <c r="HPK49" s="440"/>
      <c r="HPL49" s="440"/>
      <c r="HPM49" s="440"/>
      <c r="HPN49" s="440"/>
      <c r="HPO49" s="440"/>
      <c r="HPP49" s="440"/>
      <c r="HPQ49" s="440"/>
      <c r="HPR49" s="440"/>
      <c r="HPS49" s="440"/>
      <c r="HPT49" s="440"/>
      <c r="HPU49" s="440"/>
      <c r="HPV49" s="440"/>
      <c r="HPW49" s="440"/>
      <c r="HPX49" s="440"/>
      <c r="HPY49" s="440"/>
      <c r="HPZ49" s="440"/>
      <c r="HQA49" s="440"/>
      <c r="HQB49" s="440"/>
      <c r="HQC49" s="440"/>
      <c r="HQD49" s="440"/>
      <c r="HQE49" s="440"/>
      <c r="HQF49" s="440"/>
      <c r="HQG49" s="440"/>
      <c r="HQH49" s="440"/>
      <c r="HQI49" s="440"/>
      <c r="HQJ49" s="440"/>
      <c r="HQK49" s="440"/>
      <c r="HQL49" s="440"/>
      <c r="HQM49" s="440"/>
      <c r="HQN49" s="440"/>
      <c r="HQO49" s="440"/>
      <c r="HQP49" s="440"/>
      <c r="HQQ49" s="440"/>
      <c r="HQR49" s="440"/>
      <c r="HQS49" s="440"/>
      <c r="HQT49" s="440"/>
      <c r="HQU49" s="440"/>
      <c r="HQV49" s="440"/>
      <c r="HQW49" s="440"/>
      <c r="HQX49" s="440"/>
      <c r="HQY49" s="440"/>
      <c r="HQZ49" s="440"/>
      <c r="HRA49" s="440"/>
      <c r="HRB49" s="440"/>
      <c r="HRC49" s="440"/>
      <c r="HRD49" s="440"/>
      <c r="HRE49" s="440"/>
      <c r="HRF49" s="440"/>
      <c r="HRG49" s="440"/>
      <c r="HRH49" s="440"/>
      <c r="HRI49" s="440"/>
      <c r="HRJ49" s="440"/>
      <c r="HRK49" s="440"/>
      <c r="HRM49" s="440"/>
      <c r="HRN49" s="440"/>
      <c r="HRO49" s="440"/>
      <c r="HRP49" s="440"/>
      <c r="HRQ49" s="440"/>
      <c r="HRR49" s="440"/>
      <c r="HRS49" s="440"/>
      <c r="HRT49" s="440"/>
      <c r="HRU49" s="440"/>
      <c r="HRV49" s="440"/>
      <c r="HRW49" s="440"/>
      <c r="HRX49" s="440"/>
      <c r="HRY49" s="440"/>
      <c r="HRZ49" s="440"/>
      <c r="HSA49" s="440"/>
      <c r="HSB49" s="440"/>
      <c r="HSC49" s="440"/>
      <c r="HSD49" s="440"/>
      <c r="HSE49" s="440"/>
      <c r="HSF49" s="440"/>
      <c r="HSG49" s="440"/>
      <c r="HSH49" s="440"/>
      <c r="HSI49" s="440"/>
      <c r="HSJ49" s="440"/>
      <c r="HSK49" s="440"/>
      <c r="HSL49" s="440"/>
      <c r="HSM49" s="440"/>
      <c r="HSN49" s="440"/>
      <c r="HSO49" s="440"/>
      <c r="HSP49" s="440"/>
      <c r="HSQ49" s="440"/>
      <c r="HSR49" s="440"/>
      <c r="HSS49" s="440"/>
      <c r="HST49" s="440"/>
      <c r="HSU49" s="440"/>
      <c r="HSV49" s="440"/>
      <c r="HSW49" s="440"/>
      <c r="HSX49" s="440"/>
      <c r="HSY49" s="440"/>
      <c r="HSZ49" s="440"/>
      <c r="HTA49" s="440"/>
      <c r="HTB49" s="440"/>
      <c r="HTC49" s="440"/>
      <c r="HTD49" s="440"/>
      <c r="HTE49" s="440"/>
      <c r="HTF49" s="440"/>
      <c r="HTG49" s="440"/>
      <c r="HTH49" s="440"/>
      <c r="HTI49" s="440"/>
      <c r="HTJ49" s="440"/>
      <c r="HTK49" s="440"/>
      <c r="HTL49" s="440"/>
      <c r="HTM49" s="440"/>
      <c r="HTN49" s="440"/>
      <c r="HTO49" s="440"/>
      <c r="HTP49" s="440"/>
      <c r="HTQ49" s="440"/>
      <c r="HTR49" s="440"/>
      <c r="HTS49" s="440"/>
      <c r="HTT49" s="440"/>
      <c r="HTU49" s="440"/>
      <c r="HTV49" s="440"/>
      <c r="HTW49" s="440"/>
      <c r="HTX49" s="440"/>
      <c r="HTY49" s="440"/>
      <c r="HTZ49" s="440"/>
      <c r="HUA49" s="440"/>
      <c r="HUB49" s="440"/>
      <c r="HUC49" s="440"/>
      <c r="HUD49" s="440"/>
      <c r="HUE49" s="440"/>
      <c r="HUF49" s="440"/>
      <c r="HUG49" s="440"/>
      <c r="HUH49" s="440"/>
      <c r="HUI49" s="440"/>
      <c r="HUJ49" s="440"/>
      <c r="HUK49" s="440"/>
      <c r="HUL49" s="440"/>
      <c r="HUM49" s="440"/>
      <c r="HUN49" s="440"/>
      <c r="HUO49" s="440"/>
      <c r="HUP49" s="440"/>
      <c r="HUQ49" s="440"/>
      <c r="HUR49" s="440"/>
      <c r="HUS49" s="440"/>
      <c r="HUT49" s="440"/>
      <c r="HUU49" s="440"/>
      <c r="HUV49" s="440"/>
      <c r="HUW49" s="440"/>
      <c r="HUX49" s="440"/>
      <c r="HUY49" s="440"/>
      <c r="HUZ49" s="440"/>
      <c r="HVA49" s="440"/>
      <c r="HVB49" s="440"/>
      <c r="HVC49" s="440"/>
      <c r="HVD49" s="440"/>
      <c r="HVE49" s="440"/>
      <c r="HVF49" s="440"/>
      <c r="HVG49" s="440"/>
      <c r="HVH49" s="440"/>
      <c r="HVI49" s="440"/>
      <c r="HVJ49" s="440"/>
      <c r="HVK49" s="440"/>
      <c r="HVL49" s="440"/>
      <c r="HVM49" s="440"/>
      <c r="HVN49" s="440"/>
      <c r="HVO49" s="440"/>
      <c r="HVP49" s="440"/>
      <c r="HVQ49" s="440"/>
      <c r="HVR49" s="440"/>
      <c r="HVS49" s="440"/>
      <c r="HVT49" s="440"/>
      <c r="HVU49" s="440"/>
      <c r="HVV49" s="440"/>
      <c r="HVW49" s="440"/>
      <c r="HVX49" s="440"/>
      <c r="HVY49" s="440"/>
      <c r="HVZ49" s="440"/>
      <c r="HWA49" s="440"/>
      <c r="HWB49" s="440"/>
      <c r="HWC49" s="440"/>
      <c r="HWD49" s="440"/>
      <c r="HWE49" s="440"/>
      <c r="HWF49" s="440"/>
      <c r="HWG49" s="440"/>
      <c r="HWH49" s="440"/>
      <c r="HWI49" s="440"/>
      <c r="HWJ49" s="440"/>
      <c r="HWK49" s="440"/>
      <c r="HWL49" s="440"/>
      <c r="HWM49" s="440"/>
      <c r="HWN49" s="440"/>
      <c r="HWO49" s="440"/>
      <c r="HWP49" s="440"/>
      <c r="HWQ49" s="440"/>
      <c r="HWR49" s="440"/>
      <c r="HWS49" s="440"/>
      <c r="HWT49" s="440"/>
      <c r="HWU49" s="440"/>
      <c r="HWV49" s="440"/>
      <c r="HWW49" s="440"/>
      <c r="HWX49" s="440"/>
      <c r="HWY49" s="440"/>
      <c r="HWZ49" s="440"/>
      <c r="HXA49" s="440"/>
      <c r="HXB49" s="440"/>
      <c r="HXC49" s="440"/>
      <c r="HXD49" s="440"/>
      <c r="HXE49" s="440"/>
      <c r="HXF49" s="440"/>
      <c r="HXG49" s="440"/>
      <c r="HXH49" s="440"/>
      <c r="HXI49" s="440"/>
      <c r="HXJ49" s="440"/>
      <c r="HXK49" s="440"/>
      <c r="HXL49" s="440"/>
      <c r="HXM49" s="440"/>
      <c r="HXN49" s="440"/>
      <c r="HXO49" s="440"/>
      <c r="HXP49" s="440"/>
      <c r="HXQ49" s="440"/>
      <c r="HXR49" s="440"/>
      <c r="HXS49" s="440"/>
      <c r="HXT49" s="440"/>
      <c r="HXU49" s="440"/>
      <c r="HXV49" s="440"/>
      <c r="HXW49" s="440"/>
      <c r="HXX49" s="440"/>
      <c r="HXY49" s="440"/>
      <c r="HXZ49" s="440"/>
      <c r="HYA49" s="440"/>
      <c r="HYB49" s="440"/>
      <c r="HYC49" s="440"/>
      <c r="HYD49" s="440"/>
      <c r="HYE49" s="440"/>
      <c r="HYF49" s="440"/>
      <c r="HYG49" s="440"/>
      <c r="HYH49" s="440"/>
      <c r="HYI49" s="440"/>
      <c r="HYJ49" s="440"/>
      <c r="HYK49" s="440"/>
      <c r="HYL49" s="440"/>
      <c r="HYM49" s="440"/>
      <c r="HYN49" s="440"/>
      <c r="HYO49" s="440"/>
      <c r="HYP49" s="440"/>
      <c r="HYQ49" s="440"/>
      <c r="HYR49" s="440"/>
      <c r="HYS49" s="440"/>
      <c r="HYT49" s="440"/>
      <c r="HYU49" s="440"/>
      <c r="HYV49" s="440"/>
      <c r="HYW49" s="440"/>
      <c r="HYX49" s="440"/>
      <c r="HYY49" s="440"/>
      <c r="HYZ49" s="440"/>
      <c r="HZA49" s="440"/>
      <c r="HZB49" s="440"/>
      <c r="HZC49" s="440"/>
      <c r="HZD49" s="440"/>
      <c r="HZE49" s="440"/>
      <c r="HZF49" s="440"/>
      <c r="HZG49" s="440"/>
      <c r="HZH49" s="440"/>
      <c r="HZI49" s="440"/>
      <c r="HZJ49" s="440"/>
      <c r="HZK49" s="440"/>
      <c r="HZL49" s="440"/>
      <c r="HZM49" s="440"/>
      <c r="HZN49" s="440"/>
      <c r="HZO49" s="440"/>
      <c r="HZP49" s="440"/>
      <c r="HZQ49" s="440"/>
      <c r="HZR49" s="440"/>
      <c r="HZS49" s="440"/>
      <c r="HZT49" s="440"/>
      <c r="HZU49" s="440"/>
      <c r="HZV49" s="440"/>
      <c r="HZW49" s="440"/>
      <c r="HZX49" s="440"/>
      <c r="HZY49" s="440"/>
      <c r="HZZ49" s="440"/>
      <c r="IAA49" s="440"/>
      <c r="IAB49" s="440"/>
      <c r="IAC49" s="440"/>
      <c r="IAD49" s="440"/>
      <c r="IAE49" s="440"/>
      <c r="IAF49" s="440"/>
      <c r="IAG49" s="440"/>
      <c r="IAH49" s="440"/>
      <c r="IAI49" s="440"/>
      <c r="IAJ49" s="440"/>
      <c r="IAK49" s="440"/>
      <c r="IAL49" s="440"/>
      <c r="IAM49" s="440"/>
      <c r="IAN49" s="440"/>
      <c r="IAO49" s="440"/>
      <c r="IAP49" s="440"/>
      <c r="IAQ49" s="440"/>
      <c r="IAR49" s="440"/>
      <c r="IAS49" s="440"/>
      <c r="IAT49" s="440"/>
      <c r="IAU49" s="440"/>
      <c r="IAV49" s="440"/>
      <c r="IAW49" s="440"/>
      <c r="IAX49" s="440"/>
      <c r="IAY49" s="440"/>
      <c r="IAZ49" s="440"/>
      <c r="IBA49" s="440"/>
      <c r="IBB49" s="440"/>
      <c r="IBC49" s="440"/>
      <c r="IBD49" s="440"/>
      <c r="IBE49" s="440"/>
      <c r="IBF49" s="440"/>
      <c r="IBG49" s="440"/>
      <c r="IBI49" s="440"/>
      <c r="IBJ49" s="440"/>
      <c r="IBK49" s="440"/>
      <c r="IBL49" s="440"/>
      <c r="IBM49" s="440"/>
      <c r="IBN49" s="440"/>
      <c r="IBO49" s="440"/>
      <c r="IBP49" s="440"/>
      <c r="IBQ49" s="440"/>
      <c r="IBR49" s="440"/>
      <c r="IBS49" s="440"/>
      <c r="IBT49" s="440"/>
      <c r="IBU49" s="440"/>
      <c r="IBV49" s="440"/>
      <c r="IBW49" s="440"/>
      <c r="IBX49" s="440"/>
      <c r="IBY49" s="440"/>
      <c r="IBZ49" s="440"/>
      <c r="ICA49" s="440"/>
      <c r="ICB49" s="440"/>
      <c r="ICC49" s="440"/>
      <c r="ICD49" s="440"/>
      <c r="ICE49" s="440"/>
      <c r="ICF49" s="440"/>
      <c r="ICG49" s="440"/>
      <c r="ICH49" s="440"/>
      <c r="ICI49" s="440"/>
      <c r="ICJ49" s="440"/>
      <c r="ICK49" s="440"/>
      <c r="ICL49" s="440"/>
      <c r="ICM49" s="440"/>
      <c r="ICN49" s="440"/>
      <c r="ICO49" s="440"/>
      <c r="ICP49" s="440"/>
      <c r="ICQ49" s="440"/>
      <c r="ICR49" s="440"/>
      <c r="ICS49" s="440"/>
      <c r="ICT49" s="440"/>
      <c r="ICU49" s="440"/>
      <c r="ICV49" s="440"/>
      <c r="ICW49" s="440"/>
      <c r="ICX49" s="440"/>
      <c r="ICY49" s="440"/>
      <c r="ICZ49" s="440"/>
      <c r="IDA49" s="440"/>
      <c r="IDB49" s="440"/>
      <c r="IDC49" s="440"/>
      <c r="IDD49" s="440"/>
      <c r="IDE49" s="440"/>
      <c r="IDF49" s="440"/>
      <c r="IDG49" s="440"/>
      <c r="IDH49" s="440"/>
      <c r="IDI49" s="440"/>
      <c r="IDJ49" s="440"/>
      <c r="IDK49" s="440"/>
      <c r="IDL49" s="440"/>
      <c r="IDM49" s="440"/>
      <c r="IDN49" s="440"/>
      <c r="IDO49" s="440"/>
      <c r="IDP49" s="440"/>
      <c r="IDQ49" s="440"/>
      <c r="IDR49" s="440"/>
      <c r="IDS49" s="440"/>
      <c r="IDT49" s="440"/>
      <c r="IDU49" s="440"/>
      <c r="IDV49" s="440"/>
      <c r="IDW49" s="440"/>
      <c r="IDX49" s="440"/>
      <c r="IDY49" s="440"/>
      <c r="IDZ49" s="440"/>
      <c r="IEA49" s="440"/>
      <c r="IEB49" s="440"/>
      <c r="IEC49" s="440"/>
      <c r="IED49" s="440"/>
      <c r="IEE49" s="440"/>
      <c r="IEF49" s="440"/>
      <c r="IEG49" s="440"/>
      <c r="IEH49" s="440"/>
      <c r="IEI49" s="440"/>
      <c r="IEJ49" s="440"/>
      <c r="IEK49" s="440"/>
      <c r="IEL49" s="440"/>
      <c r="IEM49" s="440"/>
      <c r="IEN49" s="440"/>
      <c r="IEO49" s="440"/>
      <c r="IEP49" s="440"/>
      <c r="IEQ49" s="440"/>
      <c r="IER49" s="440"/>
      <c r="IES49" s="440"/>
      <c r="IET49" s="440"/>
      <c r="IEU49" s="440"/>
      <c r="IEV49" s="440"/>
      <c r="IEW49" s="440"/>
      <c r="IEX49" s="440"/>
      <c r="IEY49" s="440"/>
      <c r="IEZ49" s="440"/>
      <c r="IFA49" s="440"/>
      <c r="IFB49" s="440"/>
      <c r="IFC49" s="440"/>
      <c r="IFD49" s="440"/>
      <c r="IFE49" s="440"/>
      <c r="IFF49" s="440"/>
      <c r="IFG49" s="440"/>
      <c r="IFH49" s="440"/>
      <c r="IFI49" s="440"/>
      <c r="IFJ49" s="440"/>
      <c r="IFK49" s="440"/>
      <c r="IFL49" s="440"/>
      <c r="IFM49" s="440"/>
      <c r="IFN49" s="440"/>
      <c r="IFO49" s="440"/>
      <c r="IFP49" s="440"/>
      <c r="IFQ49" s="440"/>
      <c r="IFR49" s="440"/>
      <c r="IFS49" s="440"/>
      <c r="IFT49" s="440"/>
      <c r="IFU49" s="440"/>
      <c r="IFV49" s="440"/>
      <c r="IFW49" s="440"/>
      <c r="IFX49" s="440"/>
      <c r="IFY49" s="440"/>
      <c r="IFZ49" s="440"/>
      <c r="IGA49" s="440"/>
      <c r="IGB49" s="440"/>
      <c r="IGC49" s="440"/>
      <c r="IGD49" s="440"/>
      <c r="IGE49" s="440"/>
      <c r="IGF49" s="440"/>
      <c r="IGG49" s="440"/>
      <c r="IGH49" s="440"/>
      <c r="IGI49" s="440"/>
      <c r="IGJ49" s="440"/>
      <c r="IGK49" s="440"/>
      <c r="IGL49" s="440"/>
      <c r="IGM49" s="440"/>
      <c r="IGN49" s="440"/>
      <c r="IGO49" s="440"/>
      <c r="IGP49" s="440"/>
      <c r="IGQ49" s="440"/>
      <c r="IGR49" s="440"/>
      <c r="IGS49" s="440"/>
      <c r="IGT49" s="440"/>
      <c r="IGU49" s="440"/>
      <c r="IGV49" s="440"/>
      <c r="IGW49" s="440"/>
      <c r="IGX49" s="440"/>
      <c r="IGY49" s="440"/>
      <c r="IGZ49" s="440"/>
      <c r="IHA49" s="440"/>
      <c r="IHB49" s="440"/>
      <c r="IHC49" s="440"/>
      <c r="IHD49" s="440"/>
      <c r="IHE49" s="440"/>
      <c r="IHF49" s="440"/>
      <c r="IHG49" s="440"/>
      <c r="IHH49" s="440"/>
      <c r="IHI49" s="440"/>
      <c r="IHJ49" s="440"/>
      <c r="IHK49" s="440"/>
      <c r="IHL49" s="440"/>
      <c r="IHM49" s="440"/>
      <c r="IHN49" s="440"/>
      <c r="IHO49" s="440"/>
      <c r="IHP49" s="440"/>
      <c r="IHQ49" s="440"/>
      <c r="IHR49" s="440"/>
      <c r="IHS49" s="440"/>
      <c r="IHT49" s="440"/>
      <c r="IHU49" s="440"/>
      <c r="IHV49" s="440"/>
      <c r="IHW49" s="440"/>
      <c r="IHX49" s="440"/>
      <c r="IHY49" s="440"/>
      <c r="IHZ49" s="440"/>
      <c r="IIA49" s="440"/>
      <c r="IIB49" s="440"/>
      <c r="IIC49" s="440"/>
      <c r="IID49" s="440"/>
      <c r="IIE49" s="440"/>
      <c r="IIF49" s="440"/>
      <c r="IIG49" s="440"/>
      <c r="IIH49" s="440"/>
      <c r="III49" s="440"/>
      <c r="IIJ49" s="440"/>
      <c r="IIK49" s="440"/>
      <c r="IIL49" s="440"/>
      <c r="IIM49" s="440"/>
      <c r="IIN49" s="440"/>
      <c r="IIO49" s="440"/>
      <c r="IIP49" s="440"/>
      <c r="IIQ49" s="440"/>
      <c r="IIR49" s="440"/>
      <c r="IIS49" s="440"/>
      <c r="IIT49" s="440"/>
      <c r="IIU49" s="440"/>
      <c r="IIV49" s="440"/>
      <c r="IIW49" s="440"/>
      <c r="IIX49" s="440"/>
      <c r="IIY49" s="440"/>
      <c r="IIZ49" s="440"/>
      <c r="IJA49" s="440"/>
      <c r="IJB49" s="440"/>
      <c r="IJC49" s="440"/>
      <c r="IJD49" s="440"/>
      <c r="IJE49" s="440"/>
      <c r="IJF49" s="440"/>
      <c r="IJG49" s="440"/>
      <c r="IJH49" s="440"/>
      <c r="IJI49" s="440"/>
      <c r="IJJ49" s="440"/>
      <c r="IJK49" s="440"/>
      <c r="IJL49" s="440"/>
      <c r="IJM49" s="440"/>
      <c r="IJN49" s="440"/>
      <c r="IJO49" s="440"/>
      <c r="IJP49" s="440"/>
      <c r="IJQ49" s="440"/>
      <c r="IJR49" s="440"/>
      <c r="IJS49" s="440"/>
      <c r="IJT49" s="440"/>
      <c r="IJU49" s="440"/>
      <c r="IJV49" s="440"/>
      <c r="IJW49" s="440"/>
      <c r="IJX49" s="440"/>
      <c r="IJY49" s="440"/>
      <c r="IJZ49" s="440"/>
      <c r="IKA49" s="440"/>
      <c r="IKB49" s="440"/>
      <c r="IKC49" s="440"/>
      <c r="IKD49" s="440"/>
      <c r="IKE49" s="440"/>
      <c r="IKF49" s="440"/>
      <c r="IKG49" s="440"/>
      <c r="IKH49" s="440"/>
      <c r="IKI49" s="440"/>
      <c r="IKJ49" s="440"/>
      <c r="IKK49" s="440"/>
      <c r="IKL49" s="440"/>
      <c r="IKM49" s="440"/>
      <c r="IKN49" s="440"/>
      <c r="IKO49" s="440"/>
      <c r="IKP49" s="440"/>
      <c r="IKQ49" s="440"/>
      <c r="IKR49" s="440"/>
      <c r="IKS49" s="440"/>
      <c r="IKT49" s="440"/>
      <c r="IKU49" s="440"/>
      <c r="IKV49" s="440"/>
      <c r="IKW49" s="440"/>
      <c r="IKX49" s="440"/>
      <c r="IKY49" s="440"/>
      <c r="IKZ49" s="440"/>
      <c r="ILA49" s="440"/>
      <c r="ILB49" s="440"/>
      <c r="ILC49" s="440"/>
      <c r="ILE49" s="440"/>
      <c r="ILF49" s="440"/>
      <c r="ILG49" s="440"/>
      <c r="ILH49" s="440"/>
      <c r="ILI49" s="440"/>
      <c r="ILJ49" s="440"/>
      <c r="ILK49" s="440"/>
      <c r="ILL49" s="440"/>
      <c r="ILM49" s="440"/>
      <c r="ILN49" s="440"/>
      <c r="ILO49" s="440"/>
      <c r="ILP49" s="440"/>
      <c r="ILQ49" s="440"/>
      <c r="ILR49" s="440"/>
      <c r="ILS49" s="440"/>
      <c r="ILT49" s="440"/>
      <c r="ILU49" s="440"/>
      <c r="ILV49" s="440"/>
      <c r="ILW49" s="440"/>
      <c r="ILX49" s="440"/>
      <c r="ILY49" s="440"/>
      <c r="ILZ49" s="440"/>
      <c r="IMA49" s="440"/>
      <c r="IMB49" s="440"/>
      <c r="IMC49" s="440"/>
      <c r="IMD49" s="440"/>
      <c r="IME49" s="440"/>
      <c r="IMF49" s="440"/>
      <c r="IMG49" s="440"/>
      <c r="IMH49" s="440"/>
      <c r="IMI49" s="440"/>
      <c r="IMJ49" s="440"/>
      <c r="IMK49" s="440"/>
      <c r="IML49" s="440"/>
      <c r="IMM49" s="440"/>
      <c r="IMN49" s="440"/>
      <c r="IMO49" s="440"/>
      <c r="IMP49" s="440"/>
      <c r="IMQ49" s="440"/>
      <c r="IMR49" s="440"/>
      <c r="IMS49" s="440"/>
      <c r="IMT49" s="440"/>
      <c r="IMU49" s="440"/>
      <c r="IMV49" s="440"/>
      <c r="IMW49" s="440"/>
      <c r="IMX49" s="440"/>
      <c r="IMY49" s="440"/>
      <c r="IMZ49" s="440"/>
      <c r="INA49" s="440"/>
      <c r="INB49" s="440"/>
      <c r="INC49" s="440"/>
      <c r="IND49" s="440"/>
      <c r="INE49" s="440"/>
      <c r="INF49" s="440"/>
      <c r="ING49" s="440"/>
      <c r="INH49" s="440"/>
      <c r="INI49" s="440"/>
      <c r="INJ49" s="440"/>
      <c r="INK49" s="440"/>
      <c r="INL49" s="440"/>
      <c r="INM49" s="440"/>
      <c r="INN49" s="440"/>
      <c r="INO49" s="440"/>
      <c r="INP49" s="440"/>
      <c r="INQ49" s="440"/>
      <c r="INR49" s="440"/>
      <c r="INS49" s="440"/>
      <c r="INT49" s="440"/>
      <c r="INU49" s="440"/>
      <c r="INV49" s="440"/>
      <c r="INW49" s="440"/>
      <c r="INX49" s="440"/>
      <c r="INY49" s="440"/>
      <c r="INZ49" s="440"/>
      <c r="IOA49" s="440"/>
      <c r="IOB49" s="440"/>
      <c r="IOC49" s="440"/>
      <c r="IOD49" s="440"/>
      <c r="IOE49" s="440"/>
      <c r="IOF49" s="440"/>
      <c r="IOG49" s="440"/>
      <c r="IOH49" s="440"/>
      <c r="IOI49" s="440"/>
      <c r="IOJ49" s="440"/>
      <c r="IOK49" s="440"/>
      <c r="IOL49" s="440"/>
      <c r="IOM49" s="440"/>
      <c r="ION49" s="440"/>
      <c r="IOO49" s="440"/>
      <c r="IOP49" s="440"/>
      <c r="IOQ49" s="440"/>
      <c r="IOR49" s="440"/>
      <c r="IOS49" s="440"/>
      <c r="IOT49" s="440"/>
      <c r="IOU49" s="440"/>
      <c r="IOV49" s="440"/>
      <c r="IOW49" s="440"/>
      <c r="IOX49" s="440"/>
      <c r="IOY49" s="440"/>
      <c r="IOZ49" s="440"/>
      <c r="IPA49" s="440"/>
      <c r="IPB49" s="440"/>
      <c r="IPC49" s="440"/>
      <c r="IPD49" s="440"/>
      <c r="IPE49" s="440"/>
      <c r="IPF49" s="440"/>
      <c r="IPG49" s="440"/>
      <c r="IPH49" s="440"/>
      <c r="IPI49" s="440"/>
      <c r="IPJ49" s="440"/>
      <c r="IPK49" s="440"/>
      <c r="IPL49" s="440"/>
      <c r="IPM49" s="440"/>
      <c r="IPN49" s="440"/>
      <c r="IPO49" s="440"/>
      <c r="IPP49" s="440"/>
      <c r="IPQ49" s="440"/>
      <c r="IPR49" s="440"/>
      <c r="IPS49" s="440"/>
      <c r="IPT49" s="440"/>
      <c r="IPU49" s="440"/>
      <c r="IPV49" s="440"/>
      <c r="IPW49" s="440"/>
      <c r="IPX49" s="440"/>
      <c r="IPY49" s="440"/>
      <c r="IPZ49" s="440"/>
      <c r="IQA49" s="440"/>
      <c r="IQB49" s="440"/>
      <c r="IQC49" s="440"/>
      <c r="IQD49" s="440"/>
      <c r="IQE49" s="440"/>
      <c r="IQF49" s="440"/>
      <c r="IQG49" s="440"/>
      <c r="IQH49" s="440"/>
      <c r="IQI49" s="440"/>
      <c r="IQJ49" s="440"/>
      <c r="IQK49" s="440"/>
      <c r="IQL49" s="440"/>
      <c r="IQM49" s="440"/>
      <c r="IQN49" s="440"/>
      <c r="IQO49" s="440"/>
      <c r="IQP49" s="440"/>
      <c r="IQQ49" s="440"/>
      <c r="IQR49" s="440"/>
      <c r="IQS49" s="440"/>
      <c r="IQT49" s="440"/>
      <c r="IQU49" s="440"/>
      <c r="IQV49" s="440"/>
      <c r="IQW49" s="440"/>
      <c r="IQX49" s="440"/>
      <c r="IQY49" s="440"/>
      <c r="IQZ49" s="440"/>
      <c r="IRA49" s="440"/>
      <c r="IRB49" s="440"/>
      <c r="IRC49" s="440"/>
      <c r="IRD49" s="440"/>
      <c r="IRE49" s="440"/>
      <c r="IRF49" s="440"/>
      <c r="IRG49" s="440"/>
      <c r="IRH49" s="440"/>
      <c r="IRI49" s="440"/>
      <c r="IRJ49" s="440"/>
      <c r="IRK49" s="440"/>
      <c r="IRL49" s="440"/>
      <c r="IRM49" s="440"/>
      <c r="IRN49" s="440"/>
      <c r="IRO49" s="440"/>
      <c r="IRP49" s="440"/>
      <c r="IRQ49" s="440"/>
      <c r="IRR49" s="440"/>
      <c r="IRS49" s="440"/>
      <c r="IRT49" s="440"/>
      <c r="IRU49" s="440"/>
      <c r="IRV49" s="440"/>
      <c r="IRW49" s="440"/>
      <c r="IRX49" s="440"/>
      <c r="IRY49" s="440"/>
      <c r="IRZ49" s="440"/>
      <c r="ISA49" s="440"/>
      <c r="ISB49" s="440"/>
      <c r="ISC49" s="440"/>
      <c r="ISD49" s="440"/>
      <c r="ISE49" s="440"/>
      <c r="ISF49" s="440"/>
      <c r="ISG49" s="440"/>
      <c r="ISH49" s="440"/>
      <c r="ISI49" s="440"/>
      <c r="ISJ49" s="440"/>
      <c r="ISK49" s="440"/>
      <c r="ISL49" s="440"/>
      <c r="ISM49" s="440"/>
      <c r="ISN49" s="440"/>
      <c r="ISO49" s="440"/>
      <c r="ISP49" s="440"/>
      <c r="ISQ49" s="440"/>
      <c r="ISR49" s="440"/>
      <c r="ISS49" s="440"/>
      <c r="IST49" s="440"/>
      <c r="ISU49" s="440"/>
      <c r="ISV49" s="440"/>
      <c r="ISW49" s="440"/>
      <c r="ISX49" s="440"/>
      <c r="ISY49" s="440"/>
      <c r="ISZ49" s="440"/>
      <c r="ITA49" s="440"/>
      <c r="ITB49" s="440"/>
      <c r="ITC49" s="440"/>
      <c r="ITD49" s="440"/>
      <c r="ITE49" s="440"/>
      <c r="ITF49" s="440"/>
      <c r="ITG49" s="440"/>
      <c r="ITH49" s="440"/>
      <c r="ITI49" s="440"/>
      <c r="ITJ49" s="440"/>
      <c r="ITK49" s="440"/>
      <c r="ITL49" s="440"/>
      <c r="ITM49" s="440"/>
      <c r="ITN49" s="440"/>
      <c r="ITO49" s="440"/>
      <c r="ITP49" s="440"/>
      <c r="ITQ49" s="440"/>
      <c r="ITR49" s="440"/>
      <c r="ITS49" s="440"/>
      <c r="ITT49" s="440"/>
      <c r="ITU49" s="440"/>
      <c r="ITV49" s="440"/>
      <c r="ITW49" s="440"/>
      <c r="ITX49" s="440"/>
      <c r="ITY49" s="440"/>
      <c r="ITZ49" s="440"/>
      <c r="IUA49" s="440"/>
      <c r="IUB49" s="440"/>
      <c r="IUC49" s="440"/>
      <c r="IUD49" s="440"/>
      <c r="IUE49" s="440"/>
      <c r="IUF49" s="440"/>
      <c r="IUG49" s="440"/>
      <c r="IUH49" s="440"/>
      <c r="IUI49" s="440"/>
      <c r="IUJ49" s="440"/>
      <c r="IUK49" s="440"/>
      <c r="IUL49" s="440"/>
      <c r="IUM49" s="440"/>
      <c r="IUN49" s="440"/>
      <c r="IUO49" s="440"/>
      <c r="IUP49" s="440"/>
      <c r="IUQ49" s="440"/>
      <c r="IUR49" s="440"/>
      <c r="IUS49" s="440"/>
      <c r="IUT49" s="440"/>
      <c r="IUU49" s="440"/>
      <c r="IUV49" s="440"/>
      <c r="IUW49" s="440"/>
      <c r="IUX49" s="440"/>
      <c r="IUY49" s="440"/>
      <c r="IVA49" s="440"/>
      <c r="IVB49" s="440"/>
      <c r="IVC49" s="440"/>
      <c r="IVD49" s="440"/>
      <c r="IVE49" s="440"/>
      <c r="IVF49" s="440"/>
      <c r="IVG49" s="440"/>
      <c r="IVH49" s="440"/>
      <c r="IVI49" s="440"/>
      <c r="IVJ49" s="440"/>
      <c r="IVK49" s="440"/>
      <c r="IVL49" s="440"/>
      <c r="IVM49" s="440"/>
      <c r="IVN49" s="440"/>
      <c r="IVO49" s="440"/>
      <c r="IVP49" s="440"/>
      <c r="IVQ49" s="440"/>
      <c r="IVR49" s="440"/>
      <c r="IVS49" s="440"/>
      <c r="IVT49" s="440"/>
      <c r="IVU49" s="440"/>
      <c r="IVV49" s="440"/>
      <c r="IVW49" s="440"/>
      <c r="IVX49" s="440"/>
      <c r="IVY49" s="440"/>
      <c r="IVZ49" s="440"/>
      <c r="IWA49" s="440"/>
      <c r="IWB49" s="440"/>
      <c r="IWC49" s="440"/>
      <c r="IWD49" s="440"/>
      <c r="IWE49" s="440"/>
      <c r="IWF49" s="440"/>
      <c r="IWG49" s="440"/>
      <c r="IWH49" s="440"/>
      <c r="IWI49" s="440"/>
      <c r="IWJ49" s="440"/>
      <c r="IWK49" s="440"/>
      <c r="IWL49" s="440"/>
      <c r="IWM49" s="440"/>
      <c r="IWN49" s="440"/>
      <c r="IWO49" s="440"/>
      <c r="IWP49" s="440"/>
      <c r="IWQ49" s="440"/>
      <c r="IWR49" s="440"/>
      <c r="IWS49" s="440"/>
      <c r="IWT49" s="440"/>
      <c r="IWU49" s="440"/>
      <c r="IWV49" s="440"/>
      <c r="IWW49" s="440"/>
      <c r="IWX49" s="440"/>
      <c r="IWY49" s="440"/>
      <c r="IWZ49" s="440"/>
      <c r="IXA49" s="440"/>
      <c r="IXB49" s="440"/>
      <c r="IXC49" s="440"/>
      <c r="IXD49" s="440"/>
      <c r="IXE49" s="440"/>
      <c r="IXF49" s="440"/>
      <c r="IXG49" s="440"/>
      <c r="IXH49" s="440"/>
      <c r="IXI49" s="440"/>
      <c r="IXJ49" s="440"/>
      <c r="IXK49" s="440"/>
      <c r="IXL49" s="440"/>
      <c r="IXM49" s="440"/>
      <c r="IXN49" s="440"/>
      <c r="IXO49" s="440"/>
      <c r="IXP49" s="440"/>
      <c r="IXQ49" s="440"/>
      <c r="IXR49" s="440"/>
      <c r="IXS49" s="440"/>
      <c r="IXT49" s="440"/>
      <c r="IXU49" s="440"/>
      <c r="IXV49" s="440"/>
      <c r="IXW49" s="440"/>
      <c r="IXX49" s="440"/>
      <c r="IXY49" s="440"/>
      <c r="IXZ49" s="440"/>
      <c r="IYA49" s="440"/>
      <c r="IYB49" s="440"/>
      <c r="IYC49" s="440"/>
      <c r="IYD49" s="440"/>
      <c r="IYE49" s="440"/>
      <c r="IYF49" s="440"/>
      <c r="IYG49" s="440"/>
      <c r="IYH49" s="440"/>
      <c r="IYI49" s="440"/>
      <c r="IYJ49" s="440"/>
      <c r="IYK49" s="440"/>
      <c r="IYL49" s="440"/>
      <c r="IYM49" s="440"/>
      <c r="IYN49" s="440"/>
      <c r="IYO49" s="440"/>
      <c r="IYP49" s="440"/>
      <c r="IYQ49" s="440"/>
      <c r="IYR49" s="440"/>
      <c r="IYS49" s="440"/>
      <c r="IYT49" s="440"/>
      <c r="IYU49" s="440"/>
      <c r="IYV49" s="440"/>
      <c r="IYW49" s="440"/>
      <c r="IYX49" s="440"/>
      <c r="IYY49" s="440"/>
      <c r="IYZ49" s="440"/>
      <c r="IZA49" s="440"/>
      <c r="IZB49" s="440"/>
      <c r="IZC49" s="440"/>
      <c r="IZD49" s="440"/>
      <c r="IZE49" s="440"/>
      <c r="IZF49" s="440"/>
      <c r="IZG49" s="440"/>
      <c r="IZH49" s="440"/>
      <c r="IZI49" s="440"/>
      <c r="IZJ49" s="440"/>
      <c r="IZK49" s="440"/>
      <c r="IZL49" s="440"/>
      <c r="IZM49" s="440"/>
      <c r="IZN49" s="440"/>
      <c r="IZO49" s="440"/>
      <c r="IZP49" s="440"/>
      <c r="IZQ49" s="440"/>
      <c r="IZR49" s="440"/>
      <c r="IZS49" s="440"/>
      <c r="IZT49" s="440"/>
      <c r="IZU49" s="440"/>
      <c r="IZV49" s="440"/>
      <c r="IZW49" s="440"/>
      <c r="IZX49" s="440"/>
      <c r="IZY49" s="440"/>
      <c r="IZZ49" s="440"/>
      <c r="JAA49" s="440"/>
      <c r="JAB49" s="440"/>
      <c r="JAC49" s="440"/>
      <c r="JAD49" s="440"/>
      <c r="JAE49" s="440"/>
      <c r="JAF49" s="440"/>
      <c r="JAG49" s="440"/>
      <c r="JAH49" s="440"/>
      <c r="JAI49" s="440"/>
      <c r="JAJ49" s="440"/>
      <c r="JAK49" s="440"/>
      <c r="JAL49" s="440"/>
      <c r="JAM49" s="440"/>
      <c r="JAN49" s="440"/>
      <c r="JAO49" s="440"/>
      <c r="JAP49" s="440"/>
      <c r="JAQ49" s="440"/>
      <c r="JAR49" s="440"/>
      <c r="JAS49" s="440"/>
      <c r="JAT49" s="440"/>
      <c r="JAU49" s="440"/>
      <c r="JAV49" s="440"/>
      <c r="JAW49" s="440"/>
      <c r="JAX49" s="440"/>
      <c r="JAY49" s="440"/>
      <c r="JAZ49" s="440"/>
      <c r="JBA49" s="440"/>
      <c r="JBB49" s="440"/>
      <c r="JBC49" s="440"/>
      <c r="JBD49" s="440"/>
      <c r="JBE49" s="440"/>
      <c r="JBF49" s="440"/>
      <c r="JBG49" s="440"/>
      <c r="JBH49" s="440"/>
      <c r="JBI49" s="440"/>
      <c r="JBJ49" s="440"/>
      <c r="JBK49" s="440"/>
      <c r="JBL49" s="440"/>
      <c r="JBM49" s="440"/>
      <c r="JBN49" s="440"/>
      <c r="JBO49" s="440"/>
      <c r="JBP49" s="440"/>
      <c r="JBQ49" s="440"/>
      <c r="JBR49" s="440"/>
      <c r="JBS49" s="440"/>
      <c r="JBT49" s="440"/>
      <c r="JBU49" s="440"/>
      <c r="JBV49" s="440"/>
      <c r="JBW49" s="440"/>
      <c r="JBX49" s="440"/>
      <c r="JBY49" s="440"/>
      <c r="JBZ49" s="440"/>
      <c r="JCA49" s="440"/>
      <c r="JCB49" s="440"/>
      <c r="JCC49" s="440"/>
      <c r="JCD49" s="440"/>
      <c r="JCE49" s="440"/>
      <c r="JCF49" s="440"/>
      <c r="JCG49" s="440"/>
      <c r="JCH49" s="440"/>
      <c r="JCI49" s="440"/>
      <c r="JCJ49" s="440"/>
      <c r="JCK49" s="440"/>
      <c r="JCL49" s="440"/>
      <c r="JCM49" s="440"/>
      <c r="JCN49" s="440"/>
      <c r="JCO49" s="440"/>
      <c r="JCP49" s="440"/>
      <c r="JCQ49" s="440"/>
      <c r="JCR49" s="440"/>
      <c r="JCS49" s="440"/>
      <c r="JCT49" s="440"/>
      <c r="JCU49" s="440"/>
      <c r="JCV49" s="440"/>
      <c r="JCW49" s="440"/>
      <c r="JCX49" s="440"/>
      <c r="JCY49" s="440"/>
      <c r="JCZ49" s="440"/>
      <c r="JDA49" s="440"/>
      <c r="JDB49" s="440"/>
      <c r="JDC49" s="440"/>
      <c r="JDD49" s="440"/>
      <c r="JDE49" s="440"/>
      <c r="JDF49" s="440"/>
      <c r="JDG49" s="440"/>
      <c r="JDH49" s="440"/>
      <c r="JDI49" s="440"/>
      <c r="JDJ49" s="440"/>
      <c r="JDK49" s="440"/>
      <c r="JDL49" s="440"/>
      <c r="JDM49" s="440"/>
      <c r="JDN49" s="440"/>
      <c r="JDO49" s="440"/>
      <c r="JDP49" s="440"/>
      <c r="JDQ49" s="440"/>
      <c r="JDR49" s="440"/>
      <c r="JDS49" s="440"/>
      <c r="JDT49" s="440"/>
      <c r="JDU49" s="440"/>
      <c r="JDV49" s="440"/>
      <c r="JDW49" s="440"/>
      <c r="JDX49" s="440"/>
      <c r="JDY49" s="440"/>
      <c r="JDZ49" s="440"/>
      <c r="JEA49" s="440"/>
      <c r="JEB49" s="440"/>
      <c r="JEC49" s="440"/>
      <c r="JED49" s="440"/>
      <c r="JEE49" s="440"/>
      <c r="JEF49" s="440"/>
      <c r="JEG49" s="440"/>
      <c r="JEH49" s="440"/>
      <c r="JEI49" s="440"/>
      <c r="JEJ49" s="440"/>
      <c r="JEK49" s="440"/>
      <c r="JEL49" s="440"/>
      <c r="JEM49" s="440"/>
      <c r="JEN49" s="440"/>
      <c r="JEO49" s="440"/>
      <c r="JEP49" s="440"/>
      <c r="JEQ49" s="440"/>
      <c r="JER49" s="440"/>
      <c r="JES49" s="440"/>
      <c r="JET49" s="440"/>
      <c r="JEU49" s="440"/>
      <c r="JEW49" s="440"/>
      <c r="JEX49" s="440"/>
      <c r="JEY49" s="440"/>
      <c r="JEZ49" s="440"/>
      <c r="JFA49" s="440"/>
      <c r="JFB49" s="440"/>
      <c r="JFC49" s="440"/>
      <c r="JFD49" s="440"/>
      <c r="JFE49" s="440"/>
      <c r="JFF49" s="440"/>
      <c r="JFG49" s="440"/>
      <c r="JFH49" s="440"/>
      <c r="JFI49" s="440"/>
      <c r="JFJ49" s="440"/>
      <c r="JFK49" s="440"/>
      <c r="JFL49" s="440"/>
      <c r="JFM49" s="440"/>
      <c r="JFN49" s="440"/>
      <c r="JFO49" s="440"/>
      <c r="JFP49" s="440"/>
      <c r="JFQ49" s="440"/>
      <c r="JFR49" s="440"/>
      <c r="JFS49" s="440"/>
      <c r="JFT49" s="440"/>
      <c r="JFU49" s="440"/>
      <c r="JFV49" s="440"/>
      <c r="JFW49" s="440"/>
      <c r="JFX49" s="440"/>
      <c r="JFY49" s="440"/>
      <c r="JFZ49" s="440"/>
      <c r="JGA49" s="440"/>
      <c r="JGB49" s="440"/>
      <c r="JGC49" s="440"/>
      <c r="JGD49" s="440"/>
      <c r="JGE49" s="440"/>
      <c r="JGF49" s="440"/>
      <c r="JGG49" s="440"/>
      <c r="JGH49" s="440"/>
      <c r="JGI49" s="440"/>
      <c r="JGJ49" s="440"/>
      <c r="JGK49" s="440"/>
      <c r="JGL49" s="440"/>
      <c r="JGM49" s="440"/>
      <c r="JGN49" s="440"/>
      <c r="JGO49" s="440"/>
      <c r="JGP49" s="440"/>
      <c r="JGQ49" s="440"/>
      <c r="JGR49" s="440"/>
      <c r="JGS49" s="440"/>
      <c r="JGT49" s="440"/>
      <c r="JGU49" s="440"/>
      <c r="JGV49" s="440"/>
      <c r="JGW49" s="440"/>
      <c r="JGX49" s="440"/>
      <c r="JGY49" s="440"/>
      <c r="JGZ49" s="440"/>
      <c r="JHA49" s="440"/>
      <c r="JHB49" s="440"/>
      <c r="JHC49" s="440"/>
      <c r="JHD49" s="440"/>
      <c r="JHE49" s="440"/>
      <c r="JHF49" s="440"/>
      <c r="JHG49" s="440"/>
      <c r="JHH49" s="440"/>
      <c r="JHI49" s="440"/>
      <c r="JHJ49" s="440"/>
      <c r="JHK49" s="440"/>
      <c r="JHL49" s="440"/>
      <c r="JHM49" s="440"/>
      <c r="JHN49" s="440"/>
      <c r="JHO49" s="440"/>
      <c r="JHP49" s="440"/>
      <c r="JHQ49" s="440"/>
      <c r="JHR49" s="440"/>
      <c r="JHS49" s="440"/>
      <c r="JHT49" s="440"/>
      <c r="JHU49" s="440"/>
      <c r="JHV49" s="440"/>
      <c r="JHW49" s="440"/>
      <c r="JHX49" s="440"/>
      <c r="JHY49" s="440"/>
      <c r="JHZ49" s="440"/>
      <c r="JIA49" s="440"/>
      <c r="JIB49" s="440"/>
      <c r="JIC49" s="440"/>
      <c r="JID49" s="440"/>
      <c r="JIE49" s="440"/>
      <c r="JIF49" s="440"/>
      <c r="JIG49" s="440"/>
      <c r="JIH49" s="440"/>
      <c r="JII49" s="440"/>
      <c r="JIJ49" s="440"/>
      <c r="JIK49" s="440"/>
      <c r="JIL49" s="440"/>
      <c r="JIM49" s="440"/>
      <c r="JIN49" s="440"/>
      <c r="JIO49" s="440"/>
      <c r="JIP49" s="440"/>
      <c r="JIQ49" s="440"/>
      <c r="JIR49" s="440"/>
      <c r="JIS49" s="440"/>
      <c r="JIT49" s="440"/>
      <c r="JIU49" s="440"/>
      <c r="JIV49" s="440"/>
      <c r="JIW49" s="440"/>
      <c r="JIX49" s="440"/>
      <c r="JIY49" s="440"/>
      <c r="JIZ49" s="440"/>
      <c r="JJA49" s="440"/>
      <c r="JJB49" s="440"/>
      <c r="JJC49" s="440"/>
      <c r="JJD49" s="440"/>
      <c r="JJE49" s="440"/>
      <c r="JJF49" s="440"/>
      <c r="JJG49" s="440"/>
      <c r="JJH49" s="440"/>
      <c r="JJI49" s="440"/>
      <c r="JJJ49" s="440"/>
      <c r="JJK49" s="440"/>
      <c r="JJL49" s="440"/>
      <c r="JJM49" s="440"/>
      <c r="JJN49" s="440"/>
      <c r="JJO49" s="440"/>
      <c r="JJP49" s="440"/>
      <c r="JJQ49" s="440"/>
      <c r="JJR49" s="440"/>
      <c r="JJS49" s="440"/>
      <c r="JJT49" s="440"/>
      <c r="JJU49" s="440"/>
      <c r="JJV49" s="440"/>
      <c r="JJW49" s="440"/>
      <c r="JJX49" s="440"/>
      <c r="JJY49" s="440"/>
      <c r="JJZ49" s="440"/>
      <c r="JKA49" s="440"/>
      <c r="JKB49" s="440"/>
      <c r="JKC49" s="440"/>
      <c r="JKD49" s="440"/>
      <c r="JKE49" s="440"/>
      <c r="JKF49" s="440"/>
      <c r="JKG49" s="440"/>
      <c r="JKH49" s="440"/>
      <c r="JKI49" s="440"/>
      <c r="JKJ49" s="440"/>
      <c r="JKK49" s="440"/>
      <c r="JKL49" s="440"/>
      <c r="JKM49" s="440"/>
      <c r="JKN49" s="440"/>
      <c r="JKO49" s="440"/>
      <c r="JKP49" s="440"/>
      <c r="JKQ49" s="440"/>
      <c r="JKR49" s="440"/>
      <c r="JKS49" s="440"/>
      <c r="JKT49" s="440"/>
      <c r="JKU49" s="440"/>
      <c r="JKV49" s="440"/>
      <c r="JKW49" s="440"/>
      <c r="JKX49" s="440"/>
      <c r="JKY49" s="440"/>
      <c r="JKZ49" s="440"/>
      <c r="JLA49" s="440"/>
      <c r="JLB49" s="440"/>
      <c r="JLC49" s="440"/>
      <c r="JLD49" s="440"/>
      <c r="JLE49" s="440"/>
      <c r="JLF49" s="440"/>
      <c r="JLG49" s="440"/>
      <c r="JLH49" s="440"/>
      <c r="JLI49" s="440"/>
      <c r="JLJ49" s="440"/>
      <c r="JLK49" s="440"/>
      <c r="JLL49" s="440"/>
      <c r="JLM49" s="440"/>
      <c r="JLN49" s="440"/>
      <c r="JLO49" s="440"/>
      <c r="JLP49" s="440"/>
      <c r="JLQ49" s="440"/>
      <c r="JLR49" s="440"/>
      <c r="JLS49" s="440"/>
      <c r="JLT49" s="440"/>
      <c r="JLU49" s="440"/>
      <c r="JLV49" s="440"/>
      <c r="JLW49" s="440"/>
      <c r="JLX49" s="440"/>
      <c r="JLY49" s="440"/>
      <c r="JLZ49" s="440"/>
      <c r="JMA49" s="440"/>
      <c r="JMB49" s="440"/>
      <c r="JMC49" s="440"/>
      <c r="JMD49" s="440"/>
      <c r="JME49" s="440"/>
      <c r="JMF49" s="440"/>
      <c r="JMG49" s="440"/>
      <c r="JMH49" s="440"/>
      <c r="JMI49" s="440"/>
      <c r="JMJ49" s="440"/>
      <c r="JMK49" s="440"/>
      <c r="JML49" s="440"/>
      <c r="JMM49" s="440"/>
      <c r="JMN49" s="440"/>
      <c r="JMO49" s="440"/>
      <c r="JMP49" s="440"/>
      <c r="JMQ49" s="440"/>
      <c r="JMR49" s="440"/>
      <c r="JMS49" s="440"/>
      <c r="JMT49" s="440"/>
      <c r="JMU49" s="440"/>
      <c r="JMV49" s="440"/>
      <c r="JMW49" s="440"/>
      <c r="JMX49" s="440"/>
      <c r="JMY49" s="440"/>
      <c r="JMZ49" s="440"/>
      <c r="JNA49" s="440"/>
      <c r="JNB49" s="440"/>
      <c r="JNC49" s="440"/>
      <c r="JND49" s="440"/>
      <c r="JNE49" s="440"/>
      <c r="JNF49" s="440"/>
      <c r="JNG49" s="440"/>
      <c r="JNH49" s="440"/>
      <c r="JNI49" s="440"/>
      <c r="JNJ49" s="440"/>
      <c r="JNK49" s="440"/>
      <c r="JNL49" s="440"/>
      <c r="JNM49" s="440"/>
      <c r="JNN49" s="440"/>
      <c r="JNO49" s="440"/>
      <c r="JNP49" s="440"/>
      <c r="JNQ49" s="440"/>
      <c r="JNR49" s="440"/>
      <c r="JNS49" s="440"/>
      <c r="JNT49" s="440"/>
      <c r="JNU49" s="440"/>
      <c r="JNV49" s="440"/>
      <c r="JNW49" s="440"/>
      <c r="JNX49" s="440"/>
      <c r="JNY49" s="440"/>
      <c r="JNZ49" s="440"/>
      <c r="JOA49" s="440"/>
      <c r="JOB49" s="440"/>
      <c r="JOC49" s="440"/>
      <c r="JOD49" s="440"/>
      <c r="JOE49" s="440"/>
      <c r="JOF49" s="440"/>
      <c r="JOG49" s="440"/>
      <c r="JOH49" s="440"/>
      <c r="JOI49" s="440"/>
      <c r="JOJ49" s="440"/>
      <c r="JOK49" s="440"/>
      <c r="JOL49" s="440"/>
      <c r="JOM49" s="440"/>
      <c r="JON49" s="440"/>
      <c r="JOO49" s="440"/>
      <c r="JOP49" s="440"/>
      <c r="JOQ49" s="440"/>
      <c r="JOS49" s="440"/>
      <c r="JOT49" s="440"/>
      <c r="JOU49" s="440"/>
      <c r="JOV49" s="440"/>
      <c r="JOW49" s="440"/>
      <c r="JOX49" s="440"/>
      <c r="JOY49" s="440"/>
      <c r="JOZ49" s="440"/>
      <c r="JPA49" s="440"/>
      <c r="JPB49" s="440"/>
      <c r="JPC49" s="440"/>
      <c r="JPD49" s="440"/>
      <c r="JPE49" s="440"/>
      <c r="JPF49" s="440"/>
      <c r="JPG49" s="440"/>
      <c r="JPH49" s="440"/>
      <c r="JPI49" s="440"/>
      <c r="JPJ49" s="440"/>
      <c r="JPK49" s="440"/>
      <c r="JPL49" s="440"/>
      <c r="JPM49" s="440"/>
      <c r="JPN49" s="440"/>
      <c r="JPO49" s="440"/>
      <c r="JPP49" s="440"/>
      <c r="JPQ49" s="440"/>
      <c r="JPR49" s="440"/>
      <c r="JPS49" s="440"/>
      <c r="JPT49" s="440"/>
      <c r="JPU49" s="440"/>
      <c r="JPV49" s="440"/>
      <c r="JPW49" s="440"/>
      <c r="JPX49" s="440"/>
      <c r="JPY49" s="440"/>
      <c r="JPZ49" s="440"/>
      <c r="JQA49" s="440"/>
      <c r="JQB49" s="440"/>
      <c r="JQC49" s="440"/>
      <c r="JQD49" s="440"/>
      <c r="JQE49" s="440"/>
      <c r="JQF49" s="440"/>
      <c r="JQG49" s="440"/>
      <c r="JQH49" s="440"/>
      <c r="JQI49" s="440"/>
      <c r="JQJ49" s="440"/>
      <c r="JQK49" s="440"/>
      <c r="JQL49" s="440"/>
      <c r="JQM49" s="440"/>
      <c r="JQN49" s="440"/>
      <c r="JQO49" s="440"/>
      <c r="JQP49" s="440"/>
      <c r="JQQ49" s="440"/>
      <c r="JQR49" s="440"/>
      <c r="JQS49" s="440"/>
      <c r="JQT49" s="440"/>
      <c r="JQU49" s="440"/>
      <c r="JQV49" s="440"/>
      <c r="JQW49" s="440"/>
      <c r="JQX49" s="440"/>
      <c r="JQY49" s="440"/>
      <c r="JQZ49" s="440"/>
      <c r="JRA49" s="440"/>
      <c r="JRB49" s="440"/>
      <c r="JRC49" s="440"/>
      <c r="JRD49" s="440"/>
      <c r="JRE49" s="440"/>
      <c r="JRF49" s="440"/>
      <c r="JRG49" s="440"/>
      <c r="JRH49" s="440"/>
      <c r="JRI49" s="440"/>
      <c r="JRJ49" s="440"/>
      <c r="JRK49" s="440"/>
      <c r="JRL49" s="440"/>
      <c r="JRM49" s="440"/>
      <c r="JRN49" s="440"/>
      <c r="JRO49" s="440"/>
      <c r="JRP49" s="440"/>
      <c r="JRQ49" s="440"/>
      <c r="JRR49" s="440"/>
      <c r="JRS49" s="440"/>
      <c r="JRT49" s="440"/>
      <c r="JRU49" s="440"/>
      <c r="JRV49" s="440"/>
      <c r="JRW49" s="440"/>
      <c r="JRX49" s="440"/>
      <c r="JRY49" s="440"/>
      <c r="JRZ49" s="440"/>
      <c r="JSA49" s="440"/>
      <c r="JSB49" s="440"/>
      <c r="JSC49" s="440"/>
      <c r="JSD49" s="440"/>
      <c r="JSE49" s="440"/>
      <c r="JSF49" s="440"/>
      <c r="JSG49" s="440"/>
      <c r="JSH49" s="440"/>
      <c r="JSI49" s="440"/>
      <c r="JSJ49" s="440"/>
      <c r="JSK49" s="440"/>
      <c r="JSL49" s="440"/>
      <c r="JSM49" s="440"/>
      <c r="JSN49" s="440"/>
      <c r="JSO49" s="440"/>
      <c r="JSP49" s="440"/>
      <c r="JSQ49" s="440"/>
      <c r="JSR49" s="440"/>
      <c r="JSS49" s="440"/>
      <c r="JST49" s="440"/>
      <c r="JSU49" s="440"/>
      <c r="JSV49" s="440"/>
      <c r="JSW49" s="440"/>
      <c r="JSX49" s="440"/>
      <c r="JSY49" s="440"/>
      <c r="JSZ49" s="440"/>
      <c r="JTA49" s="440"/>
      <c r="JTB49" s="440"/>
      <c r="JTC49" s="440"/>
      <c r="JTD49" s="440"/>
      <c r="JTE49" s="440"/>
      <c r="JTF49" s="440"/>
      <c r="JTG49" s="440"/>
      <c r="JTH49" s="440"/>
      <c r="JTI49" s="440"/>
      <c r="JTJ49" s="440"/>
      <c r="JTK49" s="440"/>
      <c r="JTL49" s="440"/>
      <c r="JTM49" s="440"/>
      <c r="JTN49" s="440"/>
      <c r="JTO49" s="440"/>
      <c r="JTP49" s="440"/>
      <c r="JTQ49" s="440"/>
      <c r="JTR49" s="440"/>
      <c r="JTS49" s="440"/>
      <c r="JTT49" s="440"/>
      <c r="JTU49" s="440"/>
      <c r="JTV49" s="440"/>
      <c r="JTW49" s="440"/>
      <c r="JTX49" s="440"/>
      <c r="JTY49" s="440"/>
      <c r="JTZ49" s="440"/>
      <c r="JUA49" s="440"/>
      <c r="JUB49" s="440"/>
      <c r="JUC49" s="440"/>
      <c r="JUD49" s="440"/>
      <c r="JUE49" s="440"/>
      <c r="JUF49" s="440"/>
      <c r="JUG49" s="440"/>
      <c r="JUH49" s="440"/>
      <c r="JUI49" s="440"/>
      <c r="JUJ49" s="440"/>
      <c r="JUK49" s="440"/>
      <c r="JUL49" s="440"/>
      <c r="JUM49" s="440"/>
      <c r="JUN49" s="440"/>
      <c r="JUO49" s="440"/>
      <c r="JUP49" s="440"/>
      <c r="JUQ49" s="440"/>
      <c r="JUR49" s="440"/>
      <c r="JUS49" s="440"/>
      <c r="JUT49" s="440"/>
      <c r="JUU49" s="440"/>
      <c r="JUV49" s="440"/>
      <c r="JUW49" s="440"/>
      <c r="JUX49" s="440"/>
      <c r="JUY49" s="440"/>
      <c r="JUZ49" s="440"/>
      <c r="JVA49" s="440"/>
      <c r="JVB49" s="440"/>
      <c r="JVC49" s="440"/>
      <c r="JVD49" s="440"/>
      <c r="JVE49" s="440"/>
      <c r="JVF49" s="440"/>
      <c r="JVG49" s="440"/>
      <c r="JVH49" s="440"/>
      <c r="JVI49" s="440"/>
      <c r="JVJ49" s="440"/>
      <c r="JVK49" s="440"/>
      <c r="JVL49" s="440"/>
      <c r="JVM49" s="440"/>
      <c r="JVN49" s="440"/>
      <c r="JVO49" s="440"/>
      <c r="JVP49" s="440"/>
      <c r="JVQ49" s="440"/>
      <c r="JVR49" s="440"/>
      <c r="JVS49" s="440"/>
      <c r="JVT49" s="440"/>
      <c r="JVU49" s="440"/>
      <c r="JVV49" s="440"/>
      <c r="JVW49" s="440"/>
      <c r="JVX49" s="440"/>
      <c r="JVY49" s="440"/>
      <c r="JVZ49" s="440"/>
      <c r="JWA49" s="440"/>
      <c r="JWB49" s="440"/>
      <c r="JWC49" s="440"/>
      <c r="JWD49" s="440"/>
      <c r="JWE49" s="440"/>
      <c r="JWF49" s="440"/>
      <c r="JWG49" s="440"/>
      <c r="JWH49" s="440"/>
      <c r="JWI49" s="440"/>
      <c r="JWJ49" s="440"/>
      <c r="JWK49" s="440"/>
      <c r="JWL49" s="440"/>
      <c r="JWM49" s="440"/>
      <c r="JWN49" s="440"/>
      <c r="JWO49" s="440"/>
      <c r="JWP49" s="440"/>
      <c r="JWQ49" s="440"/>
      <c r="JWR49" s="440"/>
      <c r="JWS49" s="440"/>
      <c r="JWT49" s="440"/>
      <c r="JWU49" s="440"/>
      <c r="JWV49" s="440"/>
      <c r="JWW49" s="440"/>
      <c r="JWX49" s="440"/>
      <c r="JWY49" s="440"/>
      <c r="JWZ49" s="440"/>
      <c r="JXA49" s="440"/>
      <c r="JXB49" s="440"/>
      <c r="JXC49" s="440"/>
      <c r="JXD49" s="440"/>
      <c r="JXE49" s="440"/>
      <c r="JXF49" s="440"/>
      <c r="JXG49" s="440"/>
      <c r="JXH49" s="440"/>
      <c r="JXI49" s="440"/>
      <c r="JXJ49" s="440"/>
      <c r="JXK49" s="440"/>
      <c r="JXL49" s="440"/>
      <c r="JXM49" s="440"/>
      <c r="JXN49" s="440"/>
      <c r="JXO49" s="440"/>
      <c r="JXP49" s="440"/>
      <c r="JXQ49" s="440"/>
      <c r="JXR49" s="440"/>
      <c r="JXS49" s="440"/>
      <c r="JXT49" s="440"/>
      <c r="JXU49" s="440"/>
      <c r="JXV49" s="440"/>
      <c r="JXW49" s="440"/>
      <c r="JXX49" s="440"/>
      <c r="JXY49" s="440"/>
      <c r="JXZ49" s="440"/>
      <c r="JYA49" s="440"/>
      <c r="JYB49" s="440"/>
      <c r="JYC49" s="440"/>
      <c r="JYD49" s="440"/>
      <c r="JYE49" s="440"/>
      <c r="JYF49" s="440"/>
      <c r="JYG49" s="440"/>
      <c r="JYH49" s="440"/>
      <c r="JYI49" s="440"/>
      <c r="JYJ49" s="440"/>
      <c r="JYK49" s="440"/>
      <c r="JYL49" s="440"/>
      <c r="JYM49" s="440"/>
      <c r="JYO49" s="440"/>
      <c r="JYP49" s="440"/>
      <c r="JYQ49" s="440"/>
      <c r="JYR49" s="440"/>
      <c r="JYS49" s="440"/>
      <c r="JYT49" s="440"/>
      <c r="JYU49" s="440"/>
      <c r="JYV49" s="440"/>
      <c r="JYW49" s="440"/>
      <c r="JYX49" s="440"/>
      <c r="JYY49" s="440"/>
      <c r="JYZ49" s="440"/>
      <c r="JZA49" s="440"/>
      <c r="JZB49" s="440"/>
      <c r="JZC49" s="440"/>
      <c r="JZD49" s="440"/>
      <c r="JZE49" s="440"/>
      <c r="JZF49" s="440"/>
      <c r="JZG49" s="440"/>
      <c r="JZH49" s="440"/>
      <c r="JZI49" s="440"/>
      <c r="JZJ49" s="440"/>
      <c r="JZK49" s="440"/>
      <c r="JZL49" s="440"/>
      <c r="JZM49" s="440"/>
      <c r="JZN49" s="440"/>
      <c r="JZO49" s="440"/>
      <c r="JZP49" s="440"/>
      <c r="JZQ49" s="440"/>
      <c r="JZR49" s="440"/>
      <c r="JZS49" s="440"/>
      <c r="JZT49" s="440"/>
      <c r="JZU49" s="440"/>
      <c r="JZV49" s="440"/>
      <c r="JZW49" s="440"/>
      <c r="JZX49" s="440"/>
      <c r="JZY49" s="440"/>
      <c r="JZZ49" s="440"/>
      <c r="KAA49" s="440"/>
      <c r="KAB49" s="440"/>
      <c r="KAC49" s="440"/>
      <c r="KAD49" s="440"/>
      <c r="KAE49" s="440"/>
      <c r="KAF49" s="440"/>
      <c r="KAG49" s="440"/>
      <c r="KAH49" s="440"/>
      <c r="KAI49" s="440"/>
      <c r="KAJ49" s="440"/>
      <c r="KAK49" s="440"/>
      <c r="KAL49" s="440"/>
      <c r="KAM49" s="440"/>
      <c r="KAN49" s="440"/>
      <c r="KAO49" s="440"/>
      <c r="KAP49" s="440"/>
      <c r="KAQ49" s="440"/>
      <c r="KAR49" s="440"/>
      <c r="KAS49" s="440"/>
      <c r="KAT49" s="440"/>
      <c r="KAU49" s="440"/>
      <c r="KAV49" s="440"/>
      <c r="KAW49" s="440"/>
      <c r="KAX49" s="440"/>
      <c r="KAY49" s="440"/>
      <c r="KAZ49" s="440"/>
      <c r="KBA49" s="440"/>
      <c r="KBB49" s="440"/>
      <c r="KBC49" s="440"/>
      <c r="KBD49" s="440"/>
      <c r="KBE49" s="440"/>
      <c r="KBF49" s="440"/>
      <c r="KBG49" s="440"/>
      <c r="KBH49" s="440"/>
      <c r="KBI49" s="440"/>
      <c r="KBJ49" s="440"/>
      <c r="KBK49" s="440"/>
      <c r="KBL49" s="440"/>
      <c r="KBM49" s="440"/>
      <c r="KBN49" s="440"/>
      <c r="KBO49" s="440"/>
      <c r="KBP49" s="440"/>
      <c r="KBQ49" s="440"/>
      <c r="KBR49" s="440"/>
      <c r="KBS49" s="440"/>
      <c r="KBT49" s="440"/>
      <c r="KBU49" s="440"/>
      <c r="KBV49" s="440"/>
      <c r="KBW49" s="440"/>
      <c r="KBX49" s="440"/>
      <c r="KBY49" s="440"/>
      <c r="KBZ49" s="440"/>
      <c r="KCA49" s="440"/>
      <c r="KCB49" s="440"/>
      <c r="KCC49" s="440"/>
      <c r="KCD49" s="440"/>
      <c r="KCE49" s="440"/>
      <c r="KCF49" s="440"/>
      <c r="KCG49" s="440"/>
      <c r="KCH49" s="440"/>
      <c r="KCI49" s="440"/>
      <c r="KCJ49" s="440"/>
      <c r="KCK49" s="440"/>
      <c r="KCL49" s="440"/>
      <c r="KCM49" s="440"/>
      <c r="KCN49" s="440"/>
      <c r="KCO49" s="440"/>
      <c r="KCP49" s="440"/>
      <c r="KCQ49" s="440"/>
      <c r="KCR49" s="440"/>
      <c r="KCS49" s="440"/>
      <c r="KCT49" s="440"/>
      <c r="KCU49" s="440"/>
      <c r="KCV49" s="440"/>
      <c r="KCW49" s="440"/>
      <c r="KCX49" s="440"/>
      <c r="KCY49" s="440"/>
      <c r="KCZ49" s="440"/>
      <c r="KDA49" s="440"/>
      <c r="KDB49" s="440"/>
      <c r="KDC49" s="440"/>
      <c r="KDD49" s="440"/>
      <c r="KDE49" s="440"/>
      <c r="KDF49" s="440"/>
      <c r="KDG49" s="440"/>
      <c r="KDH49" s="440"/>
      <c r="KDI49" s="440"/>
      <c r="KDJ49" s="440"/>
      <c r="KDK49" s="440"/>
      <c r="KDL49" s="440"/>
      <c r="KDM49" s="440"/>
      <c r="KDN49" s="440"/>
      <c r="KDO49" s="440"/>
      <c r="KDP49" s="440"/>
      <c r="KDQ49" s="440"/>
      <c r="KDR49" s="440"/>
      <c r="KDS49" s="440"/>
      <c r="KDT49" s="440"/>
      <c r="KDU49" s="440"/>
      <c r="KDV49" s="440"/>
      <c r="KDW49" s="440"/>
      <c r="KDX49" s="440"/>
      <c r="KDY49" s="440"/>
      <c r="KDZ49" s="440"/>
      <c r="KEA49" s="440"/>
      <c r="KEB49" s="440"/>
      <c r="KEC49" s="440"/>
      <c r="KED49" s="440"/>
      <c r="KEE49" s="440"/>
      <c r="KEF49" s="440"/>
      <c r="KEG49" s="440"/>
      <c r="KEH49" s="440"/>
      <c r="KEI49" s="440"/>
      <c r="KEJ49" s="440"/>
      <c r="KEK49" s="440"/>
      <c r="KEL49" s="440"/>
      <c r="KEM49" s="440"/>
      <c r="KEN49" s="440"/>
      <c r="KEO49" s="440"/>
      <c r="KEP49" s="440"/>
      <c r="KEQ49" s="440"/>
      <c r="KER49" s="440"/>
      <c r="KES49" s="440"/>
      <c r="KET49" s="440"/>
      <c r="KEU49" s="440"/>
      <c r="KEV49" s="440"/>
      <c r="KEW49" s="440"/>
      <c r="KEX49" s="440"/>
      <c r="KEY49" s="440"/>
      <c r="KEZ49" s="440"/>
      <c r="KFA49" s="440"/>
      <c r="KFB49" s="440"/>
      <c r="KFC49" s="440"/>
      <c r="KFD49" s="440"/>
      <c r="KFE49" s="440"/>
      <c r="KFF49" s="440"/>
      <c r="KFG49" s="440"/>
      <c r="KFH49" s="440"/>
      <c r="KFI49" s="440"/>
      <c r="KFJ49" s="440"/>
      <c r="KFK49" s="440"/>
      <c r="KFL49" s="440"/>
      <c r="KFM49" s="440"/>
      <c r="KFN49" s="440"/>
      <c r="KFO49" s="440"/>
      <c r="KFP49" s="440"/>
      <c r="KFQ49" s="440"/>
      <c r="KFR49" s="440"/>
      <c r="KFS49" s="440"/>
      <c r="KFT49" s="440"/>
      <c r="KFU49" s="440"/>
      <c r="KFV49" s="440"/>
      <c r="KFW49" s="440"/>
      <c r="KFX49" s="440"/>
      <c r="KFY49" s="440"/>
      <c r="KFZ49" s="440"/>
      <c r="KGA49" s="440"/>
      <c r="KGB49" s="440"/>
      <c r="KGC49" s="440"/>
      <c r="KGD49" s="440"/>
      <c r="KGE49" s="440"/>
      <c r="KGF49" s="440"/>
      <c r="KGG49" s="440"/>
      <c r="KGH49" s="440"/>
      <c r="KGI49" s="440"/>
      <c r="KGJ49" s="440"/>
      <c r="KGK49" s="440"/>
      <c r="KGL49" s="440"/>
      <c r="KGM49" s="440"/>
      <c r="KGN49" s="440"/>
      <c r="KGO49" s="440"/>
      <c r="KGP49" s="440"/>
      <c r="KGQ49" s="440"/>
      <c r="KGR49" s="440"/>
      <c r="KGS49" s="440"/>
      <c r="KGT49" s="440"/>
      <c r="KGU49" s="440"/>
      <c r="KGV49" s="440"/>
      <c r="KGW49" s="440"/>
      <c r="KGX49" s="440"/>
      <c r="KGY49" s="440"/>
      <c r="KGZ49" s="440"/>
      <c r="KHA49" s="440"/>
      <c r="KHB49" s="440"/>
      <c r="KHC49" s="440"/>
      <c r="KHD49" s="440"/>
      <c r="KHE49" s="440"/>
      <c r="KHF49" s="440"/>
      <c r="KHG49" s="440"/>
      <c r="KHH49" s="440"/>
      <c r="KHI49" s="440"/>
      <c r="KHJ49" s="440"/>
      <c r="KHK49" s="440"/>
      <c r="KHL49" s="440"/>
      <c r="KHM49" s="440"/>
      <c r="KHN49" s="440"/>
      <c r="KHO49" s="440"/>
      <c r="KHP49" s="440"/>
      <c r="KHQ49" s="440"/>
      <c r="KHR49" s="440"/>
      <c r="KHS49" s="440"/>
      <c r="KHT49" s="440"/>
      <c r="KHU49" s="440"/>
      <c r="KHV49" s="440"/>
      <c r="KHW49" s="440"/>
      <c r="KHX49" s="440"/>
      <c r="KHY49" s="440"/>
      <c r="KHZ49" s="440"/>
      <c r="KIA49" s="440"/>
      <c r="KIB49" s="440"/>
      <c r="KIC49" s="440"/>
      <c r="KID49" s="440"/>
      <c r="KIE49" s="440"/>
      <c r="KIF49" s="440"/>
      <c r="KIG49" s="440"/>
      <c r="KIH49" s="440"/>
      <c r="KII49" s="440"/>
      <c r="KIK49" s="440"/>
      <c r="KIL49" s="440"/>
      <c r="KIM49" s="440"/>
      <c r="KIN49" s="440"/>
      <c r="KIO49" s="440"/>
      <c r="KIP49" s="440"/>
      <c r="KIQ49" s="440"/>
      <c r="KIR49" s="440"/>
      <c r="KIS49" s="440"/>
      <c r="KIT49" s="440"/>
      <c r="KIU49" s="440"/>
      <c r="KIV49" s="440"/>
      <c r="KIW49" s="440"/>
      <c r="KIX49" s="440"/>
      <c r="KIY49" s="440"/>
      <c r="KIZ49" s="440"/>
      <c r="KJA49" s="440"/>
      <c r="KJB49" s="440"/>
      <c r="KJC49" s="440"/>
      <c r="KJD49" s="440"/>
      <c r="KJE49" s="440"/>
      <c r="KJF49" s="440"/>
      <c r="KJG49" s="440"/>
      <c r="KJH49" s="440"/>
      <c r="KJI49" s="440"/>
      <c r="KJJ49" s="440"/>
      <c r="KJK49" s="440"/>
      <c r="KJL49" s="440"/>
      <c r="KJM49" s="440"/>
      <c r="KJN49" s="440"/>
      <c r="KJO49" s="440"/>
      <c r="KJP49" s="440"/>
      <c r="KJQ49" s="440"/>
      <c r="KJR49" s="440"/>
      <c r="KJS49" s="440"/>
      <c r="KJT49" s="440"/>
      <c r="KJU49" s="440"/>
      <c r="KJV49" s="440"/>
      <c r="KJW49" s="440"/>
      <c r="KJX49" s="440"/>
      <c r="KJY49" s="440"/>
      <c r="KJZ49" s="440"/>
      <c r="KKA49" s="440"/>
      <c r="KKB49" s="440"/>
      <c r="KKC49" s="440"/>
      <c r="KKD49" s="440"/>
      <c r="KKE49" s="440"/>
      <c r="KKF49" s="440"/>
      <c r="KKG49" s="440"/>
      <c r="KKH49" s="440"/>
      <c r="KKI49" s="440"/>
      <c r="KKJ49" s="440"/>
      <c r="KKK49" s="440"/>
      <c r="KKL49" s="440"/>
      <c r="KKM49" s="440"/>
      <c r="KKN49" s="440"/>
      <c r="KKO49" s="440"/>
      <c r="KKP49" s="440"/>
      <c r="KKQ49" s="440"/>
      <c r="KKR49" s="440"/>
      <c r="KKS49" s="440"/>
      <c r="KKT49" s="440"/>
      <c r="KKU49" s="440"/>
      <c r="KKV49" s="440"/>
      <c r="KKW49" s="440"/>
      <c r="KKX49" s="440"/>
      <c r="KKY49" s="440"/>
      <c r="KKZ49" s="440"/>
      <c r="KLA49" s="440"/>
      <c r="KLB49" s="440"/>
      <c r="KLC49" s="440"/>
      <c r="KLD49" s="440"/>
      <c r="KLE49" s="440"/>
      <c r="KLF49" s="440"/>
      <c r="KLG49" s="440"/>
      <c r="KLH49" s="440"/>
      <c r="KLI49" s="440"/>
      <c r="KLJ49" s="440"/>
      <c r="KLK49" s="440"/>
      <c r="KLL49" s="440"/>
      <c r="KLM49" s="440"/>
      <c r="KLN49" s="440"/>
      <c r="KLO49" s="440"/>
      <c r="KLP49" s="440"/>
      <c r="KLQ49" s="440"/>
      <c r="KLR49" s="440"/>
      <c r="KLS49" s="440"/>
      <c r="KLT49" s="440"/>
      <c r="KLU49" s="440"/>
      <c r="KLV49" s="440"/>
      <c r="KLW49" s="440"/>
      <c r="KLX49" s="440"/>
      <c r="KLY49" s="440"/>
      <c r="KLZ49" s="440"/>
      <c r="KMA49" s="440"/>
      <c r="KMB49" s="440"/>
      <c r="KMC49" s="440"/>
      <c r="KMD49" s="440"/>
      <c r="KME49" s="440"/>
      <c r="KMF49" s="440"/>
      <c r="KMG49" s="440"/>
      <c r="KMH49" s="440"/>
      <c r="KMI49" s="440"/>
      <c r="KMJ49" s="440"/>
      <c r="KMK49" s="440"/>
      <c r="KML49" s="440"/>
      <c r="KMM49" s="440"/>
      <c r="KMN49" s="440"/>
      <c r="KMO49" s="440"/>
      <c r="KMP49" s="440"/>
      <c r="KMQ49" s="440"/>
      <c r="KMR49" s="440"/>
      <c r="KMS49" s="440"/>
      <c r="KMT49" s="440"/>
      <c r="KMU49" s="440"/>
      <c r="KMV49" s="440"/>
      <c r="KMW49" s="440"/>
      <c r="KMX49" s="440"/>
      <c r="KMY49" s="440"/>
      <c r="KMZ49" s="440"/>
      <c r="KNA49" s="440"/>
      <c r="KNB49" s="440"/>
      <c r="KNC49" s="440"/>
      <c r="KND49" s="440"/>
      <c r="KNE49" s="440"/>
      <c r="KNF49" s="440"/>
      <c r="KNG49" s="440"/>
      <c r="KNH49" s="440"/>
      <c r="KNI49" s="440"/>
      <c r="KNJ49" s="440"/>
      <c r="KNK49" s="440"/>
      <c r="KNL49" s="440"/>
      <c r="KNM49" s="440"/>
      <c r="KNN49" s="440"/>
      <c r="KNO49" s="440"/>
      <c r="KNP49" s="440"/>
      <c r="KNQ49" s="440"/>
      <c r="KNR49" s="440"/>
      <c r="KNS49" s="440"/>
      <c r="KNT49" s="440"/>
      <c r="KNU49" s="440"/>
      <c r="KNV49" s="440"/>
      <c r="KNW49" s="440"/>
      <c r="KNX49" s="440"/>
      <c r="KNY49" s="440"/>
      <c r="KNZ49" s="440"/>
      <c r="KOA49" s="440"/>
      <c r="KOB49" s="440"/>
      <c r="KOC49" s="440"/>
      <c r="KOD49" s="440"/>
      <c r="KOE49" s="440"/>
      <c r="KOF49" s="440"/>
      <c r="KOG49" s="440"/>
      <c r="KOH49" s="440"/>
      <c r="KOI49" s="440"/>
      <c r="KOJ49" s="440"/>
      <c r="KOK49" s="440"/>
      <c r="KOL49" s="440"/>
      <c r="KOM49" s="440"/>
      <c r="KON49" s="440"/>
      <c r="KOO49" s="440"/>
      <c r="KOP49" s="440"/>
      <c r="KOQ49" s="440"/>
      <c r="KOR49" s="440"/>
      <c r="KOS49" s="440"/>
      <c r="KOT49" s="440"/>
      <c r="KOU49" s="440"/>
      <c r="KOV49" s="440"/>
      <c r="KOW49" s="440"/>
      <c r="KOX49" s="440"/>
      <c r="KOY49" s="440"/>
      <c r="KOZ49" s="440"/>
      <c r="KPA49" s="440"/>
      <c r="KPB49" s="440"/>
      <c r="KPC49" s="440"/>
      <c r="KPD49" s="440"/>
      <c r="KPE49" s="440"/>
      <c r="KPF49" s="440"/>
      <c r="KPG49" s="440"/>
      <c r="KPH49" s="440"/>
      <c r="KPI49" s="440"/>
      <c r="KPJ49" s="440"/>
      <c r="KPK49" s="440"/>
      <c r="KPL49" s="440"/>
      <c r="KPM49" s="440"/>
      <c r="KPN49" s="440"/>
      <c r="KPO49" s="440"/>
      <c r="KPP49" s="440"/>
      <c r="KPQ49" s="440"/>
      <c r="KPR49" s="440"/>
      <c r="KPS49" s="440"/>
      <c r="KPT49" s="440"/>
      <c r="KPU49" s="440"/>
      <c r="KPV49" s="440"/>
      <c r="KPW49" s="440"/>
      <c r="KPX49" s="440"/>
      <c r="KPY49" s="440"/>
      <c r="KPZ49" s="440"/>
      <c r="KQA49" s="440"/>
      <c r="KQB49" s="440"/>
      <c r="KQC49" s="440"/>
      <c r="KQD49" s="440"/>
      <c r="KQE49" s="440"/>
      <c r="KQF49" s="440"/>
      <c r="KQG49" s="440"/>
      <c r="KQH49" s="440"/>
      <c r="KQI49" s="440"/>
      <c r="KQJ49" s="440"/>
      <c r="KQK49" s="440"/>
      <c r="KQL49" s="440"/>
      <c r="KQM49" s="440"/>
      <c r="KQN49" s="440"/>
      <c r="KQO49" s="440"/>
      <c r="KQP49" s="440"/>
      <c r="KQQ49" s="440"/>
      <c r="KQR49" s="440"/>
      <c r="KQS49" s="440"/>
      <c r="KQT49" s="440"/>
      <c r="KQU49" s="440"/>
      <c r="KQV49" s="440"/>
      <c r="KQW49" s="440"/>
      <c r="KQX49" s="440"/>
      <c r="KQY49" s="440"/>
      <c r="KQZ49" s="440"/>
      <c r="KRA49" s="440"/>
      <c r="KRB49" s="440"/>
      <c r="KRC49" s="440"/>
      <c r="KRD49" s="440"/>
      <c r="KRE49" s="440"/>
      <c r="KRF49" s="440"/>
      <c r="KRG49" s="440"/>
      <c r="KRH49" s="440"/>
      <c r="KRI49" s="440"/>
      <c r="KRJ49" s="440"/>
      <c r="KRK49" s="440"/>
      <c r="KRL49" s="440"/>
      <c r="KRM49" s="440"/>
      <c r="KRN49" s="440"/>
      <c r="KRO49" s="440"/>
      <c r="KRP49" s="440"/>
      <c r="KRQ49" s="440"/>
      <c r="KRR49" s="440"/>
      <c r="KRS49" s="440"/>
      <c r="KRT49" s="440"/>
      <c r="KRU49" s="440"/>
      <c r="KRV49" s="440"/>
      <c r="KRW49" s="440"/>
      <c r="KRX49" s="440"/>
      <c r="KRY49" s="440"/>
      <c r="KRZ49" s="440"/>
      <c r="KSA49" s="440"/>
      <c r="KSB49" s="440"/>
      <c r="KSC49" s="440"/>
      <c r="KSD49" s="440"/>
      <c r="KSE49" s="440"/>
      <c r="KSG49" s="440"/>
      <c r="KSH49" s="440"/>
      <c r="KSI49" s="440"/>
      <c r="KSJ49" s="440"/>
      <c r="KSK49" s="440"/>
      <c r="KSL49" s="440"/>
      <c r="KSM49" s="440"/>
      <c r="KSN49" s="440"/>
      <c r="KSO49" s="440"/>
      <c r="KSP49" s="440"/>
      <c r="KSQ49" s="440"/>
      <c r="KSR49" s="440"/>
      <c r="KSS49" s="440"/>
      <c r="KST49" s="440"/>
      <c r="KSU49" s="440"/>
      <c r="KSV49" s="440"/>
      <c r="KSW49" s="440"/>
      <c r="KSX49" s="440"/>
      <c r="KSY49" s="440"/>
      <c r="KSZ49" s="440"/>
      <c r="KTA49" s="440"/>
      <c r="KTB49" s="440"/>
      <c r="KTC49" s="440"/>
      <c r="KTD49" s="440"/>
      <c r="KTE49" s="440"/>
      <c r="KTF49" s="440"/>
      <c r="KTG49" s="440"/>
      <c r="KTH49" s="440"/>
      <c r="KTI49" s="440"/>
      <c r="KTJ49" s="440"/>
      <c r="KTK49" s="440"/>
      <c r="KTL49" s="440"/>
      <c r="KTM49" s="440"/>
      <c r="KTN49" s="440"/>
      <c r="KTO49" s="440"/>
      <c r="KTP49" s="440"/>
      <c r="KTQ49" s="440"/>
      <c r="KTR49" s="440"/>
      <c r="KTS49" s="440"/>
      <c r="KTT49" s="440"/>
      <c r="KTU49" s="440"/>
      <c r="KTV49" s="440"/>
      <c r="KTW49" s="440"/>
      <c r="KTX49" s="440"/>
      <c r="KTY49" s="440"/>
      <c r="KTZ49" s="440"/>
      <c r="KUA49" s="440"/>
      <c r="KUB49" s="440"/>
      <c r="KUC49" s="440"/>
      <c r="KUD49" s="440"/>
      <c r="KUE49" s="440"/>
      <c r="KUF49" s="440"/>
      <c r="KUG49" s="440"/>
      <c r="KUH49" s="440"/>
      <c r="KUI49" s="440"/>
      <c r="KUJ49" s="440"/>
      <c r="KUK49" s="440"/>
      <c r="KUL49" s="440"/>
      <c r="KUM49" s="440"/>
      <c r="KUN49" s="440"/>
      <c r="KUO49" s="440"/>
      <c r="KUP49" s="440"/>
      <c r="KUQ49" s="440"/>
      <c r="KUR49" s="440"/>
      <c r="KUS49" s="440"/>
      <c r="KUT49" s="440"/>
      <c r="KUU49" s="440"/>
      <c r="KUV49" s="440"/>
      <c r="KUW49" s="440"/>
      <c r="KUX49" s="440"/>
      <c r="KUY49" s="440"/>
      <c r="KUZ49" s="440"/>
      <c r="KVA49" s="440"/>
      <c r="KVB49" s="440"/>
      <c r="KVC49" s="440"/>
      <c r="KVD49" s="440"/>
      <c r="KVE49" s="440"/>
      <c r="KVF49" s="440"/>
      <c r="KVG49" s="440"/>
      <c r="KVH49" s="440"/>
      <c r="KVI49" s="440"/>
      <c r="KVJ49" s="440"/>
      <c r="KVK49" s="440"/>
      <c r="KVL49" s="440"/>
      <c r="KVM49" s="440"/>
      <c r="KVN49" s="440"/>
      <c r="KVO49" s="440"/>
      <c r="KVP49" s="440"/>
      <c r="KVQ49" s="440"/>
      <c r="KVR49" s="440"/>
      <c r="KVS49" s="440"/>
      <c r="KVT49" s="440"/>
      <c r="KVU49" s="440"/>
      <c r="KVV49" s="440"/>
      <c r="KVW49" s="440"/>
      <c r="KVX49" s="440"/>
      <c r="KVY49" s="440"/>
      <c r="KVZ49" s="440"/>
      <c r="KWA49" s="440"/>
      <c r="KWB49" s="440"/>
      <c r="KWC49" s="440"/>
      <c r="KWD49" s="440"/>
      <c r="KWE49" s="440"/>
      <c r="KWF49" s="440"/>
      <c r="KWG49" s="440"/>
      <c r="KWH49" s="440"/>
      <c r="KWI49" s="440"/>
      <c r="KWJ49" s="440"/>
      <c r="KWK49" s="440"/>
      <c r="KWL49" s="440"/>
      <c r="KWM49" s="440"/>
      <c r="KWN49" s="440"/>
      <c r="KWO49" s="440"/>
      <c r="KWP49" s="440"/>
      <c r="KWQ49" s="440"/>
      <c r="KWR49" s="440"/>
      <c r="KWS49" s="440"/>
      <c r="KWT49" s="440"/>
      <c r="KWU49" s="440"/>
      <c r="KWV49" s="440"/>
      <c r="KWW49" s="440"/>
      <c r="KWX49" s="440"/>
      <c r="KWY49" s="440"/>
      <c r="KWZ49" s="440"/>
      <c r="KXA49" s="440"/>
      <c r="KXB49" s="440"/>
      <c r="KXC49" s="440"/>
      <c r="KXD49" s="440"/>
      <c r="KXE49" s="440"/>
      <c r="KXF49" s="440"/>
      <c r="KXG49" s="440"/>
      <c r="KXH49" s="440"/>
      <c r="KXI49" s="440"/>
      <c r="KXJ49" s="440"/>
      <c r="KXK49" s="440"/>
      <c r="KXL49" s="440"/>
      <c r="KXM49" s="440"/>
      <c r="KXN49" s="440"/>
      <c r="KXO49" s="440"/>
      <c r="KXP49" s="440"/>
      <c r="KXQ49" s="440"/>
      <c r="KXR49" s="440"/>
      <c r="KXS49" s="440"/>
      <c r="KXT49" s="440"/>
      <c r="KXU49" s="440"/>
      <c r="KXV49" s="440"/>
      <c r="KXW49" s="440"/>
      <c r="KXX49" s="440"/>
      <c r="KXY49" s="440"/>
      <c r="KXZ49" s="440"/>
      <c r="KYA49" s="440"/>
      <c r="KYB49" s="440"/>
      <c r="KYC49" s="440"/>
      <c r="KYD49" s="440"/>
      <c r="KYE49" s="440"/>
      <c r="KYF49" s="440"/>
      <c r="KYG49" s="440"/>
      <c r="KYH49" s="440"/>
      <c r="KYI49" s="440"/>
      <c r="KYJ49" s="440"/>
      <c r="KYK49" s="440"/>
      <c r="KYL49" s="440"/>
      <c r="KYM49" s="440"/>
      <c r="KYN49" s="440"/>
      <c r="KYO49" s="440"/>
      <c r="KYP49" s="440"/>
      <c r="KYQ49" s="440"/>
      <c r="KYR49" s="440"/>
      <c r="KYS49" s="440"/>
      <c r="KYT49" s="440"/>
      <c r="KYU49" s="440"/>
      <c r="KYV49" s="440"/>
      <c r="KYW49" s="440"/>
      <c r="KYX49" s="440"/>
      <c r="KYY49" s="440"/>
      <c r="KYZ49" s="440"/>
      <c r="KZA49" s="440"/>
      <c r="KZB49" s="440"/>
      <c r="KZC49" s="440"/>
      <c r="KZD49" s="440"/>
      <c r="KZE49" s="440"/>
      <c r="KZF49" s="440"/>
      <c r="KZG49" s="440"/>
      <c r="KZH49" s="440"/>
      <c r="KZI49" s="440"/>
      <c r="KZJ49" s="440"/>
      <c r="KZK49" s="440"/>
      <c r="KZL49" s="440"/>
      <c r="KZM49" s="440"/>
      <c r="KZN49" s="440"/>
      <c r="KZO49" s="440"/>
      <c r="KZP49" s="440"/>
      <c r="KZQ49" s="440"/>
      <c r="KZR49" s="440"/>
      <c r="KZS49" s="440"/>
      <c r="KZT49" s="440"/>
      <c r="KZU49" s="440"/>
      <c r="KZV49" s="440"/>
      <c r="KZW49" s="440"/>
      <c r="KZX49" s="440"/>
      <c r="KZY49" s="440"/>
      <c r="KZZ49" s="440"/>
      <c r="LAA49" s="440"/>
      <c r="LAB49" s="440"/>
      <c r="LAC49" s="440"/>
      <c r="LAD49" s="440"/>
      <c r="LAE49" s="440"/>
      <c r="LAF49" s="440"/>
      <c r="LAG49" s="440"/>
      <c r="LAH49" s="440"/>
      <c r="LAI49" s="440"/>
      <c r="LAJ49" s="440"/>
      <c r="LAK49" s="440"/>
      <c r="LAL49" s="440"/>
      <c r="LAM49" s="440"/>
      <c r="LAN49" s="440"/>
      <c r="LAO49" s="440"/>
      <c r="LAP49" s="440"/>
      <c r="LAQ49" s="440"/>
      <c r="LAR49" s="440"/>
      <c r="LAS49" s="440"/>
      <c r="LAT49" s="440"/>
      <c r="LAU49" s="440"/>
      <c r="LAV49" s="440"/>
      <c r="LAW49" s="440"/>
      <c r="LAX49" s="440"/>
      <c r="LAY49" s="440"/>
      <c r="LAZ49" s="440"/>
      <c r="LBA49" s="440"/>
      <c r="LBB49" s="440"/>
      <c r="LBC49" s="440"/>
      <c r="LBD49" s="440"/>
      <c r="LBE49" s="440"/>
      <c r="LBF49" s="440"/>
      <c r="LBG49" s="440"/>
      <c r="LBH49" s="440"/>
      <c r="LBI49" s="440"/>
      <c r="LBJ49" s="440"/>
      <c r="LBK49" s="440"/>
      <c r="LBL49" s="440"/>
      <c r="LBM49" s="440"/>
      <c r="LBN49" s="440"/>
      <c r="LBO49" s="440"/>
      <c r="LBP49" s="440"/>
      <c r="LBQ49" s="440"/>
      <c r="LBR49" s="440"/>
      <c r="LBS49" s="440"/>
      <c r="LBT49" s="440"/>
      <c r="LBU49" s="440"/>
      <c r="LBV49" s="440"/>
      <c r="LBW49" s="440"/>
      <c r="LBX49" s="440"/>
      <c r="LBY49" s="440"/>
      <c r="LBZ49" s="440"/>
      <c r="LCA49" s="440"/>
      <c r="LCC49" s="440"/>
      <c r="LCD49" s="440"/>
      <c r="LCE49" s="440"/>
      <c r="LCF49" s="440"/>
      <c r="LCG49" s="440"/>
      <c r="LCH49" s="440"/>
      <c r="LCI49" s="440"/>
      <c r="LCJ49" s="440"/>
      <c r="LCK49" s="440"/>
      <c r="LCL49" s="440"/>
      <c r="LCM49" s="440"/>
      <c r="LCN49" s="440"/>
      <c r="LCO49" s="440"/>
      <c r="LCP49" s="440"/>
      <c r="LCQ49" s="440"/>
      <c r="LCR49" s="440"/>
      <c r="LCS49" s="440"/>
      <c r="LCT49" s="440"/>
      <c r="LCU49" s="440"/>
      <c r="LCV49" s="440"/>
      <c r="LCW49" s="440"/>
      <c r="LCX49" s="440"/>
      <c r="LCY49" s="440"/>
      <c r="LCZ49" s="440"/>
      <c r="LDA49" s="440"/>
      <c r="LDB49" s="440"/>
      <c r="LDC49" s="440"/>
      <c r="LDD49" s="440"/>
      <c r="LDE49" s="440"/>
      <c r="LDF49" s="440"/>
      <c r="LDG49" s="440"/>
      <c r="LDH49" s="440"/>
      <c r="LDI49" s="440"/>
      <c r="LDJ49" s="440"/>
      <c r="LDK49" s="440"/>
      <c r="LDL49" s="440"/>
      <c r="LDM49" s="440"/>
      <c r="LDN49" s="440"/>
      <c r="LDO49" s="440"/>
      <c r="LDP49" s="440"/>
      <c r="LDQ49" s="440"/>
      <c r="LDR49" s="440"/>
      <c r="LDS49" s="440"/>
      <c r="LDT49" s="440"/>
      <c r="LDU49" s="440"/>
      <c r="LDV49" s="440"/>
      <c r="LDW49" s="440"/>
      <c r="LDX49" s="440"/>
      <c r="LDY49" s="440"/>
      <c r="LDZ49" s="440"/>
      <c r="LEA49" s="440"/>
      <c r="LEB49" s="440"/>
      <c r="LEC49" s="440"/>
      <c r="LED49" s="440"/>
      <c r="LEE49" s="440"/>
      <c r="LEF49" s="440"/>
      <c r="LEG49" s="440"/>
      <c r="LEH49" s="440"/>
      <c r="LEI49" s="440"/>
      <c r="LEJ49" s="440"/>
      <c r="LEK49" s="440"/>
      <c r="LEL49" s="440"/>
      <c r="LEM49" s="440"/>
      <c r="LEN49" s="440"/>
      <c r="LEO49" s="440"/>
      <c r="LEP49" s="440"/>
      <c r="LEQ49" s="440"/>
      <c r="LER49" s="440"/>
      <c r="LES49" s="440"/>
      <c r="LET49" s="440"/>
      <c r="LEU49" s="440"/>
      <c r="LEV49" s="440"/>
      <c r="LEW49" s="440"/>
      <c r="LEX49" s="440"/>
      <c r="LEY49" s="440"/>
      <c r="LEZ49" s="440"/>
      <c r="LFA49" s="440"/>
      <c r="LFB49" s="440"/>
      <c r="LFC49" s="440"/>
      <c r="LFD49" s="440"/>
      <c r="LFE49" s="440"/>
      <c r="LFF49" s="440"/>
      <c r="LFG49" s="440"/>
      <c r="LFH49" s="440"/>
      <c r="LFI49" s="440"/>
      <c r="LFJ49" s="440"/>
      <c r="LFK49" s="440"/>
      <c r="LFL49" s="440"/>
      <c r="LFM49" s="440"/>
      <c r="LFN49" s="440"/>
      <c r="LFO49" s="440"/>
      <c r="LFP49" s="440"/>
      <c r="LFQ49" s="440"/>
      <c r="LFR49" s="440"/>
      <c r="LFS49" s="440"/>
      <c r="LFT49" s="440"/>
      <c r="LFU49" s="440"/>
      <c r="LFV49" s="440"/>
      <c r="LFW49" s="440"/>
      <c r="LFX49" s="440"/>
      <c r="LFY49" s="440"/>
      <c r="LFZ49" s="440"/>
      <c r="LGA49" s="440"/>
      <c r="LGB49" s="440"/>
      <c r="LGC49" s="440"/>
      <c r="LGD49" s="440"/>
      <c r="LGE49" s="440"/>
      <c r="LGF49" s="440"/>
      <c r="LGG49" s="440"/>
      <c r="LGH49" s="440"/>
      <c r="LGI49" s="440"/>
      <c r="LGJ49" s="440"/>
      <c r="LGK49" s="440"/>
      <c r="LGL49" s="440"/>
      <c r="LGM49" s="440"/>
      <c r="LGN49" s="440"/>
      <c r="LGO49" s="440"/>
      <c r="LGP49" s="440"/>
      <c r="LGQ49" s="440"/>
      <c r="LGR49" s="440"/>
      <c r="LGS49" s="440"/>
      <c r="LGT49" s="440"/>
      <c r="LGU49" s="440"/>
      <c r="LGV49" s="440"/>
      <c r="LGW49" s="440"/>
      <c r="LGX49" s="440"/>
      <c r="LGY49" s="440"/>
      <c r="LGZ49" s="440"/>
      <c r="LHA49" s="440"/>
      <c r="LHB49" s="440"/>
      <c r="LHC49" s="440"/>
      <c r="LHD49" s="440"/>
      <c r="LHE49" s="440"/>
      <c r="LHF49" s="440"/>
      <c r="LHG49" s="440"/>
      <c r="LHH49" s="440"/>
      <c r="LHI49" s="440"/>
      <c r="LHJ49" s="440"/>
      <c r="LHK49" s="440"/>
      <c r="LHL49" s="440"/>
      <c r="LHM49" s="440"/>
      <c r="LHN49" s="440"/>
      <c r="LHO49" s="440"/>
      <c r="LHP49" s="440"/>
      <c r="LHQ49" s="440"/>
      <c r="LHR49" s="440"/>
      <c r="LHS49" s="440"/>
      <c r="LHT49" s="440"/>
      <c r="LHU49" s="440"/>
      <c r="LHV49" s="440"/>
      <c r="LHW49" s="440"/>
      <c r="LHX49" s="440"/>
      <c r="LHY49" s="440"/>
      <c r="LHZ49" s="440"/>
      <c r="LIA49" s="440"/>
      <c r="LIB49" s="440"/>
      <c r="LIC49" s="440"/>
      <c r="LID49" s="440"/>
      <c r="LIE49" s="440"/>
      <c r="LIF49" s="440"/>
      <c r="LIG49" s="440"/>
      <c r="LIH49" s="440"/>
      <c r="LII49" s="440"/>
      <c r="LIJ49" s="440"/>
      <c r="LIK49" s="440"/>
      <c r="LIL49" s="440"/>
      <c r="LIM49" s="440"/>
      <c r="LIN49" s="440"/>
      <c r="LIO49" s="440"/>
      <c r="LIP49" s="440"/>
      <c r="LIQ49" s="440"/>
      <c r="LIR49" s="440"/>
      <c r="LIS49" s="440"/>
      <c r="LIT49" s="440"/>
      <c r="LIU49" s="440"/>
      <c r="LIV49" s="440"/>
      <c r="LIW49" s="440"/>
      <c r="LIX49" s="440"/>
      <c r="LIY49" s="440"/>
      <c r="LIZ49" s="440"/>
      <c r="LJA49" s="440"/>
      <c r="LJB49" s="440"/>
      <c r="LJC49" s="440"/>
      <c r="LJD49" s="440"/>
      <c r="LJE49" s="440"/>
      <c r="LJF49" s="440"/>
      <c r="LJG49" s="440"/>
      <c r="LJH49" s="440"/>
      <c r="LJI49" s="440"/>
      <c r="LJJ49" s="440"/>
      <c r="LJK49" s="440"/>
      <c r="LJL49" s="440"/>
      <c r="LJM49" s="440"/>
      <c r="LJN49" s="440"/>
      <c r="LJO49" s="440"/>
      <c r="LJP49" s="440"/>
      <c r="LJQ49" s="440"/>
      <c r="LJR49" s="440"/>
      <c r="LJS49" s="440"/>
      <c r="LJT49" s="440"/>
      <c r="LJU49" s="440"/>
      <c r="LJV49" s="440"/>
      <c r="LJW49" s="440"/>
      <c r="LJX49" s="440"/>
      <c r="LJY49" s="440"/>
      <c r="LJZ49" s="440"/>
      <c r="LKA49" s="440"/>
      <c r="LKB49" s="440"/>
      <c r="LKC49" s="440"/>
      <c r="LKD49" s="440"/>
      <c r="LKE49" s="440"/>
      <c r="LKF49" s="440"/>
      <c r="LKG49" s="440"/>
      <c r="LKH49" s="440"/>
      <c r="LKI49" s="440"/>
      <c r="LKJ49" s="440"/>
      <c r="LKK49" s="440"/>
      <c r="LKL49" s="440"/>
      <c r="LKM49" s="440"/>
      <c r="LKN49" s="440"/>
      <c r="LKO49" s="440"/>
      <c r="LKP49" s="440"/>
      <c r="LKQ49" s="440"/>
      <c r="LKR49" s="440"/>
      <c r="LKS49" s="440"/>
      <c r="LKT49" s="440"/>
      <c r="LKU49" s="440"/>
      <c r="LKV49" s="440"/>
      <c r="LKW49" s="440"/>
      <c r="LKX49" s="440"/>
      <c r="LKY49" s="440"/>
      <c r="LKZ49" s="440"/>
      <c r="LLA49" s="440"/>
      <c r="LLB49" s="440"/>
      <c r="LLC49" s="440"/>
      <c r="LLD49" s="440"/>
      <c r="LLE49" s="440"/>
      <c r="LLF49" s="440"/>
      <c r="LLG49" s="440"/>
      <c r="LLH49" s="440"/>
      <c r="LLI49" s="440"/>
      <c r="LLJ49" s="440"/>
      <c r="LLK49" s="440"/>
      <c r="LLL49" s="440"/>
      <c r="LLM49" s="440"/>
      <c r="LLN49" s="440"/>
      <c r="LLO49" s="440"/>
      <c r="LLP49" s="440"/>
      <c r="LLQ49" s="440"/>
      <c r="LLR49" s="440"/>
      <c r="LLS49" s="440"/>
      <c r="LLT49" s="440"/>
      <c r="LLU49" s="440"/>
      <c r="LLV49" s="440"/>
      <c r="LLW49" s="440"/>
      <c r="LLY49" s="440"/>
      <c r="LLZ49" s="440"/>
      <c r="LMA49" s="440"/>
      <c r="LMB49" s="440"/>
      <c r="LMC49" s="440"/>
      <c r="LMD49" s="440"/>
      <c r="LME49" s="440"/>
      <c r="LMF49" s="440"/>
      <c r="LMG49" s="440"/>
      <c r="LMH49" s="440"/>
      <c r="LMI49" s="440"/>
      <c r="LMJ49" s="440"/>
      <c r="LMK49" s="440"/>
      <c r="LML49" s="440"/>
      <c r="LMM49" s="440"/>
      <c r="LMN49" s="440"/>
      <c r="LMO49" s="440"/>
      <c r="LMP49" s="440"/>
      <c r="LMQ49" s="440"/>
      <c r="LMR49" s="440"/>
      <c r="LMS49" s="440"/>
      <c r="LMT49" s="440"/>
      <c r="LMU49" s="440"/>
      <c r="LMV49" s="440"/>
      <c r="LMW49" s="440"/>
      <c r="LMX49" s="440"/>
      <c r="LMY49" s="440"/>
      <c r="LMZ49" s="440"/>
      <c r="LNA49" s="440"/>
      <c r="LNB49" s="440"/>
      <c r="LNC49" s="440"/>
      <c r="LND49" s="440"/>
      <c r="LNE49" s="440"/>
      <c r="LNF49" s="440"/>
      <c r="LNG49" s="440"/>
      <c r="LNH49" s="440"/>
      <c r="LNI49" s="440"/>
      <c r="LNJ49" s="440"/>
      <c r="LNK49" s="440"/>
      <c r="LNL49" s="440"/>
      <c r="LNM49" s="440"/>
      <c r="LNN49" s="440"/>
      <c r="LNO49" s="440"/>
      <c r="LNP49" s="440"/>
      <c r="LNQ49" s="440"/>
      <c r="LNR49" s="440"/>
      <c r="LNS49" s="440"/>
      <c r="LNT49" s="440"/>
      <c r="LNU49" s="440"/>
      <c r="LNV49" s="440"/>
      <c r="LNW49" s="440"/>
      <c r="LNX49" s="440"/>
      <c r="LNY49" s="440"/>
      <c r="LNZ49" s="440"/>
      <c r="LOA49" s="440"/>
      <c r="LOB49" s="440"/>
      <c r="LOC49" s="440"/>
      <c r="LOD49" s="440"/>
      <c r="LOE49" s="440"/>
      <c r="LOF49" s="440"/>
      <c r="LOG49" s="440"/>
      <c r="LOH49" s="440"/>
      <c r="LOI49" s="440"/>
      <c r="LOJ49" s="440"/>
      <c r="LOK49" s="440"/>
      <c r="LOL49" s="440"/>
      <c r="LOM49" s="440"/>
      <c r="LON49" s="440"/>
      <c r="LOO49" s="440"/>
      <c r="LOP49" s="440"/>
      <c r="LOQ49" s="440"/>
      <c r="LOR49" s="440"/>
      <c r="LOS49" s="440"/>
      <c r="LOT49" s="440"/>
      <c r="LOU49" s="440"/>
      <c r="LOV49" s="440"/>
      <c r="LOW49" s="440"/>
      <c r="LOX49" s="440"/>
      <c r="LOY49" s="440"/>
      <c r="LOZ49" s="440"/>
      <c r="LPA49" s="440"/>
      <c r="LPB49" s="440"/>
      <c r="LPC49" s="440"/>
      <c r="LPD49" s="440"/>
      <c r="LPE49" s="440"/>
      <c r="LPF49" s="440"/>
      <c r="LPG49" s="440"/>
      <c r="LPH49" s="440"/>
      <c r="LPI49" s="440"/>
      <c r="LPJ49" s="440"/>
      <c r="LPK49" s="440"/>
      <c r="LPL49" s="440"/>
      <c r="LPM49" s="440"/>
      <c r="LPN49" s="440"/>
      <c r="LPO49" s="440"/>
      <c r="LPP49" s="440"/>
      <c r="LPQ49" s="440"/>
      <c r="LPR49" s="440"/>
      <c r="LPS49" s="440"/>
      <c r="LPT49" s="440"/>
      <c r="LPU49" s="440"/>
      <c r="LPV49" s="440"/>
      <c r="LPW49" s="440"/>
      <c r="LPX49" s="440"/>
      <c r="LPY49" s="440"/>
      <c r="LPZ49" s="440"/>
      <c r="LQA49" s="440"/>
      <c r="LQB49" s="440"/>
      <c r="LQC49" s="440"/>
      <c r="LQD49" s="440"/>
      <c r="LQE49" s="440"/>
      <c r="LQF49" s="440"/>
      <c r="LQG49" s="440"/>
      <c r="LQH49" s="440"/>
      <c r="LQI49" s="440"/>
      <c r="LQJ49" s="440"/>
      <c r="LQK49" s="440"/>
      <c r="LQL49" s="440"/>
      <c r="LQM49" s="440"/>
      <c r="LQN49" s="440"/>
      <c r="LQO49" s="440"/>
      <c r="LQP49" s="440"/>
      <c r="LQQ49" s="440"/>
      <c r="LQR49" s="440"/>
      <c r="LQS49" s="440"/>
      <c r="LQT49" s="440"/>
      <c r="LQU49" s="440"/>
      <c r="LQV49" s="440"/>
      <c r="LQW49" s="440"/>
      <c r="LQX49" s="440"/>
      <c r="LQY49" s="440"/>
      <c r="LQZ49" s="440"/>
      <c r="LRA49" s="440"/>
      <c r="LRB49" s="440"/>
      <c r="LRC49" s="440"/>
      <c r="LRD49" s="440"/>
      <c r="LRE49" s="440"/>
      <c r="LRF49" s="440"/>
      <c r="LRG49" s="440"/>
      <c r="LRH49" s="440"/>
      <c r="LRI49" s="440"/>
      <c r="LRJ49" s="440"/>
      <c r="LRK49" s="440"/>
      <c r="LRL49" s="440"/>
      <c r="LRM49" s="440"/>
      <c r="LRN49" s="440"/>
      <c r="LRO49" s="440"/>
      <c r="LRP49" s="440"/>
      <c r="LRQ49" s="440"/>
      <c r="LRR49" s="440"/>
      <c r="LRS49" s="440"/>
      <c r="LRT49" s="440"/>
      <c r="LRU49" s="440"/>
      <c r="LRV49" s="440"/>
      <c r="LRW49" s="440"/>
      <c r="LRX49" s="440"/>
      <c r="LRY49" s="440"/>
      <c r="LRZ49" s="440"/>
      <c r="LSA49" s="440"/>
      <c r="LSB49" s="440"/>
      <c r="LSC49" s="440"/>
      <c r="LSD49" s="440"/>
      <c r="LSE49" s="440"/>
      <c r="LSF49" s="440"/>
      <c r="LSG49" s="440"/>
      <c r="LSH49" s="440"/>
      <c r="LSI49" s="440"/>
      <c r="LSJ49" s="440"/>
      <c r="LSK49" s="440"/>
      <c r="LSL49" s="440"/>
      <c r="LSM49" s="440"/>
      <c r="LSN49" s="440"/>
      <c r="LSO49" s="440"/>
      <c r="LSP49" s="440"/>
      <c r="LSQ49" s="440"/>
      <c r="LSR49" s="440"/>
      <c r="LSS49" s="440"/>
      <c r="LST49" s="440"/>
      <c r="LSU49" s="440"/>
      <c r="LSV49" s="440"/>
      <c r="LSW49" s="440"/>
      <c r="LSX49" s="440"/>
      <c r="LSY49" s="440"/>
      <c r="LSZ49" s="440"/>
      <c r="LTA49" s="440"/>
      <c r="LTB49" s="440"/>
      <c r="LTC49" s="440"/>
      <c r="LTD49" s="440"/>
      <c r="LTE49" s="440"/>
      <c r="LTF49" s="440"/>
      <c r="LTG49" s="440"/>
      <c r="LTH49" s="440"/>
      <c r="LTI49" s="440"/>
      <c r="LTJ49" s="440"/>
      <c r="LTK49" s="440"/>
      <c r="LTL49" s="440"/>
      <c r="LTM49" s="440"/>
      <c r="LTN49" s="440"/>
      <c r="LTO49" s="440"/>
      <c r="LTP49" s="440"/>
      <c r="LTQ49" s="440"/>
      <c r="LTR49" s="440"/>
      <c r="LTS49" s="440"/>
      <c r="LTT49" s="440"/>
      <c r="LTU49" s="440"/>
      <c r="LTV49" s="440"/>
      <c r="LTW49" s="440"/>
      <c r="LTX49" s="440"/>
      <c r="LTY49" s="440"/>
      <c r="LTZ49" s="440"/>
      <c r="LUA49" s="440"/>
      <c r="LUB49" s="440"/>
      <c r="LUC49" s="440"/>
      <c r="LUD49" s="440"/>
      <c r="LUE49" s="440"/>
      <c r="LUF49" s="440"/>
      <c r="LUG49" s="440"/>
      <c r="LUH49" s="440"/>
      <c r="LUI49" s="440"/>
      <c r="LUJ49" s="440"/>
      <c r="LUK49" s="440"/>
      <c r="LUL49" s="440"/>
      <c r="LUM49" s="440"/>
      <c r="LUN49" s="440"/>
      <c r="LUO49" s="440"/>
      <c r="LUP49" s="440"/>
      <c r="LUQ49" s="440"/>
      <c r="LUR49" s="440"/>
      <c r="LUS49" s="440"/>
      <c r="LUT49" s="440"/>
      <c r="LUU49" s="440"/>
      <c r="LUV49" s="440"/>
      <c r="LUW49" s="440"/>
      <c r="LUX49" s="440"/>
      <c r="LUY49" s="440"/>
      <c r="LUZ49" s="440"/>
      <c r="LVA49" s="440"/>
      <c r="LVB49" s="440"/>
      <c r="LVC49" s="440"/>
      <c r="LVD49" s="440"/>
      <c r="LVE49" s="440"/>
      <c r="LVF49" s="440"/>
      <c r="LVG49" s="440"/>
      <c r="LVH49" s="440"/>
      <c r="LVI49" s="440"/>
      <c r="LVJ49" s="440"/>
      <c r="LVK49" s="440"/>
      <c r="LVL49" s="440"/>
      <c r="LVM49" s="440"/>
      <c r="LVN49" s="440"/>
      <c r="LVO49" s="440"/>
      <c r="LVP49" s="440"/>
      <c r="LVQ49" s="440"/>
      <c r="LVR49" s="440"/>
      <c r="LVS49" s="440"/>
      <c r="LVU49" s="440"/>
      <c r="LVV49" s="440"/>
      <c r="LVW49" s="440"/>
      <c r="LVX49" s="440"/>
      <c r="LVY49" s="440"/>
      <c r="LVZ49" s="440"/>
      <c r="LWA49" s="440"/>
      <c r="LWB49" s="440"/>
      <c r="LWC49" s="440"/>
      <c r="LWD49" s="440"/>
      <c r="LWE49" s="440"/>
      <c r="LWF49" s="440"/>
      <c r="LWG49" s="440"/>
      <c r="LWH49" s="440"/>
      <c r="LWI49" s="440"/>
      <c r="LWJ49" s="440"/>
      <c r="LWK49" s="440"/>
      <c r="LWL49" s="440"/>
      <c r="LWM49" s="440"/>
      <c r="LWN49" s="440"/>
      <c r="LWO49" s="440"/>
      <c r="LWP49" s="440"/>
      <c r="LWQ49" s="440"/>
      <c r="LWR49" s="440"/>
      <c r="LWS49" s="440"/>
      <c r="LWT49" s="440"/>
      <c r="LWU49" s="440"/>
      <c r="LWV49" s="440"/>
      <c r="LWW49" s="440"/>
      <c r="LWX49" s="440"/>
      <c r="LWY49" s="440"/>
      <c r="LWZ49" s="440"/>
      <c r="LXA49" s="440"/>
      <c r="LXB49" s="440"/>
      <c r="LXC49" s="440"/>
      <c r="LXD49" s="440"/>
      <c r="LXE49" s="440"/>
      <c r="LXF49" s="440"/>
      <c r="LXG49" s="440"/>
      <c r="LXH49" s="440"/>
      <c r="LXI49" s="440"/>
      <c r="LXJ49" s="440"/>
      <c r="LXK49" s="440"/>
      <c r="LXL49" s="440"/>
      <c r="LXM49" s="440"/>
      <c r="LXN49" s="440"/>
      <c r="LXO49" s="440"/>
      <c r="LXP49" s="440"/>
      <c r="LXQ49" s="440"/>
      <c r="LXR49" s="440"/>
      <c r="LXS49" s="440"/>
      <c r="LXT49" s="440"/>
      <c r="LXU49" s="440"/>
      <c r="LXV49" s="440"/>
      <c r="LXW49" s="440"/>
      <c r="LXX49" s="440"/>
      <c r="LXY49" s="440"/>
      <c r="LXZ49" s="440"/>
      <c r="LYA49" s="440"/>
      <c r="LYB49" s="440"/>
      <c r="LYC49" s="440"/>
      <c r="LYD49" s="440"/>
      <c r="LYE49" s="440"/>
      <c r="LYF49" s="440"/>
      <c r="LYG49" s="440"/>
      <c r="LYH49" s="440"/>
      <c r="LYI49" s="440"/>
      <c r="LYJ49" s="440"/>
      <c r="LYK49" s="440"/>
      <c r="LYL49" s="440"/>
      <c r="LYM49" s="440"/>
      <c r="LYN49" s="440"/>
      <c r="LYO49" s="440"/>
      <c r="LYP49" s="440"/>
      <c r="LYQ49" s="440"/>
      <c r="LYR49" s="440"/>
      <c r="LYS49" s="440"/>
      <c r="LYT49" s="440"/>
      <c r="LYU49" s="440"/>
      <c r="LYV49" s="440"/>
      <c r="LYW49" s="440"/>
      <c r="LYX49" s="440"/>
      <c r="LYY49" s="440"/>
      <c r="LYZ49" s="440"/>
      <c r="LZA49" s="440"/>
      <c r="LZB49" s="440"/>
      <c r="LZC49" s="440"/>
      <c r="LZD49" s="440"/>
      <c r="LZE49" s="440"/>
      <c r="LZF49" s="440"/>
      <c r="LZG49" s="440"/>
      <c r="LZH49" s="440"/>
      <c r="LZI49" s="440"/>
      <c r="LZJ49" s="440"/>
      <c r="LZK49" s="440"/>
      <c r="LZL49" s="440"/>
      <c r="LZM49" s="440"/>
      <c r="LZN49" s="440"/>
      <c r="LZO49" s="440"/>
      <c r="LZP49" s="440"/>
      <c r="LZQ49" s="440"/>
      <c r="LZR49" s="440"/>
      <c r="LZS49" s="440"/>
      <c r="LZT49" s="440"/>
      <c r="LZU49" s="440"/>
      <c r="LZV49" s="440"/>
      <c r="LZW49" s="440"/>
      <c r="LZX49" s="440"/>
      <c r="LZY49" s="440"/>
      <c r="LZZ49" s="440"/>
      <c r="MAA49" s="440"/>
      <c r="MAB49" s="440"/>
      <c r="MAC49" s="440"/>
      <c r="MAD49" s="440"/>
      <c r="MAE49" s="440"/>
      <c r="MAF49" s="440"/>
      <c r="MAG49" s="440"/>
      <c r="MAH49" s="440"/>
      <c r="MAI49" s="440"/>
      <c r="MAJ49" s="440"/>
      <c r="MAK49" s="440"/>
      <c r="MAL49" s="440"/>
      <c r="MAM49" s="440"/>
      <c r="MAN49" s="440"/>
      <c r="MAO49" s="440"/>
      <c r="MAP49" s="440"/>
      <c r="MAQ49" s="440"/>
      <c r="MAR49" s="440"/>
      <c r="MAS49" s="440"/>
      <c r="MAT49" s="440"/>
      <c r="MAU49" s="440"/>
      <c r="MAV49" s="440"/>
      <c r="MAW49" s="440"/>
      <c r="MAX49" s="440"/>
      <c r="MAY49" s="440"/>
      <c r="MAZ49" s="440"/>
      <c r="MBA49" s="440"/>
      <c r="MBB49" s="440"/>
      <c r="MBC49" s="440"/>
      <c r="MBD49" s="440"/>
      <c r="MBE49" s="440"/>
      <c r="MBF49" s="440"/>
      <c r="MBG49" s="440"/>
      <c r="MBH49" s="440"/>
      <c r="MBI49" s="440"/>
      <c r="MBJ49" s="440"/>
      <c r="MBK49" s="440"/>
      <c r="MBL49" s="440"/>
      <c r="MBM49" s="440"/>
      <c r="MBN49" s="440"/>
      <c r="MBO49" s="440"/>
      <c r="MBP49" s="440"/>
      <c r="MBQ49" s="440"/>
      <c r="MBR49" s="440"/>
      <c r="MBS49" s="440"/>
      <c r="MBT49" s="440"/>
      <c r="MBU49" s="440"/>
      <c r="MBV49" s="440"/>
      <c r="MBW49" s="440"/>
      <c r="MBX49" s="440"/>
      <c r="MBY49" s="440"/>
      <c r="MBZ49" s="440"/>
      <c r="MCA49" s="440"/>
      <c r="MCB49" s="440"/>
      <c r="MCC49" s="440"/>
      <c r="MCD49" s="440"/>
      <c r="MCE49" s="440"/>
      <c r="MCF49" s="440"/>
      <c r="MCG49" s="440"/>
      <c r="MCH49" s="440"/>
      <c r="MCI49" s="440"/>
      <c r="MCJ49" s="440"/>
      <c r="MCK49" s="440"/>
      <c r="MCL49" s="440"/>
      <c r="MCM49" s="440"/>
      <c r="MCN49" s="440"/>
      <c r="MCO49" s="440"/>
      <c r="MCP49" s="440"/>
      <c r="MCQ49" s="440"/>
      <c r="MCR49" s="440"/>
      <c r="MCS49" s="440"/>
      <c r="MCT49" s="440"/>
      <c r="MCU49" s="440"/>
      <c r="MCV49" s="440"/>
      <c r="MCW49" s="440"/>
      <c r="MCX49" s="440"/>
      <c r="MCY49" s="440"/>
      <c r="MCZ49" s="440"/>
      <c r="MDA49" s="440"/>
      <c r="MDB49" s="440"/>
      <c r="MDC49" s="440"/>
      <c r="MDD49" s="440"/>
      <c r="MDE49" s="440"/>
      <c r="MDF49" s="440"/>
      <c r="MDG49" s="440"/>
      <c r="MDH49" s="440"/>
      <c r="MDI49" s="440"/>
      <c r="MDJ49" s="440"/>
      <c r="MDK49" s="440"/>
      <c r="MDL49" s="440"/>
      <c r="MDM49" s="440"/>
      <c r="MDN49" s="440"/>
      <c r="MDO49" s="440"/>
      <c r="MDP49" s="440"/>
      <c r="MDQ49" s="440"/>
      <c r="MDR49" s="440"/>
      <c r="MDS49" s="440"/>
      <c r="MDT49" s="440"/>
      <c r="MDU49" s="440"/>
      <c r="MDV49" s="440"/>
      <c r="MDW49" s="440"/>
      <c r="MDX49" s="440"/>
      <c r="MDY49" s="440"/>
      <c r="MDZ49" s="440"/>
      <c r="MEA49" s="440"/>
      <c r="MEB49" s="440"/>
      <c r="MEC49" s="440"/>
      <c r="MED49" s="440"/>
      <c r="MEE49" s="440"/>
      <c r="MEF49" s="440"/>
      <c r="MEG49" s="440"/>
      <c r="MEH49" s="440"/>
      <c r="MEI49" s="440"/>
      <c r="MEJ49" s="440"/>
      <c r="MEK49" s="440"/>
      <c r="MEL49" s="440"/>
      <c r="MEM49" s="440"/>
      <c r="MEN49" s="440"/>
      <c r="MEO49" s="440"/>
      <c r="MEP49" s="440"/>
      <c r="MEQ49" s="440"/>
      <c r="MER49" s="440"/>
      <c r="MES49" s="440"/>
      <c r="MET49" s="440"/>
      <c r="MEU49" s="440"/>
      <c r="MEV49" s="440"/>
      <c r="MEW49" s="440"/>
      <c r="MEX49" s="440"/>
      <c r="MEY49" s="440"/>
      <c r="MEZ49" s="440"/>
      <c r="MFA49" s="440"/>
      <c r="MFB49" s="440"/>
      <c r="MFC49" s="440"/>
      <c r="MFD49" s="440"/>
      <c r="MFE49" s="440"/>
      <c r="MFF49" s="440"/>
      <c r="MFG49" s="440"/>
      <c r="MFH49" s="440"/>
      <c r="MFI49" s="440"/>
      <c r="MFJ49" s="440"/>
      <c r="MFK49" s="440"/>
      <c r="MFL49" s="440"/>
      <c r="MFM49" s="440"/>
      <c r="MFN49" s="440"/>
      <c r="MFO49" s="440"/>
      <c r="MFQ49" s="440"/>
      <c r="MFR49" s="440"/>
      <c r="MFS49" s="440"/>
      <c r="MFT49" s="440"/>
      <c r="MFU49" s="440"/>
      <c r="MFV49" s="440"/>
      <c r="MFW49" s="440"/>
      <c r="MFX49" s="440"/>
      <c r="MFY49" s="440"/>
      <c r="MFZ49" s="440"/>
      <c r="MGA49" s="440"/>
      <c r="MGB49" s="440"/>
      <c r="MGC49" s="440"/>
      <c r="MGD49" s="440"/>
      <c r="MGE49" s="440"/>
      <c r="MGF49" s="440"/>
      <c r="MGG49" s="440"/>
      <c r="MGH49" s="440"/>
      <c r="MGI49" s="440"/>
      <c r="MGJ49" s="440"/>
      <c r="MGK49" s="440"/>
      <c r="MGL49" s="440"/>
      <c r="MGM49" s="440"/>
      <c r="MGN49" s="440"/>
      <c r="MGO49" s="440"/>
      <c r="MGP49" s="440"/>
      <c r="MGQ49" s="440"/>
      <c r="MGR49" s="440"/>
      <c r="MGS49" s="440"/>
      <c r="MGT49" s="440"/>
      <c r="MGU49" s="440"/>
      <c r="MGV49" s="440"/>
      <c r="MGW49" s="440"/>
      <c r="MGX49" s="440"/>
      <c r="MGY49" s="440"/>
      <c r="MGZ49" s="440"/>
      <c r="MHA49" s="440"/>
      <c r="MHB49" s="440"/>
      <c r="MHC49" s="440"/>
      <c r="MHD49" s="440"/>
      <c r="MHE49" s="440"/>
      <c r="MHF49" s="440"/>
      <c r="MHG49" s="440"/>
      <c r="MHH49" s="440"/>
      <c r="MHI49" s="440"/>
      <c r="MHJ49" s="440"/>
      <c r="MHK49" s="440"/>
      <c r="MHL49" s="440"/>
      <c r="MHM49" s="440"/>
      <c r="MHN49" s="440"/>
      <c r="MHO49" s="440"/>
      <c r="MHP49" s="440"/>
      <c r="MHQ49" s="440"/>
      <c r="MHR49" s="440"/>
      <c r="MHS49" s="440"/>
      <c r="MHT49" s="440"/>
      <c r="MHU49" s="440"/>
      <c r="MHV49" s="440"/>
      <c r="MHW49" s="440"/>
      <c r="MHX49" s="440"/>
      <c r="MHY49" s="440"/>
      <c r="MHZ49" s="440"/>
      <c r="MIA49" s="440"/>
      <c r="MIB49" s="440"/>
      <c r="MIC49" s="440"/>
      <c r="MID49" s="440"/>
      <c r="MIE49" s="440"/>
      <c r="MIF49" s="440"/>
      <c r="MIG49" s="440"/>
      <c r="MIH49" s="440"/>
      <c r="MII49" s="440"/>
      <c r="MIJ49" s="440"/>
      <c r="MIK49" s="440"/>
      <c r="MIL49" s="440"/>
      <c r="MIM49" s="440"/>
      <c r="MIN49" s="440"/>
      <c r="MIO49" s="440"/>
      <c r="MIP49" s="440"/>
      <c r="MIQ49" s="440"/>
      <c r="MIR49" s="440"/>
      <c r="MIS49" s="440"/>
      <c r="MIT49" s="440"/>
      <c r="MIU49" s="440"/>
      <c r="MIV49" s="440"/>
      <c r="MIW49" s="440"/>
      <c r="MIX49" s="440"/>
      <c r="MIY49" s="440"/>
      <c r="MIZ49" s="440"/>
      <c r="MJA49" s="440"/>
      <c r="MJB49" s="440"/>
      <c r="MJC49" s="440"/>
      <c r="MJD49" s="440"/>
      <c r="MJE49" s="440"/>
      <c r="MJF49" s="440"/>
      <c r="MJG49" s="440"/>
      <c r="MJH49" s="440"/>
      <c r="MJI49" s="440"/>
      <c r="MJJ49" s="440"/>
      <c r="MJK49" s="440"/>
      <c r="MJL49" s="440"/>
      <c r="MJM49" s="440"/>
      <c r="MJN49" s="440"/>
      <c r="MJO49" s="440"/>
      <c r="MJP49" s="440"/>
      <c r="MJQ49" s="440"/>
      <c r="MJR49" s="440"/>
      <c r="MJS49" s="440"/>
      <c r="MJT49" s="440"/>
      <c r="MJU49" s="440"/>
      <c r="MJV49" s="440"/>
      <c r="MJW49" s="440"/>
      <c r="MJX49" s="440"/>
      <c r="MJY49" s="440"/>
      <c r="MJZ49" s="440"/>
      <c r="MKA49" s="440"/>
      <c r="MKB49" s="440"/>
      <c r="MKC49" s="440"/>
      <c r="MKD49" s="440"/>
      <c r="MKE49" s="440"/>
      <c r="MKF49" s="440"/>
      <c r="MKG49" s="440"/>
      <c r="MKH49" s="440"/>
      <c r="MKI49" s="440"/>
      <c r="MKJ49" s="440"/>
      <c r="MKK49" s="440"/>
      <c r="MKL49" s="440"/>
      <c r="MKM49" s="440"/>
      <c r="MKN49" s="440"/>
      <c r="MKO49" s="440"/>
      <c r="MKP49" s="440"/>
      <c r="MKQ49" s="440"/>
      <c r="MKR49" s="440"/>
      <c r="MKS49" s="440"/>
      <c r="MKT49" s="440"/>
      <c r="MKU49" s="440"/>
      <c r="MKV49" s="440"/>
      <c r="MKW49" s="440"/>
      <c r="MKX49" s="440"/>
      <c r="MKY49" s="440"/>
      <c r="MKZ49" s="440"/>
      <c r="MLA49" s="440"/>
      <c r="MLB49" s="440"/>
      <c r="MLC49" s="440"/>
      <c r="MLD49" s="440"/>
      <c r="MLE49" s="440"/>
      <c r="MLF49" s="440"/>
      <c r="MLG49" s="440"/>
      <c r="MLH49" s="440"/>
      <c r="MLI49" s="440"/>
      <c r="MLJ49" s="440"/>
      <c r="MLK49" s="440"/>
      <c r="MLL49" s="440"/>
      <c r="MLM49" s="440"/>
      <c r="MLN49" s="440"/>
      <c r="MLO49" s="440"/>
      <c r="MLP49" s="440"/>
      <c r="MLQ49" s="440"/>
      <c r="MLR49" s="440"/>
      <c r="MLS49" s="440"/>
      <c r="MLT49" s="440"/>
      <c r="MLU49" s="440"/>
      <c r="MLV49" s="440"/>
      <c r="MLW49" s="440"/>
      <c r="MLX49" s="440"/>
      <c r="MLY49" s="440"/>
      <c r="MLZ49" s="440"/>
      <c r="MMA49" s="440"/>
      <c r="MMB49" s="440"/>
      <c r="MMC49" s="440"/>
      <c r="MMD49" s="440"/>
      <c r="MME49" s="440"/>
      <c r="MMF49" s="440"/>
      <c r="MMG49" s="440"/>
      <c r="MMH49" s="440"/>
      <c r="MMI49" s="440"/>
      <c r="MMJ49" s="440"/>
      <c r="MMK49" s="440"/>
      <c r="MML49" s="440"/>
      <c r="MMM49" s="440"/>
      <c r="MMN49" s="440"/>
      <c r="MMO49" s="440"/>
      <c r="MMP49" s="440"/>
      <c r="MMQ49" s="440"/>
      <c r="MMR49" s="440"/>
      <c r="MMS49" s="440"/>
      <c r="MMT49" s="440"/>
      <c r="MMU49" s="440"/>
      <c r="MMV49" s="440"/>
      <c r="MMW49" s="440"/>
      <c r="MMX49" s="440"/>
      <c r="MMY49" s="440"/>
      <c r="MMZ49" s="440"/>
      <c r="MNA49" s="440"/>
      <c r="MNB49" s="440"/>
      <c r="MNC49" s="440"/>
      <c r="MND49" s="440"/>
      <c r="MNE49" s="440"/>
      <c r="MNF49" s="440"/>
      <c r="MNG49" s="440"/>
      <c r="MNH49" s="440"/>
      <c r="MNI49" s="440"/>
      <c r="MNJ49" s="440"/>
      <c r="MNK49" s="440"/>
      <c r="MNL49" s="440"/>
      <c r="MNM49" s="440"/>
      <c r="MNN49" s="440"/>
      <c r="MNO49" s="440"/>
      <c r="MNP49" s="440"/>
      <c r="MNQ49" s="440"/>
      <c r="MNR49" s="440"/>
      <c r="MNS49" s="440"/>
      <c r="MNT49" s="440"/>
      <c r="MNU49" s="440"/>
      <c r="MNV49" s="440"/>
      <c r="MNW49" s="440"/>
      <c r="MNX49" s="440"/>
      <c r="MNY49" s="440"/>
      <c r="MNZ49" s="440"/>
      <c r="MOA49" s="440"/>
      <c r="MOB49" s="440"/>
      <c r="MOC49" s="440"/>
      <c r="MOD49" s="440"/>
      <c r="MOE49" s="440"/>
      <c r="MOF49" s="440"/>
      <c r="MOG49" s="440"/>
      <c r="MOH49" s="440"/>
      <c r="MOI49" s="440"/>
      <c r="MOJ49" s="440"/>
      <c r="MOK49" s="440"/>
      <c r="MOL49" s="440"/>
      <c r="MOM49" s="440"/>
      <c r="MON49" s="440"/>
      <c r="MOO49" s="440"/>
      <c r="MOP49" s="440"/>
      <c r="MOQ49" s="440"/>
      <c r="MOR49" s="440"/>
      <c r="MOS49" s="440"/>
      <c r="MOT49" s="440"/>
      <c r="MOU49" s="440"/>
      <c r="MOV49" s="440"/>
      <c r="MOW49" s="440"/>
      <c r="MOX49" s="440"/>
      <c r="MOY49" s="440"/>
      <c r="MOZ49" s="440"/>
      <c r="MPA49" s="440"/>
      <c r="MPB49" s="440"/>
      <c r="MPC49" s="440"/>
      <c r="MPD49" s="440"/>
      <c r="MPE49" s="440"/>
      <c r="MPF49" s="440"/>
      <c r="MPG49" s="440"/>
      <c r="MPH49" s="440"/>
      <c r="MPI49" s="440"/>
      <c r="MPJ49" s="440"/>
      <c r="MPK49" s="440"/>
      <c r="MPM49" s="440"/>
      <c r="MPN49" s="440"/>
      <c r="MPO49" s="440"/>
      <c r="MPP49" s="440"/>
      <c r="MPQ49" s="440"/>
      <c r="MPR49" s="440"/>
      <c r="MPS49" s="440"/>
      <c r="MPT49" s="440"/>
      <c r="MPU49" s="440"/>
      <c r="MPV49" s="440"/>
      <c r="MPW49" s="440"/>
      <c r="MPX49" s="440"/>
      <c r="MPY49" s="440"/>
      <c r="MPZ49" s="440"/>
      <c r="MQA49" s="440"/>
      <c r="MQB49" s="440"/>
      <c r="MQC49" s="440"/>
      <c r="MQD49" s="440"/>
      <c r="MQE49" s="440"/>
      <c r="MQF49" s="440"/>
      <c r="MQG49" s="440"/>
      <c r="MQH49" s="440"/>
      <c r="MQI49" s="440"/>
      <c r="MQJ49" s="440"/>
      <c r="MQK49" s="440"/>
      <c r="MQL49" s="440"/>
      <c r="MQM49" s="440"/>
      <c r="MQN49" s="440"/>
      <c r="MQO49" s="440"/>
      <c r="MQP49" s="440"/>
      <c r="MQQ49" s="440"/>
      <c r="MQR49" s="440"/>
      <c r="MQS49" s="440"/>
      <c r="MQT49" s="440"/>
      <c r="MQU49" s="440"/>
      <c r="MQV49" s="440"/>
      <c r="MQW49" s="440"/>
      <c r="MQX49" s="440"/>
      <c r="MQY49" s="440"/>
      <c r="MQZ49" s="440"/>
      <c r="MRA49" s="440"/>
      <c r="MRB49" s="440"/>
      <c r="MRC49" s="440"/>
      <c r="MRD49" s="440"/>
      <c r="MRE49" s="440"/>
      <c r="MRF49" s="440"/>
      <c r="MRG49" s="440"/>
      <c r="MRH49" s="440"/>
      <c r="MRI49" s="440"/>
      <c r="MRJ49" s="440"/>
      <c r="MRK49" s="440"/>
      <c r="MRL49" s="440"/>
      <c r="MRM49" s="440"/>
      <c r="MRN49" s="440"/>
      <c r="MRO49" s="440"/>
      <c r="MRP49" s="440"/>
      <c r="MRQ49" s="440"/>
      <c r="MRR49" s="440"/>
      <c r="MRS49" s="440"/>
      <c r="MRT49" s="440"/>
      <c r="MRU49" s="440"/>
      <c r="MRV49" s="440"/>
      <c r="MRW49" s="440"/>
      <c r="MRX49" s="440"/>
      <c r="MRY49" s="440"/>
      <c r="MRZ49" s="440"/>
      <c r="MSA49" s="440"/>
      <c r="MSB49" s="440"/>
      <c r="MSC49" s="440"/>
      <c r="MSD49" s="440"/>
      <c r="MSE49" s="440"/>
      <c r="MSF49" s="440"/>
      <c r="MSG49" s="440"/>
      <c r="MSH49" s="440"/>
      <c r="MSI49" s="440"/>
      <c r="MSJ49" s="440"/>
      <c r="MSK49" s="440"/>
      <c r="MSL49" s="440"/>
      <c r="MSM49" s="440"/>
      <c r="MSN49" s="440"/>
      <c r="MSO49" s="440"/>
      <c r="MSP49" s="440"/>
      <c r="MSQ49" s="440"/>
      <c r="MSR49" s="440"/>
      <c r="MSS49" s="440"/>
      <c r="MST49" s="440"/>
      <c r="MSU49" s="440"/>
      <c r="MSV49" s="440"/>
      <c r="MSW49" s="440"/>
      <c r="MSX49" s="440"/>
      <c r="MSY49" s="440"/>
      <c r="MSZ49" s="440"/>
      <c r="MTA49" s="440"/>
      <c r="MTB49" s="440"/>
      <c r="MTC49" s="440"/>
      <c r="MTD49" s="440"/>
      <c r="MTE49" s="440"/>
      <c r="MTF49" s="440"/>
      <c r="MTG49" s="440"/>
      <c r="MTH49" s="440"/>
      <c r="MTI49" s="440"/>
      <c r="MTJ49" s="440"/>
      <c r="MTK49" s="440"/>
      <c r="MTL49" s="440"/>
      <c r="MTM49" s="440"/>
      <c r="MTN49" s="440"/>
      <c r="MTO49" s="440"/>
      <c r="MTP49" s="440"/>
      <c r="MTQ49" s="440"/>
      <c r="MTR49" s="440"/>
      <c r="MTS49" s="440"/>
      <c r="MTT49" s="440"/>
      <c r="MTU49" s="440"/>
      <c r="MTV49" s="440"/>
      <c r="MTW49" s="440"/>
      <c r="MTX49" s="440"/>
      <c r="MTY49" s="440"/>
      <c r="MTZ49" s="440"/>
      <c r="MUA49" s="440"/>
      <c r="MUB49" s="440"/>
      <c r="MUC49" s="440"/>
      <c r="MUD49" s="440"/>
      <c r="MUE49" s="440"/>
      <c r="MUF49" s="440"/>
      <c r="MUG49" s="440"/>
      <c r="MUH49" s="440"/>
      <c r="MUI49" s="440"/>
      <c r="MUJ49" s="440"/>
      <c r="MUK49" s="440"/>
      <c r="MUL49" s="440"/>
      <c r="MUM49" s="440"/>
      <c r="MUN49" s="440"/>
      <c r="MUO49" s="440"/>
      <c r="MUP49" s="440"/>
      <c r="MUQ49" s="440"/>
      <c r="MUR49" s="440"/>
      <c r="MUS49" s="440"/>
      <c r="MUT49" s="440"/>
      <c r="MUU49" s="440"/>
      <c r="MUV49" s="440"/>
      <c r="MUW49" s="440"/>
      <c r="MUX49" s="440"/>
      <c r="MUY49" s="440"/>
      <c r="MUZ49" s="440"/>
      <c r="MVA49" s="440"/>
      <c r="MVB49" s="440"/>
      <c r="MVC49" s="440"/>
      <c r="MVD49" s="440"/>
      <c r="MVE49" s="440"/>
      <c r="MVF49" s="440"/>
      <c r="MVG49" s="440"/>
      <c r="MVH49" s="440"/>
      <c r="MVI49" s="440"/>
      <c r="MVJ49" s="440"/>
      <c r="MVK49" s="440"/>
      <c r="MVL49" s="440"/>
      <c r="MVM49" s="440"/>
      <c r="MVN49" s="440"/>
      <c r="MVO49" s="440"/>
      <c r="MVP49" s="440"/>
      <c r="MVQ49" s="440"/>
      <c r="MVR49" s="440"/>
      <c r="MVS49" s="440"/>
      <c r="MVT49" s="440"/>
      <c r="MVU49" s="440"/>
      <c r="MVV49" s="440"/>
      <c r="MVW49" s="440"/>
      <c r="MVX49" s="440"/>
      <c r="MVY49" s="440"/>
      <c r="MVZ49" s="440"/>
      <c r="MWA49" s="440"/>
      <c r="MWB49" s="440"/>
      <c r="MWC49" s="440"/>
      <c r="MWD49" s="440"/>
      <c r="MWE49" s="440"/>
      <c r="MWF49" s="440"/>
      <c r="MWG49" s="440"/>
      <c r="MWH49" s="440"/>
      <c r="MWI49" s="440"/>
      <c r="MWJ49" s="440"/>
      <c r="MWK49" s="440"/>
      <c r="MWL49" s="440"/>
      <c r="MWM49" s="440"/>
      <c r="MWN49" s="440"/>
      <c r="MWO49" s="440"/>
      <c r="MWP49" s="440"/>
      <c r="MWQ49" s="440"/>
      <c r="MWR49" s="440"/>
      <c r="MWS49" s="440"/>
      <c r="MWT49" s="440"/>
      <c r="MWU49" s="440"/>
      <c r="MWV49" s="440"/>
      <c r="MWW49" s="440"/>
      <c r="MWX49" s="440"/>
      <c r="MWY49" s="440"/>
      <c r="MWZ49" s="440"/>
      <c r="MXA49" s="440"/>
      <c r="MXB49" s="440"/>
      <c r="MXC49" s="440"/>
      <c r="MXD49" s="440"/>
      <c r="MXE49" s="440"/>
      <c r="MXF49" s="440"/>
      <c r="MXG49" s="440"/>
      <c r="MXH49" s="440"/>
      <c r="MXI49" s="440"/>
      <c r="MXJ49" s="440"/>
      <c r="MXK49" s="440"/>
      <c r="MXL49" s="440"/>
      <c r="MXM49" s="440"/>
      <c r="MXN49" s="440"/>
      <c r="MXO49" s="440"/>
      <c r="MXP49" s="440"/>
      <c r="MXQ49" s="440"/>
      <c r="MXR49" s="440"/>
      <c r="MXS49" s="440"/>
      <c r="MXT49" s="440"/>
      <c r="MXU49" s="440"/>
      <c r="MXV49" s="440"/>
      <c r="MXW49" s="440"/>
      <c r="MXX49" s="440"/>
      <c r="MXY49" s="440"/>
      <c r="MXZ49" s="440"/>
      <c r="MYA49" s="440"/>
      <c r="MYB49" s="440"/>
      <c r="MYC49" s="440"/>
      <c r="MYD49" s="440"/>
      <c r="MYE49" s="440"/>
      <c r="MYF49" s="440"/>
      <c r="MYG49" s="440"/>
      <c r="MYH49" s="440"/>
      <c r="MYI49" s="440"/>
      <c r="MYJ49" s="440"/>
      <c r="MYK49" s="440"/>
      <c r="MYL49" s="440"/>
      <c r="MYM49" s="440"/>
      <c r="MYN49" s="440"/>
      <c r="MYO49" s="440"/>
      <c r="MYP49" s="440"/>
      <c r="MYQ49" s="440"/>
      <c r="MYR49" s="440"/>
      <c r="MYS49" s="440"/>
      <c r="MYT49" s="440"/>
      <c r="MYU49" s="440"/>
      <c r="MYV49" s="440"/>
      <c r="MYW49" s="440"/>
      <c r="MYX49" s="440"/>
      <c r="MYY49" s="440"/>
      <c r="MYZ49" s="440"/>
      <c r="MZA49" s="440"/>
      <c r="MZB49" s="440"/>
      <c r="MZC49" s="440"/>
      <c r="MZD49" s="440"/>
      <c r="MZE49" s="440"/>
      <c r="MZF49" s="440"/>
      <c r="MZG49" s="440"/>
      <c r="MZI49" s="440"/>
      <c r="MZJ49" s="440"/>
      <c r="MZK49" s="440"/>
      <c r="MZL49" s="440"/>
      <c r="MZM49" s="440"/>
      <c r="MZN49" s="440"/>
      <c r="MZO49" s="440"/>
      <c r="MZP49" s="440"/>
      <c r="MZQ49" s="440"/>
      <c r="MZR49" s="440"/>
      <c r="MZS49" s="440"/>
      <c r="MZT49" s="440"/>
      <c r="MZU49" s="440"/>
      <c r="MZV49" s="440"/>
      <c r="MZW49" s="440"/>
      <c r="MZX49" s="440"/>
      <c r="MZY49" s="440"/>
      <c r="MZZ49" s="440"/>
      <c r="NAA49" s="440"/>
      <c r="NAB49" s="440"/>
      <c r="NAC49" s="440"/>
      <c r="NAD49" s="440"/>
      <c r="NAE49" s="440"/>
      <c r="NAF49" s="440"/>
      <c r="NAG49" s="440"/>
      <c r="NAH49" s="440"/>
      <c r="NAI49" s="440"/>
      <c r="NAJ49" s="440"/>
      <c r="NAK49" s="440"/>
      <c r="NAL49" s="440"/>
      <c r="NAM49" s="440"/>
      <c r="NAN49" s="440"/>
      <c r="NAO49" s="440"/>
      <c r="NAP49" s="440"/>
      <c r="NAQ49" s="440"/>
      <c r="NAR49" s="440"/>
      <c r="NAS49" s="440"/>
      <c r="NAT49" s="440"/>
      <c r="NAU49" s="440"/>
      <c r="NAV49" s="440"/>
      <c r="NAW49" s="440"/>
      <c r="NAX49" s="440"/>
      <c r="NAY49" s="440"/>
      <c r="NAZ49" s="440"/>
      <c r="NBA49" s="440"/>
      <c r="NBB49" s="440"/>
      <c r="NBC49" s="440"/>
      <c r="NBD49" s="440"/>
      <c r="NBE49" s="440"/>
      <c r="NBF49" s="440"/>
      <c r="NBG49" s="440"/>
      <c r="NBH49" s="440"/>
      <c r="NBI49" s="440"/>
      <c r="NBJ49" s="440"/>
      <c r="NBK49" s="440"/>
      <c r="NBL49" s="440"/>
      <c r="NBM49" s="440"/>
      <c r="NBN49" s="440"/>
      <c r="NBO49" s="440"/>
      <c r="NBP49" s="440"/>
      <c r="NBQ49" s="440"/>
      <c r="NBR49" s="440"/>
      <c r="NBS49" s="440"/>
      <c r="NBT49" s="440"/>
      <c r="NBU49" s="440"/>
      <c r="NBV49" s="440"/>
      <c r="NBW49" s="440"/>
      <c r="NBX49" s="440"/>
      <c r="NBY49" s="440"/>
      <c r="NBZ49" s="440"/>
      <c r="NCA49" s="440"/>
      <c r="NCB49" s="440"/>
      <c r="NCC49" s="440"/>
      <c r="NCD49" s="440"/>
      <c r="NCE49" s="440"/>
      <c r="NCF49" s="440"/>
      <c r="NCG49" s="440"/>
      <c r="NCH49" s="440"/>
      <c r="NCI49" s="440"/>
      <c r="NCJ49" s="440"/>
      <c r="NCK49" s="440"/>
      <c r="NCL49" s="440"/>
      <c r="NCM49" s="440"/>
      <c r="NCN49" s="440"/>
      <c r="NCO49" s="440"/>
      <c r="NCP49" s="440"/>
      <c r="NCQ49" s="440"/>
      <c r="NCR49" s="440"/>
      <c r="NCS49" s="440"/>
      <c r="NCT49" s="440"/>
      <c r="NCU49" s="440"/>
      <c r="NCV49" s="440"/>
      <c r="NCW49" s="440"/>
      <c r="NCX49" s="440"/>
      <c r="NCY49" s="440"/>
      <c r="NCZ49" s="440"/>
      <c r="NDA49" s="440"/>
      <c r="NDB49" s="440"/>
      <c r="NDC49" s="440"/>
      <c r="NDD49" s="440"/>
      <c r="NDE49" s="440"/>
      <c r="NDF49" s="440"/>
      <c r="NDG49" s="440"/>
      <c r="NDH49" s="440"/>
      <c r="NDI49" s="440"/>
      <c r="NDJ49" s="440"/>
      <c r="NDK49" s="440"/>
      <c r="NDL49" s="440"/>
      <c r="NDM49" s="440"/>
      <c r="NDN49" s="440"/>
      <c r="NDO49" s="440"/>
      <c r="NDP49" s="440"/>
      <c r="NDQ49" s="440"/>
      <c r="NDR49" s="440"/>
      <c r="NDS49" s="440"/>
      <c r="NDT49" s="440"/>
      <c r="NDU49" s="440"/>
      <c r="NDV49" s="440"/>
      <c r="NDW49" s="440"/>
      <c r="NDX49" s="440"/>
      <c r="NDY49" s="440"/>
      <c r="NDZ49" s="440"/>
      <c r="NEA49" s="440"/>
      <c r="NEB49" s="440"/>
      <c r="NEC49" s="440"/>
      <c r="NED49" s="440"/>
      <c r="NEE49" s="440"/>
      <c r="NEF49" s="440"/>
      <c r="NEG49" s="440"/>
      <c r="NEH49" s="440"/>
      <c r="NEI49" s="440"/>
      <c r="NEJ49" s="440"/>
      <c r="NEK49" s="440"/>
      <c r="NEL49" s="440"/>
      <c r="NEM49" s="440"/>
      <c r="NEN49" s="440"/>
      <c r="NEO49" s="440"/>
      <c r="NEP49" s="440"/>
      <c r="NEQ49" s="440"/>
      <c r="NER49" s="440"/>
      <c r="NES49" s="440"/>
      <c r="NET49" s="440"/>
      <c r="NEU49" s="440"/>
      <c r="NEV49" s="440"/>
      <c r="NEW49" s="440"/>
      <c r="NEX49" s="440"/>
      <c r="NEY49" s="440"/>
      <c r="NEZ49" s="440"/>
      <c r="NFA49" s="440"/>
      <c r="NFB49" s="440"/>
      <c r="NFC49" s="440"/>
      <c r="NFD49" s="440"/>
      <c r="NFE49" s="440"/>
      <c r="NFF49" s="440"/>
      <c r="NFG49" s="440"/>
      <c r="NFH49" s="440"/>
      <c r="NFI49" s="440"/>
      <c r="NFJ49" s="440"/>
      <c r="NFK49" s="440"/>
      <c r="NFL49" s="440"/>
      <c r="NFM49" s="440"/>
      <c r="NFN49" s="440"/>
      <c r="NFO49" s="440"/>
      <c r="NFP49" s="440"/>
      <c r="NFQ49" s="440"/>
      <c r="NFR49" s="440"/>
      <c r="NFS49" s="440"/>
      <c r="NFT49" s="440"/>
      <c r="NFU49" s="440"/>
      <c r="NFV49" s="440"/>
      <c r="NFW49" s="440"/>
      <c r="NFX49" s="440"/>
      <c r="NFY49" s="440"/>
      <c r="NFZ49" s="440"/>
      <c r="NGA49" s="440"/>
      <c r="NGB49" s="440"/>
      <c r="NGC49" s="440"/>
      <c r="NGD49" s="440"/>
      <c r="NGE49" s="440"/>
      <c r="NGF49" s="440"/>
      <c r="NGG49" s="440"/>
      <c r="NGH49" s="440"/>
      <c r="NGI49" s="440"/>
      <c r="NGJ49" s="440"/>
      <c r="NGK49" s="440"/>
      <c r="NGL49" s="440"/>
      <c r="NGM49" s="440"/>
      <c r="NGN49" s="440"/>
      <c r="NGO49" s="440"/>
      <c r="NGP49" s="440"/>
      <c r="NGQ49" s="440"/>
      <c r="NGR49" s="440"/>
      <c r="NGS49" s="440"/>
      <c r="NGT49" s="440"/>
      <c r="NGU49" s="440"/>
      <c r="NGV49" s="440"/>
      <c r="NGW49" s="440"/>
      <c r="NGX49" s="440"/>
      <c r="NGY49" s="440"/>
      <c r="NGZ49" s="440"/>
      <c r="NHA49" s="440"/>
      <c r="NHB49" s="440"/>
      <c r="NHC49" s="440"/>
      <c r="NHD49" s="440"/>
      <c r="NHE49" s="440"/>
      <c r="NHF49" s="440"/>
      <c r="NHG49" s="440"/>
      <c r="NHH49" s="440"/>
      <c r="NHI49" s="440"/>
      <c r="NHJ49" s="440"/>
      <c r="NHK49" s="440"/>
      <c r="NHL49" s="440"/>
      <c r="NHM49" s="440"/>
      <c r="NHN49" s="440"/>
      <c r="NHO49" s="440"/>
      <c r="NHP49" s="440"/>
      <c r="NHQ49" s="440"/>
      <c r="NHR49" s="440"/>
      <c r="NHS49" s="440"/>
      <c r="NHT49" s="440"/>
      <c r="NHU49" s="440"/>
      <c r="NHV49" s="440"/>
      <c r="NHW49" s="440"/>
      <c r="NHX49" s="440"/>
      <c r="NHY49" s="440"/>
      <c r="NHZ49" s="440"/>
      <c r="NIA49" s="440"/>
      <c r="NIB49" s="440"/>
      <c r="NIC49" s="440"/>
      <c r="NID49" s="440"/>
      <c r="NIE49" s="440"/>
      <c r="NIF49" s="440"/>
      <c r="NIG49" s="440"/>
      <c r="NIH49" s="440"/>
      <c r="NII49" s="440"/>
      <c r="NIJ49" s="440"/>
      <c r="NIK49" s="440"/>
      <c r="NIL49" s="440"/>
      <c r="NIM49" s="440"/>
      <c r="NIN49" s="440"/>
      <c r="NIO49" s="440"/>
      <c r="NIP49" s="440"/>
      <c r="NIQ49" s="440"/>
      <c r="NIR49" s="440"/>
      <c r="NIS49" s="440"/>
      <c r="NIT49" s="440"/>
      <c r="NIU49" s="440"/>
      <c r="NIV49" s="440"/>
      <c r="NIW49" s="440"/>
      <c r="NIX49" s="440"/>
      <c r="NIY49" s="440"/>
      <c r="NIZ49" s="440"/>
      <c r="NJA49" s="440"/>
      <c r="NJB49" s="440"/>
      <c r="NJC49" s="440"/>
      <c r="NJE49" s="440"/>
      <c r="NJF49" s="440"/>
      <c r="NJG49" s="440"/>
      <c r="NJH49" s="440"/>
      <c r="NJI49" s="440"/>
      <c r="NJJ49" s="440"/>
      <c r="NJK49" s="440"/>
      <c r="NJL49" s="440"/>
      <c r="NJM49" s="440"/>
      <c r="NJN49" s="440"/>
      <c r="NJO49" s="440"/>
      <c r="NJP49" s="440"/>
      <c r="NJQ49" s="440"/>
      <c r="NJR49" s="440"/>
      <c r="NJS49" s="440"/>
      <c r="NJT49" s="440"/>
      <c r="NJU49" s="440"/>
      <c r="NJV49" s="440"/>
      <c r="NJW49" s="440"/>
      <c r="NJX49" s="440"/>
      <c r="NJY49" s="440"/>
      <c r="NJZ49" s="440"/>
      <c r="NKA49" s="440"/>
      <c r="NKB49" s="440"/>
      <c r="NKC49" s="440"/>
      <c r="NKD49" s="440"/>
      <c r="NKE49" s="440"/>
      <c r="NKF49" s="440"/>
      <c r="NKG49" s="440"/>
      <c r="NKH49" s="440"/>
      <c r="NKI49" s="440"/>
      <c r="NKJ49" s="440"/>
      <c r="NKK49" s="440"/>
      <c r="NKL49" s="440"/>
      <c r="NKM49" s="440"/>
      <c r="NKN49" s="440"/>
      <c r="NKO49" s="440"/>
      <c r="NKP49" s="440"/>
      <c r="NKQ49" s="440"/>
      <c r="NKR49" s="440"/>
      <c r="NKS49" s="440"/>
      <c r="NKT49" s="440"/>
      <c r="NKU49" s="440"/>
      <c r="NKV49" s="440"/>
      <c r="NKW49" s="440"/>
      <c r="NKX49" s="440"/>
      <c r="NKY49" s="440"/>
      <c r="NKZ49" s="440"/>
      <c r="NLA49" s="440"/>
      <c r="NLB49" s="440"/>
      <c r="NLC49" s="440"/>
      <c r="NLD49" s="440"/>
      <c r="NLE49" s="440"/>
      <c r="NLF49" s="440"/>
      <c r="NLG49" s="440"/>
      <c r="NLH49" s="440"/>
      <c r="NLI49" s="440"/>
      <c r="NLJ49" s="440"/>
      <c r="NLK49" s="440"/>
      <c r="NLL49" s="440"/>
      <c r="NLM49" s="440"/>
      <c r="NLN49" s="440"/>
      <c r="NLO49" s="440"/>
      <c r="NLP49" s="440"/>
      <c r="NLQ49" s="440"/>
      <c r="NLR49" s="440"/>
      <c r="NLS49" s="440"/>
      <c r="NLT49" s="440"/>
      <c r="NLU49" s="440"/>
      <c r="NLV49" s="440"/>
      <c r="NLW49" s="440"/>
      <c r="NLX49" s="440"/>
      <c r="NLY49" s="440"/>
      <c r="NLZ49" s="440"/>
      <c r="NMA49" s="440"/>
      <c r="NMB49" s="440"/>
      <c r="NMC49" s="440"/>
      <c r="NMD49" s="440"/>
      <c r="NME49" s="440"/>
      <c r="NMF49" s="440"/>
      <c r="NMG49" s="440"/>
      <c r="NMH49" s="440"/>
      <c r="NMI49" s="440"/>
      <c r="NMJ49" s="440"/>
      <c r="NMK49" s="440"/>
      <c r="NML49" s="440"/>
      <c r="NMM49" s="440"/>
      <c r="NMN49" s="440"/>
      <c r="NMO49" s="440"/>
      <c r="NMP49" s="440"/>
      <c r="NMQ49" s="440"/>
      <c r="NMR49" s="440"/>
      <c r="NMS49" s="440"/>
      <c r="NMT49" s="440"/>
      <c r="NMU49" s="440"/>
      <c r="NMV49" s="440"/>
      <c r="NMW49" s="440"/>
      <c r="NMX49" s="440"/>
      <c r="NMY49" s="440"/>
      <c r="NMZ49" s="440"/>
      <c r="NNA49" s="440"/>
      <c r="NNB49" s="440"/>
      <c r="NNC49" s="440"/>
      <c r="NND49" s="440"/>
      <c r="NNE49" s="440"/>
      <c r="NNF49" s="440"/>
      <c r="NNG49" s="440"/>
      <c r="NNH49" s="440"/>
      <c r="NNI49" s="440"/>
      <c r="NNJ49" s="440"/>
      <c r="NNK49" s="440"/>
      <c r="NNL49" s="440"/>
      <c r="NNM49" s="440"/>
      <c r="NNN49" s="440"/>
      <c r="NNO49" s="440"/>
      <c r="NNP49" s="440"/>
      <c r="NNQ49" s="440"/>
      <c r="NNR49" s="440"/>
      <c r="NNS49" s="440"/>
      <c r="NNT49" s="440"/>
      <c r="NNU49" s="440"/>
      <c r="NNV49" s="440"/>
      <c r="NNW49" s="440"/>
      <c r="NNX49" s="440"/>
      <c r="NNY49" s="440"/>
      <c r="NNZ49" s="440"/>
      <c r="NOA49" s="440"/>
      <c r="NOB49" s="440"/>
      <c r="NOC49" s="440"/>
      <c r="NOD49" s="440"/>
      <c r="NOE49" s="440"/>
      <c r="NOF49" s="440"/>
      <c r="NOG49" s="440"/>
      <c r="NOH49" s="440"/>
      <c r="NOI49" s="440"/>
      <c r="NOJ49" s="440"/>
      <c r="NOK49" s="440"/>
      <c r="NOL49" s="440"/>
      <c r="NOM49" s="440"/>
      <c r="NON49" s="440"/>
      <c r="NOO49" s="440"/>
      <c r="NOP49" s="440"/>
      <c r="NOQ49" s="440"/>
      <c r="NOR49" s="440"/>
      <c r="NOS49" s="440"/>
      <c r="NOT49" s="440"/>
      <c r="NOU49" s="440"/>
      <c r="NOV49" s="440"/>
      <c r="NOW49" s="440"/>
      <c r="NOX49" s="440"/>
      <c r="NOY49" s="440"/>
      <c r="NOZ49" s="440"/>
      <c r="NPA49" s="440"/>
      <c r="NPB49" s="440"/>
      <c r="NPC49" s="440"/>
      <c r="NPD49" s="440"/>
      <c r="NPE49" s="440"/>
      <c r="NPF49" s="440"/>
      <c r="NPG49" s="440"/>
      <c r="NPH49" s="440"/>
      <c r="NPI49" s="440"/>
      <c r="NPJ49" s="440"/>
      <c r="NPK49" s="440"/>
      <c r="NPL49" s="440"/>
      <c r="NPM49" s="440"/>
      <c r="NPN49" s="440"/>
      <c r="NPO49" s="440"/>
      <c r="NPP49" s="440"/>
      <c r="NPQ49" s="440"/>
      <c r="NPR49" s="440"/>
      <c r="NPS49" s="440"/>
      <c r="NPT49" s="440"/>
      <c r="NPU49" s="440"/>
      <c r="NPV49" s="440"/>
      <c r="NPW49" s="440"/>
      <c r="NPX49" s="440"/>
      <c r="NPY49" s="440"/>
      <c r="NPZ49" s="440"/>
      <c r="NQA49" s="440"/>
      <c r="NQB49" s="440"/>
      <c r="NQC49" s="440"/>
      <c r="NQD49" s="440"/>
      <c r="NQE49" s="440"/>
      <c r="NQF49" s="440"/>
      <c r="NQG49" s="440"/>
      <c r="NQH49" s="440"/>
      <c r="NQI49" s="440"/>
      <c r="NQJ49" s="440"/>
      <c r="NQK49" s="440"/>
      <c r="NQL49" s="440"/>
      <c r="NQM49" s="440"/>
      <c r="NQN49" s="440"/>
      <c r="NQO49" s="440"/>
      <c r="NQP49" s="440"/>
      <c r="NQQ49" s="440"/>
      <c r="NQR49" s="440"/>
      <c r="NQS49" s="440"/>
      <c r="NQT49" s="440"/>
      <c r="NQU49" s="440"/>
      <c r="NQV49" s="440"/>
      <c r="NQW49" s="440"/>
      <c r="NQX49" s="440"/>
      <c r="NQY49" s="440"/>
      <c r="NQZ49" s="440"/>
      <c r="NRA49" s="440"/>
      <c r="NRB49" s="440"/>
      <c r="NRC49" s="440"/>
      <c r="NRD49" s="440"/>
      <c r="NRE49" s="440"/>
      <c r="NRF49" s="440"/>
      <c r="NRG49" s="440"/>
      <c r="NRH49" s="440"/>
      <c r="NRI49" s="440"/>
      <c r="NRJ49" s="440"/>
      <c r="NRK49" s="440"/>
      <c r="NRL49" s="440"/>
      <c r="NRM49" s="440"/>
      <c r="NRN49" s="440"/>
      <c r="NRO49" s="440"/>
      <c r="NRP49" s="440"/>
      <c r="NRQ49" s="440"/>
      <c r="NRR49" s="440"/>
      <c r="NRS49" s="440"/>
      <c r="NRT49" s="440"/>
      <c r="NRU49" s="440"/>
      <c r="NRV49" s="440"/>
      <c r="NRW49" s="440"/>
      <c r="NRX49" s="440"/>
      <c r="NRY49" s="440"/>
      <c r="NRZ49" s="440"/>
      <c r="NSA49" s="440"/>
      <c r="NSB49" s="440"/>
      <c r="NSC49" s="440"/>
      <c r="NSD49" s="440"/>
      <c r="NSE49" s="440"/>
      <c r="NSF49" s="440"/>
      <c r="NSG49" s="440"/>
      <c r="NSH49" s="440"/>
      <c r="NSI49" s="440"/>
      <c r="NSJ49" s="440"/>
      <c r="NSK49" s="440"/>
      <c r="NSL49" s="440"/>
      <c r="NSM49" s="440"/>
      <c r="NSN49" s="440"/>
      <c r="NSO49" s="440"/>
      <c r="NSP49" s="440"/>
      <c r="NSQ49" s="440"/>
      <c r="NSR49" s="440"/>
      <c r="NSS49" s="440"/>
      <c r="NST49" s="440"/>
      <c r="NSU49" s="440"/>
      <c r="NSV49" s="440"/>
      <c r="NSW49" s="440"/>
      <c r="NSX49" s="440"/>
      <c r="NSY49" s="440"/>
      <c r="NTA49" s="440"/>
      <c r="NTB49" s="440"/>
      <c r="NTC49" s="440"/>
      <c r="NTD49" s="440"/>
      <c r="NTE49" s="440"/>
      <c r="NTF49" s="440"/>
      <c r="NTG49" s="440"/>
      <c r="NTH49" s="440"/>
      <c r="NTI49" s="440"/>
      <c r="NTJ49" s="440"/>
      <c r="NTK49" s="440"/>
      <c r="NTL49" s="440"/>
      <c r="NTM49" s="440"/>
      <c r="NTN49" s="440"/>
      <c r="NTO49" s="440"/>
      <c r="NTP49" s="440"/>
      <c r="NTQ49" s="440"/>
      <c r="NTR49" s="440"/>
      <c r="NTS49" s="440"/>
      <c r="NTT49" s="440"/>
      <c r="NTU49" s="440"/>
      <c r="NTV49" s="440"/>
      <c r="NTW49" s="440"/>
      <c r="NTX49" s="440"/>
      <c r="NTY49" s="440"/>
      <c r="NTZ49" s="440"/>
      <c r="NUA49" s="440"/>
      <c r="NUB49" s="440"/>
      <c r="NUC49" s="440"/>
      <c r="NUD49" s="440"/>
      <c r="NUE49" s="440"/>
      <c r="NUF49" s="440"/>
      <c r="NUG49" s="440"/>
      <c r="NUH49" s="440"/>
      <c r="NUI49" s="440"/>
      <c r="NUJ49" s="440"/>
      <c r="NUK49" s="440"/>
      <c r="NUL49" s="440"/>
      <c r="NUM49" s="440"/>
      <c r="NUN49" s="440"/>
      <c r="NUO49" s="440"/>
      <c r="NUP49" s="440"/>
      <c r="NUQ49" s="440"/>
      <c r="NUR49" s="440"/>
      <c r="NUS49" s="440"/>
      <c r="NUT49" s="440"/>
      <c r="NUU49" s="440"/>
      <c r="NUV49" s="440"/>
      <c r="NUW49" s="440"/>
      <c r="NUX49" s="440"/>
      <c r="NUY49" s="440"/>
      <c r="NUZ49" s="440"/>
      <c r="NVA49" s="440"/>
      <c r="NVB49" s="440"/>
      <c r="NVC49" s="440"/>
      <c r="NVD49" s="440"/>
      <c r="NVE49" s="440"/>
      <c r="NVF49" s="440"/>
      <c r="NVG49" s="440"/>
      <c r="NVH49" s="440"/>
      <c r="NVI49" s="440"/>
      <c r="NVJ49" s="440"/>
      <c r="NVK49" s="440"/>
      <c r="NVL49" s="440"/>
      <c r="NVM49" s="440"/>
      <c r="NVN49" s="440"/>
      <c r="NVO49" s="440"/>
      <c r="NVP49" s="440"/>
      <c r="NVQ49" s="440"/>
      <c r="NVR49" s="440"/>
      <c r="NVS49" s="440"/>
      <c r="NVT49" s="440"/>
      <c r="NVU49" s="440"/>
      <c r="NVV49" s="440"/>
      <c r="NVW49" s="440"/>
      <c r="NVX49" s="440"/>
      <c r="NVY49" s="440"/>
      <c r="NVZ49" s="440"/>
      <c r="NWA49" s="440"/>
      <c r="NWB49" s="440"/>
      <c r="NWC49" s="440"/>
      <c r="NWD49" s="440"/>
      <c r="NWE49" s="440"/>
      <c r="NWF49" s="440"/>
      <c r="NWG49" s="440"/>
      <c r="NWH49" s="440"/>
      <c r="NWI49" s="440"/>
      <c r="NWJ49" s="440"/>
      <c r="NWK49" s="440"/>
      <c r="NWL49" s="440"/>
      <c r="NWM49" s="440"/>
      <c r="NWN49" s="440"/>
      <c r="NWO49" s="440"/>
      <c r="NWP49" s="440"/>
      <c r="NWQ49" s="440"/>
      <c r="NWR49" s="440"/>
      <c r="NWS49" s="440"/>
      <c r="NWT49" s="440"/>
      <c r="NWU49" s="440"/>
      <c r="NWV49" s="440"/>
      <c r="NWW49" s="440"/>
      <c r="NWX49" s="440"/>
      <c r="NWY49" s="440"/>
      <c r="NWZ49" s="440"/>
      <c r="NXA49" s="440"/>
      <c r="NXB49" s="440"/>
      <c r="NXC49" s="440"/>
      <c r="NXD49" s="440"/>
      <c r="NXE49" s="440"/>
      <c r="NXF49" s="440"/>
      <c r="NXG49" s="440"/>
      <c r="NXH49" s="440"/>
      <c r="NXI49" s="440"/>
      <c r="NXJ49" s="440"/>
      <c r="NXK49" s="440"/>
      <c r="NXL49" s="440"/>
      <c r="NXM49" s="440"/>
      <c r="NXN49" s="440"/>
      <c r="NXO49" s="440"/>
      <c r="NXP49" s="440"/>
      <c r="NXQ49" s="440"/>
      <c r="NXR49" s="440"/>
      <c r="NXS49" s="440"/>
      <c r="NXT49" s="440"/>
      <c r="NXU49" s="440"/>
      <c r="NXV49" s="440"/>
      <c r="NXW49" s="440"/>
      <c r="NXX49" s="440"/>
      <c r="NXY49" s="440"/>
      <c r="NXZ49" s="440"/>
      <c r="NYA49" s="440"/>
      <c r="NYB49" s="440"/>
      <c r="NYC49" s="440"/>
      <c r="NYD49" s="440"/>
      <c r="NYE49" s="440"/>
      <c r="NYF49" s="440"/>
      <c r="NYG49" s="440"/>
      <c r="NYH49" s="440"/>
      <c r="NYI49" s="440"/>
      <c r="NYJ49" s="440"/>
      <c r="NYK49" s="440"/>
      <c r="NYL49" s="440"/>
      <c r="NYM49" s="440"/>
      <c r="NYN49" s="440"/>
      <c r="NYO49" s="440"/>
      <c r="NYP49" s="440"/>
      <c r="NYQ49" s="440"/>
      <c r="NYR49" s="440"/>
      <c r="NYS49" s="440"/>
      <c r="NYT49" s="440"/>
      <c r="NYU49" s="440"/>
      <c r="NYV49" s="440"/>
      <c r="NYW49" s="440"/>
      <c r="NYX49" s="440"/>
      <c r="NYY49" s="440"/>
      <c r="NYZ49" s="440"/>
      <c r="NZA49" s="440"/>
      <c r="NZB49" s="440"/>
      <c r="NZC49" s="440"/>
      <c r="NZD49" s="440"/>
      <c r="NZE49" s="440"/>
      <c r="NZF49" s="440"/>
      <c r="NZG49" s="440"/>
      <c r="NZH49" s="440"/>
      <c r="NZI49" s="440"/>
      <c r="NZJ49" s="440"/>
      <c r="NZK49" s="440"/>
      <c r="NZL49" s="440"/>
      <c r="NZM49" s="440"/>
      <c r="NZN49" s="440"/>
      <c r="NZO49" s="440"/>
      <c r="NZP49" s="440"/>
      <c r="NZQ49" s="440"/>
      <c r="NZR49" s="440"/>
      <c r="NZS49" s="440"/>
      <c r="NZT49" s="440"/>
      <c r="NZU49" s="440"/>
      <c r="NZV49" s="440"/>
      <c r="NZW49" s="440"/>
      <c r="NZX49" s="440"/>
      <c r="NZY49" s="440"/>
      <c r="NZZ49" s="440"/>
      <c r="OAA49" s="440"/>
      <c r="OAB49" s="440"/>
      <c r="OAC49" s="440"/>
      <c r="OAD49" s="440"/>
      <c r="OAE49" s="440"/>
      <c r="OAF49" s="440"/>
      <c r="OAG49" s="440"/>
      <c r="OAH49" s="440"/>
      <c r="OAI49" s="440"/>
      <c r="OAJ49" s="440"/>
      <c r="OAK49" s="440"/>
      <c r="OAL49" s="440"/>
      <c r="OAM49" s="440"/>
      <c r="OAN49" s="440"/>
      <c r="OAO49" s="440"/>
      <c r="OAP49" s="440"/>
      <c r="OAQ49" s="440"/>
      <c r="OAR49" s="440"/>
      <c r="OAS49" s="440"/>
      <c r="OAT49" s="440"/>
      <c r="OAU49" s="440"/>
      <c r="OAV49" s="440"/>
      <c r="OAW49" s="440"/>
      <c r="OAX49" s="440"/>
      <c r="OAY49" s="440"/>
      <c r="OAZ49" s="440"/>
      <c r="OBA49" s="440"/>
      <c r="OBB49" s="440"/>
      <c r="OBC49" s="440"/>
      <c r="OBD49" s="440"/>
      <c r="OBE49" s="440"/>
      <c r="OBF49" s="440"/>
      <c r="OBG49" s="440"/>
      <c r="OBH49" s="440"/>
      <c r="OBI49" s="440"/>
      <c r="OBJ49" s="440"/>
      <c r="OBK49" s="440"/>
      <c r="OBL49" s="440"/>
      <c r="OBM49" s="440"/>
      <c r="OBN49" s="440"/>
      <c r="OBO49" s="440"/>
      <c r="OBP49" s="440"/>
      <c r="OBQ49" s="440"/>
      <c r="OBR49" s="440"/>
      <c r="OBS49" s="440"/>
      <c r="OBT49" s="440"/>
      <c r="OBU49" s="440"/>
      <c r="OBV49" s="440"/>
      <c r="OBW49" s="440"/>
      <c r="OBX49" s="440"/>
      <c r="OBY49" s="440"/>
      <c r="OBZ49" s="440"/>
      <c r="OCA49" s="440"/>
      <c r="OCB49" s="440"/>
      <c r="OCC49" s="440"/>
      <c r="OCD49" s="440"/>
      <c r="OCE49" s="440"/>
      <c r="OCF49" s="440"/>
      <c r="OCG49" s="440"/>
      <c r="OCH49" s="440"/>
      <c r="OCI49" s="440"/>
      <c r="OCJ49" s="440"/>
      <c r="OCK49" s="440"/>
      <c r="OCL49" s="440"/>
      <c r="OCM49" s="440"/>
      <c r="OCN49" s="440"/>
      <c r="OCO49" s="440"/>
      <c r="OCP49" s="440"/>
      <c r="OCQ49" s="440"/>
      <c r="OCR49" s="440"/>
      <c r="OCS49" s="440"/>
      <c r="OCT49" s="440"/>
      <c r="OCU49" s="440"/>
      <c r="OCW49" s="440"/>
      <c r="OCX49" s="440"/>
      <c r="OCY49" s="440"/>
      <c r="OCZ49" s="440"/>
      <c r="ODA49" s="440"/>
      <c r="ODB49" s="440"/>
      <c r="ODC49" s="440"/>
      <c r="ODD49" s="440"/>
      <c r="ODE49" s="440"/>
      <c r="ODF49" s="440"/>
      <c r="ODG49" s="440"/>
      <c r="ODH49" s="440"/>
      <c r="ODI49" s="440"/>
      <c r="ODJ49" s="440"/>
      <c r="ODK49" s="440"/>
      <c r="ODL49" s="440"/>
      <c r="ODM49" s="440"/>
      <c r="ODN49" s="440"/>
      <c r="ODO49" s="440"/>
      <c r="ODP49" s="440"/>
      <c r="ODQ49" s="440"/>
      <c r="ODR49" s="440"/>
      <c r="ODS49" s="440"/>
      <c r="ODT49" s="440"/>
      <c r="ODU49" s="440"/>
      <c r="ODV49" s="440"/>
      <c r="ODW49" s="440"/>
      <c r="ODX49" s="440"/>
      <c r="ODY49" s="440"/>
      <c r="ODZ49" s="440"/>
      <c r="OEA49" s="440"/>
      <c r="OEB49" s="440"/>
      <c r="OEC49" s="440"/>
      <c r="OED49" s="440"/>
      <c r="OEE49" s="440"/>
      <c r="OEF49" s="440"/>
      <c r="OEG49" s="440"/>
      <c r="OEH49" s="440"/>
      <c r="OEI49" s="440"/>
      <c r="OEJ49" s="440"/>
      <c r="OEK49" s="440"/>
      <c r="OEL49" s="440"/>
      <c r="OEM49" s="440"/>
      <c r="OEN49" s="440"/>
      <c r="OEO49" s="440"/>
      <c r="OEP49" s="440"/>
      <c r="OEQ49" s="440"/>
      <c r="OER49" s="440"/>
      <c r="OES49" s="440"/>
      <c r="OET49" s="440"/>
      <c r="OEU49" s="440"/>
      <c r="OEV49" s="440"/>
      <c r="OEW49" s="440"/>
      <c r="OEX49" s="440"/>
      <c r="OEY49" s="440"/>
      <c r="OEZ49" s="440"/>
      <c r="OFA49" s="440"/>
      <c r="OFB49" s="440"/>
      <c r="OFC49" s="440"/>
      <c r="OFD49" s="440"/>
      <c r="OFE49" s="440"/>
      <c r="OFF49" s="440"/>
      <c r="OFG49" s="440"/>
      <c r="OFH49" s="440"/>
      <c r="OFI49" s="440"/>
      <c r="OFJ49" s="440"/>
      <c r="OFK49" s="440"/>
      <c r="OFL49" s="440"/>
      <c r="OFM49" s="440"/>
      <c r="OFN49" s="440"/>
      <c r="OFO49" s="440"/>
      <c r="OFP49" s="440"/>
      <c r="OFQ49" s="440"/>
      <c r="OFR49" s="440"/>
      <c r="OFS49" s="440"/>
      <c r="OFT49" s="440"/>
      <c r="OFU49" s="440"/>
      <c r="OFV49" s="440"/>
      <c r="OFW49" s="440"/>
      <c r="OFX49" s="440"/>
      <c r="OFY49" s="440"/>
      <c r="OFZ49" s="440"/>
      <c r="OGA49" s="440"/>
      <c r="OGB49" s="440"/>
      <c r="OGC49" s="440"/>
      <c r="OGD49" s="440"/>
      <c r="OGE49" s="440"/>
      <c r="OGF49" s="440"/>
      <c r="OGG49" s="440"/>
      <c r="OGH49" s="440"/>
      <c r="OGI49" s="440"/>
      <c r="OGJ49" s="440"/>
      <c r="OGK49" s="440"/>
      <c r="OGL49" s="440"/>
      <c r="OGM49" s="440"/>
      <c r="OGN49" s="440"/>
      <c r="OGO49" s="440"/>
      <c r="OGP49" s="440"/>
      <c r="OGQ49" s="440"/>
      <c r="OGR49" s="440"/>
      <c r="OGS49" s="440"/>
      <c r="OGT49" s="440"/>
      <c r="OGU49" s="440"/>
      <c r="OGV49" s="440"/>
      <c r="OGW49" s="440"/>
      <c r="OGX49" s="440"/>
      <c r="OGY49" s="440"/>
      <c r="OGZ49" s="440"/>
      <c r="OHA49" s="440"/>
      <c r="OHB49" s="440"/>
      <c r="OHC49" s="440"/>
      <c r="OHD49" s="440"/>
      <c r="OHE49" s="440"/>
      <c r="OHF49" s="440"/>
      <c r="OHG49" s="440"/>
      <c r="OHH49" s="440"/>
      <c r="OHI49" s="440"/>
      <c r="OHJ49" s="440"/>
      <c r="OHK49" s="440"/>
      <c r="OHL49" s="440"/>
      <c r="OHM49" s="440"/>
      <c r="OHN49" s="440"/>
      <c r="OHO49" s="440"/>
      <c r="OHP49" s="440"/>
      <c r="OHQ49" s="440"/>
      <c r="OHR49" s="440"/>
      <c r="OHS49" s="440"/>
      <c r="OHT49" s="440"/>
      <c r="OHU49" s="440"/>
      <c r="OHV49" s="440"/>
      <c r="OHW49" s="440"/>
      <c r="OHX49" s="440"/>
      <c r="OHY49" s="440"/>
      <c r="OHZ49" s="440"/>
      <c r="OIA49" s="440"/>
      <c r="OIB49" s="440"/>
      <c r="OIC49" s="440"/>
      <c r="OID49" s="440"/>
      <c r="OIE49" s="440"/>
      <c r="OIF49" s="440"/>
      <c r="OIG49" s="440"/>
      <c r="OIH49" s="440"/>
      <c r="OII49" s="440"/>
      <c r="OIJ49" s="440"/>
      <c r="OIK49" s="440"/>
      <c r="OIL49" s="440"/>
      <c r="OIM49" s="440"/>
      <c r="OIN49" s="440"/>
      <c r="OIO49" s="440"/>
      <c r="OIP49" s="440"/>
      <c r="OIQ49" s="440"/>
      <c r="OIR49" s="440"/>
      <c r="OIS49" s="440"/>
      <c r="OIT49" s="440"/>
      <c r="OIU49" s="440"/>
      <c r="OIV49" s="440"/>
      <c r="OIW49" s="440"/>
      <c r="OIX49" s="440"/>
      <c r="OIY49" s="440"/>
      <c r="OIZ49" s="440"/>
      <c r="OJA49" s="440"/>
      <c r="OJB49" s="440"/>
      <c r="OJC49" s="440"/>
      <c r="OJD49" s="440"/>
      <c r="OJE49" s="440"/>
      <c r="OJF49" s="440"/>
      <c r="OJG49" s="440"/>
      <c r="OJH49" s="440"/>
      <c r="OJI49" s="440"/>
      <c r="OJJ49" s="440"/>
      <c r="OJK49" s="440"/>
      <c r="OJL49" s="440"/>
      <c r="OJM49" s="440"/>
      <c r="OJN49" s="440"/>
      <c r="OJO49" s="440"/>
      <c r="OJP49" s="440"/>
      <c r="OJQ49" s="440"/>
      <c r="OJR49" s="440"/>
      <c r="OJS49" s="440"/>
      <c r="OJT49" s="440"/>
      <c r="OJU49" s="440"/>
      <c r="OJV49" s="440"/>
      <c r="OJW49" s="440"/>
      <c r="OJX49" s="440"/>
      <c r="OJY49" s="440"/>
      <c r="OJZ49" s="440"/>
      <c r="OKA49" s="440"/>
      <c r="OKB49" s="440"/>
      <c r="OKC49" s="440"/>
      <c r="OKD49" s="440"/>
      <c r="OKE49" s="440"/>
      <c r="OKF49" s="440"/>
      <c r="OKG49" s="440"/>
      <c r="OKH49" s="440"/>
      <c r="OKI49" s="440"/>
      <c r="OKJ49" s="440"/>
      <c r="OKK49" s="440"/>
      <c r="OKL49" s="440"/>
      <c r="OKM49" s="440"/>
      <c r="OKN49" s="440"/>
      <c r="OKO49" s="440"/>
      <c r="OKP49" s="440"/>
      <c r="OKQ49" s="440"/>
      <c r="OKR49" s="440"/>
      <c r="OKS49" s="440"/>
      <c r="OKT49" s="440"/>
      <c r="OKU49" s="440"/>
      <c r="OKV49" s="440"/>
      <c r="OKW49" s="440"/>
      <c r="OKX49" s="440"/>
      <c r="OKY49" s="440"/>
      <c r="OKZ49" s="440"/>
      <c r="OLA49" s="440"/>
      <c r="OLB49" s="440"/>
      <c r="OLC49" s="440"/>
      <c r="OLD49" s="440"/>
      <c r="OLE49" s="440"/>
      <c r="OLF49" s="440"/>
      <c r="OLG49" s="440"/>
      <c r="OLH49" s="440"/>
      <c r="OLI49" s="440"/>
      <c r="OLJ49" s="440"/>
      <c r="OLK49" s="440"/>
      <c r="OLL49" s="440"/>
      <c r="OLM49" s="440"/>
      <c r="OLN49" s="440"/>
      <c r="OLO49" s="440"/>
      <c r="OLP49" s="440"/>
      <c r="OLQ49" s="440"/>
      <c r="OLR49" s="440"/>
      <c r="OLS49" s="440"/>
      <c r="OLT49" s="440"/>
      <c r="OLU49" s="440"/>
      <c r="OLV49" s="440"/>
      <c r="OLW49" s="440"/>
      <c r="OLX49" s="440"/>
      <c r="OLY49" s="440"/>
      <c r="OLZ49" s="440"/>
      <c r="OMA49" s="440"/>
      <c r="OMB49" s="440"/>
      <c r="OMC49" s="440"/>
      <c r="OMD49" s="440"/>
      <c r="OME49" s="440"/>
      <c r="OMF49" s="440"/>
      <c r="OMG49" s="440"/>
      <c r="OMH49" s="440"/>
      <c r="OMI49" s="440"/>
      <c r="OMJ49" s="440"/>
      <c r="OMK49" s="440"/>
      <c r="OML49" s="440"/>
      <c r="OMM49" s="440"/>
      <c r="OMN49" s="440"/>
      <c r="OMO49" s="440"/>
      <c r="OMP49" s="440"/>
      <c r="OMQ49" s="440"/>
      <c r="OMS49" s="440"/>
      <c r="OMT49" s="440"/>
      <c r="OMU49" s="440"/>
      <c r="OMV49" s="440"/>
      <c r="OMW49" s="440"/>
      <c r="OMX49" s="440"/>
      <c r="OMY49" s="440"/>
      <c r="OMZ49" s="440"/>
      <c r="ONA49" s="440"/>
      <c r="ONB49" s="440"/>
      <c r="ONC49" s="440"/>
      <c r="OND49" s="440"/>
      <c r="ONE49" s="440"/>
      <c r="ONF49" s="440"/>
      <c r="ONG49" s="440"/>
      <c r="ONH49" s="440"/>
      <c r="ONI49" s="440"/>
      <c r="ONJ49" s="440"/>
      <c r="ONK49" s="440"/>
      <c r="ONL49" s="440"/>
      <c r="ONM49" s="440"/>
      <c r="ONN49" s="440"/>
      <c r="ONO49" s="440"/>
      <c r="ONP49" s="440"/>
      <c r="ONQ49" s="440"/>
      <c r="ONR49" s="440"/>
      <c r="ONS49" s="440"/>
      <c r="ONT49" s="440"/>
      <c r="ONU49" s="440"/>
      <c r="ONV49" s="440"/>
      <c r="ONW49" s="440"/>
      <c r="ONX49" s="440"/>
      <c r="ONY49" s="440"/>
      <c r="ONZ49" s="440"/>
      <c r="OOA49" s="440"/>
      <c r="OOB49" s="440"/>
      <c r="OOC49" s="440"/>
      <c r="OOD49" s="440"/>
      <c r="OOE49" s="440"/>
      <c r="OOF49" s="440"/>
      <c r="OOG49" s="440"/>
      <c r="OOH49" s="440"/>
      <c r="OOI49" s="440"/>
      <c r="OOJ49" s="440"/>
      <c r="OOK49" s="440"/>
      <c r="OOL49" s="440"/>
      <c r="OOM49" s="440"/>
      <c r="OON49" s="440"/>
      <c r="OOO49" s="440"/>
      <c r="OOP49" s="440"/>
      <c r="OOQ49" s="440"/>
      <c r="OOR49" s="440"/>
      <c r="OOS49" s="440"/>
      <c r="OOT49" s="440"/>
      <c r="OOU49" s="440"/>
      <c r="OOV49" s="440"/>
      <c r="OOW49" s="440"/>
      <c r="OOX49" s="440"/>
      <c r="OOY49" s="440"/>
      <c r="OOZ49" s="440"/>
      <c r="OPA49" s="440"/>
      <c r="OPB49" s="440"/>
      <c r="OPC49" s="440"/>
      <c r="OPD49" s="440"/>
      <c r="OPE49" s="440"/>
      <c r="OPF49" s="440"/>
      <c r="OPG49" s="440"/>
      <c r="OPH49" s="440"/>
      <c r="OPI49" s="440"/>
      <c r="OPJ49" s="440"/>
      <c r="OPK49" s="440"/>
      <c r="OPL49" s="440"/>
      <c r="OPM49" s="440"/>
      <c r="OPN49" s="440"/>
      <c r="OPO49" s="440"/>
      <c r="OPP49" s="440"/>
      <c r="OPQ49" s="440"/>
      <c r="OPR49" s="440"/>
      <c r="OPS49" s="440"/>
      <c r="OPT49" s="440"/>
      <c r="OPU49" s="440"/>
      <c r="OPV49" s="440"/>
      <c r="OPW49" s="440"/>
      <c r="OPX49" s="440"/>
      <c r="OPY49" s="440"/>
      <c r="OPZ49" s="440"/>
      <c r="OQA49" s="440"/>
      <c r="OQB49" s="440"/>
      <c r="OQC49" s="440"/>
      <c r="OQD49" s="440"/>
      <c r="OQE49" s="440"/>
      <c r="OQF49" s="440"/>
      <c r="OQG49" s="440"/>
      <c r="OQH49" s="440"/>
      <c r="OQI49" s="440"/>
      <c r="OQJ49" s="440"/>
      <c r="OQK49" s="440"/>
      <c r="OQL49" s="440"/>
      <c r="OQM49" s="440"/>
      <c r="OQN49" s="440"/>
      <c r="OQO49" s="440"/>
      <c r="OQP49" s="440"/>
      <c r="OQQ49" s="440"/>
      <c r="OQR49" s="440"/>
      <c r="OQS49" s="440"/>
      <c r="OQT49" s="440"/>
      <c r="OQU49" s="440"/>
      <c r="OQV49" s="440"/>
      <c r="OQW49" s="440"/>
      <c r="OQX49" s="440"/>
      <c r="OQY49" s="440"/>
      <c r="OQZ49" s="440"/>
      <c r="ORA49" s="440"/>
      <c r="ORB49" s="440"/>
      <c r="ORC49" s="440"/>
      <c r="ORD49" s="440"/>
      <c r="ORE49" s="440"/>
      <c r="ORF49" s="440"/>
      <c r="ORG49" s="440"/>
      <c r="ORH49" s="440"/>
      <c r="ORI49" s="440"/>
      <c r="ORJ49" s="440"/>
      <c r="ORK49" s="440"/>
      <c r="ORL49" s="440"/>
      <c r="ORM49" s="440"/>
      <c r="ORN49" s="440"/>
      <c r="ORO49" s="440"/>
      <c r="ORP49" s="440"/>
      <c r="ORQ49" s="440"/>
      <c r="ORR49" s="440"/>
      <c r="ORS49" s="440"/>
      <c r="ORT49" s="440"/>
      <c r="ORU49" s="440"/>
      <c r="ORV49" s="440"/>
      <c r="ORW49" s="440"/>
      <c r="ORX49" s="440"/>
      <c r="ORY49" s="440"/>
      <c r="ORZ49" s="440"/>
      <c r="OSA49" s="440"/>
      <c r="OSB49" s="440"/>
      <c r="OSC49" s="440"/>
      <c r="OSD49" s="440"/>
      <c r="OSE49" s="440"/>
      <c r="OSF49" s="440"/>
      <c r="OSG49" s="440"/>
      <c r="OSH49" s="440"/>
      <c r="OSI49" s="440"/>
      <c r="OSJ49" s="440"/>
      <c r="OSK49" s="440"/>
      <c r="OSL49" s="440"/>
      <c r="OSM49" s="440"/>
      <c r="OSN49" s="440"/>
      <c r="OSO49" s="440"/>
      <c r="OSP49" s="440"/>
      <c r="OSQ49" s="440"/>
      <c r="OSR49" s="440"/>
      <c r="OSS49" s="440"/>
      <c r="OST49" s="440"/>
      <c r="OSU49" s="440"/>
      <c r="OSV49" s="440"/>
      <c r="OSW49" s="440"/>
      <c r="OSX49" s="440"/>
      <c r="OSY49" s="440"/>
      <c r="OSZ49" s="440"/>
      <c r="OTA49" s="440"/>
      <c r="OTB49" s="440"/>
      <c r="OTC49" s="440"/>
      <c r="OTD49" s="440"/>
      <c r="OTE49" s="440"/>
      <c r="OTF49" s="440"/>
      <c r="OTG49" s="440"/>
      <c r="OTH49" s="440"/>
      <c r="OTI49" s="440"/>
      <c r="OTJ49" s="440"/>
      <c r="OTK49" s="440"/>
      <c r="OTL49" s="440"/>
      <c r="OTM49" s="440"/>
      <c r="OTN49" s="440"/>
      <c r="OTO49" s="440"/>
      <c r="OTP49" s="440"/>
      <c r="OTQ49" s="440"/>
      <c r="OTR49" s="440"/>
      <c r="OTS49" s="440"/>
      <c r="OTT49" s="440"/>
      <c r="OTU49" s="440"/>
      <c r="OTV49" s="440"/>
      <c r="OTW49" s="440"/>
      <c r="OTX49" s="440"/>
      <c r="OTY49" s="440"/>
      <c r="OTZ49" s="440"/>
      <c r="OUA49" s="440"/>
      <c r="OUB49" s="440"/>
      <c r="OUC49" s="440"/>
      <c r="OUD49" s="440"/>
      <c r="OUE49" s="440"/>
      <c r="OUF49" s="440"/>
      <c r="OUG49" s="440"/>
      <c r="OUH49" s="440"/>
      <c r="OUI49" s="440"/>
      <c r="OUJ49" s="440"/>
      <c r="OUK49" s="440"/>
      <c r="OUL49" s="440"/>
      <c r="OUM49" s="440"/>
      <c r="OUN49" s="440"/>
      <c r="OUO49" s="440"/>
      <c r="OUP49" s="440"/>
      <c r="OUQ49" s="440"/>
      <c r="OUR49" s="440"/>
      <c r="OUS49" s="440"/>
      <c r="OUT49" s="440"/>
      <c r="OUU49" s="440"/>
      <c r="OUV49" s="440"/>
      <c r="OUW49" s="440"/>
      <c r="OUX49" s="440"/>
      <c r="OUY49" s="440"/>
      <c r="OUZ49" s="440"/>
      <c r="OVA49" s="440"/>
      <c r="OVB49" s="440"/>
      <c r="OVC49" s="440"/>
      <c r="OVD49" s="440"/>
      <c r="OVE49" s="440"/>
      <c r="OVF49" s="440"/>
      <c r="OVG49" s="440"/>
      <c r="OVH49" s="440"/>
      <c r="OVI49" s="440"/>
      <c r="OVJ49" s="440"/>
      <c r="OVK49" s="440"/>
      <c r="OVL49" s="440"/>
      <c r="OVM49" s="440"/>
      <c r="OVN49" s="440"/>
      <c r="OVO49" s="440"/>
      <c r="OVP49" s="440"/>
      <c r="OVQ49" s="440"/>
      <c r="OVR49" s="440"/>
      <c r="OVS49" s="440"/>
      <c r="OVT49" s="440"/>
      <c r="OVU49" s="440"/>
      <c r="OVV49" s="440"/>
      <c r="OVW49" s="440"/>
      <c r="OVX49" s="440"/>
      <c r="OVY49" s="440"/>
      <c r="OVZ49" s="440"/>
      <c r="OWA49" s="440"/>
      <c r="OWB49" s="440"/>
      <c r="OWC49" s="440"/>
      <c r="OWD49" s="440"/>
      <c r="OWE49" s="440"/>
      <c r="OWF49" s="440"/>
      <c r="OWG49" s="440"/>
      <c r="OWH49" s="440"/>
      <c r="OWI49" s="440"/>
      <c r="OWJ49" s="440"/>
      <c r="OWK49" s="440"/>
      <c r="OWL49" s="440"/>
      <c r="OWM49" s="440"/>
      <c r="OWO49" s="440"/>
      <c r="OWP49" s="440"/>
      <c r="OWQ49" s="440"/>
      <c r="OWR49" s="440"/>
      <c r="OWS49" s="440"/>
      <c r="OWT49" s="440"/>
      <c r="OWU49" s="440"/>
      <c r="OWV49" s="440"/>
      <c r="OWW49" s="440"/>
      <c r="OWX49" s="440"/>
      <c r="OWY49" s="440"/>
      <c r="OWZ49" s="440"/>
      <c r="OXA49" s="440"/>
      <c r="OXB49" s="440"/>
      <c r="OXC49" s="440"/>
      <c r="OXD49" s="440"/>
      <c r="OXE49" s="440"/>
      <c r="OXF49" s="440"/>
      <c r="OXG49" s="440"/>
      <c r="OXH49" s="440"/>
      <c r="OXI49" s="440"/>
      <c r="OXJ49" s="440"/>
      <c r="OXK49" s="440"/>
      <c r="OXL49" s="440"/>
      <c r="OXM49" s="440"/>
      <c r="OXN49" s="440"/>
      <c r="OXO49" s="440"/>
      <c r="OXP49" s="440"/>
      <c r="OXQ49" s="440"/>
      <c r="OXR49" s="440"/>
      <c r="OXS49" s="440"/>
      <c r="OXT49" s="440"/>
      <c r="OXU49" s="440"/>
      <c r="OXV49" s="440"/>
      <c r="OXW49" s="440"/>
      <c r="OXX49" s="440"/>
      <c r="OXY49" s="440"/>
      <c r="OXZ49" s="440"/>
      <c r="OYA49" s="440"/>
      <c r="OYB49" s="440"/>
      <c r="OYC49" s="440"/>
      <c r="OYD49" s="440"/>
      <c r="OYE49" s="440"/>
      <c r="OYF49" s="440"/>
      <c r="OYG49" s="440"/>
      <c r="OYH49" s="440"/>
      <c r="OYI49" s="440"/>
      <c r="OYJ49" s="440"/>
      <c r="OYK49" s="440"/>
      <c r="OYL49" s="440"/>
      <c r="OYM49" s="440"/>
      <c r="OYN49" s="440"/>
      <c r="OYO49" s="440"/>
      <c r="OYP49" s="440"/>
      <c r="OYQ49" s="440"/>
      <c r="OYR49" s="440"/>
      <c r="OYS49" s="440"/>
      <c r="OYT49" s="440"/>
      <c r="OYU49" s="440"/>
      <c r="OYV49" s="440"/>
      <c r="OYW49" s="440"/>
      <c r="OYX49" s="440"/>
      <c r="OYY49" s="440"/>
      <c r="OYZ49" s="440"/>
      <c r="OZA49" s="440"/>
      <c r="OZB49" s="440"/>
      <c r="OZC49" s="440"/>
      <c r="OZD49" s="440"/>
      <c r="OZE49" s="440"/>
      <c r="OZF49" s="440"/>
      <c r="OZG49" s="440"/>
      <c r="OZH49" s="440"/>
      <c r="OZI49" s="440"/>
      <c r="OZJ49" s="440"/>
      <c r="OZK49" s="440"/>
      <c r="OZL49" s="440"/>
      <c r="OZM49" s="440"/>
      <c r="OZN49" s="440"/>
      <c r="OZO49" s="440"/>
      <c r="OZP49" s="440"/>
      <c r="OZQ49" s="440"/>
      <c r="OZR49" s="440"/>
      <c r="OZS49" s="440"/>
      <c r="OZT49" s="440"/>
      <c r="OZU49" s="440"/>
      <c r="OZV49" s="440"/>
      <c r="OZW49" s="440"/>
      <c r="OZX49" s="440"/>
      <c r="OZY49" s="440"/>
      <c r="OZZ49" s="440"/>
      <c r="PAA49" s="440"/>
      <c r="PAB49" s="440"/>
      <c r="PAC49" s="440"/>
      <c r="PAD49" s="440"/>
      <c r="PAE49" s="440"/>
      <c r="PAF49" s="440"/>
      <c r="PAG49" s="440"/>
      <c r="PAH49" s="440"/>
      <c r="PAI49" s="440"/>
      <c r="PAJ49" s="440"/>
      <c r="PAK49" s="440"/>
      <c r="PAL49" s="440"/>
      <c r="PAM49" s="440"/>
      <c r="PAN49" s="440"/>
      <c r="PAO49" s="440"/>
      <c r="PAP49" s="440"/>
      <c r="PAQ49" s="440"/>
      <c r="PAR49" s="440"/>
      <c r="PAS49" s="440"/>
      <c r="PAT49" s="440"/>
      <c r="PAU49" s="440"/>
      <c r="PAV49" s="440"/>
      <c r="PAW49" s="440"/>
      <c r="PAX49" s="440"/>
      <c r="PAY49" s="440"/>
      <c r="PAZ49" s="440"/>
      <c r="PBA49" s="440"/>
      <c r="PBB49" s="440"/>
      <c r="PBC49" s="440"/>
      <c r="PBD49" s="440"/>
      <c r="PBE49" s="440"/>
      <c r="PBF49" s="440"/>
      <c r="PBG49" s="440"/>
      <c r="PBH49" s="440"/>
      <c r="PBI49" s="440"/>
      <c r="PBJ49" s="440"/>
      <c r="PBK49" s="440"/>
      <c r="PBL49" s="440"/>
      <c r="PBM49" s="440"/>
      <c r="PBN49" s="440"/>
      <c r="PBO49" s="440"/>
      <c r="PBP49" s="440"/>
      <c r="PBQ49" s="440"/>
      <c r="PBR49" s="440"/>
      <c r="PBS49" s="440"/>
      <c r="PBT49" s="440"/>
      <c r="PBU49" s="440"/>
      <c r="PBV49" s="440"/>
      <c r="PBW49" s="440"/>
      <c r="PBX49" s="440"/>
      <c r="PBY49" s="440"/>
      <c r="PBZ49" s="440"/>
      <c r="PCA49" s="440"/>
      <c r="PCB49" s="440"/>
      <c r="PCC49" s="440"/>
      <c r="PCD49" s="440"/>
      <c r="PCE49" s="440"/>
      <c r="PCF49" s="440"/>
      <c r="PCG49" s="440"/>
      <c r="PCH49" s="440"/>
      <c r="PCI49" s="440"/>
      <c r="PCJ49" s="440"/>
      <c r="PCK49" s="440"/>
      <c r="PCL49" s="440"/>
      <c r="PCM49" s="440"/>
      <c r="PCN49" s="440"/>
      <c r="PCO49" s="440"/>
      <c r="PCP49" s="440"/>
      <c r="PCQ49" s="440"/>
      <c r="PCR49" s="440"/>
      <c r="PCS49" s="440"/>
      <c r="PCT49" s="440"/>
      <c r="PCU49" s="440"/>
      <c r="PCV49" s="440"/>
      <c r="PCW49" s="440"/>
      <c r="PCX49" s="440"/>
      <c r="PCY49" s="440"/>
      <c r="PCZ49" s="440"/>
      <c r="PDA49" s="440"/>
      <c r="PDB49" s="440"/>
      <c r="PDC49" s="440"/>
      <c r="PDD49" s="440"/>
      <c r="PDE49" s="440"/>
      <c r="PDF49" s="440"/>
      <c r="PDG49" s="440"/>
      <c r="PDH49" s="440"/>
      <c r="PDI49" s="440"/>
      <c r="PDJ49" s="440"/>
      <c r="PDK49" s="440"/>
      <c r="PDL49" s="440"/>
      <c r="PDM49" s="440"/>
      <c r="PDN49" s="440"/>
      <c r="PDO49" s="440"/>
      <c r="PDP49" s="440"/>
      <c r="PDQ49" s="440"/>
      <c r="PDR49" s="440"/>
      <c r="PDS49" s="440"/>
      <c r="PDT49" s="440"/>
      <c r="PDU49" s="440"/>
      <c r="PDV49" s="440"/>
      <c r="PDW49" s="440"/>
      <c r="PDX49" s="440"/>
      <c r="PDY49" s="440"/>
      <c r="PDZ49" s="440"/>
      <c r="PEA49" s="440"/>
      <c r="PEB49" s="440"/>
      <c r="PEC49" s="440"/>
      <c r="PED49" s="440"/>
      <c r="PEE49" s="440"/>
      <c r="PEF49" s="440"/>
      <c r="PEG49" s="440"/>
      <c r="PEH49" s="440"/>
      <c r="PEI49" s="440"/>
      <c r="PEJ49" s="440"/>
      <c r="PEK49" s="440"/>
      <c r="PEL49" s="440"/>
      <c r="PEM49" s="440"/>
      <c r="PEN49" s="440"/>
      <c r="PEO49" s="440"/>
      <c r="PEP49" s="440"/>
      <c r="PEQ49" s="440"/>
      <c r="PER49" s="440"/>
      <c r="PES49" s="440"/>
      <c r="PET49" s="440"/>
      <c r="PEU49" s="440"/>
      <c r="PEV49" s="440"/>
      <c r="PEW49" s="440"/>
      <c r="PEX49" s="440"/>
      <c r="PEY49" s="440"/>
      <c r="PEZ49" s="440"/>
      <c r="PFA49" s="440"/>
      <c r="PFB49" s="440"/>
      <c r="PFC49" s="440"/>
      <c r="PFD49" s="440"/>
      <c r="PFE49" s="440"/>
      <c r="PFF49" s="440"/>
      <c r="PFG49" s="440"/>
      <c r="PFH49" s="440"/>
      <c r="PFI49" s="440"/>
      <c r="PFJ49" s="440"/>
      <c r="PFK49" s="440"/>
      <c r="PFL49" s="440"/>
      <c r="PFM49" s="440"/>
      <c r="PFN49" s="440"/>
      <c r="PFO49" s="440"/>
      <c r="PFP49" s="440"/>
      <c r="PFQ49" s="440"/>
      <c r="PFR49" s="440"/>
      <c r="PFS49" s="440"/>
      <c r="PFT49" s="440"/>
      <c r="PFU49" s="440"/>
      <c r="PFV49" s="440"/>
      <c r="PFW49" s="440"/>
      <c r="PFX49" s="440"/>
      <c r="PFY49" s="440"/>
      <c r="PFZ49" s="440"/>
      <c r="PGA49" s="440"/>
      <c r="PGB49" s="440"/>
      <c r="PGC49" s="440"/>
      <c r="PGD49" s="440"/>
      <c r="PGE49" s="440"/>
      <c r="PGF49" s="440"/>
      <c r="PGG49" s="440"/>
      <c r="PGH49" s="440"/>
      <c r="PGI49" s="440"/>
      <c r="PGK49" s="440"/>
      <c r="PGL49" s="440"/>
      <c r="PGM49" s="440"/>
      <c r="PGN49" s="440"/>
      <c r="PGO49" s="440"/>
      <c r="PGP49" s="440"/>
      <c r="PGQ49" s="440"/>
      <c r="PGR49" s="440"/>
      <c r="PGS49" s="440"/>
      <c r="PGT49" s="440"/>
      <c r="PGU49" s="440"/>
      <c r="PGV49" s="440"/>
      <c r="PGW49" s="440"/>
      <c r="PGX49" s="440"/>
      <c r="PGY49" s="440"/>
      <c r="PGZ49" s="440"/>
      <c r="PHA49" s="440"/>
      <c r="PHB49" s="440"/>
      <c r="PHC49" s="440"/>
      <c r="PHD49" s="440"/>
      <c r="PHE49" s="440"/>
      <c r="PHF49" s="440"/>
      <c r="PHG49" s="440"/>
      <c r="PHH49" s="440"/>
      <c r="PHI49" s="440"/>
      <c r="PHJ49" s="440"/>
      <c r="PHK49" s="440"/>
      <c r="PHL49" s="440"/>
      <c r="PHM49" s="440"/>
      <c r="PHN49" s="440"/>
      <c r="PHO49" s="440"/>
      <c r="PHP49" s="440"/>
      <c r="PHQ49" s="440"/>
      <c r="PHR49" s="440"/>
      <c r="PHS49" s="440"/>
      <c r="PHT49" s="440"/>
      <c r="PHU49" s="440"/>
      <c r="PHV49" s="440"/>
      <c r="PHW49" s="440"/>
      <c r="PHX49" s="440"/>
      <c r="PHY49" s="440"/>
      <c r="PHZ49" s="440"/>
      <c r="PIA49" s="440"/>
      <c r="PIB49" s="440"/>
      <c r="PIC49" s="440"/>
      <c r="PID49" s="440"/>
      <c r="PIE49" s="440"/>
      <c r="PIF49" s="440"/>
      <c r="PIG49" s="440"/>
      <c r="PIH49" s="440"/>
      <c r="PII49" s="440"/>
      <c r="PIJ49" s="440"/>
      <c r="PIK49" s="440"/>
      <c r="PIL49" s="440"/>
      <c r="PIM49" s="440"/>
      <c r="PIN49" s="440"/>
      <c r="PIO49" s="440"/>
      <c r="PIP49" s="440"/>
      <c r="PIQ49" s="440"/>
      <c r="PIR49" s="440"/>
      <c r="PIS49" s="440"/>
      <c r="PIT49" s="440"/>
      <c r="PIU49" s="440"/>
      <c r="PIV49" s="440"/>
      <c r="PIW49" s="440"/>
      <c r="PIX49" s="440"/>
      <c r="PIY49" s="440"/>
      <c r="PIZ49" s="440"/>
      <c r="PJA49" s="440"/>
      <c r="PJB49" s="440"/>
      <c r="PJC49" s="440"/>
      <c r="PJD49" s="440"/>
      <c r="PJE49" s="440"/>
      <c r="PJF49" s="440"/>
      <c r="PJG49" s="440"/>
      <c r="PJH49" s="440"/>
      <c r="PJI49" s="440"/>
      <c r="PJJ49" s="440"/>
      <c r="PJK49" s="440"/>
      <c r="PJL49" s="440"/>
      <c r="PJM49" s="440"/>
      <c r="PJN49" s="440"/>
      <c r="PJO49" s="440"/>
      <c r="PJP49" s="440"/>
      <c r="PJQ49" s="440"/>
      <c r="PJR49" s="440"/>
      <c r="PJS49" s="440"/>
      <c r="PJT49" s="440"/>
      <c r="PJU49" s="440"/>
      <c r="PJV49" s="440"/>
      <c r="PJW49" s="440"/>
      <c r="PJX49" s="440"/>
      <c r="PJY49" s="440"/>
      <c r="PJZ49" s="440"/>
      <c r="PKA49" s="440"/>
      <c r="PKB49" s="440"/>
      <c r="PKC49" s="440"/>
      <c r="PKD49" s="440"/>
      <c r="PKE49" s="440"/>
      <c r="PKF49" s="440"/>
      <c r="PKG49" s="440"/>
      <c r="PKH49" s="440"/>
      <c r="PKI49" s="440"/>
      <c r="PKJ49" s="440"/>
      <c r="PKK49" s="440"/>
      <c r="PKL49" s="440"/>
      <c r="PKM49" s="440"/>
      <c r="PKN49" s="440"/>
      <c r="PKO49" s="440"/>
      <c r="PKP49" s="440"/>
      <c r="PKQ49" s="440"/>
      <c r="PKR49" s="440"/>
      <c r="PKS49" s="440"/>
      <c r="PKT49" s="440"/>
      <c r="PKU49" s="440"/>
      <c r="PKV49" s="440"/>
      <c r="PKW49" s="440"/>
      <c r="PKX49" s="440"/>
      <c r="PKY49" s="440"/>
      <c r="PKZ49" s="440"/>
      <c r="PLA49" s="440"/>
      <c r="PLB49" s="440"/>
      <c r="PLC49" s="440"/>
      <c r="PLD49" s="440"/>
      <c r="PLE49" s="440"/>
      <c r="PLF49" s="440"/>
      <c r="PLG49" s="440"/>
      <c r="PLH49" s="440"/>
      <c r="PLI49" s="440"/>
      <c r="PLJ49" s="440"/>
      <c r="PLK49" s="440"/>
      <c r="PLL49" s="440"/>
      <c r="PLM49" s="440"/>
      <c r="PLN49" s="440"/>
      <c r="PLO49" s="440"/>
      <c r="PLP49" s="440"/>
      <c r="PLQ49" s="440"/>
      <c r="PLR49" s="440"/>
      <c r="PLS49" s="440"/>
      <c r="PLT49" s="440"/>
      <c r="PLU49" s="440"/>
      <c r="PLV49" s="440"/>
      <c r="PLW49" s="440"/>
      <c r="PLX49" s="440"/>
      <c r="PLY49" s="440"/>
      <c r="PLZ49" s="440"/>
      <c r="PMA49" s="440"/>
      <c r="PMB49" s="440"/>
      <c r="PMC49" s="440"/>
      <c r="PMD49" s="440"/>
      <c r="PME49" s="440"/>
      <c r="PMF49" s="440"/>
      <c r="PMG49" s="440"/>
      <c r="PMH49" s="440"/>
      <c r="PMI49" s="440"/>
      <c r="PMJ49" s="440"/>
      <c r="PMK49" s="440"/>
      <c r="PML49" s="440"/>
      <c r="PMM49" s="440"/>
      <c r="PMN49" s="440"/>
      <c r="PMO49" s="440"/>
      <c r="PMP49" s="440"/>
      <c r="PMQ49" s="440"/>
      <c r="PMR49" s="440"/>
      <c r="PMS49" s="440"/>
      <c r="PMT49" s="440"/>
      <c r="PMU49" s="440"/>
      <c r="PMV49" s="440"/>
      <c r="PMW49" s="440"/>
      <c r="PMX49" s="440"/>
      <c r="PMY49" s="440"/>
      <c r="PMZ49" s="440"/>
      <c r="PNA49" s="440"/>
      <c r="PNB49" s="440"/>
      <c r="PNC49" s="440"/>
      <c r="PND49" s="440"/>
      <c r="PNE49" s="440"/>
      <c r="PNF49" s="440"/>
      <c r="PNG49" s="440"/>
      <c r="PNH49" s="440"/>
      <c r="PNI49" s="440"/>
      <c r="PNJ49" s="440"/>
      <c r="PNK49" s="440"/>
      <c r="PNL49" s="440"/>
      <c r="PNM49" s="440"/>
      <c r="PNN49" s="440"/>
      <c r="PNO49" s="440"/>
      <c r="PNP49" s="440"/>
      <c r="PNQ49" s="440"/>
      <c r="PNR49" s="440"/>
      <c r="PNS49" s="440"/>
      <c r="PNT49" s="440"/>
      <c r="PNU49" s="440"/>
      <c r="PNV49" s="440"/>
      <c r="PNW49" s="440"/>
      <c r="PNX49" s="440"/>
      <c r="PNY49" s="440"/>
      <c r="PNZ49" s="440"/>
      <c r="POA49" s="440"/>
      <c r="POB49" s="440"/>
      <c r="POC49" s="440"/>
      <c r="POD49" s="440"/>
      <c r="POE49" s="440"/>
      <c r="POF49" s="440"/>
      <c r="POG49" s="440"/>
      <c r="POH49" s="440"/>
      <c r="POI49" s="440"/>
      <c r="POJ49" s="440"/>
      <c r="POK49" s="440"/>
      <c r="POL49" s="440"/>
      <c r="POM49" s="440"/>
      <c r="PON49" s="440"/>
      <c r="POO49" s="440"/>
      <c r="POP49" s="440"/>
      <c r="POQ49" s="440"/>
      <c r="POR49" s="440"/>
      <c r="POS49" s="440"/>
      <c r="POT49" s="440"/>
      <c r="POU49" s="440"/>
      <c r="POV49" s="440"/>
      <c r="POW49" s="440"/>
      <c r="POX49" s="440"/>
      <c r="POY49" s="440"/>
      <c r="POZ49" s="440"/>
      <c r="PPA49" s="440"/>
      <c r="PPB49" s="440"/>
      <c r="PPC49" s="440"/>
      <c r="PPD49" s="440"/>
      <c r="PPE49" s="440"/>
      <c r="PPF49" s="440"/>
      <c r="PPG49" s="440"/>
      <c r="PPH49" s="440"/>
      <c r="PPI49" s="440"/>
      <c r="PPJ49" s="440"/>
      <c r="PPK49" s="440"/>
      <c r="PPL49" s="440"/>
      <c r="PPM49" s="440"/>
      <c r="PPN49" s="440"/>
      <c r="PPO49" s="440"/>
      <c r="PPP49" s="440"/>
      <c r="PPQ49" s="440"/>
      <c r="PPR49" s="440"/>
      <c r="PPS49" s="440"/>
      <c r="PPT49" s="440"/>
      <c r="PPU49" s="440"/>
      <c r="PPV49" s="440"/>
      <c r="PPW49" s="440"/>
      <c r="PPX49" s="440"/>
      <c r="PPY49" s="440"/>
      <c r="PPZ49" s="440"/>
      <c r="PQA49" s="440"/>
      <c r="PQB49" s="440"/>
      <c r="PQC49" s="440"/>
      <c r="PQD49" s="440"/>
      <c r="PQE49" s="440"/>
      <c r="PQG49" s="440"/>
      <c r="PQH49" s="440"/>
      <c r="PQI49" s="440"/>
      <c r="PQJ49" s="440"/>
      <c r="PQK49" s="440"/>
      <c r="PQL49" s="440"/>
      <c r="PQM49" s="440"/>
      <c r="PQN49" s="440"/>
      <c r="PQO49" s="440"/>
      <c r="PQP49" s="440"/>
      <c r="PQQ49" s="440"/>
      <c r="PQR49" s="440"/>
      <c r="PQS49" s="440"/>
      <c r="PQT49" s="440"/>
      <c r="PQU49" s="440"/>
      <c r="PQV49" s="440"/>
      <c r="PQW49" s="440"/>
      <c r="PQX49" s="440"/>
      <c r="PQY49" s="440"/>
      <c r="PQZ49" s="440"/>
      <c r="PRA49" s="440"/>
      <c r="PRB49" s="440"/>
      <c r="PRC49" s="440"/>
      <c r="PRD49" s="440"/>
      <c r="PRE49" s="440"/>
      <c r="PRF49" s="440"/>
      <c r="PRG49" s="440"/>
      <c r="PRH49" s="440"/>
      <c r="PRI49" s="440"/>
      <c r="PRJ49" s="440"/>
      <c r="PRK49" s="440"/>
      <c r="PRL49" s="440"/>
      <c r="PRM49" s="440"/>
      <c r="PRN49" s="440"/>
      <c r="PRO49" s="440"/>
      <c r="PRP49" s="440"/>
      <c r="PRQ49" s="440"/>
      <c r="PRR49" s="440"/>
      <c r="PRS49" s="440"/>
      <c r="PRT49" s="440"/>
      <c r="PRU49" s="440"/>
      <c r="PRV49" s="440"/>
      <c r="PRW49" s="440"/>
      <c r="PRX49" s="440"/>
      <c r="PRY49" s="440"/>
      <c r="PRZ49" s="440"/>
      <c r="PSA49" s="440"/>
      <c r="PSB49" s="440"/>
      <c r="PSC49" s="440"/>
      <c r="PSD49" s="440"/>
      <c r="PSE49" s="440"/>
      <c r="PSF49" s="440"/>
      <c r="PSG49" s="440"/>
      <c r="PSH49" s="440"/>
      <c r="PSI49" s="440"/>
      <c r="PSJ49" s="440"/>
      <c r="PSK49" s="440"/>
      <c r="PSL49" s="440"/>
      <c r="PSM49" s="440"/>
      <c r="PSN49" s="440"/>
      <c r="PSO49" s="440"/>
      <c r="PSP49" s="440"/>
      <c r="PSQ49" s="440"/>
      <c r="PSR49" s="440"/>
      <c r="PSS49" s="440"/>
      <c r="PST49" s="440"/>
      <c r="PSU49" s="440"/>
      <c r="PSV49" s="440"/>
      <c r="PSW49" s="440"/>
      <c r="PSX49" s="440"/>
      <c r="PSY49" s="440"/>
      <c r="PSZ49" s="440"/>
      <c r="PTA49" s="440"/>
      <c r="PTB49" s="440"/>
      <c r="PTC49" s="440"/>
      <c r="PTD49" s="440"/>
      <c r="PTE49" s="440"/>
      <c r="PTF49" s="440"/>
      <c r="PTG49" s="440"/>
      <c r="PTH49" s="440"/>
      <c r="PTI49" s="440"/>
      <c r="PTJ49" s="440"/>
      <c r="PTK49" s="440"/>
      <c r="PTL49" s="440"/>
      <c r="PTM49" s="440"/>
      <c r="PTN49" s="440"/>
      <c r="PTO49" s="440"/>
      <c r="PTP49" s="440"/>
      <c r="PTQ49" s="440"/>
      <c r="PTR49" s="440"/>
      <c r="PTS49" s="440"/>
      <c r="PTT49" s="440"/>
      <c r="PTU49" s="440"/>
      <c r="PTV49" s="440"/>
      <c r="PTW49" s="440"/>
      <c r="PTX49" s="440"/>
      <c r="PTY49" s="440"/>
      <c r="PTZ49" s="440"/>
      <c r="PUA49" s="440"/>
      <c r="PUB49" s="440"/>
      <c r="PUC49" s="440"/>
      <c r="PUD49" s="440"/>
      <c r="PUE49" s="440"/>
      <c r="PUF49" s="440"/>
      <c r="PUG49" s="440"/>
      <c r="PUH49" s="440"/>
      <c r="PUI49" s="440"/>
      <c r="PUJ49" s="440"/>
      <c r="PUK49" s="440"/>
      <c r="PUL49" s="440"/>
      <c r="PUM49" s="440"/>
      <c r="PUN49" s="440"/>
      <c r="PUO49" s="440"/>
      <c r="PUP49" s="440"/>
      <c r="PUQ49" s="440"/>
      <c r="PUR49" s="440"/>
      <c r="PUS49" s="440"/>
      <c r="PUT49" s="440"/>
      <c r="PUU49" s="440"/>
      <c r="PUV49" s="440"/>
      <c r="PUW49" s="440"/>
      <c r="PUX49" s="440"/>
      <c r="PUY49" s="440"/>
      <c r="PUZ49" s="440"/>
      <c r="PVA49" s="440"/>
      <c r="PVB49" s="440"/>
      <c r="PVC49" s="440"/>
      <c r="PVD49" s="440"/>
      <c r="PVE49" s="440"/>
      <c r="PVF49" s="440"/>
      <c r="PVG49" s="440"/>
      <c r="PVH49" s="440"/>
      <c r="PVI49" s="440"/>
      <c r="PVJ49" s="440"/>
      <c r="PVK49" s="440"/>
      <c r="PVL49" s="440"/>
      <c r="PVM49" s="440"/>
      <c r="PVN49" s="440"/>
      <c r="PVO49" s="440"/>
      <c r="PVP49" s="440"/>
      <c r="PVQ49" s="440"/>
      <c r="PVR49" s="440"/>
      <c r="PVS49" s="440"/>
      <c r="PVT49" s="440"/>
      <c r="PVU49" s="440"/>
      <c r="PVV49" s="440"/>
      <c r="PVW49" s="440"/>
      <c r="PVX49" s="440"/>
      <c r="PVY49" s="440"/>
      <c r="PVZ49" s="440"/>
      <c r="PWA49" s="440"/>
      <c r="PWB49" s="440"/>
      <c r="PWC49" s="440"/>
      <c r="PWD49" s="440"/>
      <c r="PWE49" s="440"/>
      <c r="PWF49" s="440"/>
      <c r="PWG49" s="440"/>
      <c r="PWH49" s="440"/>
      <c r="PWI49" s="440"/>
      <c r="PWJ49" s="440"/>
      <c r="PWK49" s="440"/>
      <c r="PWL49" s="440"/>
      <c r="PWM49" s="440"/>
      <c r="PWN49" s="440"/>
      <c r="PWO49" s="440"/>
      <c r="PWP49" s="440"/>
      <c r="PWQ49" s="440"/>
      <c r="PWR49" s="440"/>
      <c r="PWS49" s="440"/>
      <c r="PWT49" s="440"/>
      <c r="PWU49" s="440"/>
      <c r="PWV49" s="440"/>
      <c r="PWW49" s="440"/>
      <c r="PWX49" s="440"/>
      <c r="PWY49" s="440"/>
      <c r="PWZ49" s="440"/>
      <c r="PXA49" s="440"/>
      <c r="PXB49" s="440"/>
      <c r="PXC49" s="440"/>
      <c r="PXD49" s="440"/>
      <c r="PXE49" s="440"/>
      <c r="PXF49" s="440"/>
      <c r="PXG49" s="440"/>
      <c r="PXH49" s="440"/>
      <c r="PXI49" s="440"/>
      <c r="PXJ49" s="440"/>
      <c r="PXK49" s="440"/>
      <c r="PXL49" s="440"/>
      <c r="PXM49" s="440"/>
      <c r="PXN49" s="440"/>
      <c r="PXO49" s="440"/>
      <c r="PXP49" s="440"/>
      <c r="PXQ49" s="440"/>
      <c r="PXR49" s="440"/>
      <c r="PXS49" s="440"/>
      <c r="PXT49" s="440"/>
      <c r="PXU49" s="440"/>
      <c r="PXV49" s="440"/>
      <c r="PXW49" s="440"/>
      <c r="PXX49" s="440"/>
      <c r="PXY49" s="440"/>
      <c r="PXZ49" s="440"/>
      <c r="PYA49" s="440"/>
      <c r="PYB49" s="440"/>
      <c r="PYC49" s="440"/>
      <c r="PYD49" s="440"/>
      <c r="PYE49" s="440"/>
      <c r="PYF49" s="440"/>
      <c r="PYG49" s="440"/>
      <c r="PYH49" s="440"/>
      <c r="PYI49" s="440"/>
      <c r="PYJ49" s="440"/>
      <c r="PYK49" s="440"/>
      <c r="PYL49" s="440"/>
      <c r="PYM49" s="440"/>
      <c r="PYN49" s="440"/>
      <c r="PYO49" s="440"/>
      <c r="PYP49" s="440"/>
      <c r="PYQ49" s="440"/>
      <c r="PYR49" s="440"/>
      <c r="PYS49" s="440"/>
      <c r="PYT49" s="440"/>
      <c r="PYU49" s="440"/>
      <c r="PYV49" s="440"/>
      <c r="PYW49" s="440"/>
      <c r="PYX49" s="440"/>
      <c r="PYY49" s="440"/>
      <c r="PYZ49" s="440"/>
      <c r="PZA49" s="440"/>
      <c r="PZB49" s="440"/>
      <c r="PZC49" s="440"/>
      <c r="PZD49" s="440"/>
      <c r="PZE49" s="440"/>
      <c r="PZF49" s="440"/>
      <c r="PZG49" s="440"/>
      <c r="PZH49" s="440"/>
      <c r="PZI49" s="440"/>
      <c r="PZJ49" s="440"/>
      <c r="PZK49" s="440"/>
      <c r="PZL49" s="440"/>
      <c r="PZM49" s="440"/>
      <c r="PZN49" s="440"/>
      <c r="PZO49" s="440"/>
      <c r="PZP49" s="440"/>
      <c r="PZQ49" s="440"/>
      <c r="PZR49" s="440"/>
      <c r="PZS49" s="440"/>
      <c r="PZT49" s="440"/>
      <c r="PZU49" s="440"/>
      <c r="PZV49" s="440"/>
      <c r="PZW49" s="440"/>
      <c r="PZX49" s="440"/>
      <c r="PZY49" s="440"/>
      <c r="PZZ49" s="440"/>
      <c r="QAA49" s="440"/>
      <c r="QAC49" s="440"/>
      <c r="QAD49" s="440"/>
      <c r="QAE49" s="440"/>
      <c r="QAF49" s="440"/>
      <c r="QAG49" s="440"/>
      <c r="QAH49" s="440"/>
      <c r="QAI49" s="440"/>
      <c r="QAJ49" s="440"/>
      <c r="QAK49" s="440"/>
      <c r="QAL49" s="440"/>
      <c r="QAM49" s="440"/>
      <c r="QAN49" s="440"/>
      <c r="QAO49" s="440"/>
      <c r="QAP49" s="440"/>
      <c r="QAQ49" s="440"/>
      <c r="QAR49" s="440"/>
      <c r="QAS49" s="440"/>
      <c r="QAT49" s="440"/>
      <c r="QAU49" s="440"/>
      <c r="QAV49" s="440"/>
      <c r="QAW49" s="440"/>
      <c r="QAX49" s="440"/>
      <c r="QAY49" s="440"/>
      <c r="QAZ49" s="440"/>
      <c r="QBA49" s="440"/>
      <c r="QBB49" s="440"/>
      <c r="QBC49" s="440"/>
      <c r="QBD49" s="440"/>
      <c r="QBE49" s="440"/>
      <c r="QBF49" s="440"/>
      <c r="QBG49" s="440"/>
      <c r="QBH49" s="440"/>
      <c r="QBI49" s="440"/>
      <c r="QBJ49" s="440"/>
      <c r="QBK49" s="440"/>
      <c r="QBL49" s="440"/>
      <c r="QBM49" s="440"/>
      <c r="QBN49" s="440"/>
      <c r="QBO49" s="440"/>
      <c r="QBP49" s="440"/>
      <c r="QBQ49" s="440"/>
      <c r="QBR49" s="440"/>
      <c r="QBS49" s="440"/>
      <c r="QBT49" s="440"/>
      <c r="QBU49" s="440"/>
      <c r="QBV49" s="440"/>
      <c r="QBW49" s="440"/>
      <c r="QBX49" s="440"/>
      <c r="QBY49" s="440"/>
      <c r="QBZ49" s="440"/>
      <c r="QCA49" s="440"/>
      <c r="QCB49" s="440"/>
      <c r="QCC49" s="440"/>
      <c r="QCD49" s="440"/>
      <c r="QCE49" s="440"/>
      <c r="QCF49" s="440"/>
      <c r="QCG49" s="440"/>
      <c r="QCH49" s="440"/>
      <c r="QCI49" s="440"/>
      <c r="QCJ49" s="440"/>
      <c r="QCK49" s="440"/>
      <c r="QCL49" s="440"/>
      <c r="QCM49" s="440"/>
      <c r="QCN49" s="440"/>
      <c r="QCO49" s="440"/>
      <c r="QCP49" s="440"/>
      <c r="QCQ49" s="440"/>
      <c r="QCR49" s="440"/>
      <c r="QCS49" s="440"/>
      <c r="QCT49" s="440"/>
      <c r="QCU49" s="440"/>
      <c r="QCV49" s="440"/>
      <c r="QCW49" s="440"/>
      <c r="QCX49" s="440"/>
      <c r="QCY49" s="440"/>
      <c r="QCZ49" s="440"/>
      <c r="QDA49" s="440"/>
      <c r="QDB49" s="440"/>
      <c r="QDC49" s="440"/>
      <c r="QDD49" s="440"/>
      <c r="QDE49" s="440"/>
      <c r="QDF49" s="440"/>
      <c r="QDG49" s="440"/>
      <c r="QDH49" s="440"/>
      <c r="QDI49" s="440"/>
      <c r="QDJ49" s="440"/>
      <c r="QDK49" s="440"/>
      <c r="QDL49" s="440"/>
      <c r="QDM49" s="440"/>
      <c r="QDN49" s="440"/>
      <c r="QDO49" s="440"/>
      <c r="QDP49" s="440"/>
      <c r="QDQ49" s="440"/>
      <c r="QDR49" s="440"/>
      <c r="QDS49" s="440"/>
      <c r="QDT49" s="440"/>
      <c r="QDU49" s="440"/>
      <c r="QDV49" s="440"/>
      <c r="QDW49" s="440"/>
      <c r="QDX49" s="440"/>
      <c r="QDY49" s="440"/>
      <c r="QDZ49" s="440"/>
      <c r="QEA49" s="440"/>
      <c r="QEB49" s="440"/>
      <c r="QEC49" s="440"/>
      <c r="QED49" s="440"/>
      <c r="QEE49" s="440"/>
      <c r="QEF49" s="440"/>
      <c r="QEG49" s="440"/>
      <c r="QEH49" s="440"/>
      <c r="QEI49" s="440"/>
      <c r="QEJ49" s="440"/>
      <c r="QEK49" s="440"/>
      <c r="QEL49" s="440"/>
      <c r="QEM49" s="440"/>
      <c r="QEN49" s="440"/>
      <c r="QEO49" s="440"/>
      <c r="QEP49" s="440"/>
      <c r="QEQ49" s="440"/>
      <c r="QER49" s="440"/>
      <c r="QES49" s="440"/>
      <c r="QET49" s="440"/>
      <c r="QEU49" s="440"/>
      <c r="QEV49" s="440"/>
      <c r="QEW49" s="440"/>
      <c r="QEX49" s="440"/>
      <c r="QEY49" s="440"/>
      <c r="QEZ49" s="440"/>
      <c r="QFA49" s="440"/>
      <c r="QFB49" s="440"/>
      <c r="QFC49" s="440"/>
      <c r="QFD49" s="440"/>
      <c r="QFE49" s="440"/>
      <c r="QFF49" s="440"/>
      <c r="QFG49" s="440"/>
      <c r="QFH49" s="440"/>
      <c r="QFI49" s="440"/>
      <c r="QFJ49" s="440"/>
      <c r="QFK49" s="440"/>
      <c r="QFL49" s="440"/>
      <c r="QFM49" s="440"/>
      <c r="QFN49" s="440"/>
      <c r="QFO49" s="440"/>
      <c r="QFP49" s="440"/>
      <c r="QFQ49" s="440"/>
      <c r="QFR49" s="440"/>
      <c r="QFS49" s="440"/>
      <c r="QFT49" s="440"/>
      <c r="QFU49" s="440"/>
      <c r="QFV49" s="440"/>
      <c r="QFW49" s="440"/>
      <c r="QFX49" s="440"/>
      <c r="QFY49" s="440"/>
      <c r="QFZ49" s="440"/>
      <c r="QGA49" s="440"/>
      <c r="QGB49" s="440"/>
      <c r="QGC49" s="440"/>
      <c r="QGD49" s="440"/>
      <c r="QGE49" s="440"/>
      <c r="QGF49" s="440"/>
      <c r="QGG49" s="440"/>
      <c r="QGH49" s="440"/>
      <c r="QGI49" s="440"/>
      <c r="QGJ49" s="440"/>
      <c r="QGK49" s="440"/>
      <c r="QGL49" s="440"/>
      <c r="QGM49" s="440"/>
      <c r="QGN49" s="440"/>
      <c r="QGO49" s="440"/>
      <c r="QGP49" s="440"/>
      <c r="QGQ49" s="440"/>
      <c r="QGR49" s="440"/>
      <c r="QGS49" s="440"/>
      <c r="QGT49" s="440"/>
      <c r="QGU49" s="440"/>
      <c r="QGV49" s="440"/>
      <c r="QGW49" s="440"/>
      <c r="QGX49" s="440"/>
      <c r="QGY49" s="440"/>
      <c r="QGZ49" s="440"/>
      <c r="QHA49" s="440"/>
      <c r="QHB49" s="440"/>
      <c r="QHC49" s="440"/>
      <c r="QHD49" s="440"/>
      <c r="QHE49" s="440"/>
      <c r="QHF49" s="440"/>
      <c r="QHG49" s="440"/>
      <c r="QHH49" s="440"/>
      <c r="QHI49" s="440"/>
      <c r="QHJ49" s="440"/>
      <c r="QHK49" s="440"/>
      <c r="QHL49" s="440"/>
      <c r="QHM49" s="440"/>
      <c r="QHN49" s="440"/>
      <c r="QHO49" s="440"/>
      <c r="QHP49" s="440"/>
      <c r="QHQ49" s="440"/>
      <c r="QHR49" s="440"/>
      <c r="QHS49" s="440"/>
      <c r="QHT49" s="440"/>
      <c r="QHU49" s="440"/>
      <c r="QHV49" s="440"/>
      <c r="QHW49" s="440"/>
      <c r="QHX49" s="440"/>
      <c r="QHY49" s="440"/>
      <c r="QHZ49" s="440"/>
      <c r="QIA49" s="440"/>
      <c r="QIB49" s="440"/>
      <c r="QIC49" s="440"/>
      <c r="QID49" s="440"/>
      <c r="QIE49" s="440"/>
      <c r="QIF49" s="440"/>
      <c r="QIG49" s="440"/>
      <c r="QIH49" s="440"/>
      <c r="QII49" s="440"/>
      <c r="QIJ49" s="440"/>
      <c r="QIK49" s="440"/>
      <c r="QIL49" s="440"/>
      <c r="QIM49" s="440"/>
      <c r="QIN49" s="440"/>
      <c r="QIO49" s="440"/>
      <c r="QIP49" s="440"/>
      <c r="QIQ49" s="440"/>
      <c r="QIR49" s="440"/>
      <c r="QIS49" s="440"/>
      <c r="QIT49" s="440"/>
      <c r="QIU49" s="440"/>
      <c r="QIV49" s="440"/>
      <c r="QIW49" s="440"/>
      <c r="QIX49" s="440"/>
      <c r="QIY49" s="440"/>
      <c r="QIZ49" s="440"/>
      <c r="QJA49" s="440"/>
      <c r="QJB49" s="440"/>
      <c r="QJC49" s="440"/>
      <c r="QJD49" s="440"/>
      <c r="QJE49" s="440"/>
      <c r="QJF49" s="440"/>
      <c r="QJG49" s="440"/>
      <c r="QJH49" s="440"/>
      <c r="QJI49" s="440"/>
      <c r="QJJ49" s="440"/>
      <c r="QJK49" s="440"/>
      <c r="QJL49" s="440"/>
      <c r="QJM49" s="440"/>
      <c r="QJN49" s="440"/>
      <c r="QJO49" s="440"/>
      <c r="QJP49" s="440"/>
      <c r="QJQ49" s="440"/>
      <c r="QJR49" s="440"/>
      <c r="QJS49" s="440"/>
      <c r="QJT49" s="440"/>
      <c r="QJU49" s="440"/>
      <c r="QJV49" s="440"/>
      <c r="QJW49" s="440"/>
      <c r="QJY49" s="440"/>
      <c r="QJZ49" s="440"/>
      <c r="QKA49" s="440"/>
      <c r="QKB49" s="440"/>
      <c r="QKC49" s="440"/>
      <c r="QKD49" s="440"/>
      <c r="QKE49" s="440"/>
      <c r="QKF49" s="440"/>
      <c r="QKG49" s="440"/>
      <c r="QKH49" s="440"/>
      <c r="QKI49" s="440"/>
      <c r="QKJ49" s="440"/>
      <c r="QKK49" s="440"/>
      <c r="QKL49" s="440"/>
      <c r="QKM49" s="440"/>
      <c r="QKN49" s="440"/>
      <c r="QKO49" s="440"/>
      <c r="QKP49" s="440"/>
      <c r="QKQ49" s="440"/>
      <c r="QKR49" s="440"/>
      <c r="QKS49" s="440"/>
      <c r="QKT49" s="440"/>
      <c r="QKU49" s="440"/>
      <c r="QKV49" s="440"/>
      <c r="QKW49" s="440"/>
      <c r="QKX49" s="440"/>
      <c r="QKY49" s="440"/>
      <c r="QKZ49" s="440"/>
      <c r="QLA49" s="440"/>
      <c r="QLB49" s="440"/>
      <c r="QLC49" s="440"/>
      <c r="QLD49" s="440"/>
      <c r="QLE49" s="440"/>
      <c r="QLF49" s="440"/>
      <c r="QLG49" s="440"/>
      <c r="QLH49" s="440"/>
      <c r="QLI49" s="440"/>
      <c r="QLJ49" s="440"/>
      <c r="QLK49" s="440"/>
      <c r="QLL49" s="440"/>
      <c r="QLM49" s="440"/>
      <c r="QLN49" s="440"/>
      <c r="QLO49" s="440"/>
      <c r="QLP49" s="440"/>
      <c r="QLQ49" s="440"/>
      <c r="QLR49" s="440"/>
      <c r="QLS49" s="440"/>
      <c r="QLT49" s="440"/>
      <c r="QLU49" s="440"/>
      <c r="QLV49" s="440"/>
      <c r="QLW49" s="440"/>
      <c r="QLX49" s="440"/>
      <c r="QLY49" s="440"/>
      <c r="QLZ49" s="440"/>
      <c r="QMA49" s="440"/>
      <c r="QMB49" s="440"/>
      <c r="QMC49" s="440"/>
      <c r="QMD49" s="440"/>
      <c r="QME49" s="440"/>
      <c r="QMF49" s="440"/>
      <c r="QMG49" s="440"/>
      <c r="QMH49" s="440"/>
      <c r="QMI49" s="440"/>
      <c r="QMJ49" s="440"/>
      <c r="QMK49" s="440"/>
      <c r="QML49" s="440"/>
      <c r="QMM49" s="440"/>
      <c r="QMN49" s="440"/>
      <c r="QMO49" s="440"/>
      <c r="QMP49" s="440"/>
      <c r="QMQ49" s="440"/>
      <c r="QMR49" s="440"/>
      <c r="QMS49" s="440"/>
      <c r="QMT49" s="440"/>
      <c r="QMU49" s="440"/>
      <c r="QMV49" s="440"/>
      <c r="QMW49" s="440"/>
      <c r="QMX49" s="440"/>
      <c r="QMY49" s="440"/>
      <c r="QMZ49" s="440"/>
      <c r="QNA49" s="440"/>
      <c r="QNB49" s="440"/>
      <c r="QNC49" s="440"/>
      <c r="QND49" s="440"/>
      <c r="QNE49" s="440"/>
      <c r="QNF49" s="440"/>
      <c r="QNG49" s="440"/>
      <c r="QNH49" s="440"/>
      <c r="QNI49" s="440"/>
      <c r="QNJ49" s="440"/>
      <c r="QNK49" s="440"/>
      <c r="QNL49" s="440"/>
      <c r="QNM49" s="440"/>
      <c r="QNN49" s="440"/>
      <c r="QNO49" s="440"/>
      <c r="QNP49" s="440"/>
      <c r="QNQ49" s="440"/>
      <c r="QNR49" s="440"/>
      <c r="QNS49" s="440"/>
      <c r="QNT49" s="440"/>
      <c r="QNU49" s="440"/>
      <c r="QNV49" s="440"/>
      <c r="QNW49" s="440"/>
      <c r="QNX49" s="440"/>
      <c r="QNY49" s="440"/>
      <c r="QNZ49" s="440"/>
      <c r="QOA49" s="440"/>
      <c r="QOB49" s="440"/>
      <c r="QOC49" s="440"/>
      <c r="QOD49" s="440"/>
      <c r="QOE49" s="440"/>
      <c r="QOF49" s="440"/>
      <c r="QOG49" s="440"/>
      <c r="QOH49" s="440"/>
      <c r="QOI49" s="440"/>
      <c r="QOJ49" s="440"/>
      <c r="QOK49" s="440"/>
      <c r="QOL49" s="440"/>
      <c r="QOM49" s="440"/>
      <c r="QON49" s="440"/>
      <c r="QOO49" s="440"/>
      <c r="QOP49" s="440"/>
      <c r="QOQ49" s="440"/>
      <c r="QOR49" s="440"/>
      <c r="QOS49" s="440"/>
      <c r="QOT49" s="440"/>
      <c r="QOU49" s="440"/>
      <c r="QOV49" s="440"/>
      <c r="QOW49" s="440"/>
      <c r="QOX49" s="440"/>
      <c r="QOY49" s="440"/>
      <c r="QOZ49" s="440"/>
      <c r="QPA49" s="440"/>
      <c r="QPB49" s="440"/>
      <c r="QPC49" s="440"/>
      <c r="QPD49" s="440"/>
      <c r="QPE49" s="440"/>
      <c r="QPF49" s="440"/>
      <c r="QPG49" s="440"/>
      <c r="QPH49" s="440"/>
      <c r="QPI49" s="440"/>
      <c r="QPJ49" s="440"/>
      <c r="QPK49" s="440"/>
      <c r="QPL49" s="440"/>
      <c r="QPM49" s="440"/>
      <c r="QPN49" s="440"/>
      <c r="QPO49" s="440"/>
      <c r="QPP49" s="440"/>
      <c r="QPQ49" s="440"/>
      <c r="QPR49" s="440"/>
      <c r="QPS49" s="440"/>
      <c r="QPT49" s="440"/>
      <c r="QPU49" s="440"/>
      <c r="QPV49" s="440"/>
      <c r="QPW49" s="440"/>
      <c r="QPX49" s="440"/>
      <c r="QPY49" s="440"/>
      <c r="QPZ49" s="440"/>
      <c r="QQA49" s="440"/>
      <c r="QQB49" s="440"/>
      <c r="QQC49" s="440"/>
      <c r="QQD49" s="440"/>
      <c r="QQE49" s="440"/>
      <c r="QQF49" s="440"/>
      <c r="QQG49" s="440"/>
      <c r="QQH49" s="440"/>
      <c r="QQI49" s="440"/>
      <c r="QQJ49" s="440"/>
      <c r="QQK49" s="440"/>
      <c r="QQL49" s="440"/>
      <c r="QQM49" s="440"/>
      <c r="QQN49" s="440"/>
      <c r="QQO49" s="440"/>
      <c r="QQP49" s="440"/>
      <c r="QQQ49" s="440"/>
      <c r="QQR49" s="440"/>
      <c r="QQS49" s="440"/>
      <c r="QQT49" s="440"/>
      <c r="QQU49" s="440"/>
      <c r="QQV49" s="440"/>
      <c r="QQW49" s="440"/>
      <c r="QQX49" s="440"/>
      <c r="QQY49" s="440"/>
      <c r="QQZ49" s="440"/>
      <c r="QRA49" s="440"/>
      <c r="QRB49" s="440"/>
      <c r="QRC49" s="440"/>
      <c r="QRD49" s="440"/>
      <c r="QRE49" s="440"/>
      <c r="QRF49" s="440"/>
      <c r="QRG49" s="440"/>
      <c r="QRH49" s="440"/>
      <c r="QRI49" s="440"/>
      <c r="QRJ49" s="440"/>
      <c r="QRK49" s="440"/>
      <c r="QRL49" s="440"/>
      <c r="QRM49" s="440"/>
      <c r="QRN49" s="440"/>
      <c r="QRO49" s="440"/>
      <c r="QRP49" s="440"/>
      <c r="QRQ49" s="440"/>
      <c r="QRR49" s="440"/>
      <c r="QRS49" s="440"/>
      <c r="QRT49" s="440"/>
      <c r="QRU49" s="440"/>
      <c r="QRV49" s="440"/>
      <c r="QRW49" s="440"/>
      <c r="QRX49" s="440"/>
      <c r="QRY49" s="440"/>
      <c r="QRZ49" s="440"/>
      <c r="QSA49" s="440"/>
      <c r="QSB49" s="440"/>
      <c r="QSC49" s="440"/>
      <c r="QSD49" s="440"/>
      <c r="QSE49" s="440"/>
      <c r="QSF49" s="440"/>
      <c r="QSG49" s="440"/>
      <c r="QSH49" s="440"/>
      <c r="QSI49" s="440"/>
      <c r="QSJ49" s="440"/>
      <c r="QSK49" s="440"/>
      <c r="QSL49" s="440"/>
      <c r="QSM49" s="440"/>
      <c r="QSN49" s="440"/>
      <c r="QSO49" s="440"/>
      <c r="QSP49" s="440"/>
      <c r="QSQ49" s="440"/>
      <c r="QSR49" s="440"/>
      <c r="QSS49" s="440"/>
      <c r="QST49" s="440"/>
      <c r="QSU49" s="440"/>
      <c r="QSV49" s="440"/>
      <c r="QSW49" s="440"/>
      <c r="QSX49" s="440"/>
      <c r="QSY49" s="440"/>
      <c r="QSZ49" s="440"/>
      <c r="QTA49" s="440"/>
      <c r="QTB49" s="440"/>
      <c r="QTC49" s="440"/>
      <c r="QTD49" s="440"/>
      <c r="QTE49" s="440"/>
      <c r="QTF49" s="440"/>
      <c r="QTG49" s="440"/>
      <c r="QTH49" s="440"/>
      <c r="QTI49" s="440"/>
      <c r="QTJ49" s="440"/>
      <c r="QTK49" s="440"/>
      <c r="QTL49" s="440"/>
      <c r="QTM49" s="440"/>
      <c r="QTN49" s="440"/>
      <c r="QTO49" s="440"/>
      <c r="QTP49" s="440"/>
      <c r="QTQ49" s="440"/>
      <c r="QTR49" s="440"/>
      <c r="QTS49" s="440"/>
      <c r="QTU49" s="440"/>
      <c r="QTV49" s="440"/>
      <c r="QTW49" s="440"/>
      <c r="QTX49" s="440"/>
      <c r="QTY49" s="440"/>
      <c r="QTZ49" s="440"/>
      <c r="QUA49" s="440"/>
      <c r="QUB49" s="440"/>
      <c r="QUC49" s="440"/>
      <c r="QUD49" s="440"/>
      <c r="QUE49" s="440"/>
      <c r="QUF49" s="440"/>
      <c r="QUG49" s="440"/>
      <c r="QUH49" s="440"/>
      <c r="QUI49" s="440"/>
      <c r="QUJ49" s="440"/>
      <c r="QUK49" s="440"/>
      <c r="QUL49" s="440"/>
      <c r="QUM49" s="440"/>
      <c r="QUN49" s="440"/>
      <c r="QUO49" s="440"/>
      <c r="QUP49" s="440"/>
      <c r="QUQ49" s="440"/>
      <c r="QUR49" s="440"/>
      <c r="QUS49" s="440"/>
      <c r="QUT49" s="440"/>
      <c r="QUU49" s="440"/>
      <c r="QUV49" s="440"/>
      <c r="QUW49" s="440"/>
      <c r="QUX49" s="440"/>
      <c r="QUY49" s="440"/>
      <c r="QUZ49" s="440"/>
      <c r="QVA49" s="440"/>
      <c r="QVB49" s="440"/>
      <c r="QVC49" s="440"/>
      <c r="QVD49" s="440"/>
      <c r="QVE49" s="440"/>
      <c r="QVF49" s="440"/>
      <c r="QVG49" s="440"/>
      <c r="QVH49" s="440"/>
      <c r="QVI49" s="440"/>
      <c r="QVJ49" s="440"/>
      <c r="QVK49" s="440"/>
      <c r="QVL49" s="440"/>
      <c r="QVM49" s="440"/>
      <c r="QVN49" s="440"/>
      <c r="QVO49" s="440"/>
      <c r="QVP49" s="440"/>
      <c r="QVQ49" s="440"/>
      <c r="QVR49" s="440"/>
      <c r="QVS49" s="440"/>
      <c r="QVT49" s="440"/>
      <c r="QVU49" s="440"/>
      <c r="QVV49" s="440"/>
      <c r="QVW49" s="440"/>
      <c r="QVX49" s="440"/>
      <c r="QVY49" s="440"/>
      <c r="QVZ49" s="440"/>
      <c r="QWA49" s="440"/>
      <c r="QWB49" s="440"/>
      <c r="QWC49" s="440"/>
      <c r="QWD49" s="440"/>
      <c r="QWE49" s="440"/>
      <c r="QWF49" s="440"/>
      <c r="QWG49" s="440"/>
      <c r="QWH49" s="440"/>
      <c r="QWI49" s="440"/>
      <c r="QWJ49" s="440"/>
      <c r="QWK49" s="440"/>
      <c r="QWL49" s="440"/>
      <c r="QWM49" s="440"/>
      <c r="QWN49" s="440"/>
      <c r="QWO49" s="440"/>
      <c r="QWP49" s="440"/>
      <c r="QWQ49" s="440"/>
      <c r="QWR49" s="440"/>
      <c r="QWS49" s="440"/>
      <c r="QWT49" s="440"/>
      <c r="QWU49" s="440"/>
      <c r="QWV49" s="440"/>
      <c r="QWW49" s="440"/>
      <c r="QWX49" s="440"/>
      <c r="QWY49" s="440"/>
      <c r="QWZ49" s="440"/>
      <c r="QXA49" s="440"/>
      <c r="QXB49" s="440"/>
      <c r="QXC49" s="440"/>
      <c r="QXD49" s="440"/>
      <c r="QXE49" s="440"/>
      <c r="QXF49" s="440"/>
      <c r="QXG49" s="440"/>
      <c r="QXH49" s="440"/>
      <c r="QXI49" s="440"/>
      <c r="QXJ49" s="440"/>
      <c r="QXK49" s="440"/>
      <c r="QXL49" s="440"/>
      <c r="QXM49" s="440"/>
      <c r="QXN49" s="440"/>
      <c r="QXO49" s="440"/>
      <c r="QXP49" s="440"/>
      <c r="QXQ49" s="440"/>
      <c r="QXR49" s="440"/>
      <c r="QXS49" s="440"/>
      <c r="QXT49" s="440"/>
      <c r="QXU49" s="440"/>
      <c r="QXV49" s="440"/>
      <c r="QXW49" s="440"/>
      <c r="QXX49" s="440"/>
      <c r="QXY49" s="440"/>
      <c r="QXZ49" s="440"/>
      <c r="QYA49" s="440"/>
      <c r="QYB49" s="440"/>
      <c r="QYC49" s="440"/>
      <c r="QYD49" s="440"/>
      <c r="QYE49" s="440"/>
      <c r="QYF49" s="440"/>
      <c r="QYG49" s="440"/>
      <c r="QYH49" s="440"/>
      <c r="QYI49" s="440"/>
      <c r="QYJ49" s="440"/>
      <c r="QYK49" s="440"/>
      <c r="QYL49" s="440"/>
      <c r="QYM49" s="440"/>
      <c r="QYN49" s="440"/>
      <c r="QYO49" s="440"/>
      <c r="QYP49" s="440"/>
      <c r="QYQ49" s="440"/>
      <c r="QYR49" s="440"/>
      <c r="QYS49" s="440"/>
      <c r="QYT49" s="440"/>
      <c r="QYU49" s="440"/>
      <c r="QYV49" s="440"/>
      <c r="QYW49" s="440"/>
      <c r="QYX49" s="440"/>
      <c r="QYY49" s="440"/>
      <c r="QYZ49" s="440"/>
      <c r="QZA49" s="440"/>
      <c r="QZB49" s="440"/>
      <c r="QZC49" s="440"/>
      <c r="QZD49" s="440"/>
      <c r="QZE49" s="440"/>
      <c r="QZF49" s="440"/>
      <c r="QZG49" s="440"/>
      <c r="QZH49" s="440"/>
      <c r="QZI49" s="440"/>
      <c r="QZJ49" s="440"/>
      <c r="QZK49" s="440"/>
      <c r="QZL49" s="440"/>
      <c r="QZM49" s="440"/>
      <c r="QZN49" s="440"/>
      <c r="QZO49" s="440"/>
      <c r="QZP49" s="440"/>
      <c r="QZQ49" s="440"/>
      <c r="QZR49" s="440"/>
      <c r="QZS49" s="440"/>
      <c r="QZT49" s="440"/>
      <c r="QZU49" s="440"/>
      <c r="QZV49" s="440"/>
      <c r="QZW49" s="440"/>
      <c r="QZX49" s="440"/>
      <c r="QZY49" s="440"/>
      <c r="QZZ49" s="440"/>
      <c r="RAA49" s="440"/>
      <c r="RAB49" s="440"/>
      <c r="RAC49" s="440"/>
      <c r="RAD49" s="440"/>
      <c r="RAE49" s="440"/>
      <c r="RAF49" s="440"/>
      <c r="RAG49" s="440"/>
      <c r="RAH49" s="440"/>
      <c r="RAI49" s="440"/>
      <c r="RAJ49" s="440"/>
      <c r="RAK49" s="440"/>
      <c r="RAL49" s="440"/>
      <c r="RAM49" s="440"/>
      <c r="RAN49" s="440"/>
      <c r="RAO49" s="440"/>
      <c r="RAP49" s="440"/>
      <c r="RAQ49" s="440"/>
      <c r="RAR49" s="440"/>
      <c r="RAS49" s="440"/>
      <c r="RAT49" s="440"/>
      <c r="RAU49" s="440"/>
      <c r="RAV49" s="440"/>
      <c r="RAW49" s="440"/>
      <c r="RAX49" s="440"/>
      <c r="RAY49" s="440"/>
      <c r="RAZ49" s="440"/>
      <c r="RBA49" s="440"/>
      <c r="RBB49" s="440"/>
      <c r="RBC49" s="440"/>
      <c r="RBD49" s="440"/>
      <c r="RBE49" s="440"/>
      <c r="RBF49" s="440"/>
      <c r="RBG49" s="440"/>
      <c r="RBH49" s="440"/>
      <c r="RBI49" s="440"/>
      <c r="RBJ49" s="440"/>
      <c r="RBK49" s="440"/>
      <c r="RBL49" s="440"/>
      <c r="RBM49" s="440"/>
      <c r="RBN49" s="440"/>
      <c r="RBO49" s="440"/>
      <c r="RBP49" s="440"/>
      <c r="RBQ49" s="440"/>
      <c r="RBR49" s="440"/>
      <c r="RBS49" s="440"/>
      <c r="RBT49" s="440"/>
      <c r="RBU49" s="440"/>
      <c r="RBV49" s="440"/>
      <c r="RBW49" s="440"/>
      <c r="RBX49" s="440"/>
      <c r="RBY49" s="440"/>
      <c r="RBZ49" s="440"/>
      <c r="RCA49" s="440"/>
      <c r="RCB49" s="440"/>
      <c r="RCC49" s="440"/>
      <c r="RCD49" s="440"/>
      <c r="RCE49" s="440"/>
      <c r="RCF49" s="440"/>
      <c r="RCG49" s="440"/>
      <c r="RCH49" s="440"/>
      <c r="RCI49" s="440"/>
      <c r="RCJ49" s="440"/>
      <c r="RCK49" s="440"/>
      <c r="RCL49" s="440"/>
      <c r="RCM49" s="440"/>
      <c r="RCN49" s="440"/>
      <c r="RCO49" s="440"/>
      <c r="RCP49" s="440"/>
      <c r="RCQ49" s="440"/>
      <c r="RCR49" s="440"/>
      <c r="RCS49" s="440"/>
      <c r="RCT49" s="440"/>
      <c r="RCU49" s="440"/>
      <c r="RCV49" s="440"/>
      <c r="RCW49" s="440"/>
      <c r="RCX49" s="440"/>
      <c r="RCY49" s="440"/>
      <c r="RCZ49" s="440"/>
      <c r="RDA49" s="440"/>
      <c r="RDB49" s="440"/>
      <c r="RDC49" s="440"/>
      <c r="RDD49" s="440"/>
      <c r="RDE49" s="440"/>
      <c r="RDF49" s="440"/>
      <c r="RDG49" s="440"/>
      <c r="RDH49" s="440"/>
      <c r="RDI49" s="440"/>
      <c r="RDJ49" s="440"/>
      <c r="RDK49" s="440"/>
      <c r="RDL49" s="440"/>
      <c r="RDM49" s="440"/>
      <c r="RDN49" s="440"/>
      <c r="RDO49" s="440"/>
      <c r="RDQ49" s="440"/>
      <c r="RDR49" s="440"/>
      <c r="RDS49" s="440"/>
      <c r="RDT49" s="440"/>
      <c r="RDU49" s="440"/>
      <c r="RDV49" s="440"/>
      <c r="RDW49" s="440"/>
      <c r="RDX49" s="440"/>
      <c r="RDY49" s="440"/>
      <c r="RDZ49" s="440"/>
      <c r="REA49" s="440"/>
      <c r="REB49" s="440"/>
      <c r="REC49" s="440"/>
      <c r="RED49" s="440"/>
      <c r="REE49" s="440"/>
      <c r="REF49" s="440"/>
      <c r="REG49" s="440"/>
      <c r="REH49" s="440"/>
      <c r="REI49" s="440"/>
      <c r="REJ49" s="440"/>
      <c r="REK49" s="440"/>
      <c r="REL49" s="440"/>
      <c r="REM49" s="440"/>
      <c r="REN49" s="440"/>
      <c r="REO49" s="440"/>
      <c r="REP49" s="440"/>
      <c r="REQ49" s="440"/>
      <c r="RER49" s="440"/>
      <c r="RES49" s="440"/>
      <c r="RET49" s="440"/>
      <c r="REU49" s="440"/>
      <c r="REV49" s="440"/>
      <c r="REW49" s="440"/>
      <c r="REX49" s="440"/>
      <c r="REY49" s="440"/>
      <c r="REZ49" s="440"/>
      <c r="RFA49" s="440"/>
      <c r="RFB49" s="440"/>
      <c r="RFC49" s="440"/>
      <c r="RFD49" s="440"/>
      <c r="RFE49" s="440"/>
      <c r="RFF49" s="440"/>
      <c r="RFG49" s="440"/>
      <c r="RFH49" s="440"/>
      <c r="RFI49" s="440"/>
      <c r="RFJ49" s="440"/>
      <c r="RFK49" s="440"/>
      <c r="RFL49" s="440"/>
      <c r="RFM49" s="440"/>
      <c r="RFN49" s="440"/>
      <c r="RFO49" s="440"/>
      <c r="RFP49" s="440"/>
      <c r="RFQ49" s="440"/>
      <c r="RFR49" s="440"/>
      <c r="RFS49" s="440"/>
      <c r="RFT49" s="440"/>
      <c r="RFU49" s="440"/>
      <c r="RFV49" s="440"/>
      <c r="RFW49" s="440"/>
      <c r="RFX49" s="440"/>
      <c r="RFY49" s="440"/>
      <c r="RFZ49" s="440"/>
      <c r="RGA49" s="440"/>
      <c r="RGB49" s="440"/>
      <c r="RGC49" s="440"/>
      <c r="RGD49" s="440"/>
      <c r="RGE49" s="440"/>
      <c r="RGF49" s="440"/>
      <c r="RGG49" s="440"/>
      <c r="RGH49" s="440"/>
      <c r="RGI49" s="440"/>
      <c r="RGJ49" s="440"/>
      <c r="RGK49" s="440"/>
      <c r="RGL49" s="440"/>
      <c r="RGM49" s="440"/>
      <c r="RGN49" s="440"/>
      <c r="RGO49" s="440"/>
      <c r="RGP49" s="440"/>
      <c r="RGQ49" s="440"/>
      <c r="RGR49" s="440"/>
      <c r="RGS49" s="440"/>
      <c r="RGT49" s="440"/>
      <c r="RGU49" s="440"/>
      <c r="RGV49" s="440"/>
      <c r="RGW49" s="440"/>
      <c r="RGX49" s="440"/>
      <c r="RGY49" s="440"/>
      <c r="RGZ49" s="440"/>
      <c r="RHA49" s="440"/>
      <c r="RHB49" s="440"/>
      <c r="RHC49" s="440"/>
      <c r="RHD49" s="440"/>
      <c r="RHE49" s="440"/>
      <c r="RHF49" s="440"/>
      <c r="RHG49" s="440"/>
      <c r="RHH49" s="440"/>
      <c r="RHI49" s="440"/>
      <c r="RHJ49" s="440"/>
      <c r="RHK49" s="440"/>
      <c r="RHL49" s="440"/>
      <c r="RHM49" s="440"/>
      <c r="RHN49" s="440"/>
      <c r="RHO49" s="440"/>
      <c r="RHP49" s="440"/>
      <c r="RHQ49" s="440"/>
      <c r="RHR49" s="440"/>
      <c r="RHS49" s="440"/>
      <c r="RHT49" s="440"/>
      <c r="RHU49" s="440"/>
      <c r="RHV49" s="440"/>
      <c r="RHW49" s="440"/>
      <c r="RHX49" s="440"/>
      <c r="RHY49" s="440"/>
      <c r="RHZ49" s="440"/>
      <c r="RIA49" s="440"/>
      <c r="RIB49" s="440"/>
      <c r="RIC49" s="440"/>
      <c r="RID49" s="440"/>
      <c r="RIE49" s="440"/>
      <c r="RIF49" s="440"/>
      <c r="RIG49" s="440"/>
      <c r="RIH49" s="440"/>
      <c r="RII49" s="440"/>
      <c r="RIJ49" s="440"/>
      <c r="RIK49" s="440"/>
      <c r="RIL49" s="440"/>
      <c r="RIM49" s="440"/>
      <c r="RIN49" s="440"/>
      <c r="RIO49" s="440"/>
      <c r="RIP49" s="440"/>
      <c r="RIQ49" s="440"/>
      <c r="RIR49" s="440"/>
      <c r="RIS49" s="440"/>
      <c r="RIT49" s="440"/>
      <c r="RIU49" s="440"/>
      <c r="RIV49" s="440"/>
      <c r="RIW49" s="440"/>
      <c r="RIX49" s="440"/>
      <c r="RIY49" s="440"/>
      <c r="RIZ49" s="440"/>
      <c r="RJA49" s="440"/>
      <c r="RJB49" s="440"/>
      <c r="RJC49" s="440"/>
      <c r="RJD49" s="440"/>
      <c r="RJE49" s="440"/>
      <c r="RJF49" s="440"/>
      <c r="RJG49" s="440"/>
      <c r="RJH49" s="440"/>
      <c r="RJI49" s="440"/>
      <c r="RJJ49" s="440"/>
      <c r="RJK49" s="440"/>
      <c r="RJL49" s="440"/>
      <c r="RJM49" s="440"/>
      <c r="RJN49" s="440"/>
      <c r="RJO49" s="440"/>
      <c r="RJP49" s="440"/>
      <c r="RJQ49" s="440"/>
      <c r="RJR49" s="440"/>
      <c r="RJS49" s="440"/>
      <c r="RJT49" s="440"/>
      <c r="RJU49" s="440"/>
      <c r="RJV49" s="440"/>
      <c r="RJW49" s="440"/>
      <c r="RJX49" s="440"/>
      <c r="RJY49" s="440"/>
      <c r="RJZ49" s="440"/>
      <c r="RKA49" s="440"/>
      <c r="RKB49" s="440"/>
      <c r="RKC49" s="440"/>
      <c r="RKD49" s="440"/>
      <c r="RKE49" s="440"/>
      <c r="RKF49" s="440"/>
      <c r="RKG49" s="440"/>
      <c r="RKH49" s="440"/>
      <c r="RKI49" s="440"/>
      <c r="RKJ49" s="440"/>
      <c r="RKK49" s="440"/>
      <c r="RKL49" s="440"/>
      <c r="RKM49" s="440"/>
      <c r="RKN49" s="440"/>
      <c r="RKO49" s="440"/>
      <c r="RKP49" s="440"/>
      <c r="RKQ49" s="440"/>
      <c r="RKR49" s="440"/>
      <c r="RKS49" s="440"/>
      <c r="RKT49" s="440"/>
      <c r="RKU49" s="440"/>
      <c r="RKV49" s="440"/>
      <c r="RKW49" s="440"/>
      <c r="RKX49" s="440"/>
      <c r="RKY49" s="440"/>
      <c r="RKZ49" s="440"/>
      <c r="RLA49" s="440"/>
      <c r="RLB49" s="440"/>
      <c r="RLC49" s="440"/>
      <c r="RLD49" s="440"/>
      <c r="RLE49" s="440"/>
      <c r="RLF49" s="440"/>
      <c r="RLG49" s="440"/>
      <c r="RLH49" s="440"/>
      <c r="RLI49" s="440"/>
      <c r="RLJ49" s="440"/>
      <c r="RLK49" s="440"/>
      <c r="RLL49" s="440"/>
      <c r="RLM49" s="440"/>
      <c r="RLN49" s="440"/>
      <c r="RLO49" s="440"/>
      <c r="RLP49" s="440"/>
      <c r="RLQ49" s="440"/>
      <c r="RLR49" s="440"/>
      <c r="RLS49" s="440"/>
      <c r="RLT49" s="440"/>
      <c r="RLU49" s="440"/>
      <c r="RLV49" s="440"/>
      <c r="RLW49" s="440"/>
      <c r="RLX49" s="440"/>
      <c r="RLY49" s="440"/>
      <c r="RLZ49" s="440"/>
      <c r="RMA49" s="440"/>
      <c r="RMB49" s="440"/>
      <c r="RMC49" s="440"/>
      <c r="RMD49" s="440"/>
      <c r="RME49" s="440"/>
      <c r="RMF49" s="440"/>
      <c r="RMG49" s="440"/>
      <c r="RMH49" s="440"/>
      <c r="RMI49" s="440"/>
      <c r="RMJ49" s="440"/>
      <c r="RMK49" s="440"/>
      <c r="RML49" s="440"/>
      <c r="RMM49" s="440"/>
      <c r="RMN49" s="440"/>
      <c r="RMO49" s="440"/>
      <c r="RMP49" s="440"/>
      <c r="RMQ49" s="440"/>
      <c r="RMR49" s="440"/>
      <c r="RMS49" s="440"/>
      <c r="RMT49" s="440"/>
      <c r="RMU49" s="440"/>
      <c r="RMV49" s="440"/>
      <c r="RMW49" s="440"/>
      <c r="RMX49" s="440"/>
      <c r="RMY49" s="440"/>
      <c r="RMZ49" s="440"/>
      <c r="RNA49" s="440"/>
      <c r="RNB49" s="440"/>
      <c r="RNC49" s="440"/>
      <c r="RND49" s="440"/>
      <c r="RNE49" s="440"/>
      <c r="RNF49" s="440"/>
      <c r="RNG49" s="440"/>
      <c r="RNH49" s="440"/>
      <c r="RNI49" s="440"/>
      <c r="RNJ49" s="440"/>
      <c r="RNK49" s="440"/>
      <c r="RNM49" s="440"/>
      <c r="RNN49" s="440"/>
      <c r="RNO49" s="440"/>
      <c r="RNP49" s="440"/>
      <c r="RNQ49" s="440"/>
      <c r="RNR49" s="440"/>
      <c r="RNS49" s="440"/>
      <c r="RNT49" s="440"/>
      <c r="RNU49" s="440"/>
      <c r="RNV49" s="440"/>
      <c r="RNW49" s="440"/>
      <c r="RNX49" s="440"/>
      <c r="RNY49" s="440"/>
      <c r="RNZ49" s="440"/>
      <c r="ROA49" s="440"/>
      <c r="ROB49" s="440"/>
      <c r="ROC49" s="440"/>
      <c r="ROD49" s="440"/>
      <c r="ROE49" s="440"/>
      <c r="ROF49" s="440"/>
      <c r="ROG49" s="440"/>
      <c r="ROH49" s="440"/>
      <c r="ROI49" s="440"/>
      <c r="ROJ49" s="440"/>
      <c r="ROK49" s="440"/>
      <c r="ROL49" s="440"/>
      <c r="ROM49" s="440"/>
      <c r="RON49" s="440"/>
      <c r="ROO49" s="440"/>
      <c r="ROP49" s="440"/>
      <c r="ROQ49" s="440"/>
      <c r="ROR49" s="440"/>
      <c r="ROS49" s="440"/>
      <c r="ROT49" s="440"/>
      <c r="ROU49" s="440"/>
      <c r="ROV49" s="440"/>
      <c r="ROW49" s="440"/>
      <c r="ROX49" s="440"/>
      <c r="ROY49" s="440"/>
      <c r="ROZ49" s="440"/>
      <c r="RPA49" s="440"/>
      <c r="RPB49" s="440"/>
      <c r="RPC49" s="440"/>
      <c r="RPD49" s="440"/>
      <c r="RPE49" s="440"/>
      <c r="RPF49" s="440"/>
      <c r="RPG49" s="440"/>
      <c r="RPH49" s="440"/>
      <c r="RPI49" s="440"/>
      <c r="RPJ49" s="440"/>
      <c r="RPK49" s="440"/>
      <c r="RPL49" s="440"/>
      <c r="RPM49" s="440"/>
      <c r="RPN49" s="440"/>
      <c r="RPO49" s="440"/>
      <c r="RPP49" s="440"/>
      <c r="RPQ49" s="440"/>
      <c r="RPR49" s="440"/>
      <c r="RPS49" s="440"/>
      <c r="RPT49" s="440"/>
      <c r="RPU49" s="440"/>
      <c r="RPV49" s="440"/>
      <c r="RPW49" s="440"/>
      <c r="RPX49" s="440"/>
      <c r="RPY49" s="440"/>
      <c r="RPZ49" s="440"/>
      <c r="RQA49" s="440"/>
      <c r="RQB49" s="440"/>
      <c r="RQC49" s="440"/>
      <c r="RQD49" s="440"/>
      <c r="RQE49" s="440"/>
      <c r="RQF49" s="440"/>
      <c r="RQG49" s="440"/>
      <c r="RQH49" s="440"/>
      <c r="RQI49" s="440"/>
      <c r="RQJ49" s="440"/>
      <c r="RQK49" s="440"/>
      <c r="RQL49" s="440"/>
      <c r="RQM49" s="440"/>
      <c r="RQN49" s="440"/>
      <c r="RQO49" s="440"/>
      <c r="RQP49" s="440"/>
      <c r="RQQ49" s="440"/>
      <c r="RQR49" s="440"/>
      <c r="RQS49" s="440"/>
      <c r="RQT49" s="440"/>
      <c r="RQU49" s="440"/>
      <c r="RQV49" s="440"/>
      <c r="RQW49" s="440"/>
      <c r="RQX49" s="440"/>
      <c r="RQY49" s="440"/>
      <c r="RQZ49" s="440"/>
      <c r="RRA49" s="440"/>
      <c r="RRB49" s="440"/>
      <c r="RRC49" s="440"/>
      <c r="RRD49" s="440"/>
      <c r="RRE49" s="440"/>
      <c r="RRF49" s="440"/>
      <c r="RRG49" s="440"/>
      <c r="RRH49" s="440"/>
      <c r="RRI49" s="440"/>
      <c r="RRJ49" s="440"/>
      <c r="RRK49" s="440"/>
      <c r="RRL49" s="440"/>
      <c r="RRM49" s="440"/>
      <c r="RRN49" s="440"/>
      <c r="RRO49" s="440"/>
      <c r="RRP49" s="440"/>
      <c r="RRQ49" s="440"/>
      <c r="RRR49" s="440"/>
      <c r="RRS49" s="440"/>
      <c r="RRT49" s="440"/>
      <c r="RRU49" s="440"/>
      <c r="RRV49" s="440"/>
      <c r="RRW49" s="440"/>
      <c r="RRX49" s="440"/>
      <c r="RRY49" s="440"/>
      <c r="RRZ49" s="440"/>
      <c r="RSA49" s="440"/>
      <c r="RSB49" s="440"/>
      <c r="RSC49" s="440"/>
      <c r="RSD49" s="440"/>
      <c r="RSE49" s="440"/>
      <c r="RSF49" s="440"/>
      <c r="RSG49" s="440"/>
      <c r="RSH49" s="440"/>
      <c r="RSI49" s="440"/>
      <c r="RSJ49" s="440"/>
      <c r="RSK49" s="440"/>
      <c r="RSL49" s="440"/>
      <c r="RSM49" s="440"/>
      <c r="RSN49" s="440"/>
      <c r="RSO49" s="440"/>
      <c r="RSP49" s="440"/>
      <c r="RSQ49" s="440"/>
      <c r="RSR49" s="440"/>
      <c r="RSS49" s="440"/>
      <c r="RST49" s="440"/>
      <c r="RSU49" s="440"/>
      <c r="RSV49" s="440"/>
      <c r="RSW49" s="440"/>
      <c r="RSX49" s="440"/>
      <c r="RSY49" s="440"/>
      <c r="RSZ49" s="440"/>
      <c r="RTA49" s="440"/>
      <c r="RTB49" s="440"/>
      <c r="RTC49" s="440"/>
      <c r="RTD49" s="440"/>
      <c r="RTE49" s="440"/>
      <c r="RTF49" s="440"/>
      <c r="RTG49" s="440"/>
      <c r="RTH49" s="440"/>
      <c r="RTI49" s="440"/>
      <c r="RTJ49" s="440"/>
      <c r="RTK49" s="440"/>
      <c r="RTL49" s="440"/>
      <c r="RTM49" s="440"/>
      <c r="RTN49" s="440"/>
      <c r="RTO49" s="440"/>
      <c r="RTP49" s="440"/>
      <c r="RTQ49" s="440"/>
      <c r="RTR49" s="440"/>
      <c r="RTS49" s="440"/>
      <c r="RTT49" s="440"/>
      <c r="RTU49" s="440"/>
      <c r="RTV49" s="440"/>
      <c r="RTW49" s="440"/>
      <c r="RTX49" s="440"/>
      <c r="RTY49" s="440"/>
      <c r="RTZ49" s="440"/>
      <c r="RUA49" s="440"/>
      <c r="RUB49" s="440"/>
      <c r="RUC49" s="440"/>
      <c r="RUD49" s="440"/>
      <c r="RUE49" s="440"/>
      <c r="RUF49" s="440"/>
      <c r="RUG49" s="440"/>
      <c r="RUH49" s="440"/>
      <c r="RUI49" s="440"/>
      <c r="RUJ49" s="440"/>
      <c r="RUK49" s="440"/>
      <c r="RUL49" s="440"/>
      <c r="RUM49" s="440"/>
      <c r="RUN49" s="440"/>
      <c r="RUO49" s="440"/>
      <c r="RUP49" s="440"/>
      <c r="RUQ49" s="440"/>
      <c r="RUR49" s="440"/>
      <c r="RUS49" s="440"/>
      <c r="RUT49" s="440"/>
      <c r="RUU49" s="440"/>
      <c r="RUV49" s="440"/>
      <c r="RUW49" s="440"/>
      <c r="RUX49" s="440"/>
      <c r="RUY49" s="440"/>
      <c r="RUZ49" s="440"/>
      <c r="RVA49" s="440"/>
      <c r="RVB49" s="440"/>
      <c r="RVC49" s="440"/>
      <c r="RVD49" s="440"/>
      <c r="RVE49" s="440"/>
      <c r="RVF49" s="440"/>
      <c r="RVG49" s="440"/>
      <c r="RVH49" s="440"/>
      <c r="RVI49" s="440"/>
      <c r="RVJ49" s="440"/>
      <c r="RVK49" s="440"/>
      <c r="RVL49" s="440"/>
      <c r="RVM49" s="440"/>
      <c r="RVN49" s="440"/>
      <c r="RVO49" s="440"/>
      <c r="RVP49" s="440"/>
      <c r="RVQ49" s="440"/>
      <c r="RVR49" s="440"/>
      <c r="RVS49" s="440"/>
      <c r="RVT49" s="440"/>
      <c r="RVU49" s="440"/>
      <c r="RVV49" s="440"/>
      <c r="RVW49" s="440"/>
      <c r="RVX49" s="440"/>
      <c r="RVY49" s="440"/>
      <c r="RVZ49" s="440"/>
      <c r="RWA49" s="440"/>
      <c r="RWB49" s="440"/>
      <c r="RWC49" s="440"/>
      <c r="RWD49" s="440"/>
      <c r="RWE49" s="440"/>
      <c r="RWF49" s="440"/>
      <c r="RWG49" s="440"/>
      <c r="RWH49" s="440"/>
      <c r="RWI49" s="440"/>
      <c r="RWJ49" s="440"/>
      <c r="RWK49" s="440"/>
      <c r="RWL49" s="440"/>
      <c r="RWM49" s="440"/>
      <c r="RWN49" s="440"/>
      <c r="RWO49" s="440"/>
      <c r="RWP49" s="440"/>
      <c r="RWQ49" s="440"/>
      <c r="RWR49" s="440"/>
      <c r="RWS49" s="440"/>
      <c r="RWT49" s="440"/>
      <c r="RWU49" s="440"/>
      <c r="RWV49" s="440"/>
      <c r="RWW49" s="440"/>
      <c r="RWX49" s="440"/>
      <c r="RWY49" s="440"/>
      <c r="RWZ49" s="440"/>
      <c r="RXA49" s="440"/>
      <c r="RXB49" s="440"/>
      <c r="RXC49" s="440"/>
      <c r="RXD49" s="440"/>
      <c r="RXE49" s="440"/>
      <c r="RXF49" s="440"/>
      <c r="RXG49" s="440"/>
      <c r="RXI49" s="440"/>
      <c r="RXJ49" s="440"/>
      <c r="RXK49" s="440"/>
      <c r="RXL49" s="440"/>
      <c r="RXM49" s="440"/>
      <c r="RXN49" s="440"/>
      <c r="RXO49" s="440"/>
      <c r="RXP49" s="440"/>
      <c r="RXQ49" s="440"/>
      <c r="RXR49" s="440"/>
      <c r="RXS49" s="440"/>
      <c r="RXT49" s="440"/>
      <c r="RXU49" s="440"/>
      <c r="RXV49" s="440"/>
      <c r="RXW49" s="440"/>
      <c r="RXX49" s="440"/>
      <c r="RXY49" s="440"/>
      <c r="RXZ49" s="440"/>
      <c r="RYA49" s="440"/>
      <c r="RYB49" s="440"/>
      <c r="RYC49" s="440"/>
      <c r="RYD49" s="440"/>
      <c r="RYE49" s="440"/>
      <c r="RYF49" s="440"/>
      <c r="RYG49" s="440"/>
      <c r="RYH49" s="440"/>
      <c r="RYI49" s="440"/>
      <c r="RYJ49" s="440"/>
      <c r="RYK49" s="440"/>
      <c r="RYL49" s="440"/>
      <c r="RYM49" s="440"/>
      <c r="RYN49" s="440"/>
      <c r="RYO49" s="440"/>
      <c r="RYP49" s="440"/>
      <c r="RYQ49" s="440"/>
      <c r="RYR49" s="440"/>
      <c r="RYS49" s="440"/>
      <c r="RYT49" s="440"/>
      <c r="RYU49" s="440"/>
      <c r="RYV49" s="440"/>
      <c r="RYW49" s="440"/>
      <c r="RYX49" s="440"/>
      <c r="RYY49" s="440"/>
      <c r="RYZ49" s="440"/>
      <c r="RZA49" s="440"/>
      <c r="RZB49" s="440"/>
      <c r="RZC49" s="440"/>
      <c r="RZD49" s="440"/>
      <c r="RZE49" s="440"/>
      <c r="RZF49" s="440"/>
      <c r="RZG49" s="440"/>
      <c r="RZH49" s="440"/>
      <c r="RZI49" s="440"/>
      <c r="RZJ49" s="440"/>
      <c r="RZK49" s="440"/>
      <c r="RZL49" s="440"/>
      <c r="RZM49" s="440"/>
      <c r="RZN49" s="440"/>
      <c r="RZO49" s="440"/>
      <c r="RZP49" s="440"/>
      <c r="RZQ49" s="440"/>
      <c r="RZR49" s="440"/>
      <c r="RZS49" s="440"/>
      <c r="RZT49" s="440"/>
      <c r="RZU49" s="440"/>
      <c r="RZV49" s="440"/>
      <c r="RZW49" s="440"/>
      <c r="RZX49" s="440"/>
      <c r="RZY49" s="440"/>
      <c r="RZZ49" s="440"/>
      <c r="SAA49" s="440"/>
      <c r="SAB49" s="440"/>
      <c r="SAC49" s="440"/>
      <c r="SAD49" s="440"/>
      <c r="SAE49" s="440"/>
      <c r="SAF49" s="440"/>
      <c r="SAG49" s="440"/>
      <c r="SAH49" s="440"/>
      <c r="SAI49" s="440"/>
      <c r="SAJ49" s="440"/>
      <c r="SAK49" s="440"/>
      <c r="SAL49" s="440"/>
      <c r="SAM49" s="440"/>
      <c r="SAN49" s="440"/>
      <c r="SAO49" s="440"/>
      <c r="SAP49" s="440"/>
      <c r="SAQ49" s="440"/>
      <c r="SAR49" s="440"/>
      <c r="SAS49" s="440"/>
      <c r="SAT49" s="440"/>
      <c r="SAU49" s="440"/>
      <c r="SAV49" s="440"/>
      <c r="SAW49" s="440"/>
      <c r="SAX49" s="440"/>
      <c r="SAY49" s="440"/>
      <c r="SAZ49" s="440"/>
      <c r="SBA49" s="440"/>
      <c r="SBB49" s="440"/>
      <c r="SBC49" s="440"/>
      <c r="SBD49" s="440"/>
      <c r="SBE49" s="440"/>
      <c r="SBF49" s="440"/>
      <c r="SBG49" s="440"/>
      <c r="SBH49" s="440"/>
      <c r="SBI49" s="440"/>
      <c r="SBJ49" s="440"/>
      <c r="SBK49" s="440"/>
      <c r="SBL49" s="440"/>
      <c r="SBM49" s="440"/>
      <c r="SBN49" s="440"/>
      <c r="SBO49" s="440"/>
      <c r="SBP49" s="440"/>
      <c r="SBQ49" s="440"/>
      <c r="SBR49" s="440"/>
      <c r="SBS49" s="440"/>
      <c r="SBT49" s="440"/>
      <c r="SBU49" s="440"/>
      <c r="SBV49" s="440"/>
      <c r="SBW49" s="440"/>
      <c r="SBX49" s="440"/>
      <c r="SBY49" s="440"/>
      <c r="SBZ49" s="440"/>
      <c r="SCA49" s="440"/>
      <c r="SCB49" s="440"/>
      <c r="SCC49" s="440"/>
      <c r="SCD49" s="440"/>
      <c r="SCE49" s="440"/>
      <c r="SCF49" s="440"/>
      <c r="SCG49" s="440"/>
      <c r="SCH49" s="440"/>
      <c r="SCI49" s="440"/>
      <c r="SCJ49" s="440"/>
      <c r="SCK49" s="440"/>
      <c r="SCL49" s="440"/>
      <c r="SCM49" s="440"/>
      <c r="SCN49" s="440"/>
      <c r="SCO49" s="440"/>
      <c r="SCP49" s="440"/>
      <c r="SCQ49" s="440"/>
      <c r="SCR49" s="440"/>
      <c r="SCS49" s="440"/>
      <c r="SCT49" s="440"/>
      <c r="SCU49" s="440"/>
      <c r="SCV49" s="440"/>
      <c r="SCW49" s="440"/>
      <c r="SCX49" s="440"/>
      <c r="SCY49" s="440"/>
      <c r="SCZ49" s="440"/>
      <c r="SDA49" s="440"/>
      <c r="SDB49" s="440"/>
      <c r="SDC49" s="440"/>
      <c r="SDD49" s="440"/>
      <c r="SDE49" s="440"/>
      <c r="SDF49" s="440"/>
      <c r="SDG49" s="440"/>
      <c r="SDH49" s="440"/>
      <c r="SDI49" s="440"/>
      <c r="SDJ49" s="440"/>
      <c r="SDK49" s="440"/>
      <c r="SDL49" s="440"/>
      <c r="SDM49" s="440"/>
      <c r="SDN49" s="440"/>
      <c r="SDO49" s="440"/>
      <c r="SDP49" s="440"/>
      <c r="SDQ49" s="440"/>
      <c r="SDR49" s="440"/>
      <c r="SDS49" s="440"/>
      <c r="SDT49" s="440"/>
      <c r="SDU49" s="440"/>
      <c r="SDV49" s="440"/>
      <c r="SDW49" s="440"/>
      <c r="SDX49" s="440"/>
      <c r="SDY49" s="440"/>
      <c r="SDZ49" s="440"/>
      <c r="SEA49" s="440"/>
      <c r="SEB49" s="440"/>
      <c r="SEC49" s="440"/>
      <c r="SED49" s="440"/>
      <c r="SEE49" s="440"/>
      <c r="SEF49" s="440"/>
      <c r="SEG49" s="440"/>
      <c r="SEH49" s="440"/>
      <c r="SEI49" s="440"/>
      <c r="SEJ49" s="440"/>
      <c r="SEK49" s="440"/>
      <c r="SEL49" s="440"/>
      <c r="SEM49" s="440"/>
      <c r="SEN49" s="440"/>
      <c r="SEO49" s="440"/>
      <c r="SEP49" s="440"/>
      <c r="SEQ49" s="440"/>
      <c r="SER49" s="440"/>
      <c r="SES49" s="440"/>
      <c r="SET49" s="440"/>
      <c r="SEU49" s="440"/>
      <c r="SEV49" s="440"/>
      <c r="SEW49" s="440"/>
      <c r="SEX49" s="440"/>
      <c r="SEY49" s="440"/>
      <c r="SEZ49" s="440"/>
      <c r="SFA49" s="440"/>
      <c r="SFB49" s="440"/>
      <c r="SFC49" s="440"/>
      <c r="SFD49" s="440"/>
      <c r="SFE49" s="440"/>
      <c r="SFF49" s="440"/>
      <c r="SFG49" s="440"/>
      <c r="SFH49" s="440"/>
      <c r="SFI49" s="440"/>
      <c r="SFJ49" s="440"/>
      <c r="SFK49" s="440"/>
      <c r="SFL49" s="440"/>
      <c r="SFM49" s="440"/>
      <c r="SFN49" s="440"/>
      <c r="SFO49" s="440"/>
      <c r="SFP49" s="440"/>
      <c r="SFQ49" s="440"/>
      <c r="SFR49" s="440"/>
      <c r="SFS49" s="440"/>
      <c r="SFT49" s="440"/>
      <c r="SFU49" s="440"/>
      <c r="SFV49" s="440"/>
      <c r="SFW49" s="440"/>
      <c r="SFX49" s="440"/>
      <c r="SFY49" s="440"/>
      <c r="SFZ49" s="440"/>
      <c r="SGA49" s="440"/>
      <c r="SGB49" s="440"/>
      <c r="SGC49" s="440"/>
      <c r="SGD49" s="440"/>
      <c r="SGE49" s="440"/>
      <c r="SGF49" s="440"/>
      <c r="SGG49" s="440"/>
      <c r="SGH49" s="440"/>
      <c r="SGI49" s="440"/>
      <c r="SGJ49" s="440"/>
      <c r="SGK49" s="440"/>
      <c r="SGL49" s="440"/>
      <c r="SGM49" s="440"/>
      <c r="SGN49" s="440"/>
      <c r="SGO49" s="440"/>
      <c r="SGP49" s="440"/>
      <c r="SGQ49" s="440"/>
      <c r="SGR49" s="440"/>
      <c r="SGS49" s="440"/>
      <c r="SGT49" s="440"/>
      <c r="SGU49" s="440"/>
      <c r="SGV49" s="440"/>
      <c r="SGW49" s="440"/>
      <c r="SGX49" s="440"/>
      <c r="SGY49" s="440"/>
      <c r="SGZ49" s="440"/>
      <c r="SHA49" s="440"/>
      <c r="SHB49" s="440"/>
      <c r="SHC49" s="440"/>
      <c r="SHE49" s="440"/>
      <c r="SHF49" s="440"/>
      <c r="SHG49" s="440"/>
      <c r="SHH49" s="440"/>
      <c r="SHI49" s="440"/>
      <c r="SHJ49" s="440"/>
      <c r="SHK49" s="440"/>
      <c r="SHL49" s="440"/>
      <c r="SHM49" s="440"/>
      <c r="SHN49" s="440"/>
      <c r="SHO49" s="440"/>
      <c r="SHP49" s="440"/>
      <c r="SHQ49" s="440"/>
      <c r="SHR49" s="440"/>
      <c r="SHS49" s="440"/>
      <c r="SHT49" s="440"/>
      <c r="SHU49" s="440"/>
      <c r="SHV49" s="440"/>
      <c r="SHW49" s="440"/>
      <c r="SHX49" s="440"/>
      <c r="SHY49" s="440"/>
      <c r="SHZ49" s="440"/>
      <c r="SIA49" s="440"/>
      <c r="SIB49" s="440"/>
      <c r="SIC49" s="440"/>
      <c r="SID49" s="440"/>
      <c r="SIE49" s="440"/>
      <c r="SIF49" s="440"/>
      <c r="SIG49" s="440"/>
      <c r="SIH49" s="440"/>
      <c r="SII49" s="440"/>
      <c r="SIJ49" s="440"/>
      <c r="SIK49" s="440"/>
      <c r="SIL49" s="440"/>
      <c r="SIM49" s="440"/>
      <c r="SIN49" s="440"/>
      <c r="SIO49" s="440"/>
      <c r="SIP49" s="440"/>
      <c r="SIQ49" s="440"/>
      <c r="SIR49" s="440"/>
      <c r="SIS49" s="440"/>
      <c r="SIT49" s="440"/>
      <c r="SIU49" s="440"/>
      <c r="SIV49" s="440"/>
      <c r="SIW49" s="440"/>
      <c r="SIX49" s="440"/>
      <c r="SIY49" s="440"/>
      <c r="SIZ49" s="440"/>
      <c r="SJA49" s="440"/>
      <c r="SJB49" s="440"/>
      <c r="SJC49" s="440"/>
      <c r="SJD49" s="440"/>
      <c r="SJE49" s="440"/>
      <c r="SJF49" s="440"/>
      <c r="SJG49" s="440"/>
      <c r="SJH49" s="440"/>
      <c r="SJI49" s="440"/>
      <c r="SJJ49" s="440"/>
      <c r="SJK49" s="440"/>
      <c r="SJL49" s="440"/>
      <c r="SJM49" s="440"/>
      <c r="SJN49" s="440"/>
      <c r="SJO49" s="440"/>
      <c r="SJP49" s="440"/>
      <c r="SJQ49" s="440"/>
      <c r="SJR49" s="440"/>
      <c r="SJS49" s="440"/>
      <c r="SJT49" s="440"/>
      <c r="SJU49" s="440"/>
      <c r="SJV49" s="440"/>
      <c r="SJW49" s="440"/>
      <c r="SJX49" s="440"/>
      <c r="SJY49" s="440"/>
      <c r="SJZ49" s="440"/>
      <c r="SKA49" s="440"/>
      <c r="SKB49" s="440"/>
      <c r="SKC49" s="440"/>
      <c r="SKD49" s="440"/>
      <c r="SKE49" s="440"/>
      <c r="SKF49" s="440"/>
      <c r="SKG49" s="440"/>
      <c r="SKH49" s="440"/>
      <c r="SKI49" s="440"/>
      <c r="SKJ49" s="440"/>
      <c r="SKK49" s="440"/>
      <c r="SKL49" s="440"/>
      <c r="SKM49" s="440"/>
      <c r="SKN49" s="440"/>
      <c r="SKO49" s="440"/>
      <c r="SKP49" s="440"/>
      <c r="SKQ49" s="440"/>
      <c r="SKR49" s="440"/>
      <c r="SKS49" s="440"/>
      <c r="SKT49" s="440"/>
      <c r="SKU49" s="440"/>
      <c r="SKV49" s="440"/>
      <c r="SKW49" s="440"/>
      <c r="SKX49" s="440"/>
      <c r="SKY49" s="440"/>
      <c r="SKZ49" s="440"/>
      <c r="SLA49" s="440"/>
      <c r="SLB49" s="440"/>
      <c r="SLC49" s="440"/>
      <c r="SLD49" s="440"/>
      <c r="SLE49" s="440"/>
      <c r="SLF49" s="440"/>
      <c r="SLG49" s="440"/>
      <c r="SLH49" s="440"/>
      <c r="SLI49" s="440"/>
      <c r="SLJ49" s="440"/>
      <c r="SLK49" s="440"/>
      <c r="SLL49" s="440"/>
      <c r="SLM49" s="440"/>
      <c r="SLN49" s="440"/>
      <c r="SLO49" s="440"/>
      <c r="SLP49" s="440"/>
      <c r="SLQ49" s="440"/>
      <c r="SLR49" s="440"/>
      <c r="SLS49" s="440"/>
      <c r="SLT49" s="440"/>
      <c r="SLU49" s="440"/>
      <c r="SLV49" s="440"/>
      <c r="SLW49" s="440"/>
      <c r="SLX49" s="440"/>
      <c r="SLY49" s="440"/>
      <c r="SLZ49" s="440"/>
      <c r="SMA49" s="440"/>
      <c r="SMB49" s="440"/>
      <c r="SMC49" s="440"/>
      <c r="SMD49" s="440"/>
      <c r="SME49" s="440"/>
      <c r="SMF49" s="440"/>
      <c r="SMG49" s="440"/>
      <c r="SMH49" s="440"/>
      <c r="SMI49" s="440"/>
      <c r="SMJ49" s="440"/>
      <c r="SMK49" s="440"/>
      <c r="SML49" s="440"/>
      <c r="SMM49" s="440"/>
      <c r="SMN49" s="440"/>
      <c r="SMO49" s="440"/>
      <c r="SMP49" s="440"/>
      <c r="SMQ49" s="440"/>
      <c r="SMR49" s="440"/>
      <c r="SMS49" s="440"/>
      <c r="SMT49" s="440"/>
      <c r="SMU49" s="440"/>
      <c r="SMV49" s="440"/>
      <c r="SMW49" s="440"/>
      <c r="SMX49" s="440"/>
      <c r="SMY49" s="440"/>
      <c r="SMZ49" s="440"/>
      <c r="SNA49" s="440"/>
      <c r="SNB49" s="440"/>
      <c r="SNC49" s="440"/>
      <c r="SND49" s="440"/>
      <c r="SNE49" s="440"/>
      <c r="SNF49" s="440"/>
      <c r="SNG49" s="440"/>
      <c r="SNH49" s="440"/>
      <c r="SNI49" s="440"/>
      <c r="SNJ49" s="440"/>
      <c r="SNK49" s="440"/>
      <c r="SNL49" s="440"/>
      <c r="SNM49" s="440"/>
      <c r="SNN49" s="440"/>
      <c r="SNO49" s="440"/>
      <c r="SNP49" s="440"/>
      <c r="SNQ49" s="440"/>
      <c r="SNR49" s="440"/>
      <c r="SNS49" s="440"/>
      <c r="SNT49" s="440"/>
      <c r="SNU49" s="440"/>
      <c r="SNV49" s="440"/>
      <c r="SNW49" s="440"/>
      <c r="SNX49" s="440"/>
      <c r="SNY49" s="440"/>
      <c r="SNZ49" s="440"/>
      <c r="SOA49" s="440"/>
      <c r="SOB49" s="440"/>
      <c r="SOC49" s="440"/>
      <c r="SOD49" s="440"/>
      <c r="SOE49" s="440"/>
      <c r="SOF49" s="440"/>
      <c r="SOG49" s="440"/>
      <c r="SOH49" s="440"/>
      <c r="SOI49" s="440"/>
      <c r="SOJ49" s="440"/>
      <c r="SOK49" s="440"/>
      <c r="SOL49" s="440"/>
      <c r="SOM49" s="440"/>
      <c r="SON49" s="440"/>
      <c r="SOO49" s="440"/>
      <c r="SOP49" s="440"/>
      <c r="SOQ49" s="440"/>
      <c r="SOR49" s="440"/>
      <c r="SOS49" s="440"/>
      <c r="SOT49" s="440"/>
      <c r="SOU49" s="440"/>
      <c r="SOV49" s="440"/>
      <c r="SOW49" s="440"/>
      <c r="SOX49" s="440"/>
      <c r="SOY49" s="440"/>
      <c r="SOZ49" s="440"/>
      <c r="SPA49" s="440"/>
      <c r="SPB49" s="440"/>
      <c r="SPC49" s="440"/>
      <c r="SPD49" s="440"/>
      <c r="SPE49" s="440"/>
      <c r="SPF49" s="440"/>
      <c r="SPG49" s="440"/>
      <c r="SPH49" s="440"/>
      <c r="SPI49" s="440"/>
      <c r="SPJ49" s="440"/>
      <c r="SPK49" s="440"/>
      <c r="SPL49" s="440"/>
      <c r="SPM49" s="440"/>
      <c r="SPN49" s="440"/>
      <c r="SPO49" s="440"/>
      <c r="SPP49" s="440"/>
      <c r="SPQ49" s="440"/>
      <c r="SPR49" s="440"/>
      <c r="SPS49" s="440"/>
      <c r="SPT49" s="440"/>
      <c r="SPU49" s="440"/>
      <c r="SPV49" s="440"/>
      <c r="SPW49" s="440"/>
      <c r="SPX49" s="440"/>
      <c r="SPY49" s="440"/>
      <c r="SPZ49" s="440"/>
      <c r="SQA49" s="440"/>
      <c r="SQB49" s="440"/>
      <c r="SQC49" s="440"/>
      <c r="SQD49" s="440"/>
      <c r="SQE49" s="440"/>
      <c r="SQF49" s="440"/>
      <c r="SQG49" s="440"/>
      <c r="SQH49" s="440"/>
      <c r="SQI49" s="440"/>
      <c r="SQJ49" s="440"/>
      <c r="SQK49" s="440"/>
      <c r="SQL49" s="440"/>
      <c r="SQM49" s="440"/>
      <c r="SQN49" s="440"/>
      <c r="SQO49" s="440"/>
      <c r="SQP49" s="440"/>
      <c r="SQQ49" s="440"/>
      <c r="SQR49" s="440"/>
      <c r="SQS49" s="440"/>
      <c r="SQT49" s="440"/>
      <c r="SQU49" s="440"/>
      <c r="SQV49" s="440"/>
      <c r="SQW49" s="440"/>
      <c r="SQX49" s="440"/>
      <c r="SQY49" s="440"/>
      <c r="SRA49" s="440"/>
      <c r="SRB49" s="440"/>
      <c r="SRC49" s="440"/>
      <c r="SRD49" s="440"/>
      <c r="SRE49" s="440"/>
      <c r="SRF49" s="440"/>
      <c r="SRG49" s="440"/>
      <c r="SRH49" s="440"/>
      <c r="SRI49" s="440"/>
      <c r="SRJ49" s="440"/>
      <c r="SRK49" s="440"/>
      <c r="SRL49" s="440"/>
      <c r="SRM49" s="440"/>
      <c r="SRN49" s="440"/>
      <c r="SRO49" s="440"/>
      <c r="SRP49" s="440"/>
      <c r="SRQ49" s="440"/>
      <c r="SRR49" s="440"/>
      <c r="SRS49" s="440"/>
      <c r="SRT49" s="440"/>
      <c r="SRU49" s="440"/>
      <c r="SRV49" s="440"/>
      <c r="SRW49" s="440"/>
      <c r="SRX49" s="440"/>
      <c r="SRY49" s="440"/>
      <c r="SRZ49" s="440"/>
      <c r="SSA49" s="440"/>
      <c r="SSB49" s="440"/>
      <c r="SSC49" s="440"/>
      <c r="SSD49" s="440"/>
      <c r="SSE49" s="440"/>
      <c r="SSF49" s="440"/>
      <c r="SSG49" s="440"/>
      <c r="SSH49" s="440"/>
      <c r="SSI49" s="440"/>
      <c r="SSJ49" s="440"/>
      <c r="SSK49" s="440"/>
      <c r="SSL49" s="440"/>
      <c r="SSM49" s="440"/>
      <c r="SSN49" s="440"/>
      <c r="SSO49" s="440"/>
      <c r="SSP49" s="440"/>
      <c r="SSQ49" s="440"/>
      <c r="SSR49" s="440"/>
      <c r="SSS49" s="440"/>
      <c r="SST49" s="440"/>
      <c r="SSU49" s="440"/>
      <c r="SSV49" s="440"/>
      <c r="SSW49" s="440"/>
      <c r="SSX49" s="440"/>
      <c r="SSY49" s="440"/>
      <c r="SSZ49" s="440"/>
      <c r="STA49" s="440"/>
      <c r="STB49" s="440"/>
      <c r="STC49" s="440"/>
      <c r="STD49" s="440"/>
      <c r="STE49" s="440"/>
      <c r="STF49" s="440"/>
      <c r="STG49" s="440"/>
      <c r="STH49" s="440"/>
      <c r="STI49" s="440"/>
      <c r="STJ49" s="440"/>
      <c r="STK49" s="440"/>
      <c r="STL49" s="440"/>
      <c r="STM49" s="440"/>
      <c r="STN49" s="440"/>
      <c r="STO49" s="440"/>
      <c r="STP49" s="440"/>
      <c r="STQ49" s="440"/>
      <c r="STR49" s="440"/>
      <c r="STS49" s="440"/>
      <c r="STT49" s="440"/>
      <c r="STU49" s="440"/>
      <c r="STV49" s="440"/>
      <c r="STW49" s="440"/>
      <c r="STX49" s="440"/>
      <c r="STY49" s="440"/>
      <c r="STZ49" s="440"/>
      <c r="SUA49" s="440"/>
      <c r="SUB49" s="440"/>
      <c r="SUC49" s="440"/>
      <c r="SUD49" s="440"/>
      <c r="SUE49" s="440"/>
      <c r="SUF49" s="440"/>
      <c r="SUG49" s="440"/>
      <c r="SUH49" s="440"/>
      <c r="SUI49" s="440"/>
      <c r="SUJ49" s="440"/>
      <c r="SUK49" s="440"/>
      <c r="SUL49" s="440"/>
      <c r="SUM49" s="440"/>
      <c r="SUN49" s="440"/>
      <c r="SUO49" s="440"/>
      <c r="SUP49" s="440"/>
      <c r="SUQ49" s="440"/>
      <c r="SUR49" s="440"/>
      <c r="SUS49" s="440"/>
      <c r="SUT49" s="440"/>
      <c r="SUU49" s="440"/>
      <c r="SUV49" s="440"/>
      <c r="SUW49" s="440"/>
      <c r="SUX49" s="440"/>
      <c r="SUY49" s="440"/>
      <c r="SUZ49" s="440"/>
      <c r="SVA49" s="440"/>
      <c r="SVB49" s="440"/>
      <c r="SVC49" s="440"/>
      <c r="SVD49" s="440"/>
      <c r="SVE49" s="440"/>
      <c r="SVF49" s="440"/>
      <c r="SVG49" s="440"/>
      <c r="SVH49" s="440"/>
      <c r="SVI49" s="440"/>
      <c r="SVJ49" s="440"/>
      <c r="SVK49" s="440"/>
      <c r="SVL49" s="440"/>
      <c r="SVM49" s="440"/>
      <c r="SVN49" s="440"/>
      <c r="SVO49" s="440"/>
      <c r="SVP49" s="440"/>
      <c r="SVQ49" s="440"/>
      <c r="SVR49" s="440"/>
      <c r="SVS49" s="440"/>
      <c r="SVT49" s="440"/>
      <c r="SVU49" s="440"/>
      <c r="SVV49" s="440"/>
      <c r="SVW49" s="440"/>
      <c r="SVX49" s="440"/>
      <c r="SVY49" s="440"/>
      <c r="SVZ49" s="440"/>
      <c r="SWA49" s="440"/>
      <c r="SWB49" s="440"/>
      <c r="SWC49" s="440"/>
      <c r="SWD49" s="440"/>
      <c r="SWE49" s="440"/>
      <c r="SWF49" s="440"/>
      <c r="SWG49" s="440"/>
      <c r="SWH49" s="440"/>
      <c r="SWI49" s="440"/>
      <c r="SWJ49" s="440"/>
      <c r="SWK49" s="440"/>
      <c r="SWL49" s="440"/>
      <c r="SWM49" s="440"/>
      <c r="SWN49" s="440"/>
      <c r="SWO49" s="440"/>
      <c r="SWP49" s="440"/>
      <c r="SWQ49" s="440"/>
      <c r="SWR49" s="440"/>
      <c r="SWS49" s="440"/>
      <c r="SWT49" s="440"/>
      <c r="SWU49" s="440"/>
      <c r="SWV49" s="440"/>
      <c r="SWW49" s="440"/>
      <c r="SWX49" s="440"/>
      <c r="SWY49" s="440"/>
      <c r="SWZ49" s="440"/>
      <c r="SXA49" s="440"/>
      <c r="SXB49" s="440"/>
      <c r="SXC49" s="440"/>
      <c r="SXD49" s="440"/>
      <c r="SXE49" s="440"/>
      <c r="SXF49" s="440"/>
      <c r="SXG49" s="440"/>
      <c r="SXH49" s="440"/>
      <c r="SXI49" s="440"/>
      <c r="SXJ49" s="440"/>
      <c r="SXK49" s="440"/>
      <c r="SXL49" s="440"/>
      <c r="SXM49" s="440"/>
      <c r="SXN49" s="440"/>
      <c r="SXO49" s="440"/>
      <c r="SXP49" s="440"/>
      <c r="SXQ49" s="440"/>
      <c r="SXR49" s="440"/>
      <c r="SXS49" s="440"/>
      <c r="SXT49" s="440"/>
      <c r="SXU49" s="440"/>
      <c r="SXV49" s="440"/>
      <c r="SXW49" s="440"/>
      <c r="SXX49" s="440"/>
      <c r="SXY49" s="440"/>
      <c r="SXZ49" s="440"/>
      <c r="SYA49" s="440"/>
      <c r="SYB49" s="440"/>
      <c r="SYC49" s="440"/>
      <c r="SYD49" s="440"/>
      <c r="SYE49" s="440"/>
      <c r="SYF49" s="440"/>
      <c r="SYG49" s="440"/>
      <c r="SYH49" s="440"/>
      <c r="SYI49" s="440"/>
      <c r="SYJ49" s="440"/>
      <c r="SYK49" s="440"/>
      <c r="SYL49" s="440"/>
      <c r="SYM49" s="440"/>
      <c r="SYN49" s="440"/>
      <c r="SYO49" s="440"/>
      <c r="SYP49" s="440"/>
      <c r="SYQ49" s="440"/>
      <c r="SYR49" s="440"/>
      <c r="SYS49" s="440"/>
      <c r="SYT49" s="440"/>
      <c r="SYU49" s="440"/>
      <c r="SYV49" s="440"/>
      <c r="SYW49" s="440"/>
      <c r="SYX49" s="440"/>
      <c r="SYY49" s="440"/>
      <c r="SYZ49" s="440"/>
      <c r="SZA49" s="440"/>
      <c r="SZB49" s="440"/>
      <c r="SZC49" s="440"/>
      <c r="SZD49" s="440"/>
      <c r="SZE49" s="440"/>
      <c r="SZF49" s="440"/>
      <c r="SZG49" s="440"/>
      <c r="SZH49" s="440"/>
      <c r="SZI49" s="440"/>
      <c r="SZJ49" s="440"/>
      <c r="SZK49" s="440"/>
      <c r="SZL49" s="440"/>
      <c r="SZM49" s="440"/>
      <c r="SZN49" s="440"/>
      <c r="SZO49" s="440"/>
      <c r="SZP49" s="440"/>
      <c r="SZQ49" s="440"/>
      <c r="SZR49" s="440"/>
      <c r="SZS49" s="440"/>
      <c r="SZT49" s="440"/>
      <c r="SZU49" s="440"/>
      <c r="SZV49" s="440"/>
      <c r="SZW49" s="440"/>
      <c r="SZX49" s="440"/>
      <c r="SZY49" s="440"/>
      <c r="SZZ49" s="440"/>
      <c r="TAA49" s="440"/>
      <c r="TAB49" s="440"/>
      <c r="TAC49" s="440"/>
      <c r="TAD49" s="440"/>
      <c r="TAE49" s="440"/>
      <c r="TAF49" s="440"/>
      <c r="TAG49" s="440"/>
      <c r="TAH49" s="440"/>
      <c r="TAI49" s="440"/>
      <c r="TAJ49" s="440"/>
      <c r="TAK49" s="440"/>
      <c r="TAL49" s="440"/>
      <c r="TAM49" s="440"/>
      <c r="TAN49" s="440"/>
      <c r="TAO49" s="440"/>
      <c r="TAP49" s="440"/>
      <c r="TAQ49" s="440"/>
      <c r="TAR49" s="440"/>
      <c r="TAS49" s="440"/>
      <c r="TAT49" s="440"/>
      <c r="TAU49" s="440"/>
      <c r="TAW49" s="440"/>
      <c r="TAX49" s="440"/>
      <c r="TAY49" s="440"/>
      <c r="TAZ49" s="440"/>
      <c r="TBA49" s="440"/>
      <c r="TBB49" s="440"/>
      <c r="TBC49" s="440"/>
      <c r="TBD49" s="440"/>
      <c r="TBE49" s="440"/>
      <c r="TBF49" s="440"/>
      <c r="TBG49" s="440"/>
      <c r="TBH49" s="440"/>
      <c r="TBI49" s="440"/>
      <c r="TBJ49" s="440"/>
      <c r="TBK49" s="440"/>
      <c r="TBL49" s="440"/>
      <c r="TBM49" s="440"/>
      <c r="TBN49" s="440"/>
      <c r="TBO49" s="440"/>
      <c r="TBP49" s="440"/>
      <c r="TBQ49" s="440"/>
      <c r="TBR49" s="440"/>
      <c r="TBS49" s="440"/>
      <c r="TBT49" s="440"/>
      <c r="TBU49" s="440"/>
      <c r="TBV49" s="440"/>
      <c r="TBW49" s="440"/>
      <c r="TBX49" s="440"/>
      <c r="TBY49" s="440"/>
      <c r="TBZ49" s="440"/>
      <c r="TCA49" s="440"/>
      <c r="TCB49" s="440"/>
      <c r="TCC49" s="440"/>
      <c r="TCD49" s="440"/>
      <c r="TCE49" s="440"/>
      <c r="TCF49" s="440"/>
      <c r="TCG49" s="440"/>
      <c r="TCH49" s="440"/>
      <c r="TCI49" s="440"/>
      <c r="TCJ49" s="440"/>
      <c r="TCK49" s="440"/>
      <c r="TCL49" s="440"/>
      <c r="TCM49" s="440"/>
      <c r="TCN49" s="440"/>
      <c r="TCO49" s="440"/>
      <c r="TCP49" s="440"/>
      <c r="TCQ49" s="440"/>
      <c r="TCR49" s="440"/>
      <c r="TCS49" s="440"/>
      <c r="TCT49" s="440"/>
      <c r="TCU49" s="440"/>
      <c r="TCV49" s="440"/>
      <c r="TCW49" s="440"/>
      <c r="TCX49" s="440"/>
      <c r="TCY49" s="440"/>
      <c r="TCZ49" s="440"/>
      <c r="TDA49" s="440"/>
      <c r="TDB49" s="440"/>
      <c r="TDC49" s="440"/>
      <c r="TDD49" s="440"/>
      <c r="TDE49" s="440"/>
      <c r="TDF49" s="440"/>
      <c r="TDG49" s="440"/>
      <c r="TDH49" s="440"/>
      <c r="TDI49" s="440"/>
      <c r="TDJ49" s="440"/>
      <c r="TDK49" s="440"/>
      <c r="TDL49" s="440"/>
      <c r="TDM49" s="440"/>
      <c r="TDN49" s="440"/>
      <c r="TDO49" s="440"/>
      <c r="TDP49" s="440"/>
      <c r="TDQ49" s="440"/>
      <c r="TDR49" s="440"/>
      <c r="TDS49" s="440"/>
      <c r="TDT49" s="440"/>
      <c r="TDU49" s="440"/>
      <c r="TDV49" s="440"/>
      <c r="TDW49" s="440"/>
      <c r="TDX49" s="440"/>
      <c r="TDY49" s="440"/>
      <c r="TDZ49" s="440"/>
      <c r="TEA49" s="440"/>
      <c r="TEB49" s="440"/>
      <c r="TEC49" s="440"/>
      <c r="TED49" s="440"/>
      <c r="TEE49" s="440"/>
      <c r="TEF49" s="440"/>
      <c r="TEG49" s="440"/>
      <c r="TEH49" s="440"/>
      <c r="TEI49" s="440"/>
      <c r="TEJ49" s="440"/>
      <c r="TEK49" s="440"/>
      <c r="TEL49" s="440"/>
      <c r="TEM49" s="440"/>
      <c r="TEN49" s="440"/>
      <c r="TEO49" s="440"/>
      <c r="TEP49" s="440"/>
      <c r="TEQ49" s="440"/>
      <c r="TER49" s="440"/>
      <c r="TES49" s="440"/>
      <c r="TET49" s="440"/>
      <c r="TEU49" s="440"/>
      <c r="TEV49" s="440"/>
      <c r="TEW49" s="440"/>
      <c r="TEX49" s="440"/>
      <c r="TEY49" s="440"/>
      <c r="TEZ49" s="440"/>
      <c r="TFA49" s="440"/>
      <c r="TFB49" s="440"/>
      <c r="TFC49" s="440"/>
      <c r="TFD49" s="440"/>
      <c r="TFE49" s="440"/>
      <c r="TFF49" s="440"/>
      <c r="TFG49" s="440"/>
      <c r="TFH49" s="440"/>
      <c r="TFI49" s="440"/>
      <c r="TFJ49" s="440"/>
      <c r="TFK49" s="440"/>
      <c r="TFL49" s="440"/>
      <c r="TFM49" s="440"/>
      <c r="TFN49" s="440"/>
      <c r="TFO49" s="440"/>
      <c r="TFP49" s="440"/>
      <c r="TFQ49" s="440"/>
      <c r="TFR49" s="440"/>
      <c r="TFS49" s="440"/>
      <c r="TFT49" s="440"/>
      <c r="TFU49" s="440"/>
      <c r="TFV49" s="440"/>
      <c r="TFW49" s="440"/>
      <c r="TFX49" s="440"/>
      <c r="TFY49" s="440"/>
      <c r="TFZ49" s="440"/>
      <c r="TGA49" s="440"/>
      <c r="TGB49" s="440"/>
      <c r="TGC49" s="440"/>
      <c r="TGD49" s="440"/>
      <c r="TGE49" s="440"/>
      <c r="TGF49" s="440"/>
      <c r="TGG49" s="440"/>
      <c r="TGH49" s="440"/>
      <c r="TGI49" s="440"/>
      <c r="TGJ49" s="440"/>
      <c r="TGK49" s="440"/>
      <c r="TGL49" s="440"/>
      <c r="TGM49" s="440"/>
      <c r="TGN49" s="440"/>
      <c r="TGO49" s="440"/>
      <c r="TGP49" s="440"/>
      <c r="TGQ49" s="440"/>
      <c r="TGR49" s="440"/>
      <c r="TGS49" s="440"/>
      <c r="TGT49" s="440"/>
      <c r="TGU49" s="440"/>
      <c r="TGV49" s="440"/>
      <c r="TGW49" s="440"/>
      <c r="TGX49" s="440"/>
      <c r="TGY49" s="440"/>
      <c r="TGZ49" s="440"/>
      <c r="THA49" s="440"/>
      <c r="THB49" s="440"/>
      <c r="THC49" s="440"/>
      <c r="THD49" s="440"/>
      <c r="THE49" s="440"/>
      <c r="THF49" s="440"/>
      <c r="THG49" s="440"/>
      <c r="THH49" s="440"/>
      <c r="THI49" s="440"/>
      <c r="THJ49" s="440"/>
      <c r="THK49" s="440"/>
      <c r="THL49" s="440"/>
      <c r="THM49" s="440"/>
      <c r="THN49" s="440"/>
      <c r="THO49" s="440"/>
      <c r="THP49" s="440"/>
      <c r="THQ49" s="440"/>
      <c r="THR49" s="440"/>
      <c r="THS49" s="440"/>
      <c r="THT49" s="440"/>
      <c r="THU49" s="440"/>
      <c r="THV49" s="440"/>
      <c r="THW49" s="440"/>
      <c r="THX49" s="440"/>
      <c r="THY49" s="440"/>
      <c r="THZ49" s="440"/>
      <c r="TIA49" s="440"/>
      <c r="TIB49" s="440"/>
      <c r="TIC49" s="440"/>
      <c r="TID49" s="440"/>
      <c r="TIE49" s="440"/>
      <c r="TIF49" s="440"/>
      <c r="TIG49" s="440"/>
      <c r="TIH49" s="440"/>
      <c r="TII49" s="440"/>
      <c r="TIJ49" s="440"/>
      <c r="TIK49" s="440"/>
      <c r="TIL49" s="440"/>
      <c r="TIM49" s="440"/>
      <c r="TIN49" s="440"/>
      <c r="TIO49" s="440"/>
      <c r="TIP49" s="440"/>
      <c r="TIQ49" s="440"/>
      <c r="TIR49" s="440"/>
      <c r="TIS49" s="440"/>
      <c r="TIT49" s="440"/>
      <c r="TIU49" s="440"/>
      <c r="TIV49" s="440"/>
      <c r="TIW49" s="440"/>
      <c r="TIX49" s="440"/>
      <c r="TIY49" s="440"/>
      <c r="TIZ49" s="440"/>
      <c r="TJA49" s="440"/>
      <c r="TJB49" s="440"/>
      <c r="TJC49" s="440"/>
      <c r="TJD49" s="440"/>
      <c r="TJE49" s="440"/>
      <c r="TJF49" s="440"/>
      <c r="TJG49" s="440"/>
      <c r="TJH49" s="440"/>
      <c r="TJI49" s="440"/>
      <c r="TJJ49" s="440"/>
      <c r="TJK49" s="440"/>
      <c r="TJL49" s="440"/>
      <c r="TJM49" s="440"/>
      <c r="TJN49" s="440"/>
      <c r="TJO49" s="440"/>
      <c r="TJP49" s="440"/>
      <c r="TJQ49" s="440"/>
      <c r="TJR49" s="440"/>
      <c r="TJS49" s="440"/>
      <c r="TJT49" s="440"/>
      <c r="TJU49" s="440"/>
      <c r="TJV49" s="440"/>
      <c r="TJW49" s="440"/>
      <c r="TJX49" s="440"/>
      <c r="TJY49" s="440"/>
      <c r="TJZ49" s="440"/>
      <c r="TKA49" s="440"/>
      <c r="TKB49" s="440"/>
      <c r="TKC49" s="440"/>
      <c r="TKD49" s="440"/>
      <c r="TKE49" s="440"/>
      <c r="TKF49" s="440"/>
      <c r="TKG49" s="440"/>
      <c r="TKH49" s="440"/>
      <c r="TKI49" s="440"/>
      <c r="TKJ49" s="440"/>
      <c r="TKK49" s="440"/>
      <c r="TKL49" s="440"/>
      <c r="TKM49" s="440"/>
      <c r="TKN49" s="440"/>
      <c r="TKO49" s="440"/>
      <c r="TKP49" s="440"/>
      <c r="TKQ49" s="440"/>
      <c r="TKS49" s="440"/>
      <c r="TKT49" s="440"/>
      <c r="TKU49" s="440"/>
      <c r="TKV49" s="440"/>
      <c r="TKW49" s="440"/>
      <c r="TKX49" s="440"/>
      <c r="TKY49" s="440"/>
      <c r="TKZ49" s="440"/>
      <c r="TLA49" s="440"/>
      <c r="TLB49" s="440"/>
      <c r="TLC49" s="440"/>
      <c r="TLD49" s="440"/>
      <c r="TLE49" s="440"/>
      <c r="TLF49" s="440"/>
      <c r="TLG49" s="440"/>
      <c r="TLH49" s="440"/>
      <c r="TLI49" s="440"/>
      <c r="TLJ49" s="440"/>
      <c r="TLK49" s="440"/>
      <c r="TLL49" s="440"/>
      <c r="TLM49" s="440"/>
      <c r="TLN49" s="440"/>
      <c r="TLO49" s="440"/>
      <c r="TLP49" s="440"/>
      <c r="TLQ49" s="440"/>
      <c r="TLR49" s="440"/>
      <c r="TLS49" s="440"/>
      <c r="TLT49" s="440"/>
      <c r="TLU49" s="440"/>
      <c r="TLV49" s="440"/>
      <c r="TLW49" s="440"/>
      <c r="TLX49" s="440"/>
      <c r="TLY49" s="440"/>
      <c r="TLZ49" s="440"/>
      <c r="TMA49" s="440"/>
      <c r="TMB49" s="440"/>
      <c r="TMC49" s="440"/>
      <c r="TMD49" s="440"/>
      <c r="TME49" s="440"/>
      <c r="TMF49" s="440"/>
      <c r="TMG49" s="440"/>
      <c r="TMH49" s="440"/>
      <c r="TMI49" s="440"/>
      <c r="TMJ49" s="440"/>
      <c r="TMK49" s="440"/>
      <c r="TML49" s="440"/>
      <c r="TMM49" s="440"/>
      <c r="TMN49" s="440"/>
      <c r="TMO49" s="440"/>
      <c r="TMP49" s="440"/>
      <c r="TMQ49" s="440"/>
      <c r="TMR49" s="440"/>
      <c r="TMS49" s="440"/>
      <c r="TMT49" s="440"/>
      <c r="TMU49" s="440"/>
      <c r="TMV49" s="440"/>
      <c r="TMW49" s="440"/>
      <c r="TMX49" s="440"/>
      <c r="TMY49" s="440"/>
      <c r="TMZ49" s="440"/>
      <c r="TNA49" s="440"/>
      <c r="TNB49" s="440"/>
      <c r="TNC49" s="440"/>
      <c r="TND49" s="440"/>
      <c r="TNE49" s="440"/>
      <c r="TNF49" s="440"/>
      <c r="TNG49" s="440"/>
      <c r="TNH49" s="440"/>
      <c r="TNI49" s="440"/>
      <c r="TNJ49" s="440"/>
      <c r="TNK49" s="440"/>
      <c r="TNL49" s="440"/>
      <c r="TNM49" s="440"/>
      <c r="TNN49" s="440"/>
      <c r="TNO49" s="440"/>
      <c r="TNP49" s="440"/>
      <c r="TNQ49" s="440"/>
      <c r="TNR49" s="440"/>
      <c r="TNS49" s="440"/>
      <c r="TNT49" s="440"/>
      <c r="TNU49" s="440"/>
      <c r="TNV49" s="440"/>
      <c r="TNW49" s="440"/>
      <c r="TNX49" s="440"/>
      <c r="TNY49" s="440"/>
      <c r="TNZ49" s="440"/>
      <c r="TOA49" s="440"/>
      <c r="TOB49" s="440"/>
      <c r="TOC49" s="440"/>
      <c r="TOD49" s="440"/>
      <c r="TOE49" s="440"/>
      <c r="TOF49" s="440"/>
      <c r="TOG49" s="440"/>
      <c r="TOH49" s="440"/>
      <c r="TOI49" s="440"/>
      <c r="TOJ49" s="440"/>
      <c r="TOK49" s="440"/>
      <c r="TOL49" s="440"/>
      <c r="TOM49" s="440"/>
      <c r="TON49" s="440"/>
      <c r="TOO49" s="440"/>
      <c r="TOP49" s="440"/>
      <c r="TOQ49" s="440"/>
      <c r="TOR49" s="440"/>
      <c r="TOS49" s="440"/>
      <c r="TOT49" s="440"/>
      <c r="TOU49" s="440"/>
      <c r="TOV49" s="440"/>
      <c r="TOW49" s="440"/>
      <c r="TOX49" s="440"/>
      <c r="TOY49" s="440"/>
      <c r="TOZ49" s="440"/>
      <c r="TPA49" s="440"/>
      <c r="TPB49" s="440"/>
      <c r="TPC49" s="440"/>
      <c r="TPD49" s="440"/>
      <c r="TPE49" s="440"/>
      <c r="TPF49" s="440"/>
      <c r="TPG49" s="440"/>
      <c r="TPH49" s="440"/>
      <c r="TPI49" s="440"/>
      <c r="TPJ49" s="440"/>
      <c r="TPK49" s="440"/>
      <c r="TPL49" s="440"/>
      <c r="TPM49" s="440"/>
      <c r="TPN49" s="440"/>
      <c r="TPO49" s="440"/>
      <c r="TPP49" s="440"/>
      <c r="TPQ49" s="440"/>
      <c r="TPR49" s="440"/>
      <c r="TPS49" s="440"/>
      <c r="TPT49" s="440"/>
      <c r="TPU49" s="440"/>
      <c r="TPV49" s="440"/>
      <c r="TPW49" s="440"/>
      <c r="TPX49" s="440"/>
      <c r="TPY49" s="440"/>
      <c r="TPZ49" s="440"/>
      <c r="TQA49" s="440"/>
      <c r="TQB49" s="440"/>
      <c r="TQC49" s="440"/>
      <c r="TQD49" s="440"/>
      <c r="TQE49" s="440"/>
      <c r="TQF49" s="440"/>
      <c r="TQG49" s="440"/>
      <c r="TQH49" s="440"/>
      <c r="TQI49" s="440"/>
      <c r="TQJ49" s="440"/>
      <c r="TQK49" s="440"/>
      <c r="TQL49" s="440"/>
      <c r="TQM49" s="440"/>
      <c r="TQN49" s="440"/>
      <c r="TQO49" s="440"/>
      <c r="TQP49" s="440"/>
      <c r="TQQ49" s="440"/>
      <c r="TQR49" s="440"/>
      <c r="TQS49" s="440"/>
      <c r="TQT49" s="440"/>
      <c r="TQU49" s="440"/>
      <c r="TQV49" s="440"/>
      <c r="TQW49" s="440"/>
      <c r="TQX49" s="440"/>
      <c r="TQY49" s="440"/>
      <c r="TQZ49" s="440"/>
      <c r="TRA49" s="440"/>
      <c r="TRB49" s="440"/>
      <c r="TRC49" s="440"/>
      <c r="TRD49" s="440"/>
      <c r="TRE49" s="440"/>
      <c r="TRF49" s="440"/>
      <c r="TRG49" s="440"/>
      <c r="TRH49" s="440"/>
      <c r="TRI49" s="440"/>
      <c r="TRJ49" s="440"/>
      <c r="TRK49" s="440"/>
      <c r="TRL49" s="440"/>
      <c r="TRM49" s="440"/>
      <c r="TRN49" s="440"/>
      <c r="TRO49" s="440"/>
      <c r="TRP49" s="440"/>
      <c r="TRQ49" s="440"/>
      <c r="TRR49" s="440"/>
      <c r="TRS49" s="440"/>
      <c r="TRT49" s="440"/>
      <c r="TRU49" s="440"/>
      <c r="TRV49" s="440"/>
      <c r="TRW49" s="440"/>
      <c r="TRX49" s="440"/>
      <c r="TRY49" s="440"/>
      <c r="TRZ49" s="440"/>
      <c r="TSA49" s="440"/>
      <c r="TSB49" s="440"/>
      <c r="TSC49" s="440"/>
      <c r="TSD49" s="440"/>
      <c r="TSE49" s="440"/>
      <c r="TSF49" s="440"/>
      <c r="TSG49" s="440"/>
      <c r="TSH49" s="440"/>
      <c r="TSI49" s="440"/>
      <c r="TSJ49" s="440"/>
      <c r="TSK49" s="440"/>
      <c r="TSL49" s="440"/>
      <c r="TSM49" s="440"/>
      <c r="TSN49" s="440"/>
      <c r="TSO49" s="440"/>
      <c r="TSP49" s="440"/>
      <c r="TSQ49" s="440"/>
      <c r="TSR49" s="440"/>
      <c r="TSS49" s="440"/>
      <c r="TST49" s="440"/>
      <c r="TSU49" s="440"/>
      <c r="TSV49" s="440"/>
      <c r="TSW49" s="440"/>
      <c r="TSX49" s="440"/>
      <c r="TSY49" s="440"/>
      <c r="TSZ49" s="440"/>
      <c r="TTA49" s="440"/>
      <c r="TTB49" s="440"/>
      <c r="TTC49" s="440"/>
      <c r="TTD49" s="440"/>
      <c r="TTE49" s="440"/>
      <c r="TTF49" s="440"/>
      <c r="TTG49" s="440"/>
      <c r="TTH49" s="440"/>
      <c r="TTI49" s="440"/>
      <c r="TTJ49" s="440"/>
      <c r="TTK49" s="440"/>
      <c r="TTL49" s="440"/>
      <c r="TTM49" s="440"/>
      <c r="TTN49" s="440"/>
      <c r="TTO49" s="440"/>
      <c r="TTP49" s="440"/>
      <c r="TTQ49" s="440"/>
      <c r="TTR49" s="440"/>
      <c r="TTS49" s="440"/>
      <c r="TTT49" s="440"/>
      <c r="TTU49" s="440"/>
      <c r="TTV49" s="440"/>
      <c r="TTW49" s="440"/>
      <c r="TTX49" s="440"/>
      <c r="TTY49" s="440"/>
      <c r="TTZ49" s="440"/>
      <c r="TUA49" s="440"/>
      <c r="TUB49" s="440"/>
      <c r="TUC49" s="440"/>
      <c r="TUD49" s="440"/>
      <c r="TUE49" s="440"/>
      <c r="TUF49" s="440"/>
      <c r="TUG49" s="440"/>
      <c r="TUH49" s="440"/>
      <c r="TUI49" s="440"/>
      <c r="TUJ49" s="440"/>
      <c r="TUK49" s="440"/>
      <c r="TUL49" s="440"/>
      <c r="TUM49" s="440"/>
      <c r="TUO49" s="440"/>
      <c r="TUP49" s="440"/>
      <c r="TUQ49" s="440"/>
      <c r="TUR49" s="440"/>
      <c r="TUS49" s="440"/>
      <c r="TUT49" s="440"/>
      <c r="TUU49" s="440"/>
      <c r="TUV49" s="440"/>
      <c r="TUW49" s="440"/>
      <c r="TUX49" s="440"/>
      <c r="TUY49" s="440"/>
      <c r="TUZ49" s="440"/>
      <c r="TVA49" s="440"/>
      <c r="TVB49" s="440"/>
      <c r="TVC49" s="440"/>
      <c r="TVD49" s="440"/>
      <c r="TVE49" s="440"/>
      <c r="TVF49" s="440"/>
      <c r="TVG49" s="440"/>
      <c r="TVH49" s="440"/>
      <c r="TVI49" s="440"/>
      <c r="TVJ49" s="440"/>
      <c r="TVK49" s="440"/>
      <c r="TVL49" s="440"/>
      <c r="TVM49" s="440"/>
      <c r="TVN49" s="440"/>
      <c r="TVO49" s="440"/>
      <c r="TVP49" s="440"/>
      <c r="TVQ49" s="440"/>
      <c r="TVR49" s="440"/>
      <c r="TVS49" s="440"/>
      <c r="TVT49" s="440"/>
      <c r="TVU49" s="440"/>
      <c r="TVV49" s="440"/>
      <c r="TVW49" s="440"/>
      <c r="TVX49" s="440"/>
      <c r="TVY49" s="440"/>
      <c r="TVZ49" s="440"/>
      <c r="TWA49" s="440"/>
      <c r="TWB49" s="440"/>
      <c r="TWC49" s="440"/>
      <c r="TWD49" s="440"/>
      <c r="TWE49" s="440"/>
      <c r="TWF49" s="440"/>
      <c r="TWG49" s="440"/>
      <c r="TWH49" s="440"/>
      <c r="TWI49" s="440"/>
      <c r="TWJ49" s="440"/>
      <c r="TWK49" s="440"/>
      <c r="TWL49" s="440"/>
      <c r="TWM49" s="440"/>
      <c r="TWN49" s="440"/>
      <c r="TWO49" s="440"/>
      <c r="TWP49" s="440"/>
      <c r="TWQ49" s="440"/>
      <c r="TWR49" s="440"/>
      <c r="TWS49" s="440"/>
      <c r="TWT49" s="440"/>
      <c r="TWU49" s="440"/>
      <c r="TWV49" s="440"/>
      <c r="TWW49" s="440"/>
      <c r="TWX49" s="440"/>
      <c r="TWY49" s="440"/>
      <c r="TWZ49" s="440"/>
      <c r="TXA49" s="440"/>
      <c r="TXB49" s="440"/>
      <c r="TXC49" s="440"/>
      <c r="TXD49" s="440"/>
      <c r="TXE49" s="440"/>
      <c r="TXF49" s="440"/>
      <c r="TXG49" s="440"/>
      <c r="TXH49" s="440"/>
      <c r="TXI49" s="440"/>
      <c r="TXJ49" s="440"/>
      <c r="TXK49" s="440"/>
      <c r="TXL49" s="440"/>
      <c r="TXM49" s="440"/>
      <c r="TXN49" s="440"/>
      <c r="TXO49" s="440"/>
      <c r="TXP49" s="440"/>
      <c r="TXQ49" s="440"/>
      <c r="TXR49" s="440"/>
      <c r="TXS49" s="440"/>
      <c r="TXT49" s="440"/>
      <c r="TXU49" s="440"/>
      <c r="TXV49" s="440"/>
      <c r="TXW49" s="440"/>
      <c r="TXX49" s="440"/>
      <c r="TXY49" s="440"/>
      <c r="TXZ49" s="440"/>
      <c r="TYA49" s="440"/>
      <c r="TYB49" s="440"/>
      <c r="TYC49" s="440"/>
      <c r="TYD49" s="440"/>
      <c r="TYE49" s="440"/>
      <c r="TYF49" s="440"/>
      <c r="TYG49" s="440"/>
      <c r="TYH49" s="440"/>
      <c r="TYI49" s="440"/>
      <c r="TYJ49" s="440"/>
      <c r="TYK49" s="440"/>
      <c r="TYL49" s="440"/>
      <c r="TYM49" s="440"/>
      <c r="TYN49" s="440"/>
      <c r="TYO49" s="440"/>
      <c r="TYP49" s="440"/>
      <c r="TYQ49" s="440"/>
      <c r="TYR49" s="440"/>
      <c r="TYS49" s="440"/>
      <c r="TYT49" s="440"/>
      <c r="TYU49" s="440"/>
      <c r="TYV49" s="440"/>
      <c r="TYW49" s="440"/>
      <c r="TYX49" s="440"/>
      <c r="TYY49" s="440"/>
      <c r="TYZ49" s="440"/>
      <c r="TZA49" s="440"/>
      <c r="TZB49" s="440"/>
      <c r="TZC49" s="440"/>
      <c r="TZD49" s="440"/>
      <c r="TZE49" s="440"/>
      <c r="TZF49" s="440"/>
      <c r="TZG49" s="440"/>
      <c r="TZH49" s="440"/>
      <c r="TZI49" s="440"/>
      <c r="TZJ49" s="440"/>
      <c r="TZK49" s="440"/>
      <c r="TZL49" s="440"/>
      <c r="TZM49" s="440"/>
      <c r="TZN49" s="440"/>
      <c r="TZO49" s="440"/>
      <c r="TZP49" s="440"/>
      <c r="TZQ49" s="440"/>
      <c r="TZR49" s="440"/>
      <c r="TZS49" s="440"/>
      <c r="TZT49" s="440"/>
      <c r="TZU49" s="440"/>
      <c r="TZV49" s="440"/>
      <c r="TZW49" s="440"/>
      <c r="TZX49" s="440"/>
      <c r="TZY49" s="440"/>
      <c r="TZZ49" s="440"/>
      <c r="UAA49" s="440"/>
      <c r="UAB49" s="440"/>
      <c r="UAC49" s="440"/>
      <c r="UAD49" s="440"/>
      <c r="UAE49" s="440"/>
      <c r="UAF49" s="440"/>
      <c r="UAG49" s="440"/>
      <c r="UAH49" s="440"/>
      <c r="UAI49" s="440"/>
      <c r="UAJ49" s="440"/>
      <c r="UAK49" s="440"/>
      <c r="UAL49" s="440"/>
      <c r="UAM49" s="440"/>
      <c r="UAN49" s="440"/>
      <c r="UAO49" s="440"/>
      <c r="UAP49" s="440"/>
      <c r="UAQ49" s="440"/>
      <c r="UAR49" s="440"/>
      <c r="UAS49" s="440"/>
      <c r="UAT49" s="440"/>
      <c r="UAU49" s="440"/>
      <c r="UAV49" s="440"/>
      <c r="UAW49" s="440"/>
      <c r="UAX49" s="440"/>
      <c r="UAY49" s="440"/>
      <c r="UAZ49" s="440"/>
      <c r="UBA49" s="440"/>
      <c r="UBB49" s="440"/>
      <c r="UBC49" s="440"/>
      <c r="UBD49" s="440"/>
      <c r="UBE49" s="440"/>
      <c r="UBF49" s="440"/>
      <c r="UBG49" s="440"/>
      <c r="UBH49" s="440"/>
      <c r="UBI49" s="440"/>
      <c r="UBJ49" s="440"/>
      <c r="UBK49" s="440"/>
      <c r="UBL49" s="440"/>
      <c r="UBM49" s="440"/>
      <c r="UBN49" s="440"/>
      <c r="UBO49" s="440"/>
      <c r="UBP49" s="440"/>
      <c r="UBQ49" s="440"/>
      <c r="UBR49" s="440"/>
      <c r="UBS49" s="440"/>
      <c r="UBT49" s="440"/>
      <c r="UBU49" s="440"/>
      <c r="UBV49" s="440"/>
      <c r="UBW49" s="440"/>
      <c r="UBX49" s="440"/>
      <c r="UBY49" s="440"/>
      <c r="UBZ49" s="440"/>
      <c r="UCA49" s="440"/>
      <c r="UCB49" s="440"/>
      <c r="UCC49" s="440"/>
      <c r="UCD49" s="440"/>
      <c r="UCE49" s="440"/>
      <c r="UCF49" s="440"/>
      <c r="UCG49" s="440"/>
      <c r="UCH49" s="440"/>
      <c r="UCI49" s="440"/>
      <c r="UCJ49" s="440"/>
      <c r="UCK49" s="440"/>
      <c r="UCL49" s="440"/>
      <c r="UCM49" s="440"/>
      <c r="UCN49" s="440"/>
      <c r="UCO49" s="440"/>
      <c r="UCP49" s="440"/>
      <c r="UCQ49" s="440"/>
      <c r="UCR49" s="440"/>
      <c r="UCS49" s="440"/>
      <c r="UCT49" s="440"/>
      <c r="UCU49" s="440"/>
      <c r="UCV49" s="440"/>
      <c r="UCW49" s="440"/>
      <c r="UCX49" s="440"/>
      <c r="UCY49" s="440"/>
      <c r="UCZ49" s="440"/>
      <c r="UDA49" s="440"/>
      <c r="UDB49" s="440"/>
      <c r="UDC49" s="440"/>
      <c r="UDD49" s="440"/>
      <c r="UDE49" s="440"/>
      <c r="UDF49" s="440"/>
      <c r="UDG49" s="440"/>
      <c r="UDH49" s="440"/>
      <c r="UDI49" s="440"/>
      <c r="UDJ49" s="440"/>
      <c r="UDK49" s="440"/>
      <c r="UDL49" s="440"/>
      <c r="UDM49" s="440"/>
      <c r="UDN49" s="440"/>
      <c r="UDO49" s="440"/>
      <c r="UDP49" s="440"/>
      <c r="UDQ49" s="440"/>
      <c r="UDR49" s="440"/>
      <c r="UDS49" s="440"/>
      <c r="UDT49" s="440"/>
      <c r="UDU49" s="440"/>
      <c r="UDV49" s="440"/>
      <c r="UDW49" s="440"/>
      <c r="UDX49" s="440"/>
      <c r="UDY49" s="440"/>
      <c r="UDZ49" s="440"/>
      <c r="UEA49" s="440"/>
      <c r="UEB49" s="440"/>
      <c r="UEC49" s="440"/>
      <c r="UED49" s="440"/>
      <c r="UEE49" s="440"/>
      <c r="UEF49" s="440"/>
      <c r="UEG49" s="440"/>
      <c r="UEH49" s="440"/>
      <c r="UEI49" s="440"/>
      <c r="UEK49" s="440"/>
      <c r="UEL49" s="440"/>
      <c r="UEM49" s="440"/>
      <c r="UEN49" s="440"/>
      <c r="UEO49" s="440"/>
      <c r="UEP49" s="440"/>
      <c r="UEQ49" s="440"/>
      <c r="UER49" s="440"/>
      <c r="UES49" s="440"/>
      <c r="UET49" s="440"/>
      <c r="UEU49" s="440"/>
      <c r="UEV49" s="440"/>
      <c r="UEW49" s="440"/>
      <c r="UEX49" s="440"/>
      <c r="UEY49" s="440"/>
      <c r="UEZ49" s="440"/>
      <c r="UFA49" s="440"/>
      <c r="UFB49" s="440"/>
      <c r="UFC49" s="440"/>
      <c r="UFD49" s="440"/>
      <c r="UFE49" s="440"/>
      <c r="UFF49" s="440"/>
      <c r="UFG49" s="440"/>
      <c r="UFH49" s="440"/>
      <c r="UFI49" s="440"/>
      <c r="UFJ49" s="440"/>
      <c r="UFK49" s="440"/>
      <c r="UFL49" s="440"/>
      <c r="UFM49" s="440"/>
      <c r="UFN49" s="440"/>
      <c r="UFO49" s="440"/>
      <c r="UFP49" s="440"/>
      <c r="UFQ49" s="440"/>
      <c r="UFR49" s="440"/>
      <c r="UFS49" s="440"/>
      <c r="UFT49" s="440"/>
      <c r="UFU49" s="440"/>
      <c r="UFV49" s="440"/>
      <c r="UFW49" s="440"/>
      <c r="UFX49" s="440"/>
      <c r="UFY49" s="440"/>
      <c r="UFZ49" s="440"/>
      <c r="UGA49" s="440"/>
      <c r="UGB49" s="440"/>
      <c r="UGC49" s="440"/>
      <c r="UGD49" s="440"/>
      <c r="UGE49" s="440"/>
      <c r="UGF49" s="440"/>
      <c r="UGG49" s="440"/>
      <c r="UGH49" s="440"/>
      <c r="UGI49" s="440"/>
      <c r="UGJ49" s="440"/>
      <c r="UGK49" s="440"/>
      <c r="UGL49" s="440"/>
      <c r="UGM49" s="440"/>
      <c r="UGN49" s="440"/>
      <c r="UGO49" s="440"/>
      <c r="UGP49" s="440"/>
      <c r="UGQ49" s="440"/>
      <c r="UGR49" s="440"/>
      <c r="UGS49" s="440"/>
      <c r="UGT49" s="440"/>
      <c r="UGU49" s="440"/>
      <c r="UGV49" s="440"/>
      <c r="UGW49" s="440"/>
      <c r="UGX49" s="440"/>
      <c r="UGY49" s="440"/>
      <c r="UGZ49" s="440"/>
      <c r="UHA49" s="440"/>
      <c r="UHB49" s="440"/>
      <c r="UHC49" s="440"/>
      <c r="UHD49" s="440"/>
      <c r="UHE49" s="440"/>
      <c r="UHF49" s="440"/>
      <c r="UHG49" s="440"/>
      <c r="UHH49" s="440"/>
      <c r="UHI49" s="440"/>
      <c r="UHJ49" s="440"/>
      <c r="UHK49" s="440"/>
      <c r="UHL49" s="440"/>
      <c r="UHM49" s="440"/>
      <c r="UHN49" s="440"/>
      <c r="UHO49" s="440"/>
      <c r="UHP49" s="440"/>
      <c r="UHQ49" s="440"/>
      <c r="UHR49" s="440"/>
      <c r="UHS49" s="440"/>
      <c r="UHT49" s="440"/>
      <c r="UHU49" s="440"/>
      <c r="UHV49" s="440"/>
      <c r="UHW49" s="440"/>
      <c r="UHX49" s="440"/>
      <c r="UHY49" s="440"/>
      <c r="UHZ49" s="440"/>
      <c r="UIA49" s="440"/>
      <c r="UIB49" s="440"/>
      <c r="UIC49" s="440"/>
      <c r="UID49" s="440"/>
      <c r="UIE49" s="440"/>
      <c r="UIF49" s="440"/>
      <c r="UIG49" s="440"/>
      <c r="UIH49" s="440"/>
      <c r="UII49" s="440"/>
      <c r="UIJ49" s="440"/>
      <c r="UIK49" s="440"/>
      <c r="UIL49" s="440"/>
      <c r="UIM49" s="440"/>
      <c r="UIN49" s="440"/>
      <c r="UIO49" s="440"/>
      <c r="UIP49" s="440"/>
      <c r="UIQ49" s="440"/>
      <c r="UIR49" s="440"/>
      <c r="UIS49" s="440"/>
      <c r="UIT49" s="440"/>
      <c r="UIU49" s="440"/>
      <c r="UIV49" s="440"/>
      <c r="UIW49" s="440"/>
      <c r="UIX49" s="440"/>
      <c r="UIY49" s="440"/>
      <c r="UIZ49" s="440"/>
      <c r="UJA49" s="440"/>
      <c r="UJB49" s="440"/>
      <c r="UJC49" s="440"/>
      <c r="UJD49" s="440"/>
      <c r="UJE49" s="440"/>
      <c r="UJF49" s="440"/>
      <c r="UJG49" s="440"/>
      <c r="UJH49" s="440"/>
      <c r="UJI49" s="440"/>
      <c r="UJJ49" s="440"/>
      <c r="UJK49" s="440"/>
      <c r="UJL49" s="440"/>
      <c r="UJM49" s="440"/>
      <c r="UJN49" s="440"/>
      <c r="UJO49" s="440"/>
      <c r="UJP49" s="440"/>
      <c r="UJQ49" s="440"/>
      <c r="UJR49" s="440"/>
      <c r="UJS49" s="440"/>
      <c r="UJT49" s="440"/>
      <c r="UJU49" s="440"/>
      <c r="UJV49" s="440"/>
      <c r="UJW49" s="440"/>
      <c r="UJX49" s="440"/>
      <c r="UJY49" s="440"/>
      <c r="UJZ49" s="440"/>
      <c r="UKA49" s="440"/>
      <c r="UKB49" s="440"/>
      <c r="UKC49" s="440"/>
      <c r="UKD49" s="440"/>
      <c r="UKE49" s="440"/>
      <c r="UKF49" s="440"/>
      <c r="UKG49" s="440"/>
      <c r="UKH49" s="440"/>
      <c r="UKI49" s="440"/>
      <c r="UKJ49" s="440"/>
      <c r="UKK49" s="440"/>
      <c r="UKL49" s="440"/>
      <c r="UKM49" s="440"/>
      <c r="UKN49" s="440"/>
      <c r="UKO49" s="440"/>
      <c r="UKP49" s="440"/>
      <c r="UKQ49" s="440"/>
      <c r="UKR49" s="440"/>
      <c r="UKS49" s="440"/>
      <c r="UKT49" s="440"/>
      <c r="UKU49" s="440"/>
      <c r="UKV49" s="440"/>
      <c r="UKW49" s="440"/>
      <c r="UKX49" s="440"/>
      <c r="UKY49" s="440"/>
      <c r="UKZ49" s="440"/>
      <c r="ULA49" s="440"/>
      <c r="ULB49" s="440"/>
      <c r="ULC49" s="440"/>
      <c r="ULD49" s="440"/>
      <c r="ULE49" s="440"/>
      <c r="ULF49" s="440"/>
      <c r="ULG49" s="440"/>
      <c r="ULH49" s="440"/>
      <c r="ULI49" s="440"/>
      <c r="ULJ49" s="440"/>
      <c r="ULK49" s="440"/>
      <c r="ULL49" s="440"/>
      <c r="ULM49" s="440"/>
      <c r="ULN49" s="440"/>
      <c r="ULO49" s="440"/>
      <c r="ULP49" s="440"/>
      <c r="ULQ49" s="440"/>
      <c r="ULR49" s="440"/>
      <c r="ULS49" s="440"/>
      <c r="ULT49" s="440"/>
      <c r="ULU49" s="440"/>
      <c r="ULV49" s="440"/>
      <c r="ULW49" s="440"/>
      <c r="ULX49" s="440"/>
      <c r="ULY49" s="440"/>
      <c r="ULZ49" s="440"/>
      <c r="UMA49" s="440"/>
      <c r="UMB49" s="440"/>
      <c r="UMC49" s="440"/>
      <c r="UMD49" s="440"/>
      <c r="UME49" s="440"/>
      <c r="UMF49" s="440"/>
      <c r="UMG49" s="440"/>
      <c r="UMH49" s="440"/>
      <c r="UMI49" s="440"/>
      <c r="UMJ49" s="440"/>
      <c r="UMK49" s="440"/>
      <c r="UML49" s="440"/>
      <c r="UMM49" s="440"/>
      <c r="UMN49" s="440"/>
      <c r="UMO49" s="440"/>
      <c r="UMP49" s="440"/>
      <c r="UMQ49" s="440"/>
      <c r="UMR49" s="440"/>
      <c r="UMS49" s="440"/>
      <c r="UMT49" s="440"/>
      <c r="UMU49" s="440"/>
      <c r="UMV49" s="440"/>
      <c r="UMW49" s="440"/>
      <c r="UMX49" s="440"/>
      <c r="UMY49" s="440"/>
      <c r="UMZ49" s="440"/>
      <c r="UNA49" s="440"/>
      <c r="UNB49" s="440"/>
      <c r="UNC49" s="440"/>
      <c r="UND49" s="440"/>
      <c r="UNE49" s="440"/>
      <c r="UNF49" s="440"/>
      <c r="UNG49" s="440"/>
      <c r="UNH49" s="440"/>
      <c r="UNI49" s="440"/>
      <c r="UNJ49" s="440"/>
      <c r="UNK49" s="440"/>
      <c r="UNL49" s="440"/>
      <c r="UNM49" s="440"/>
      <c r="UNN49" s="440"/>
      <c r="UNO49" s="440"/>
      <c r="UNP49" s="440"/>
      <c r="UNQ49" s="440"/>
      <c r="UNR49" s="440"/>
      <c r="UNS49" s="440"/>
      <c r="UNT49" s="440"/>
      <c r="UNU49" s="440"/>
      <c r="UNV49" s="440"/>
      <c r="UNW49" s="440"/>
      <c r="UNX49" s="440"/>
      <c r="UNY49" s="440"/>
      <c r="UNZ49" s="440"/>
      <c r="UOA49" s="440"/>
      <c r="UOB49" s="440"/>
      <c r="UOC49" s="440"/>
      <c r="UOD49" s="440"/>
      <c r="UOE49" s="440"/>
      <c r="UOG49" s="440"/>
      <c r="UOH49" s="440"/>
      <c r="UOI49" s="440"/>
      <c r="UOJ49" s="440"/>
      <c r="UOK49" s="440"/>
      <c r="UOL49" s="440"/>
      <c r="UOM49" s="440"/>
      <c r="UON49" s="440"/>
      <c r="UOO49" s="440"/>
      <c r="UOP49" s="440"/>
      <c r="UOQ49" s="440"/>
      <c r="UOR49" s="440"/>
      <c r="UOS49" s="440"/>
      <c r="UOT49" s="440"/>
      <c r="UOU49" s="440"/>
      <c r="UOV49" s="440"/>
      <c r="UOW49" s="440"/>
      <c r="UOX49" s="440"/>
      <c r="UOY49" s="440"/>
      <c r="UOZ49" s="440"/>
      <c r="UPA49" s="440"/>
      <c r="UPB49" s="440"/>
      <c r="UPC49" s="440"/>
      <c r="UPD49" s="440"/>
      <c r="UPE49" s="440"/>
      <c r="UPF49" s="440"/>
      <c r="UPG49" s="440"/>
      <c r="UPH49" s="440"/>
      <c r="UPI49" s="440"/>
      <c r="UPJ49" s="440"/>
      <c r="UPK49" s="440"/>
      <c r="UPL49" s="440"/>
      <c r="UPM49" s="440"/>
      <c r="UPN49" s="440"/>
      <c r="UPO49" s="440"/>
      <c r="UPP49" s="440"/>
      <c r="UPQ49" s="440"/>
      <c r="UPR49" s="440"/>
      <c r="UPS49" s="440"/>
      <c r="UPT49" s="440"/>
      <c r="UPU49" s="440"/>
      <c r="UPV49" s="440"/>
      <c r="UPW49" s="440"/>
      <c r="UPX49" s="440"/>
      <c r="UPY49" s="440"/>
      <c r="UPZ49" s="440"/>
      <c r="UQA49" s="440"/>
      <c r="UQB49" s="440"/>
      <c r="UQC49" s="440"/>
      <c r="UQD49" s="440"/>
      <c r="UQE49" s="440"/>
      <c r="UQF49" s="440"/>
      <c r="UQG49" s="440"/>
      <c r="UQH49" s="440"/>
      <c r="UQI49" s="440"/>
      <c r="UQJ49" s="440"/>
      <c r="UQK49" s="440"/>
      <c r="UQL49" s="440"/>
      <c r="UQM49" s="440"/>
      <c r="UQN49" s="440"/>
      <c r="UQO49" s="440"/>
      <c r="UQP49" s="440"/>
      <c r="UQQ49" s="440"/>
      <c r="UQR49" s="440"/>
      <c r="UQS49" s="440"/>
      <c r="UQT49" s="440"/>
      <c r="UQU49" s="440"/>
      <c r="UQV49" s="440"/>
      <c r="UQW49" s="440"/>
      <c r="UQX49" s="440"/>
      <c r="UQY49" s="440"/>
      <c r="UQZ49" s="440"/>
      <c r="URA49" s="440"/>
      <c r="URB49" s="440"/>
      <c r="URC49" s="440"/>
      <c r="URD49" s="440"/>
      <c r="URE49" s="440"/>
      <c r="URF49" s="440"/>
      <c r="URG49" s="440"/>
      <c r="URH49" s="440"/>
      <c r="URI49" s="440"/>
      <c r="URJ49" s="440"/>
      <c r="URK49" s="440"/>
      <c r="URL49" s="440"/>
      <c r="URM49" s="440"/>
      <c r="URN49" s="440"/>
      <c r="URO49" s="440"/>
      <c r="URP49" s="440"/>
      <c r="URQ49" s="440"/>
      <c r="URR49" s="440"/>
      <c r="URS49" s="440"/>
      <c r="URT49" s="440"/>
      <c r="URU49" s="440"/>
      <c r="URV49" s="440"/>
      <c r="URW49" s="440"/>
      <c r="URX49" s="440"/>
      <c r="URY49" s="440"/>
      <c r="URZ49" s="440"/>
      <c r="USA49" s="440"/>
      <c r="USB49" s="440"/>
      <c r="USC49" s="440"/>
      <c r="USD49" s="440"/>
      <c r="USE49" s="440"/>
      <c r="USF49" s="440"/>
      <c r="USG49" s="440"/>
      <c r="USH49" s="440"/>
      <c r="USI49" s="440"/>
      <c r="USJ49" s="440"/>
      <c r="USK49" s="440"/>
      <c r="USL49" s="440"/>
      <c r="USM49" s="440"/>
      <c r="USN49" s="440"/>
      <c r="USO49" s="440"/>
      <c r="USP49" s="440"/>
      <c r="USQ49" s="440"/>
      <c r="USR49" s="440"/>
      <c r="USS49" s="440"/>
      <c r="UST49" s="440"/>
      <c r="USU49" s="440"/>
      <c r="USV49" s="440"/>
      <c r="USW49" s="440"/>
      <c r="USX49" s="440"/>
      <c r="USY49" s="440"/>
      <c r="USZ49" s="440"/>
      <c r="UTA49" s="440"/>
      <c r="UTB49" s="440"/>
      <c r="UTC49" s="440"/>
      <c r="UTD49" s="440"/>
      <c r="UTE49" s="440"/>
      <c r="UTF49" s="440"/>
      <c r="UTG49" s="440"/>
      <c r="UTH49" s="440"/>
      <c r="UTI49" s="440"/>
      <c r="UTJ49" s="440"/>
      <c r="UTK49" s="440"/>
      <c r="UTL49" s="440"/>
      <c r="UTM49" s="440"/>
      <c r="UTN49" s="440"/>
      <c r="UTO49" s="440"/>
      <c r="UTP49" s="440"/>
      <c r="UTQ49" s="440"/>
      <c r="UTR49" s="440"/>
      <c r="UTS49" s="440"/>
      <c r="UTT49" s="440"/>
      <c r="UTU49" s="440"/>
      <c r="UTV49" s="440"/>
      <c r="UTW49" s="440"/>
      <c r="UTX49" s="440"/>
      <c r="UTY49" s="440"/>
      <c r="UTZ49" s="440"/>
      <c r="UUA49" s="440"/>
      <c r="UUB49" s="440"/>
      <c r="UUC49" s="440"/>
      <c r="UUD49" s="440"/>
      <c r="UUE49" s="440"/>
      <c r="UUF49" s="440"/>
      <c r="UUG49" s="440"/>
      <c r="UUH49" s="440"/>
      <c r="UUI49" s="440"/>
      <c r="UUJ49" s="440"/>
      <c r="UUK49" s="440"/>
      <c r="UUL49" s="440"/>
      <c r="UUM49" s="440"/>
      <c r="UUN49" s="440"/>
      <c r="UUO49" s="440"/>
      <c r="UUP49" s="440"/>
      <c r="UUQ49" s="440"/>
      <c r="UUR49" s="440"/>
      <c r="UUS49" s="440"/>
      <c r="UUT49" s="440"/>
      <c r="UUU49" s="440"/>
      <c r="UUV49" s="440"/>
      <c r="UUW49" s="440"/>
      <c r="UUX49" s="440"/>
      <c r="UUY49" s="440"/>
      <c r="UUZ49" s="440"/>
      <c r="UVA49" s="440"/>
      <c r="UVB49" s="440"/>
      <c r="UVC49" s="440"/>
      <c r="UVD49" s="440"/>
      <c r="UVE49" s="440"/>
      <c r="UVF49" s="440"/>
      <c r="UVG49" s="440"/>
      <c r="UVH49" s="440"/>
      <c r="UVI49" s="440"/>
      <c r="UVJ49" s="440"/>
      <c r="UVK49" s="440"/>
      <c r="UVL49" s="440"/>
      <c r="UVM49" s="440"/>
      <c r="UVN49" s="440"/>
      <c r="UVO49" s="440"/>
      <c r="UVP49" s="440"/>
      <c r="UVQ49" s="440"/>
      <c r="UVR49" s="440"/>
      <c r="UVS49" s="440"/>
      <c r="UVT49" s="440"/>
      <c r="UVU49" s="440"/>
      <c r="UVV49" s="440"/>
      <c r="UVW49" s="440"/>
      <c r="UVX49" s="440"/>
      <c r="UVY49" s="440"/>
      <c r="UVZ49" s="440"/>
      <c r="UWA49" s="440"/>
      <c r="UWB49" s="440"/>
      <c r="UWC49" s="440"/>
      <c r="UWD49" s="440"/>
      <c r="UWE49" s="440"/>
      <c r="UWF49" s="440"/>
      <c r="UWG49" s="440"/>
      <c r="UWH49" s="440"/>
      <c r="UWI49" s="440"/>
      <c r="UWJ49" s="440"/>
      <c r="UWK49" s="440"/>
      <c r="UWL49" s="440"/>
      <c r="UWM49" s="440"/>
      <c r="UWN49" s="440"/>
      <c r="UWO49" s="440"/>
      <c r="UWP49" s="440"/>
      <c r="UWQ49" s="440"/>
      <c r="UWR49" s="440"/>
      <c r="UWS49" s="440"/>
      <c r="UWT49" s="440"/>
      <c r="UWU49" s="440"/>
      <c r="UWV49" s="440"/>
      <c r="UWW49" s="440"/>
      <c r="UWX49" s="440"/>
      <c r="UWY49" s="440"/>
      <c r="UWZ49" s="440"/>
      <c r="UXA49" s="440"/>
      <c r="UXB49" s="440"/>
      <c r="UXC49" s="440"/>
      <c r="UXD49" s="440"/>
      <c r="UXE49" s="440"/>
      <c r="UXF49" s="440"/>
      <c r="UXG49" s="440"/>
      <c r="UXH49" s="440"/>
      <c r="UXI49" s="440"/>
      <c r="UXJ49" s="440"/>
      <c r="UXK49" s="440"/>
      <c r="UXL49" s="440"/>
      <c r="UXM49" s="440"/>
      <c r="UXN49" s="440"/>
      <c r="UXO49" s="440"/>
      <c r="UXP49" s="440"/>
      <c r="UXQ49" s="440"/>
      <c r="UXR49" s="440"/>
      <c r="UXS49" s="440"/>
      <c r="UXT49" s="440"/>
      <c r="UXU49" s="440"/>
      <c r="UXV49" s="440"/>
      <c r="UXW49" s="440"/>
      <c r="UXX49" s="440"/>
      <c r="UXY49" s="440"/>
      <c r="UXZ49" s="440"/>
      <c r="UYA49" s="440"/>
      <c r="UYC49" s="440"/>
      <c r="UYD49" s="440"/>
      <c r="UYE49" s="440"/>
      <c r="UYF49" s="440"/>
      <c r="UYG49" s="440"/>
      <c r="UYH49" s="440"/>
      <c r="UYI49" s="440"/>
      <c r="UYJ49" s="440"/>
      <c r="UYK49" s="440"/>
      <c r="UYL49" s="440"/>
      <c r="UYM49" s="440"/>
      <c r="UYN49" s="440"/>
      <c r="UYO49" s="440"/>
      <c r="UYP49" s="440"/>
      <c r="UYQ49" s="440"/>
      <c r="UYR49" s="440"/>
      <c r="UYS49" s="440"/>
      <c r="UYT49" s="440"/>
      <c r="UYU49" s="440"/>
      <c r="UYV49" s="440"/>
      <c r="UYW49" s="440"/>
      <c r="UYX49" s="440"/>
      <c r="UYY49" s="440"/>
      <c r="UYZ49" s="440"/>
      <c r="UZA49" s="440"/>
      <c r="UZB49" s="440"/>
      <c r="UZC49" s="440"/>
      <c r="UZD49" s="440"/>
      <c r="UZE49" s="440"/>
      <c r="UZF49" s="440"/>
      <c r="UZG49" s="440"/>
      <c r="UZH49" s="440"/>
      <c r="UZI49" s="440"/>
      <c r="UZJ49" s="440"/>
      <c r="UZK49" s="440"/>
      <c r="UZL49" s="440"/>
      <c r="UZM49" s="440"/>
      <c r="UZN49" s="440"/>
      <c r="UZO49" s="440"/>
      <c r="UZP49" s="440"/>
      <c r="UZQ49" s="440"/>
      <c r="UZR49" s="440"/>
      <c r="UZS49" s="440"/>
      <c r="UZT49" s="440"/>
      <c r="UZU49" s="440"/>
      <c r="UZV49" s="440"/>
      <c r="UZW49" s="440"/>
      <c r="UZX49" s="440"/>
      <c r="UZY49" s="440"/>
      <c r="UZZ49" s="440"/>
      <c r="VAA49" s="440"/>
      <c r="VAB49" s="440"/>
      <c r="VAC49" s="440"/>
      <c r="VAD49" s="440"/>
      <c r="VAE49" s="440"/>
      <c r="VAF49" s="440"/>
      <c r="VAG49" s="440"/>
      <c r="VAH49" s="440"/>
      <c r="VAI49" s="440"/>
      <c r="VAJ49" s="440"/>
      <c r="VAK49" s="440"/>
      <c r="VAL49" s="440"/>
      <c r="VAM49" s="440"/>
      <c r="VAN49" s="440"/>
      <c r="VAO49" s="440"/>
      <c r="VAP49" s="440"/>
      <c r="VAQ49" s="440"/>
      <c r="VAR49" s="440"/>
      <c r="VAS49" s="440"/>
      <c r="VAT49" s="440"/>
      <c r="VAU49" s="440"/>
      <c r="VAV49" s="440"/>
      <c r="VAW49" s="440"/>
      <c r="VAX49" s="440"/>
      <c r="VAY49" s="440"/>
      <c r="VAZ49" s="440"/>
      <c r="VBA49" s="440"/>
      <c r="VBB49" s="440"/>
      <c r="VBC49" s="440"/>
      <c r="VBD49" s="440"/>
      <c r="VBE49" s="440"/>
      <c r="VBF49" s="440"/>
      <c r="VBG49" s="440"/>
      <c r="VBH49" s="440"/>
      <c r="VBI49" s="440"/>
      <c r="VBJ49" s="440"/>
      <c r="VBK49" s="440"/>
      <c r="VBL49" s="440"/>
      <c r="VBM49" s="440"/>
      <c r="VBN49" s="440"/>
      <c r="VBO49" s="440"/>
      <c r="VBP49" s="440"/>
      <c r="VBQ49" s="440"/>
      <c r="VBR49" s="440"/>
      <c r="VBS49" s="440"/>
      <c r="VBT49" s="440"/>
      <c r="VBU49" s="440"/>
      <c r="VBV49" s="440"/>
      <c r="VBW49" s="440"/>
      <c r="VBX49" s="440"/>
      <c r="VBY49" s="440"/>
      <c r="VBZ49" s="440"/>
      <c r="VCA49" s="440"/>
      <c r="VCB49" s="440"/>
      <c r="VCC49" s="440"/>
      <c r="VCD49" s="440"/>
      <c r="VCE49" s="440"/>
      <c r="VCF49" s="440"/>
      <c r="VCG49" s="440"/>
      <c r="VCH49" s="440"/>
      <c r="VCI49" s="440"/>
      <c r="VCJ49" s="440"/>
      <c r="VCK49" s="440"/>
      <c r="VCL49" s="440"/>
      <c r="VCM49" s="440"/>
      <c r="VCN49" s="440"/>
      <c r="VCO49" s="440"/>
      <c r="VCP49" s="440"/>
      <c r="VCQ49" s="440"/>
      <c r="VCR49" s="440"/>
      <c r="VCS49" s="440"/>
      <c r="VCT49" s="440"/>
      <c r="VCU49" s="440"/>
      <c r="VCV49" s="440"/>
      <c r="VCW49" s="440"/>
      <c r="VCX49" s="440"/>
      <c r="VCY49" s="440"/>
      <c r="VCZ49" s="440"/>
      <c r="VDA49" s="440"/>
      <c r="VDB49" s="440"/>
      <c r="VDC49" s="440"/>
      <c r="VDD49" s="440"/>
      <c r="VDE49" s="440"/>
      <c r="VDF49" s="440"/>
      <c r="VDG49" s="440"/>
      <c r="VDH49" s="440"/>
      <c r="VDI49" s="440"/>
      <c r="VDJ49" s="440"/>
      <c r="VDK49" s="440"/>
      <c r="VDL49" s="440"/>
      <c r="VDM49" s="440"/>
      <c r="VDN49" s="440"/>
      <c r="VDO49" s="440"/>
      <c r="VDP49" s="440"/>
      <c r="VDQ49" s="440"/>
      <c r="VDR49" s="440"/>
      <c r="VDS49" s="440"/>
      <c r="VDT49" s="440"/>
      <c r="VDU49" s="440"/>
      <c r="VDV49" s="440"/>
      <c r="VDW49" s="440"/>
      <c r="VDX49" s="440"/>
      <c r="VDY49" s="440"/>
      <c r="VDZ49" s="440"/>
      <c r="VEA49" s="440"/>
      <c r="VEB49" s="440"/>
      <c r="VEC49" s="440"/>
      <c r="VED49" s="440"/>
      <c r="VEE49" s="440"/>
      <c r="VEF49" s="440"/>
      <c r="VEG49" s="440"/>
      <c r="VEH49" s="440"/>
      <c r="VEI49" s="440"/>
      <c r="VEJ49" s="440"/>
      <c r="VEK49" s="440"/>
      <c r="VEL49" s="440"/>
      <c r="VEM49" s="440"/>
      <c r="VEN49" s="440"/>
      <c r="VEO49" s="440"/>
      <c r="VEP49" s="440"/>
      <c r="VEQ49" s="440"/>
      <c r="VER49" s="440"/>
      <c r="VES49" s="440"/>
      <c r="VET49" s="440"/>
      <c r="VEU49" s="440"/>
      <c r="VEV49" s="440"/>
      <c r="VEW49" s="440"/>
      <c r="VEX49" s="440"/>
      <c r="VEY49" s="440"/>
      <c r="VEZ49" s="440"/>
      <c r="VFA49" s="440"/>
      <c r="VFB49" s="440"/>
      <c r="VFC49" s="440"/>
      <c r="VFD49" s="440"/>
      <c r="VFE49" s="440"/>
      <c r="VFF49" s="440"/>
      <c r="VFG49" s="440"/>
      <c r="VFH49" s="440"/>
      <c r="VFI49" s="440"/>
      <c r="VFJ49" s="440"/>
      <c r="VFK49" s="440"/>
      <c r="VFL49" s="440"/>
      <c r="VFM49" s="440"/>
      <c r="VFN49" s="440"/>
      <c r="VFO49" s="440"/>
      <c r="VFP49" s="440"/>
      <c r="VFQ49" s="440"/>
      <c r="VFR49" s="440"/>
      <c r="VFS49" s="440"/>
      <c r="VFT49" s="440"/>
      <c r="VFU49" s="440"/>
      <c r="VFV49" s="440"/>
      <c r="VFW49" s="440"/>
      <c r="VFX49" s="440"/>
      <c r="VFY49" s="440"/>
      <c r="VFZ49" s="440"/>
      <c r="VGA49" s="440"/>
      <c r="VGB49" s="440"/>
      <c r="VGC49" s="440"/>
      <c r="VGD49" s="440"/>
      <c r="VGE49" s="440"/>
      <c r="VGF49" s="440"/>
      <c r="VGG49" s="440"/>
      <c r="VGH49" s="440"/>
      <c r="VGI49" s="440"/>
      <c r="VGJ49" s="440"/>
      <c r="VGK49" s="440"/>
      <c r="VGL49" s="440"/>
      <c r="VGM49" s="440"/>
      <c r="VGN49" s="440"/>
      <c r="VGO49" s="440"/>
      <c r="VGP49" s="440"/>
      <c r="VGQ49" s="440"/>
      <c r="VGR49" s="440"/>
      <c r="VGS49" s="440"/>
      <c r="VGT49" s="440"/>
      <c r="VGU49" s="440"/>
      <c r="VGV49" s="440"/>
      <c r="VGW49" s="440"/>
      <c r="VGX49" s="440"/>
      <c r="VGY49" s="440"/>
      <c r="VGZ49" s="440"/>
      <c r="VHA49" s="440"/>
      <c r="VHB49" s="440"/>
      <c r="VHC49" s="440"/>
      <c r="VHD49" s="440"/>
      <c r="VHE49" s="440"/>
      <c r="VHF49" s="440"/>
      <c r="VHG49" s="440"/>
      <c r="VHH49" s="440"/>
      <c r="VHI49" s="440"/>
      <c r="VHJ49" s="440"/>
      <c r="VHK49" s="440"/>
      <c r="VHL49" s="440"/>
      <c r="VHM49" s="440"/>
      <c r="VHN49" s="440"/>
      <c r="VHO49" s="440"/>
      <c r="VHP49" s="440"/>
      <c r="VHQ49" s="440"/>
      <c r="VHR49" s="440"/>
      <c r="VHS49" s="440"/>
      <c r="VHT49" s="440"/>
      <c r="VHU49" s="440"/>
      <c r="VHV49" s="440"/>
      <c r="VHW49" s="440"/>
      <c r="VHY49" s="440"/>
      <c r="VHZ49" s="440"/>
      <c r="VIA49" s="440"/>
      <c r="VIB49" s="440"/>
      <c r="VIC49" s="440"/>
      <c r="VID49" s="440"/>
      <c r="VIE49" s="440"/>
      <c r="VIF49" s="440"/>
      <c r="VIG49" s="440"/>
      <c r="VIH49" s="440"/>
      <c r="VII49" s="440"/>
      <c r="VIJ49" s="440"/>
      <c r="VIK49" s="440"/>
      <c r="VIL49" s="440"/>
      <c r="VIM49" s="440"/>
      <c r="VIN49" s="440"/>
      <c r="VIO49" s="440"/>
      <c r="VIP49" s="440"/>
      <c r="VIQ49" s="440"/>
      <c r="VIR49" s="440"/>
      <c r="VIS49" s="440"/>
      <c r="VIT49" s="440"/>
      <c r="VIU49" s="440"/>
      <c r="VIV49" s="440"/>
      <c r="VIW49" s="440"/>
      <c r="VIX49" s="440"/>
      <c r="VIY49" s="440"/>
      <c r="VIZ49" s="440"/>
      <c r="VJA49" s="440"/>
      <c r="VJB49" s="440"/>
      <c r="VJC49" s="440"/>
      <c r="VJD49" s="440"/>
      <c r="VJE49" s="440"/>
      <c r="VJF49" s="440"/>
      <c r="VJG49" s="440"/>
      <c r="VJH49" s="440"/>
      <c r="VJI49" s="440"/>
      <c r="VJJ49" s="440"/>
      <c r="VJK49" s="440"/>
      <c r="VJL49" s="440"/>
      <c r="VJM49" s="440"/>
      <c r="VJN49" s="440"/>
      <c r="VJO49" s="440"/>
      <c r="VJP49" s="440"/>
      <c r="VJQ49" s="440"/>
      <c r="VJR49" s="440"/>
      <c r="VJS49" s="440"/>
      <c r="VJT49" s="440"/>
      <c r="VJU49" s="440"/>
      <c r="VJV49" s="440"/>
      <c r="VJW49" s="440"/>
      <c r="VJX49" s="440"/>
      <c r="VJY49" s="440"/>
      <c r="VJZ49" s="440"/>
      <c r="VKA49" s="440"/>
      <c r="VKB49" s="440"/>
      <c r="VKC49" s="440"/>
      <c r="VKD49" s="440"/>
      <c r="VKE49" s="440"/>
      <c r="VKF49" s="440"/>
      <c r="VKG49" s="440"/>
      <c r="VKH49" s="440"/>
      <c r="VKI49" s="440"/>
      <c r="VKJ49" s="440"/>
      <c r="VKK49" s="440"/>
      <c r="VKL49" s="440"/>
      <c r="VKM49" s="440"/>
      <c r="VKN49" s="440"/>
      <c r="VKO49" s="440"/>
      <c r="VKP49" s="440"/>
      <c r="VKQ49" s="440"/>
      <c r="VKR49" s="440"/>
      <c r="VKS49" s="440"/>
      <c r="VKT49" s="440"/>
      <c r="VKU49" s="440"/>
      <c r="VKV49" s="440"/>
      <c r="VKW49" s="440"/>
      <c r="VKX49" s="440"/>
      <c r="VKY49" s="440"/>
      <c r="VKZ49" s="440"/>
      <c r="VLA49" s="440"/>
      <c r="VLB49" s="440"/>
      <c r="VLC49" s="440"/>
      <c r="VLD49" s="440"/>
      <c r="VLE49" s="440"/>
      <c r="VLF49" s="440"/>
      <c r="VLG49" s="440"/>
      <c r="VLH49" s="440"/>
      <c r="VLI49" s="440"/>
      <c r="VLJ49" s="440"/>
      <c r="VLK49" s="440"/>
      <c r="VLL49" s="440"/>
      <c r="VLM49" s="440"/>
      <c r="VLN49" s="440"/>
      <c r="VLO49" s="440"/>
      <c r="VLP49" s="440"/>
      <c r="VLQ49" s="440"/>
      <c r="VLR49" s="440"/>
      <c r="VLS49" s="440"/>
      <c r="VLT49" s="440"/>
      <c r="VLU49" s="440"/>
      <c r="VLV49" s="440"/>
      <c r="VLW49" s="440"/>
      <c r="VLX49" s="440"/>
      <c r="VLY49" s="440"/>
      <c r="VLZ49" s="440"/>
      <c r="VMA49" s="440"/>
      <c r="VMB49" s="440"/>
      <c r="VMC49" s="440"/>
      <c r="VMD49" s="440"/>
      <c r="VME49" s="440"/>
      <c r="VMF49" s="440"/>
      <c r="VMG49" s="440"/>
      <c r="VMH49" s="440"/>
      <c r="VMI49" s="440"/>
      <c r="VMJ49" s="440"/>
      <c r="VMK49" s="440"/>
      <c r="VML49" s="440"/>
      <c r="VMM49" s="440"/>
      <c r="VMN49" s="440"/>
      <c r="VMO49" s="440"/>
      <c r="VMP49" s="440"/>
      <c r="VMQ49" s="440"/>
      <c r="VMR49" s="440"/>
      <c r="VMS49" s="440"/>
      <c r="VMT49" s="440"/>
      <c r="VMU49" s="440"/>
      <c r="VMV49" s="440"/>
      <c r="VMW49" s="440"/>
      <c r="VMX49" s="440"/>
      <c r="VMY49" s="440"/>
      <c r="VMZ49" s="440"/>
      <c r="VNA49" s="440"/>
      <c r="VNB49" s="440"/>
      <c r="VNC49" s="440"/>
      <c r="VND49" s="440"/>
      <c r="VNE49" s="440"/>
      <c r="VNF49" s="440"/>
      <c r="VNG49" s="440"/>
      <c r="VNH49" s="440"/>
      <c r="VNI49" s="440"/>
      <c r="VNJ49" s="440"/>
      <c r="VNK49" s="440"/>
      <c r="VNL49" s="440"/>
      <c r="VNM49" s="440"/>
      <c r="VNN49" s="440"/>
      <c r="VNO49" s="440"/>
      <c r="VNP49" s="440"/>
      <c r="VNQ49" s="440"/>
      <c r="VNR49" s="440"/>
      <c r="VNS49" s="440"/>
      <c r="VNT49" s="440"/>
      <c r="VNU49" s="440"/>
      <c r="VNV49" s="440"/>
      <c r="VNW49" s="440"/>
      <c r="VNX49" s="440"/>
      <c r="VNY49" s="440"/>
      <c r="VNZ49" s="440"/>
      <c r="VOA49" s="440"/>
      <c r="VOB49" s="440"/>
      <c r="VOC49" s="440"/>
      <c r="VOD49" s="440"/>
      <c r="VOE49" s="440"/>
      <c r="VOF49" s="440"/>
      <c r="VOG49" s="440"/>
      <c r="VOH49" s="440"/>
      <c r="VOI49" s="440"/>
      <c r="VOJ49" s="440"/>
      <c r="VOK49" s="440"/>
      <c r="VOL49" s="440"/>
      <c r="VOM49" s="440"/>
      <c r="VON49" s="440"/>
      <c r="VOO49" s="440"/>
      <c r="VOP49" s="440"/>
      <c r="VOQ49" s="440"/>
      <c r="VOR49" s="440"/>
      <c r="VOS49" s="440"/>
      <c r="VOT49" s="440"/>
      <c r="VOU49" s="440"/>
      <c r="VOV49" s="440"/>
      <c r="VOW49" s="440"/>
      <c r="VOX49" s="440"/>
      <c r="VOY49" s="440"/>
      <c r="VOZ49" s="440"/>
      <c r="VPA49" s="440"/>
      <c r="VPB49" s="440"/>
      <c r="VPC49" s="440"/>
      <c r="VPD49" s="440"/>
      <c r="VPE49" s="440"/>
      <c r="VPF49" s="440"/>
      <c r="VPG49" s="440"/>
      <c r="VPH49" s="440"/>
      <c r="VPI49" s="440"/>
      <c r="VPJ49" s="440"/>
      <c r="VPK49" s="440"/>
      <c r="VPL49" s="440"/>
      <c r="VPM49" s="440"/>
      <c r="VPN49" s="440"/>
      <c r="VPO49" s="440"/>
      <c r="VPP49" s="440"/>
      <c r="VPQ49" s="440"/>
      <c r="VPR49" s="440"/>
      <c r="VPS49" s="440"/>
      <c r="VPT49" s="440"/>
      <c r="VPU49" s="440"/>
      <c r="VPV49" s="440"/>
      <c r="VPW49" s="440"/>
      <c r="VPX49" s="440"/>
      <c r="VPY49" s="440"/>
      <c r="VPZ49" s="440"/>
      <c r="VQA49" s="440"/>
      <c r="VQB49" s="440"/>
      <c r="VQC49" s="440"/>
      <c r="VQD49" s="440"/>
      <c r="VQE49" s="440"/>
      <c r="VQF49" s="440"/>
      <c r="VQG49" s="440"/>
      <c r="VQH49" s="440"/>
      <c r="VQI49" s="440"/>
      <c r="VQJ49" s="440"/>
      <c r="VQK49" s="440"/>
      <c r="VQL49" s="440"/>
      <c r="VQM49" s="440"/>
      <c r="VQN49" s="440"/>
      <c r="VQO49" s="440"/>
      <c r="VQP49" s="440"/>
      <c r="VQQ49" s="440"/>
      <c r="VQR49" s="440"/>
      <c r="VQS49" s="440"/>
      <c r="VQT49" s="440"/>
      <c r="VQU49" s="440"/>
      <c r="VQV49" s="440"/>
      <c r="VQW49" s="440"/>
      <c r="VQX49" s="440"/>
      <c r="VQY49" s="440"/>
      <c r="VQZ49" s="440"/>
      <c r="VRA49" s="440"/>
      <c r="VRB49" s="440"/>
      <c r="VRC49" s="440"/>
      <c r="VRD49" s="440"/>
      <c r="VRE49" s="440"/>
      <c r="VRF49" s="440"/>
      <c r="VRG49" s="440"/>
      <c r="VRH49" s="440"/>
      <c r="VRI49" s="440"/>
      <c r="VRJ49" s="440"/>
      <c r="VRK49" s="440"/>
      <c r="VRL49" s="440"/>
      <c r="VRM49" s="440"/>
      <c r="VRN49" s="440"/>
      <c r="VRO49" s="440"/>
      <c r="VRP49" s="440"/>
      <c r="VRQ49" s="440"/>
      <c r="VRR49" s="440"/>
      <c r="VRS49" s="440"/>
      <c r="VRU49" s="440"/>
      <c r="VRV49" s="440"/>
      <c r="VRW49" s="440"/>
      <c r="VRX49" s="440"/>
      <c r="VRY49" s="440"/>
      <c r="VRZ49" s="440"/>
      <c r="VSA49" s="440"/>
      <c r="VSB49" s="440"/>
      <c r="VSC49" s="440"/>
      <c r="VSD49" s="440"/>
      <c r="VSE49" s="440"/>
      <c r="VSF49" s="440"/>
      <c r="VSG49" s="440"/>
      <c r="VSH49" s="440"/>
      <c r="VSI49" s="440"/>
      <c r="VSJ49" s="440"/>
      <c r="VSK49" s="440"/>
      <c r="VSL49" s="440"/>
      <c r="VSM49" s="440"/>
      <c r="VSN49" s="440"/>
      <c r="VSO49" s="440"/>
      <c r="VSP49" s="440"/>
      <c r="VSQ49" s="440"/>
      <c r="VSR49" s="440"/>
      <c r="VSS49" s="440"/>
      <c r="VST49" s="440"/>
      <c r="VSU49" s="440"/>
      <c r="VSV49" s="440"/>
      <c r="VSW49" s="440"/>
      <c r="VSX49" s="440"/>
      <c r="VSY49" s="440"/>
      <c r="VSZ49" s="440"/>
      <c r="VTA49" s="440"/>
      <c r="VTB49" s="440"/>
      <c r="VTC49" s="440"/>
      <c r="VTD49" s="440"/>
      <c r="VTE49" s="440"/>
      <c r="VTF49" s="440"/>
      <c r="VTG49" s="440"/>
      <c r="VTH49" s="440"/>
      <c r="VTI49" s="440"/>
      <c r="VTJ49" s="440"/>
      <c r="VTK49" s="440"/>
      <c r="VTL49" s="440"/>
      <c r="VTM49" s="440"/>
      <c r="VTN49" s="440"/>
      <c r="VTO49" s="440"/>
      <c r="VTP49" s="440"/>
      <c r="VTQ49" s="440"/>
      <c r="VTR49" s="440"/>
      <c r="VTS49" s="440"/>
      <c r="VTT49" s="440"/>
      <c r="VTU49" s="440"/>
      <c r="VTV49" s="440"/>
      <c r="VTW49" s="440"/>
      <c r="VTX49" s="440"/>
      <c r="VTY49" s="440"/>
      <c r="VTZ49" s="440"/>
      <c r="VUA49" s="440"/>
      <c r="VUB49" s="440"/>
      <c r="VUC49" s="440"/>
      <c r="VUD49" s="440"/>
      <c r="VUE49" s="440"/>
      <c r="VUF49" s="440"/>
      <c r="VUG49" s="440"/>
      <c r="VUH49" s="440"/>
      <c r="VUI49" s="440"/>
      <c r="VUJ49" s="440"/>
      <c r="VUK49" s="440"/>
      <c r="VUL49" s="440"/>
      <c r="VUM49" s="440"/>
      <c r="VUN49" s="440"/>
      <c r="VUO49" s="440"/>
      <c r="VUP49" s="440"/>
      <c r="VUQ49" s="440"/>
      <c r="VUR49" s="440"/>
      <c r="VUS49" s="440"/>
      <c r="VUT49" s="440"/>
      <c r="VUU49" s="440"/>
      <c r="VUV49" s="440"/>
      <c r="VUW49" s="440"/>
      <c r="VUX49" s="440"/>
      <c r="VUY49" s="440"/>
      <c r="VUZ49" s="440"/>
      <c r="VVA49" s="440"/>
      <c r="VVB49" s="440"/>
      <c r="VVC49" s="440"/>
      <c r="VVD49" s="440"/>
      <c r="VVE49" s="440"/>
      <c r="VVF49" s="440"/>
      <c r="VVG49" s="440"/>
      <c r="VVH49" s="440"/>
      <c r="VVI49" s="440"/>
      <c r="VVJ49" s="440"/>
      <c r="VVK49" s="440"/>
      <c r="VVL49" s="440"/>
      <c r="VVM49" s="440"/>
      <c r="VVN49" s="440"/>
      <c r="VVO49" s="440"/>
      <c r="VVP49" s="440"/>
      <c r="VVQ49" s="440"/>
      <c r="VVR49" s="440"/>
      <c r="VVS49" s="440"/>
      <c r="VVT49" s="440"/>
      <c r="VVU49" s="440"/>
      <c r="VVV49" s="440"/>
      <c r="VVW49" s="440"/>
      <c r="VVX49" s="440"/>
      <c r="VVY49" s="440"/>
      <c r="VVZ49" s="440"/>
      <c r="VWA49" s="440"/>
      <c r="VWB49" s="440"/>
      <c r="VWC49" s="440"/>
      <c r="VWD49" s="440"/>
      <c r="VWE49" s="440"/>
      <c r="VWF49" s="440"/>
      <c r="VWG49" s="440"/>
      <c r="VWH49" s="440"/>
      <c r="VWI49" s="440"/>
      <c r="VWJ49" s="440"/>
      <c r="VWK49" s="440"/>
      <c r="VWL49" s="440"/>
      <c r="VWM49" s="440"/>
      <c r="VWN49" s="440"/>
      <c r="VWO49" s="440"/>
      <c r="VWP49" s="440"/>
      <c r="VWQ49" s="440"/>
      <c r="VWR49" s="440"/>
      <c r="VWS49" s="440"/>
      <c r="VWT49" s="440"/>
      <c r="VWU49" s="440"/>
      <c r="VWV49" s="440"/>
      <c r="VWW49" s="440"/>
      <c r="VWX49" s="440"/>
      <c r="VWY49" s="440"/>
      <c r="VWZ49" s="440"/>
      <c r="VXA49" s="440"/>
      <c r="VXB49" s="440"/>
      <c r="VXC49" s="440"/>
      <c r="VXD49" s="440"/>
      <c r="VXE49" s="440"/>
      <c r="VXF49" s="440"/>
      <c r="VXG49" s="440"/>
      <c r="VXH49" s="440"/>
      <c r="VXI49" s="440"/>
      <c r="VXJ49" s="440"/>
      <c r="VXK49" s="440"/>
      <c r="VXL49" s="440"/>
      <c r="VXM49" s="440"/>
      <c r="VXN49" s="440"/>
      <c r="VXO49" s="440"/>
      <c r="VXP49" s="440"/>
      <c r="VXQ49" s="440"/>
      <c r="VXR49" s="440"/>
      <c r="VXS49" s="440"/>
      <c r="VXT49" s="440"/>
      <c r="VXU49" s="440"/>
      <c r="VXV49" s="440"/>
      <c r="VXW49" s="440"/>
      <c r="VXX49" s="440"/>
      <c r="VXY49" s="440"/>
      <c r="VXZ49" s="440"/>
      <c r="VYA49" s="440"/>
      <c r="VYB49" s="440"/>
      <c r="VYC49" s="440"/>
      <c r="VYD49" s="440"/>
      <c r="VYE49" s="440"/>
      <c r="VYF49" s="440"/>
      <c r="VYG49" s="440"/>
      <c r="VYH49" s="440"/>
      <c r="VYI49" s="440"/>
      <c r="VYJ49" s="440"/>
      <c r="VYK49" s="440"/>
      <c r="VYL49" s="440"/>
      <c r="VYM49" s="440"/>
      <c r="VYN49" s="440"/>
      <c r="VYO49" s="440"/>
      <c r="VYP49" s="440"/>
      <c r="VYQ49" s="440"/>
      <c r="VYR49" s="440"/>
      <c r="VYS49" s="440"/>
      <c r="VYT49" s="440"/>
      <c r="VYU49" s="440"/>
      <c r="VYV49" s="440"/>
      <c r="VYW49" s="440"/>
      <c r="VYX49" s="440"/>
      <c r="VYY49" s="440"/>
      <c r="VYZ49" s="440"/>
      <c r="VZA49" s="440"/>
      <c r="VZB49" s="440"/>
      <c r="VZC49" s="440"/>
      <c r="VZD49" s="440"/>
      <c r="VZE49" s="440"/>
      <c r="VZF49" s="440"/>
      <c r="VZG49" s="440"/>
      <c r="VZH49" s="440"/>
      <c r="VZI49" s="440"/>
      <c r="VZJ49" s="440"/>
      <c r="VZK49" s="440"/>
      <c r="VZL49" s="440"/>
      <c r="VZM49" s="440"/>
      <c r="VZN49" s="440"/>
      <c r="VZO49" s="440"/>
      <c r="VZP49" s="440"/>
      <c r="VZQ49" s="440"/>
      <c r="VZR49" s="440"/>
      <c r="VZS49" s="440"/>
      <c r="VZT49" s="440"/>
      <c r="VZU49" s="440"/>
      <c r="VZV49" s="440"/>
      <c r="VZW49" s="440"/>
      <c r="VZX49" s="440"/>
      <c r="VZY49" s="440"/>
      <c r="VZZ49" s="440"/>
      <c r="WAA49" s="440"/>
      <c r="WAB49" s="440"/>
      <c r="WAC49" s="440"/>
      <c r="WAD49" s="440"/>
      <c r="WAE49" s="440"/>
      <c r="WAF49" s="440"/>
      <c r="WAG49" s="440"/>
      <c r="WAH49" s="440"/>
      <c r="WAI49" s="440"/>
      <c r="WAJ49" s="440"/>
      <c r="WAK49" s="440"/>
      <c r="WAL49" s="440"/>
      <c r="WAM49" s="440"/>
      <c r="WAN49" s="440"/>
      <c r="WAO49" s="440"/>
      <c r="WAP49" s="440"/>
      <c r="WAQ49" s="440"/>
      <c r="WAR49" s="440"/>
      <c r="WAS49" s="440"/>
      <c r="WAT49" s="440"/>
      <c r="WAU49" s="440"/>
      <c r="WAV49" s="440"/>
      <c r="WAW49" s="440"/>
      <c r="WAX49" s="440"/>
      <c r="WAY49" s="440"/>
      <c r="WAZ49" s="440"/>
      <c r="WBA49" s="440"/>
      <c r="WBB49" s="440"/>
      <c r="WBC49" s="440"/>
      <c r="WBD49" s="440"/>
      <c r="WBE49" s="440"/>
      <c r="WBF49" s="440"/>
      <c r="WBG49" s="440"/>
      <c r="WBH49" s="440"/>
      <c r="WBI49" s="440"/>
      <c r="WBJ49" s="440"/>
      <c r="WBK49" s="440"/>
      <c r="WBL49" s="440"/>
      <c r="WBM49" s="440"/>
      <c r="WBN49" s="440"/>
      <c r="WBO49" s="440"/>
      <c r="WBQ49" s="440"/>
      <c r="WBR49" s="440"/>
      <c r="WBS49" s="440"/>
      <c r="WBT49" s="440"/>
      <c r="WBU49" s="440"/>
      <c r="WBV49" s="440"/>
      <c r="WBW49" s="440"/>
      <c r="WBX49" s="440"/>
      <c r="WBY49" s="440"/>
      <c r="WBZ49" s="440"/>
      <c r="WCA49" s="440"/>
      <c r="WCB49" s="440"/>
      <c r="WCC49" s="440"/>
      <c r="WCD49" s="440"/>
      <c r="WCE49" s="440"/>
      <c r="WCF49" s="440"/>
      <c r="WCG49" s="440"/>
      <c r="WCH49" s="440"/>
      <c r="WCI49" s="440"/>
      <c r="WCJ49" s="440"/>
      <c r="WCK49" s="440"/>
      <c r="WCL49" s="440"/>
      <c r="WCM49" s="440"/>
      <c r="WCN49" s="440"/>
      <c r="WCO49" s="440"/>
      <c r="WCP49" s="440"/>
      <c r="WCQ49" s="440"/>
      <c r="WCR49" s="440"/>
      <c r="WCS49" s="440"/>
      <c r="WCT49" s="440"/>
      <c r="WCU49" s="440"/>
      <c r="WCV49" s="440"/>
      <c r="WCW49" s="440"/>
      <c r="WCX49" s="440"/>
      <c r="WCY49" s="440"/>
      <c r="WCZ49" s="440"/>
      <c r="WDA49" s="440"/>
      <c r="WDB49" s="440"/>
      <c r="WDC49" s="440"/>
      <c r="WDD49" s="440"/>
      <c r="WDE49" s="440"/>
      <c r="WDF49" s="440"/>
      <c r="WDG49" s="440"/>
      <c r="WDH49" s="440"/>
      <c r="WDI49" s="440"/>
      <c r="WDJ49" s="440"/>
      <c r="WDK49" s="440"/>
      <c r="WDL49" s="440"/>
      <c r="WDM49" s="440"/>
      <c r="WDN49" s="440"/>
      <c r="WDO49" s="440"/>
      <c r="WDP49" s="440"/>
      <c r="WDQ49" s="440"/>
      <c r="WDR49" s="440"/>
      <c r="WDS49" s="440"/>
      <c r="WDT49" s="440"/>
      <c r="WDU49" s="440"/>
      <c r="WDV49" s="440"/>
      <c r="WDW49" s="440"/>
      <c r="WDX49" s="440"/>
      <c r="WDY49" s="440"/>
      <c r="WDZ49" s="440"/>
      <c r="WEA49" s="440"/>
      <c r="WEB49" s="440"/>
      <c r="WEC49" s="440"/>
      <c r="WED49" s="440"/>
      <c r="WEE49" s="440"/>
      <c r="WEF49" s="440"/>
      <c r="WEG49" s="440"/>
      <c r="WEH49" s="440"/>
      <c r="WEI49" s="440"/>
      <c r="WEJ49" s="440"/>
      <c r="WEK49" s="440"/>
      <c r="WEL49" s="440"/>
      <c r="WEM49" s="440"/>
      <c r="WEN49" s="440"/>
      <c r="WEO49" s="440"/>
      <c r="WEP49" s="440"/>
      <c r="WEQ49" s="440"/>
      <c r="WER49" s="440"/>
      <c r="WES49" s="440"/>
      <c r="WET49" s="440"/>
      <c r="WEU49" s="440"/>
      <c r="WEV49" s="440"/>
      <c r="WEW49" s="440"/>
      <c r="WEX49" s="440"/>
      <c r="WEY49" s="440"/>
      <c r="WEZ49" s="440"/>
      <c r="WFA49" s="440"/>
      <c r="WFB49" s="440"/>
      <c r="WFC49" s="440"/>
      <c r="WFD49" s="440"/>
      <c r="WFE49" s="440"/>
      <c r="WFF49" s="440"/>
      <c r="WFG49" s="440"/>
      <c r="WFH49" s="440"/>
      <c r="WFI49" s="440"/>
      <c r="WFJ49" s="440"/>
      <c r="WFK49" s="440"/>
      <c r="WFL49" s="440"/>
      <c r="WFM49" s="440"/>
      <c r="WFN49" s="440"/>
      <c r="WFO49" s="440"/>
      <c r="WFP49" s="440"/>
      <c r="WFQ49" s="440"/>
      <c r="WFR49" s="440"/>
      <c r="WFS49" s="440"/>
      <c r="WFT49" s="440"/>
      <c r="WFU49" s="440"/>
      <c r="WFV49" s="440"/>
      <c r="WFW49" s="440"/>
      <c r="WFX49" s="440"/>
      <c r="WFY49" s="440"/>
      <c r="WFZ49" s="440"/>
      <c r="WGA49" s="440"/>
      <c r="WGB49" s="440"/>
      <c r="WGC49" s="440"/>
      <c r="WGD49" s="440"/>
      <c r="WGE49" s="440"/>
      <c r="WGF49" s="440"/>
      <c r="WGG49" s="440"/>
      <c r="WGH49" s="440"/>
      <c r="WGI49" s="440"/>
      <c r="WGJ49" s="440"/>
      <c r="WGK49" s="440"/>
      <c r="WGL49" s="440"/>
      <c r="WGM49" s="440"/>
      <c r="WGN49" s="440"/>
      <c r="WGO49" s="440"/>
      <c r="WGP49" s="440"/>
      <c r="WGQ49" s="440"/>
      <c r="WGR49" s="440"/>
      <c r="WGS49" s="440"/>
      <c r="WGT49" s="440"/>
      <c r="WGU49" s="440"/>
      <c r="WGV49" s="440"/>
      <c r="WGW49" s="440"/>
      <c r="WGX49" s="440"/>
      <c r="WGY49" s="440"/>
      <c r="WGZ49" s="440"/>
      <c r="WHA49" s="440"/>
      <c r="WHB49" s="440"/>
      <c r="WHC49" s="440"/>
      <c r="WHD49" s="440"/>
      <c r="WHE49" s="440"/>
      <c r="WHF49" s="440"/>
      <c r="WHG49" s="440"/>
      <c r="WHH49" s="440"/>
      <c r="WHI49" s="440"/>
      <c r="WHJ49" s="440"/>
      <c r="WHK49" s="440"/>
      <c r="WHL49" s="440"/>
      <c r="WHM49" s="440"/>
      <c r="WHN49" s="440"/>
      <c r="WHO49" s="440"/>
      <c r="WHP49" s="440"/>
      <c r="WHQ49" s="440"/>
      <c r="WHR49" s="440"/>
      <c r="WHS49" s="440"/>
      <c r="WHT49" s="440"/>
      <c r="WHU49" s="440"/>
      <c r="WHV49" s="440"/>
      <c r="WHW49" s="440"/>
      <c r="WHX49" s="440"/>
      <c r="WHY49" s="440"/>
      <c r="WHZ49" s="440"/>
      <c r="WIA49" s="440"/>
      <c r="WIB49" s="440"/>
      <c r="WIC49" s="440"/>
      <c r="WID49" s="440"/>
      <c r="WIE49" s="440"/>
      <c r="WIF49" s="440"/>
      <c r="WIG49" s="440"/>
      <c r="WIH49" s="440"/>
      <c r="WII49" s="440"/>
      <c r="WIJ49" s="440"/>
      <c r="WIK49" s="440"/>
      <c r="WIL49" s="440"/>
      <c r="WIM49" s="440"/>
      <c r="WIN49" s="440"/>
      <c r="WIO49" s="440"/>
      <c r="WIP49" s="440"/>
      <c r="WIQ49" s="440"/>
      <c r="WIR49" s="440"/>
      <c r="WIS49" s="440"/>
      <c r="WIT49" s="440"/>
      <c r="WIU49" s="440"/>
      <c r="WIV49" s="440"/>
      <c r="WIW49" s="440"/>
      <c r="WIX49" s="440"/>
      <c r="WIY49" s="440"/>
      <c r="WIZ49" s="440"/>
      <c r="WJA49" s="440"/>
      <c r="WJB49" s="440"/>
      <c r="WJC49" s="440"/>
      <c r="WJD49" s="440"/>
      <c r="WJE49" s="440"/>
      <c r="WJF49" s="440"/>
      <c r="WJG49" s="440"/>
      <c r="WJH49" s="440"/>
      <c r="WJI49" s="440"/>
      <c r="WJJ49" s="440"/>
      <c r="WJK49" s="440"/>
      <c r="WJL49" s="440"/>
      <c r="WJM49" s="440"/>
      <c r="WJN49" s="440"/>
      <c r="WJO49" s="440"/>
      <c r="WJP49" s="440"/>
      <c r="WJQ49" s="440"/>
      <c r="WJR49" s="440"/>
      <c r="WJS49" s="440"/>
      <c r="WJT49" s="440"/>
      <c r="WJU49" s="440"/>
      <c r="WJV49" s="440"/>
      <c r="WJW49" s="440"/>
      <c r="WJX49" s="440"/>
      <c r="WJY49" s="440"/>
      <c r="WJZ49" s="440"/>
      <c r="WKA49" s="440"/>
      <c r="WKB49" s="440"/>
      <c r="WKC49" s="440"/>
      <c r="WKD49" s="440"/>
      <c r="WKE49" s="440"/>
      <c r="WKF49" s="440"/>
      <c r="WKG49" s="440"/>
      <c r="WKH49" s="440"/>
      <c r="WKI49" s="440"/>
      <c r="WKJ49" s="440"/>
      <c r="WKK49" s="440"/>
      <c r="WKL49" s="440"/>
      <c r="WKM49" s="440"/>
      <c r="WKN49" s="440"/>
      <c r="WKO49" s="440"/>
      <c r="WKP49" s="440"/>
      <c r="WKQ49" s="440"/>
      <c r="WKR49" s="440"/>
      <c r="WKS49" s="440"/>
      <c r="WKT49" s="440"/>
      <c r="WKU49" s="440"/>
      <c r="WKV49" s="440"/>
      <c r="WKW49" s="440"/>
      <c r="WKX49" s="440"/>
      <c r="WKY49" s="440"/>
      <c r="WKZ49" s="440"/>
      <c r="WLA49" s="440"/>
      <c r="WLB49" s="440"/>
      <c r="WLC49" s="440"/>
      <c r="WLD49" s="440"/>
      <c r="WLE49" s="440"/>
      <c r="WLF49" s="440"/>
      <c r="WLG49" s="440"/>
      <c r="WLH49" s="440"/>
      <c r="WLI49" s="440"/>
      <c r="WLJ49" s="440"/>
      <c r="WLK49" s="440"/>
      <c r="WLM49" s="440"/>
      <c r="WLN49" s="440"/>
      <c r="WLO49" s="440"/>
      <c r="WLP49" s="440"/>
      <c r="WLQ49" s="440"/>
      <c r="WLR49" s="440"/>
      <c r="WLS49" s="440"/>
      <c r="WLT49" s="440"/>
      <c r="WLU49" s="440"/>
      <c r="WLV49" s="440"/>
      <c r="WLW49" s="440"/>
      <c r="WLX49" s="440"/>
      <c r="WLY49" s="440"/>
      <c r="WLZ49" s="440"/>
      <c r="WMA49" s="440"/>
      <c r="WMB49" s="440"/>
      <c r="WMC49" s="440"/>
      <c r="WMD49" s="440"/>
      <c r="WME49" s="440"/>
      <c r="WMF49" s="440"/>
      <c r="WMG49" s="440"/>
      <c r="WMH49" s="440"/>
      <c r="WMI49" s="440"/>
      <c r="WMJ49" s="440"/>
      <c r="WMK49" s="440"/>
      <c r="WML49" s="440"/>
      <c r="WMM49" s="440"/>
      <c r="WMN49" s="440"/>
      <c r="WMO49" s="440"/>
      <c r="WMP49" s="440"/>
      <c r="WMQ49" s="440"/>
      <c r="WMR49" s="440"/>
      <c r="WMS49" s="440"/>
      <c r="WMT49" s="440"/>
      <c r="WMU49" s="440"/>
      <c r="WMV49" s="440"/>
      <c r="WMW49" s="440"/>
      <c r="WMX49" s="440"/>
      <c r="WMY49" s="440"/>
      <c r="WMZ49" s="440"/>
      <c r="WNA49" s="440"/>
      <c r="WNB49" s="440"/>
      <c r="WNC49" s="440"/>
      <c r="WND49" s="440"/>
      <c r="WNE49" s="440"/>
      <c r="WNF49" s="440"/>
      <c r="WNG49" s="440"/>
      <c r="WNH49" s="440"/>
      <c r="WNI49" s="440"/>
      <c r="WNJ49" s="440"/>
      <c r="WNK49" s="440"/>
      <c r="WNL49" s="440"/>
      <c r="WNM49" s="440"/>
      <c r="WNN49" s="440"/>
      <c r="WNO49" s="440"/>
      <c r="WNP49" s="440"/>
      <c r="WNQ49" s="440"/>
      <c r="WNR49" s="440"/>
      <c r="WNS49" s="440"/>
      <c r="WNT49" s="440"/>
      <c r="WNU49" s="440"/>
      <c r="WNV49" s="440"/>
      <c r="WNW49" s="440"/>
      <c r="WNX49" s="440"/>
      <c r="WNY49" s="440"/>
      <c r="WNZ49" s="440"/>
      <c r="WOA49" s="440"/>
      <c r="WOB49" s="440"/>
      <c r="WOC49" s="440"/>
      <c r="WOD49" s="440"/>
      <c r="WOE49" s="440"/>
      <c r="WOF49" s="440"/>
      <c r="WOG49" s="440"/>
      <c r="WOH49" s="440"/>
      <c r="WOI49" s="440"/>
      <c r="WOJ49" s="440"/>
      <c r="WOK49" s="440"/>
      <c r="WOL49" s="440"/>
      <c r="WOM49" s="440"/>
      <c r="WON49" s="440"/>
      <c r="WOO49" s="440"/>
      <c r="WOP49" s="440"/>
      <c r="WOQ49" s="440"/>
      <c r="WOR49" s="440"/>
      <c r="WOS49" s="440"/>
      <c r="WOT49" s="440"/>
      <c r="WOU49" s="440"/>
      <c r="WOV49" s="440"/>
      <c r="WOW49" s="440"/>
      <c r="WOX49" s="440"/>
      <c r="WOY49" s="440"/>
      <c r="WOZ49" s="440"/>
      <c r="WPA49" s="440"/>
      <c r="WPB49" s="440"/>
      <c r="WPC49" s="440"/>
      <c r="WPD49" s="440"/>
      <c r="WPE49" s="440"/>
      <c r="WPF49" s="440"/>
      <c r="WPG49" s="440"/>
      <c r="WPH49" s="440"/>
      <c r="WPI49" s="440"/>
      <c r="WPJ49" s="440"/>
      <c r="WPK49" s="440"/>
      <c r="WPL49" s="440"/>
      <c r="WPM49" s="440"/>
      <c r="WPN49" s="440"/>
      <c r="WPO49" s="440"/>
      <c r="WPP49" s="440"/>
      <c r="WPQ49" s="440"/>
      <c r="WPR49" s="440"/>
      <c r="WPS49" s="440"/>
      <c r="WPT49" s="440"/>
      <c r="WPU49" s="440"/>
      <c r="WPV49" s="440"/>
      <c r="WPW49" s="440"/>
      <c r="WPX49" s="440"/>
      <c r="WPY49" s="440"/>
      <c r="WPZ49" s="440"/>
      <c r="WQA49" s="440"/>
      <c r="WQB49" s="440"/>
      <c r="WQC49" s="440"/>
      <c r="WQD49" s="440"/>
      <c r="WQE49" s="440"/>
      <c r="WQF49" s="440"/>
      <c r="WQG49" s="440"/>
      <c r="WQH49" s="440"/>
      <c r="WQI49" s="440"/>
      <c r="WQJ49" s="440"/>
      <c r="WQK49" s="440"/>
      <c r="WQL49" s="440"/>
      <c r="WQM49" s="440"/>
      <c r="WQN49" s="440"/>
      <c r="WQO49" s="440"/>
      <c r="WQP49" s="440"/>
      <c r="WQQ49" s="440"/>
      <c r="WQR49" s="440"/>
      <c r="WQS49" s="440"/>
      <c r="WQT49" s="440"/>
      <c r="WQU49" s="440"/>
      <c r="WQV49" s="440"/>
      <c r="WQW49" s="440"/>
      <c r="WQX49" s="440"/>
      <c r="WQY49" s="440"/>
      <c r="WQZ49" s="440"/>
      <c r="WRA49" s="440"/>
      <c r="WRB49" s="440"/>
      <c r="WRC49" s="440"/>
      <c r="WRD49" s="440"/>
      <c r="WRE49" s="440"/>
      <c r="WRF49" s="440"/>
      <c r="WRG49" s="440"/>
      <c r="WRH49" s="440"/>
      <c r="WRI49" s="440"/>
      <c r="WRJ49" s="440"/>
      <c r="WRK49" s="440"/>
      <c r="WRL49" s="440"/>
      <c r="WRM49" s="440"/>
      <c r="WRN49" s="440"/>
      <c r="WRO49" s="440"/>
      <c r="WRP49" s="440"/>
      <c r="WRQ49" s="440"/>
      <c r="WRR49" s="440"/>
      <c r="WRS49" s="440"/>
      <c r="WRT49" s="440"/>
      <c r="WRU49" s="440"/>
      <c r="WRV49" s="440"/>
      <c r="WRW49" s="440"/>
      <c r="WRX49" s="440"/>
      <c r="WRY49" s="440"/>
      <c r="WRZ49" s="440"/>
      <c r="WSA49" s="440"/>
      <c r="WSB49" s="440"/>
      <c r="WSC49" s="440"/>
      <c r="WSD49" s="440"/>
      <c r="WSE49" s="440"/>
      <c r="WSF49" s="440"/>
      <c r="WSG49" s="440"/>
      <c r="WSH49" s="440"/>
      <c r="WSI49" s="440"/>
      <c r="WSJ49" s="440"/>
      <c r="WSK49" s="440"/>
      <c r="WSL49" s="440"/>
      <c r="WSM49" s="440"/>
      <c r="WSN49" s="440"/>
      <c r="WSO49" s="440"/>
      <c r="WSP49" s="440"/>
      <c r="WSQ49" s="440"/>
      <c r="WSR49" s="440"/>
      <c r="WSS49" s="440"/>
      <c r="WST49" s="440"/>
      <c r="WSU49" s="440"/>
      <c r="WSV49" s="440"/>
      <c r="WSW49" s="440"/>
      <c r="WSX49" s="440"/>
      <c r="WSY49" s="440"/>
      <c r="WSZ49" s="440"/>
      <c r="WTA49" s="440"/>
      <c r="WTB49" s="440"/>
      <c r="WTC49" s="440"/>
      <c r="WTD49" s="440"/>
      <c r="WTE49" s="440"/>
      <c r="WTF49" s="440"/>
      <c r="WTG49" s="440"/>
      <c r="WTH49" s="440"/>
      <c r="WTI49" s="440"/>
      <c r="WTJ49" s="440"/>
      <c r="WTK49" s="440"/>
      <c r="WTL49" s="440"/>
      <c r="WTM49" s="440"/>
      <c r="WTN49" s="440"/>
      <c r="WTO49" s="440"/>
      <c r="WTP49" s="440"/>
      <c r="WTQ49" s="440"/>
      <c r="WTR49" s="440"/>
      <c r="WTS49" s="440"/>
      <c r="WTT49" s="440"/>
      <c r="WTU49" s="440"/>
      <c r="WTV49" s="440"/>
      <c r="WTW49" s="440"/>
      <c r="WTX49" s="440"/>
      <c r="WTY49" s="440"/>
      <c r="WTZ49" s="440"/>
      <c r="WUA49" s="440"/>
      <c r="WUB49" s="440"/>
      <c r="WUC49" s="440"/>
      <c r="WUD49" s="440"/>
      <c r="WUE49" s="440"/>
      <c r="WUF49" s="440"/>
      <c r="WUG49" s="440"/>
      <c r="WUH49" s="440"/>
      <c r="WUI49" s="440"/>
      <c r="WUJ49" s="440"/>
      <c r="WUK49" s="440"/>
      <c r="WUL49" s="440"/>
      <c r="WUM49" s="440"/>
      <c r="WUN49" s="440"/>
      <c r="WUO49" s="440"/>
      <c r="WUP49" s="440"/>
      <c r="WUQ49" s="440"/>
      <c r="WUR49" s="440"/>
      <c r="WUS49" s="440"/>
      <c r="WUT49" s="440"/>
      <c r="WUU49" s="440"/>
      <c r="WUV49" s="440"/>
      <c r="WUW49" s="440"/>
      <c r="WUX49" s="440"/>
      <c r="WUY49" s="440"/>
      <c r="WUZ49" s="440"/>
      <c r="WVA49" s="440"/>
      <c r="WVB49" s="440"/>
      <c r="WVC49" s="440"/>
      <c r="WVD49" s="440"/>
      <c r="WVE49" s="440"/>
      <c r="WVF49" s="440"/>
      <c r="WVG49" s="440"/>
      <c r="WVI49" s="440"/>
      <c r="WVJ49" s="440"/>
      <c r="WVK49" s="440"/>
      <c r="WVL49" s="440"/>
      <c r="WVM49" s="440"/>
      <c r="WVN49" s="440"/>
      <c r="WVO49" s="440"/>
      <c r="WVP49" s="440"/>
      <c r="WVQ49" s="440"/>
      <c r="WVR49" s="440"/>
      <c r="WVS49" s="440"/>
      <c r="WVT49" s="440"/>
      <c r="WVU49" s="440"/>
      <c r="WVV49" s="440"/>
      <c r="WVW49" s="440"/>
      <c r="WVX49" s="440"/>
      <c r="WVY49" s="440"/>
      <c r="WVZ49" s="440"/>
      <c r="WWA49" s="440"/>
      <c r="WWB49" s="440"/>
      <c r="WWC49" s="440"/>
      <c r="WWD49" s="440"/>
      <c r="WWE49" s="440"/>
      <c r="WWF49" s="440"/>
      <c r="WWG49" s="440"/>
      <c r="WWH49" s="440"/>
      <c r="WWI49" s="440"/>
      <c r="WWJ49" s="440"/>
      <c r="WWK49" s="440"/>
      <c r="WWL49" s="440"/>
      <c r="WWM49" s="440"/>
      <c r="WWN49" s="440"/>
      <c r="WWO49" s="440"/>
      <c r="WWP49" s="440"/>
      <c r="WWQ49" s="440"/>
      <c r="WWR49" s="440"/>
      <c r="WWS49" s="440"/>
      <c r="WWT49" s="440"/>
      <c r="WWU49" s="440"/>
      <c r="WWV49" s="440"/>
      <c r="WWW49" s="440"/>
      <c r="WWX49" s="440"/>
      <c r="WWY49" s="440"/>
      <c r="WWZ49" s="440"/>
      <c r="WXA49" s="440"/>
      <c r="WXB49" s="440"/>
      <c r="WXC49" s="440"/>
      <c r="WXD49" s="440"/>
      <c r="WXE49" s="440"/>
      <c r="WXF49" s="440"/>
      <c r="WXG49" s="440"/>
      <c r="WXH49" s="440"/>
      <c r="WXI49" s="440"/>
      <c r="WXJ49" s="440"/>
      <c r="WXK49" s="440"/>
      <c r="WXL49" s="440"/>
      <c r="WXM49" s="440"/>
      <c r="WXN49" s="440"/>
      <c r="WXO49" s="440"/>
      <c r="WXP49" s="440"/>
      <c r="WXQ49" s="440"/>
      <c r="WXR49" s="440"/>
      <c r="WXS49" s="440"/>
      <c r="WXT49" s="440"/>
      <c r="WXU49" s="440"/>
      <c r="WXV49" s="440"/>
      <c r="WXW49" s="440"/>
      <c r="WXX49" s="440"/>
      <c r="WXY49" s="440"/>
      <c r="WXZ49" s="440"/>
      <c r="WYA49" s="440"/>
      <c r="WYB49" s="440"/>
      <c r="WYC49" s="440"/>
      <c r="WYD49" s="440"/>
      <c r="WYE49" s="440"/>
      <c r="WYF49" s="440"/>
      <c r="WYG49" s="440"/>
      <c r="WYH49" s="440"/>
      <c r="WYI49" s="440"/>
      <c r="WYJ49" s="440"/>
      <c r="WYK49" s="440"/>
      <c r="WYL49" s="440"/>
      <c r="WYM49" s="440"/>
      <c r="WYN49" s="440"/>
      <c r="WYO49" s="440"/>
      <c r="WYP49" s="440"/>
      <c r="WYQ49" s="440"/>
      <c r="WYR49" s="440"/>
      <c r="WYS49" s="440"/>
      <c r="WYT49" s="440"/>
      <c r="WYU49" s="440"/>
      <c r="WYV49" s="440"/>
      <c r="WYW49" s="440"/>
      <c r="WYX49" s="440"/>
      <c r="WYY49" s="440"/>
      <c r="WYZ49" s="440"/>
      <c r="WZA49" s="440"/>
      <c r="WZB49" s="440"/>
      <c r="WZC49" s="440"/>
      <c r="WZD49" s="440"/>
      <c r="WZE49" s="440"/>
      <c r="WZF49" s="440"/>
      <c r="WZG49" s="440"/>
      <c r="WZH49" s="440"/>
      <c r="WZI49" s="440"/>
      <c r="WZJ49" s="440"/>
      <c r="WZK49" s="440"/>
      <c r="WZL49" s="440"/>
      <c r="WZM49" s="440"/>
      <c r="WZN49" s="440"/>
      <c r="WZO49" s="440"/>
      <c r="WZP49" s="440"/>
      <c r="WZQ49" s="440"/>
      <c r="WZR49" s="440"/>
      <c r="WZS49" s="440"/>
      <c r="WZT49" s="440"/>
      <c r="WZU49" s="440"/>
      <c r="WZV49" s="440"/>
      <c r="WZW49" s="440"/>
      <c r="WZX49" s="440"/>
      <c r="WZY49" s="440"/>
      <c r="WZZ49" s="440"/>
      <c r="XAA49" s="440"/>
      <c r="XAB49" s="440"/>
      <c r="XAC49" s="440"/>
      <c r="XAD49" s="440"/>
      <c r="XAE49" s="440"/>
      <c r="XAF49" s="440"/>
      <c r="XAG49" s="440"/>
      <c r="XAH49" s="440"/>
      <c r="XAI49" s="440"/>
      <c r="XAJ49" s="440"/>
      <c r="XAK49" s="440"/>
      <c r="XAL49" s="440"/>
      <c r="XAM49" s="440"/>
      <c r="XAN49" s="440"/>
      <c r="XAO49" s="440"/>
      <c r="XAP49" s="440"/>
      <c r="XAQ49" s="440"/>
      <c r="XAR49" s="440"/>
      <c r="XAS49" s="440"/>
      <c r="XAT49" s="440"/>
      <c r="XAU49" s="440"/>
      <c r="XAV49" s="440"/>
      <c r="XAW49" s="440"/>
      <c r="XAX49" s="440"/>
      <c r="XAY49" s="440"/>
      <c r="XAZ49" s="440"/>
      <c r="XBA49" s="440"/>
      <c r="XBB49" s="440"/>
      <c r="XBC49" s="440"/>
      <c r="XBD49" s="440"/>
      <c r="XBE49" s="440"/>
      <c r="XBF49" s="440"/>
      <c r="XBG49" s="440"/>
      <c r="XBH49" s="440"/>
      <c r="XBI49" s="440"/>
      <c r="XBJ49" s="440"/>
      <c r="XBK49" s="440"/>
      <c r="XBL49" s="440"/>
      <c r="XBM49" s="440"/>
      <c r="XBN49" s="440"/>
      <c r="XBO49" s="440"/>
      <c r="XBP49" s="440"/>
      <c r="XBQ49" s="440"/>
      <c r="XBR49" s="440"/>
      <c r="XBS49" s="440"/>
      <c r="XBT49" s="440"/>
      <c r="XBU49" s="440"/>
      <c r="XBV49" s="440"/>
      <c r="XBW49" s="440"/>
      <c r="XBX49" s="440"/>
      <c r="XBY49" s="440"/>
      <c r="XBZ49" s="440"/>
      <c r="XCA49" s="440"/>
      <c r="XCB49" s="440"/>
      <c r="XCC49" s="440"/>
      <c r="XCD49" s="440"/>
      <c r="XCE49" s="440"/>
      <c r="XCF49" s="440"/>
      <c r="XCG49" s="440"/>
      <c r="XCH49" s="440"/>
      <c r="XCI49" s="440"/>
      <c r="XCJ49" s="440"/>
      <c r="XCK49" s="440"/>
      <c r="XCL49" s="440"/>
      <c r="XCM49" s="440"/>
      <c r="XCN49" s="440"/>
      <c r="XCO49" s="440"/>
      <c r="XCP49" s="440"/>
      <c r="XCQ49" s="440"/>
      <c r="XCR49" s="440"/>
      <c r="XCS49" s="440"/>
      <c r="XCT49" s="440"/>
      <c r="XCU49" s="440"/>
      <c r="XCV49" s="440"/>
      <c r="XCW49" s="440"/>
      <c r="XCX49" s="440"/>
      <c r="XCY49" s="440"/>
      <c r="XCZ49" s="440"/>
      <c r="XDA49" s="440"/>
      <c r="XDB49" s="440"/>
      <c r="XDC49" s="440"/>
      <c r="XDD49" s="440"/>
      <c r="XDE49" s="440"/>
      <c r="XDF49" s="440"/>
      <c r="XDG49" s="440"/>
      <c r="XDH49" s="440"/>
      <c r="XDI49" s="440"/>
      <c r="XDJ49" s="440"/>
      <c r="XDK49" s="440"/>
      <c r="XDL49" s="440"/>
      <c r="XDM49" s="440"/>
      <c r="XDN49" s="440"/>
      <c r="XDO49" s="440"/>
      <c r="XDP49" s="440"/>
      <c r="XDQ49" s="440"/>
      <c r="XDR49" s="440"/>
      <c r="XDS49" s="440"/>
      <c r="XDT49" s="440"/>
      <c r="XDU49" s="440"/>
      <c r="XDV49" s="440"/>
      <c r="XDW49" s="440"/>
      <c r="XDX49" s="440"/>
      <c r="XDY49" s="440"/>
      <c r="XDZ49" s="440"/>
      <c r="XEA49" s="440"/>
      <c r="XEB49" s="440"/>
      <c r="XEC49" s="440"/>
      <c r="XED49" s="440"/>
      <c r="XEE49" s="440"/>
      <c r="XEF49" s="440"/>
      <c r="XEG49" s="440"/>
      <c r="XEH49" s="440"/>
      <c r="XEI49" s="440"/>
      <c r="XEJ49" s="440"/>
      <c r="XEK49" s="440"/>
      <c r="XEL49" s="440"/>
      <c r="XEM49" s="440"/>
      <c r="XEN49" s="440"/>
      <c r="XEO49" s="440"/>
      <c r="XEP49" s="440"/>
      <c r="XEQ49" s="440"/>
      <c r="XER49" s="440"/>
      <c r="XES49" s="440"/>
      <c r="XET49" s="440"/>
      <c r="XEU49" s="440"/>
      <c r="XEV49" s="440"/>
      <c r="XEW49" s="440"/>
      <c r="XEX49" s="440"/>
      <c r="XEY49" s="440"/>
      <c r="XEZ49" s="440"/>
    </row>
    <row r="50" spans="1:1023 1025:2047 2049:3071 3073:4095 4097:5119 5121:6143 6145:7167 7169:8191 8193:9215 9217:10239 10241:11263 11265:12287 12289:13311 13313:14335 14337:15359 15361:16380" s="59" customFormat="1" ht="24" customHeight="1" x14ac:dyDescent="0.2">
      <c r="A50" s="441" t="s">
        <v>676</v>
      </c>
      <c r="B50" s="442">
        <v>3548</v>
      </c>
      <c r="C50" s="442"/>
      <c r="D50" s="128">
        <f>SUM(E50:H50)</f>
        <v>131500</v>
      </c>
      <c r="E50" s="162">
        <v>131500</v>
      </c>
      <c r="F50" s="126">
        <v>0</v>
      </c>
      <c r="G50" s="126">
        <v>0</v>
      </c>
      <c r="H50" s="126">
        <v>0</v>
      </c>
      <c r="I50" s="340" t="s">
        <v>677</v>
      </c>
    </row>
    <row r="51" spans="1:1023 1025:2047 2049:3071 3073:4095 4097:5119 5121:6143 6145:7167 7169:8191 8193:9215 9217:10239 10241:11263 11265:12287 12289:13311 13313:14335 14337:15359 15361:16380" s="59" customFormat="1" ht="42.75" thickBot="1" x14ac:dyDescent="0.25">
      <c r="A51" s="441" t="s">
        <v>678</v>
      </c>
      <c r="B51" s="442">
        <v>3292</v>
      </c>
      <c r="C51" s="442"/>
      <c r="D51" s="128">
        <f>SUM(E51:H51)</f>
        <v>135200</v>
      </c>
      <c r="E51" s="162">
        <v>40500</v>
      </c>
      <c r="F51" s="126">
        <v>82500</v>
      </c>
      <c r="G51" s="126">
        <v>12200</v>
      </c>
      <c r="H51" s="126">
        <v>0</v>
      </c>
      <c r="I51" s="340" t="s">
        <v>679</v>
      </c>
    </row>
    <row r="52" spans="1:1023 1025:2047 2049:3071 3073:4095 4097:5119 5121:6143 6145:7167 7169:8191 8193:9215 9217:10239 10241:11263 11265:12287 12289:13311 13313:14335 14337:15359 15361:16380" s="59" customFormat="1" ht="16.5" customHeight="1" thickBot="1" x14ac:dyDescent="0.25">
      <c r="A52" s="63" t="s">
        <v>122</v>
      </c>
      <c r="B52" s="130"/>
      <c r="C52" s="130"/>
      <c r="D52" s="61">
        <f>SUM(D50:D51)</f>
        <v>266700</v>
      </c>
      <c r="E52" s="61">
        <f>SUM(E50:E51)</f>
        <v>172000</v>
      </c>
      <c r="F52" s="61">
        <f>SUM(F50:F51)</f>
        <v>82500</v>
      </c>
      <c r="G52" s="61">
        <f>SUM(G50:G51)</f>
        <v>12200</v>
      </c>
      <c r="H52" s="61">
        <f>SUM(H50:H51)</f>
        <v>0</v>
      </c>
      <c r="I52" s="62"/>
    </row>
    <row r="53" spans="1:1023 1025:2047 2049:3071 3073:4095 4097:5119 5121:6143 6145:7167 7169:8191 8193:9215 9217:10239 10241:11263 11265:12287 12289:13311 13313:14335 14337:15359 15361:16380" s="59" customFormat="1" ht="18" customHeight="1" x14ac:dyDescent="0.2">
      <c r="A53" s="646" t="s">
        <v>149</v>
      </c>
      <c r="B53" s="647"/>
      <c r="C53" s="647"/>
      <c r="D53" s="647"/>
      <c r="E53" s="647"/>
      <c r="F53" s="647"/>
      <c r="G53" s="647"/>
      <c r="H53" s="647"/>
      <c r="I53" s="648"/>
    </row>
    <row r="54" spans="1:1023 1025:2047 2049:3071 3073:4095 4097:5119 5121:6143 6145:7167 7169:8191 8193:9215 9217:10239 10241:11263 11265:12287 12289:13311 13313:14335 14337:15359 15361:16380" s="59" customFormat="1" ht="34.5" customHeight="1" x14ac:dyDescent="0.2">
      <c r="A54" s="333" t="s">
        <v>680</v>
      </c>
      <c r="B54" s="334">
        <v>3452</v>
      </c>
      <c r="C54" s="334" t="s">
        <v>656</v>
      </c>
      <c r="D54" s="128">
        <f>SUM(E54:H54)</f>
        <v>121699</v>
      </c>
      <c r="E54" s="143">
        <v>22229</v>
      </c>
      <c r="F54" s="128">
        <v>18000</v>
      </c>
      <c r="G54" s="128">
        <v>18000</v>
      </c>
      <c r="H54" s="128">
        <v>63470</v>
      </c>
      <c r="I54" s="335" t="s">
        <v>681</v>
      </c>
    </row>
    <row r="55" spans="1:1023 1025:2047 2049:3071 3073:4095 4097:5119 5121:6143 6145:7167 7169:8191 8193:9215 9217:10239 10241:11263 11265:12287 12289:13311 13313:14335 14337:15359 15361:16380" s="59" customFormat="1" ht="34.5" customHeight="1" x14ac:dyDescent="0.2">
      <c r="A55" s="333" t="s">
        <v>368</v>
      </c>
      <c r="B55" s="334">
        <v>3487</v>
      </c>
      <c r="C55" s="334" t="s">
        <v>656</v>
      </c>
      <c r="D55" s="128">
        <f>SUM(E55:H55)</f>
        <v>410</v>
      </c>
      <c r="E55" s="143">
        <v>410</v>
      </c>
      <c r="F55" s="128">
        <v>0</v>
      </c>
      <c r="G55" s="128">
        <v>0</v>
      </c>
      <c r="H55" s="128">
        <v>0</v>
      </c>
      <c r="I55" s="335" t="s">
        <v>685</v>
      </c>
    </row>
    <row r="56" spans="1:1023 1025:2047 2049:3071 3073:4095 4097:5119 5121:6143 6145:7167 7169:8191 8193:9215 9217:10239 10241:11263 11265:12287 12289:13311 13313:14335 14337:15359 15361:16380" s="59" customFormat="1" ht="34.5" customHeight="1" x14ac:dyDescent="0.2">
      <c r="A56" s="333" t="s">
        <v>367</v>
      </c>
      <c r="B56" s="334">
        <v>3499</v>
      </c>
      <c r="C56" s="334" t="s">
        <v>656</v>
      </c>
      <c r="D56" s="128">
        <f>SUM(E56:H56)</f>
        <v>6466</v>
      </c>
      <c r="E56" s="143">
        <v>1800</v>
      </c>
      <c r="F56" s="128">
        <v>1800</v>
      </c>
      <c r="G56" s="128">
        <v>1000</v>
      </c>
      <c r="H56" s="128">
        <v>1866</v>
      </c>
      <c r="I56" s="335" t="s">
        <v>502</v>
      </c>
    </row>
    <row r="57" spans="1:1023 1025:2047 2049:3071 3073:4095 4097:5119 5121:6143 6145:7167 7169:8191 8193:9215 9217:10239 10241:11263 11265:12287 12289:13311 13313:14335 14337:15359 15361:16380" s="59" customFormat="1" ht="73.5" x14ac:dyDescent="0.2">
      <c r="A57" s="661" t="s">
        <v>682</v>
      </c>
      <c r="B57" s="334">
        <v>3504</v>
      </c>
      <c r="C57" s="334" t="s">
        <v>656</v>
      </c>
      <c r="D57" s="128">
        <f>SUM(E57:H57)</f>
        <v>26750</v>
      </c>
      <c r="E57" s="143">
        <v>14000</v>
      </c>
      <c r="F57" s="128">
        <v>10000</v>
      </c>
      <c r="G57" s="128">
        <v>2750</v>
      </c>
      <c r="H57" s="128">
        <v>0</v>
      </c>
      <c r="I57" s="335" t="s">
        <v>683</v>
      </c>
    </row>
    <row r="58" spans="1:1023 1025:2047 2049:3071 3073:4095 4097:5119 5121:6143 6145:7167 7169:8191 8193:9215 9217:10239 10241:11263 11265:12287 12289:13311 13313:14335 14337:15359 15361:16380" s="59" customFormat="1" ht="116.25" thickBot="1" x14ac:dyDescent="0.25">
      <c r="A58" s="662"/>
      <c r="B58" s="334">
        <v>3504</v>
      </c>
      <c r="C58" s="334" t="s">
        <v>656</v>
      </c>
      <c r="D58" s="128">
        <f>SUM(E58:H58)</f>
        <v>19300</v>
      </c>
      <c r="E58" s="143">
        <v>9000</v>
      </c>
      <c r="F58" s="128">
        <v>7500</v>
      </c>
      <c r="G58" s="128">
        <v>2800</v>
      </c>
      <c r="H58" s="128">
        <v>0</v>
      </c>
      <c r="I58" s="443" t="s">
        <v>684</v>
      </c>
    </row>
    <row r="59" spans="1:1023 1025:2047 2049:3071 3073:4095 4097:5119 5121:6143 6145:7167 7169:8191 8193:9215 9217:10239 10241:11263 11265:12287 12289:13311 13313:14335 14337:15359 15361:16380" s="59" customFormat="1" ht="16.5" customHeight="1" thickBot="1" x14ac:dyDescent="0.25">
      <c r="A59" s="63" t="s">
        <v>127</v>
      </c>
      <c r="B59" s="130">
        <v>12</v>
      </c>
      <c r="C59" s="130"/>
      <c r="D59" s="61">
        <f>SUM(D54:D58)</f>
        <v>174625</v>
      </c>
      <c r="E59" s="61">
        <f>SUM(E54:E58)</f>
        <v>47439</v>
      </c>
      <c r="F59" s="61">
        <f>SUM(F54:F58)</f>
        <v>37300</v>
      </c>
      <c r="G59" s="61">
        <f>SUM(G54:G58)</f>
        <v>24550</v>
      </c>
      <c r="H59" s="61">
        <f>SUM(H54:H58)</f>
        <v>65336</v>
      </c>
      <c r="I59" s="62"/>
    </row>
    <row r="60" spans="1:1023 1025:2047 2049:3071 3073:4095 4097:5119 5121:6143 6145:7167 7169:8191 8193:9215 9217:10239 10241:11263 11265:12287 12289:13311 13313:14335 14337:15359 15361:16380" s="448" customFormat="1" ht="9" customHeight="1" thickBot="1" x14ac:dyDescent="0.25">
      <c r="A60" s="444"/>
      <c r="B60" s="445"/>
      <c r="C60" s="445"/>
      <c r="D60" s="446"/>
      <c r="E60" s="445"/>
      <c r="F60" s="445"/>
      <c r="G60" s="445"/>
      <c r="H60" s="445"/>
      <c r="I60" s="447"/>
    </row>
    <row r="61" spans="1:1023 1025:2047 2049:3071 3073:4095 4097:5119 5121:6143 6145:7167 7169:8191 8193:9215 9217:10239 10241:11263 11265:12287 12289:13311 13313:14335 14337:15359 15361:16380" s="59" customFormat="1" ht="18" customHeight="1" thickBot="1" x14ac:dyDescent="0.25">
      <c r="A61" s="66" t="s">
        <v>128</v>
      </c>
      <c r="B61" s="339"/>
      <c r="C61" s="339"/>
      <c r="D61" s="61">
        <f>D59+D52+D31+D48+D44+D34+D21+D17+D10</f>
        <v>5321595</v>
      </c>
      <c r="E61" s="61">
        <f t="shared" ref="E61:H61" si="4">E59+E52+E31+E48+E44+E34+E21+E17+E10</f>
        <v>1504662</v>
      </c>
      <c r="F61" s="61">
        <f t="shared" si="4"/>
        <v>1639048</v>
      </c>
      <c r="G61" s="61">
        <f t="shared" si="4"/>
        <v>2079217</v>
      </c>
      <c r="H61" s="61">
        <f t="shared" si="4"/>
        <v>105318</v>
      </c>
      <c r="I61" s="67"/>
    </row>
    <row r="66" spans="1:3" ht="14.25" x14ac:dyDescent="0.2">
      <c r="A66" s="449"/>
      <c r="B66" s="449"/>
      <c r="C66" s="449"/>
    </row>
  </sheetData>
  <mergeCells count="15">
    <mergeCell ref="A53:I53"/>
    <mergeCell ref="A57:A58"/>
    <mergeCell ref="A18:I18"/>
    <mergeCell ref="A22:I22"/>
    <mergeCell ref="A32:I32"/>
    <mergeCell ref="A35:I35"/>
    <mergeCell ref="A45:I45"/>
    <mergeCell ref="A49:I49"/>
    <mergeCell ref="A11:I11"/>
    <mergeCell ref="A6:I6"/>
    <mergeCell ref="A2:I2"/>
    <mergeCell ref="A4:A5"/>
    <mergeCell ref="D4:D5"/>
    <mergeCell ref="E4:H4"/>
    <mergeCell ref="I4:I5"/>
  </mergeCells>
  <pageMargins left="0.39370078740157483" right="0.39370078740157483" top="0.59055118110236227" bottom="0.39370078740157483" header="0.31496062992125984" footer="0.11811023622047245"/>
  <pageSetup paperSize="9" firstPageNumber="7" fitToHeight="0" orientation="landscape" useFirstPageNumber="1" r:id="rId1"/>
  <headerFooter>
    <oddHeader>&amp;L&amp;"Tahoma,Kurzíva"&amp;9Střednědobý výhled rozpočtu Moravskoslezského kraje na léta 2024-2026&amp;R&amp;"Tahoma,Kurzíva"&amp;9Přehled závazků kraje u akcí spolufinancovaných z evropských finančních zdrojů</oddHeader>
    <oddFooter>&amp;C&amp;"Tahoma,Obyčejné"&amp;P</oddFooter>
  </headerFooter>
  <rowBreaks count="3" manualBreakCount="3">
    <brk id="19" max="8" man="1"/>
    <brk id="34" max="8" man="1"/>
    <brk id="4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D1E2-C9A9-41F9-A860-26A0AEA9C69A}">
  <sheetPr>
    <pageSetUpPr fitToPage="1"/>
  </sheetPr>
  <dimension ref="A1:J66"/>
  <sheetViews>
    <sheetView zoomScaleNormal="100" workbookViewId="0">
      <pane ySplit="5" topLeftCell="A6" activePane="bottomLeft" state="frozen"/>
      <selection activeCell="F20" sqref="F20"/>
      <selection pane="bottomLeft" activeCell="F20" sqref="F20"/>
    </sheetView>
  </sheetViews>
  <sheetFormatPr defaultRowHeight="11.25" x14ac:dyDescent="0.2"/>
  <cols>
    <col min="1" max="1" width="42.7109375" style="184" customWidth="1"/>
    <col min="2" max="2" width="6.28515625" style="183" hidden="1" customWidth="1"/>
    <col min="3" max="7" width="10.7109375" style="184" customWidth="1"/>
    <col min="8" max="8" width="44.7109375" style="185" customWidth="1"/>
    <col min="9" max="9" width="9.140625" style="184"/>
    <col min="10" max="10" width="39.42578125" style="184" customWidth="1"/>
    <col min="11" max="16384" width="9.140625" style="184"/>
  </cols>
  <sheetData>
    <row r="1" spans="1:9" s="280" customFormat="1" ht="15" customHeight="1" x14ac:dyDescent="0.2">
      <c r="A1" s="21" t="s">
        <v>59</v>
      </c>
      <c r="B1" s="279"/>
      <c r="H1" s="281"/>
    </row>
    <row r="2" spans="1:9" s="280" customFormat="1" ht="30" customHeight="1" x14ac:dyDescent="0.2">
      <c r="A2" s="665" t="s">
        <v>225</v>
      </c>
      <c r="B2" s="665"/>
      <c r="C2" s="665"/>
      <c r="D2" s="665"/>
      <c r="E2" s="665"/>
      <c r="F2" s="665"/>
      <c r="G2" s="665"/>
      <c r="H2" s="665"/>
    </row>
    <row r="3" spans="1:9" s="280" customFormat="1" ht="13.5" customHeight="1" thickBot="1" x14ac:dyDescent="0.25">
      <c r="B3" s="279"/>
      <c r="H3" s="306" t="s">
        <v>98</v>
      </c>
    </row>
    <row r="4" spans="1:9" s="280" customFormat="1" ht="21" customHeight="1" x14ac:dyDescent="0.2">
      <c r="A4" s="651" t="s">
        <v>136</v>
      </c>
      <c r="B4" s="666" t="s">
        <v>137</v>
      </c>
      <c r="C4" s="653" t="s">
        <v>138</v>
      </c>
      <c r="D4" s="655" t="s">
        <v>174</v>
      </c>
      <c r="E4" s="668"/>
      <c r="F4" s="669"/>
      <c r="G4" s="669"/>
      <c r="H4" s="670" t="s">
        <v>139</v>
      </c>
    </row>
    <row r="5" spans="1:9" s="280" customFormat="1" ht="21" customHeight="1" thickBot="1" x14ac:dyDescent="0.25">
      <c r="A5" s="652"/>
      <c r="B5" s="667"/>
      <c r="C5" s="654"/>
      <c r="D5" s="55" t="s">
        <v>332</v>
      </c>
      <c r="E5" s="55" t="s">
        <v>340</v>
      </c>
      <c r="F5" s="55" t="s">
        <v>858</v>
      </c>
      <c r="G5" s="55" t="s">
        <v>629</v>
      </c>
      <c r="H5" s="671"/>
    </row>
    <row r="6" spans="1:9" ht="18" customHeight="1" x14ac:dyDescent="0.2">
      <c r="A6" s="676" t="s">
        <v>382</v>
      </c>
      <c r="B6" s="677"/>
      <c r="C6" s="677"/>
      <c r="D6" s="677"/>
      <c r="E6" s="677"/>
      <c r="F6" s="677"/>
      <c r="G6" s="677"/>
      <c r="H6" s="678"/>
    </row>
    <row r="7" spans="1:9" ht="24" customHeight="1" x14ac:dyDescent="0.2">
      <c r="A7" s="379" t="s">
        <v>609</v>
      </c>
      <c r="B7" s="380"/>
      <c r="C7" s="376">
        <v>83000</v>
      </c>
      <c r="D7" s="373">
        <v>0</v>
      </c>
      <c r="E7" s="373">
        <v>0</v>
      </c>
      <c r="F7" s="373">
        <v>3000</v>
      </c>
      <c r="G7" s="373">
        <v>80000</v>
      </c>
      <c r="H7" s="381" t="s">
        <v>601</v>
      </c>
    </row>
    <row r="8" spans="1:9" ht="24" customHeight="1" x14ac:dyDescent="0.2">
      <c r="A8" s="379" t="s">
        <v>859</v>
      </c>
      <c r="B8" s="541" t="s">
        <v>6</v>
      </c>
      <c r="C8" s="376">
        <v>9000</v>
      </c>
      <c r="D8" s="373">
        <v>9000</v>
      </c>
      <c r="E8" s="373">
        <v>0</v>
      </c>
      <c r="F8" s="373">
        <v>0</v>
      </c>
      <c r="G8" s="373">
        <v>0</v>
      </c>
      <c r="H8" s="381" t="s">
        <v>898</v>
      </c>
    </row>
    <row r="9" spans="1:9" ht="34.5" customHeight="1" x14ac:dyDescent="0.2">
      <c r="A9" s="379" t="s">
        <v>860</v>
      </c>
      <c r="B9" s="541" t="s">
        <v>6</v>
      </c>
      <c r="C9" s="376">
        <v>10000</v>
      </c>
      <c r="D9" s="373">
        <v>10000</v>
      </c>
      <c r="E9" s="373">
        <v>0</v>
      </c>
      <c r="F9" s="373">
        <v>0</v>
      </c>
      <c r="G9" s="373">
        <v>0</v>
      </c>
      <c r="H9" s="381" t="s">
        <v>899</v>
      </c>
    </row>
    <row r="10" spans="1:9" ht="34.5" customHeight="1" x14ac:dyDescent="0.2">
      <c r="A10" s="375" t="s">
        <v>439</v>
      </c>
      <c r="B10" s="378" t="s">
        <v>6</v>
      </c>
      <c r="C10" s="376">
        <v>303820</v>
      </c>
      <c r="D10" s="377">
        <v>48510</v>
      </c>
      <c r="E10" s="377">
        <v>100000</v>
      </c>
      <c r="F10" s="377">
        <v>155310</v>
      </c>
      <c r="G10" s="377">
        <v>0</v>
      </c>
      <c r="H10" s="374" t="s">
        <v>900</v>
      </c>
    </row>
    <row r="11" spans="1:9" ht="45" customHeight="1" x14ac:dyDescent="0.2">
      <c r="A11" s="375" t="s">
        <v>600</v>
      </c>
      <c r="B11" s="297">
        <v>4123</v>
      </c>
      <c r="C11" s="376">
        <v>2100</v>
      </c>
      <c r="D11" s="377">
        <v>900</v>
      </c>
      <c r="E11" s="377">
        <v>750</v>
      </c>
      <c r="F11" s="377">
        <v>450</v>
      </c>
      <c r="G11" s="377">
        <v>0</v>
      </c>
      <c r="H11" s="374" t="s">
        <v>861</v>
      </c>
      <c r="I11" s="188"/>
    </row>
    <row r="12" spans="1:9" ht="34.5" customHeight="1" x14ac:dyDescent="0.2">
      <c r="A12" s="375" t="s">
        <v>862</v>
      </c>
      <c r="B12" s="297">
        <v>4335</v>
      </c>
      <c r="C12" s="376">
        <v>50000</v>
      </c>
      <c r="D12" s="377">
        <v>20000</v>
      </c>
      <c r="E12" s="377">
        <v>30000</v>
      </c>
      <c r="F12" s="377">
        <v>0</v>
      </c>
      <c r="G12" s="377">
        <v>0</v>
      </c>
      <c r="H12" s="374" t="s">
        <v>863</v>
      </c>
      <c r="I12" s="188"/>
    </row>
    <row r="13" spans="1:9" ht="34.5" customHeight="1" x14ac:dyDescent="0.2">
      <c r="A13" s="375" t="s">
        <v>864</v>
      </c>
      <c r="B13" s="297">
        <v>4334</v>
      </c>
      <c r="C13" s="376">
        <v>44000</v>
      </c>
      <c r="D13" s="377">
        <v>32000</v>
      </c>
      <c r="E13" s="377">
        <v>12000</v>
      </c>
      <c r="F13" s="377">
        <v>0</v>
      </c>
      <c r="G13" s="377">
        <v>0</v>
      </c>
      <c r="H13" s="374" t="s">
        <v>863</v>
      </c>
      <c r="I13" s="188"/>
    </row>
    <row r="14" spans="1:9" ht="34.5" customHeight="1" x14ac:dyDescent="0.2">
      <c r="A14" s="375" t="s">
        <v>983</v>
      </c>
      <c r="B14" s="297">
        <v>4079</v>
      </c>
      <c r="C14" s="376">
        <v>15000</v>
      </c>
      <c r="D14" s="377">
        <v>15000</v>
      </c>
      <c r="E14" s="377">
        <v>0</v>
      </c>
      <c r="F14" s="377">
        <v>0</v>
      </c>
      <c r="G14" s="377">
        <v>0</v>
      </c>
      <c r="H14" s="374" t="s">
        <v>865</v>
      </c>
      <c r="I14" s="188"/>
    </row>
    <row r="15" spans="1:9" ht="35.25" customHeight="1" thickBot="1" x14ac:dyDescent="0.25">
      <c r="A15" s="375" t="s">
        <v>438</v>
      </c>
      <c r="B15" s="297">
        <v>5954</v>
      </c>
      <c r="C15" s="376">
        <v>2702</v>
      </c>
      <c r="D15" s="377">
        <v>2702</v>
      </c>
      <c r="E15" s="392">
        <v>0</v>
      </c>
      <c r="F15" s="549">
        <v>0</v>
      </c>
      <c r="G15" s="377">
        <v>0</v>
      </c>
      <c r="H15" s="374" t="s">
        <v>866</v>
      </c>
      <c r="I15" s="188"/>
    </row>
    <row r="16" spans="1:9" s="186" customFormat="1" ht="15.75" customHeight="1" thickBot="1" x14ac:dyDescent="0.25">
      <c r="A16" s="189" t="s">
        <v>449</v>
      </c>
      <c r="B16" s="542"/>
      <c r="C16" s="191">
        <v>519622</v>
      </c>
      <c r="D16" s="191">
        <v>138112</v>
      </c>
      <c r="E16" s="191">
        <v>142750</v>
      </c>
      <c r="F16" s="191">
        <v>158760</v>
      </c>
      <c r="G16" s="191">
        <v>80000</v>
      </c>
      <c r="H16" s="543"/>
    </row>
    <row r="17" spans="1:10" s="186" customFormat="1" ht="18" customHeight="1" x14ac:dyDescent="0.2">
      <c r="A17" s="672" t="s">
        <v>423</v>
      </c>
      <c r="B17" s="673"/>
      <c r="C17" s="673"/>
      <c r="D17" s="673"/>
      <c r="E17" s="673"/>
      <c r="F17" s="673"/>
      <c r="G17" s="673"/>
      <c r="H17" s="674"/>
    </row>
    <row r="18" spans="1:10" s="186" customFormat="1" ht="24" customHeight="1" x14ac:dyDescent="0.2">
      <c r="A18" s="375" t="s">
        <v>602</v>
      </c>
      <c r="B18" s="382">
        <v>4050</v>
      </c>
      <c r="C18" s="376">
        <v>483</v>
      </c>
      <c r="D18" s="383">
        <v>161</v>
      </c>
      <c r="E18" s="383">
        <v>161</v>
      </c>
      <c r="F18" s="383">
        <v>161</v>
      </c>
      <c r="G18" s="383">
        <v>0</v>
      </c>
      <c r="H18" s="374" t="s">
        <v>861</v>
      </c>
      <c r="I18" s="188"/>
    </row>
    <row r="19" spans="1:10" s="186" customFormat="1" ht="35.25" customHeight="1" thickBot="1" x14ac:dyDescent="0.25">
      <c r="A19" s="375" t="s">
        <v>867</v>
      </c>
      <c r="B19" s="382">
        <v>5878</v>
      </c>
      <c r="C19" s="376">
        <v>66108</v>
      </c>
      <c r="D19" s="383">
        <v>21168</v>
      </c>
      <c r="E19" s="383">
        <v>22470</v>
      </c>
      <c r="F19" s="383">
        <v>22470</v>
      </c>
      <c r="G19" s="383">
        <v>0</v>
      </c>
      <c r="H19" s="374" t="s">
        <v>868</v>
      </c>
      <c r="I19" s="188"/>
    </row>
    <row r="20" spans="1:10" s="186" customFormat="1" ht="15.75" customHeight="1" thickBot="1" x14ac:dyDescent="0.25">
      <c r="A20" s="193" t="s">
        <v>437</v>
      </c>
      <c r="B20" s="542"/>
      <c r="C20" s="191">
        <v>66591</v>
      </c>
      <c r="D20" s="191">
        <v>21329</v>
      </c>
      <c r="E20" s="191">
        <v>22631</v>
      </c>
      <c r="F20" s="191">
        <v>22631</v>
      </c>
      <c r="G20" s="191">
        <v>0</v>
      </c>
      <c r="H20" s="544"/>
    </row>
    <row r="21" spans="1:10" ht="18" customHeight="1" x14ac:dyDescent="0.2">
      <c r="A21" s="672" t="s">
        <v>103</v>
      </c>
      <c r="B21" s="673"/>
      <c r="C21" s="673"/>
      <c r="D21" s="673"/>
      <c r="E21" s="673"/>
      <c r="F21" s="673"/>
      <c r="G21" s="673"/>
      <c r="H21" s="674"/>
    </row>
    <row r="22" spans="1:10" ht="73.5" x14ac:dyDescent="0.2">
      <c r="A22" s="375" t="s">
        <v>612</v>
      </c>
      <c r="B22" s="297">
        <v>4724</v>
      </c>
      <c r="C22" s="376">
        <v>35000</v>
      </c>
      <c r="D22" s="384">
        <v>0</v>
      </c>
      <c r="E22" s="385">
        <v>35000</v>
      </c>
      <c r="F22" s="385">
        <v>0</v>
      </c>
      <c r="G22" s="385">
        <v>0</v>
      </c>
      <c r="H22" s="374" t="s">
        <v>869</v>
      </c>
    </row>
    <row r="23" spans="1:10" ht="34.5" customHeight="1" x14ac:dyDescent="0.2">
      <c r="A23" s="375" t="s">
        <v>440</v>
      </c>
      <c r="B23" s="297">
        <v>5748</v>
      </c>
      <c r="C23" s="376">
        <v>16000</v>
      </c>
      <c r="D23" s="383">
        <v>16000</v>
      </c>
      <c r="E23" s="383">
        <v>0</v>
      </c>
      <c r="F23" s="383">
        <v>0</v>
      </c>
      <c r="G23" s="383">
        <v>0</v>
      </c>
      <c r="H23" s="374" t="s">
        <v>870</v>
      </c>
      <c r="I23" s="188"/>
    </row>
    <row r="24" spans="1:10" ht="34.5" customHeight="1" x14ac:dyDescent="0.2">
      <c r="A24" s="375" t="s">
        <v>603</v>
      </c>
      <c r="B24" s="297">
        <v>4116</v>
      </c>
      <c r="C24" s="376">
        <v>17000</v>
      </c>
      <c r="D24" s="384">
        <v>12000</v>
      </c>
      <c r="E24" s="384">
        <v>5000</v>
      </c>
      <c r="F24" s="385">
        <v>0</v>
      </c>
      <c r="G24" s="385">
        <v>0</v>
      </c>
      <c r="H24" s="374" t="s">
        <v>871</v>
      </c>
      <c r="I24" s="188"/>
    </row>
    <row r="25" spans="1:10" ht="35.25" customHeight="1" thickBot="1" x14ac:dyDescent="0.25">
      <c r="A25" s="375" t="s">
        <v>872</v>
      </c>
      <c r="B25" s="297">
        <v>5254</v>
      </c>
      <c r="C25" s="376">
        <v>2485</v>
      </c>
      <c r="D25" s="383">
        <v>1309</v>
      </c>
      <c r="E25" s="383">
        <v>588</v>
      </c>
      <c r="F25" s="383">
        <v>588</v>
      </c>
      <c r="G25" s="383">
        <v>0</v>
      </c>
      <c r="H25" s="374" t="s">
        <v>873</v>
      </c>
      <c r="I25" s="188"/>
    </row>
    <row r="26" spans="1:10" s="188" customFormat="1" ht="15.75" customHeight="1" thickBot="1" x14ac:dyDescent="0.25">
      <c r="A26" s="193" t="s">
        <v>107</v>
      </c>
      <c r="B26" s="190"/>
      <c r="C26" s="191">
        <v>70485</v>
      </c>
      <c r="D26" s="191">
        <v>29309</v>
      </c>
      <c r="E26" s="191">
        <v>40588</v>
      </c>
      <c r="F26" s="191">
        <v>588</v>
      </c>
      <c r="G26" s="191">
        <v>0</v>
      </c>
      <c r="H26" s="194"/>
    </row>
    <row r="27" spans="1:10" s="188" customFormat="1" ht="18" customHeight="1" x14ac:dyDescent="0.2">
      <c r="A27" s="672" t="s">
        <v>112</v>
      </c>
      <c r="B27" s="673"/>
      <c r="C27" s="673"/>
      <c r="D27" s="673"/>
      <c r="E27" s="673"/>
      <c r="F27" s="673"/>
      <c r="G27" s="673"/>
      <c r="H27" s="674"/>
    </row>
    <row r="28" spans="1:10" s="188" customFormat="1" ht="24" customHeight="1" x14ac:dyDescent="0.2">
      <c r="A28" s="375" t="s">
        <v>610</v>
      </c>
      <c r="B28" s="386">
        <v>4157</v>
      </c>
      <c r="C28" s="376">
        <v>50600</v>
      </c>
      <c r="D28" s="383">
        <v>25300</v>
      </c>
      <c r="E28" s="383">
        <v>25300</v>
      </c>
      <c r="F28" s="392">
        <v>0</v>
      </c>
      <c r="G28" s="383">
        <v>0</v>
      </c>
      <c r="H28" s="374" t="s">
        <v>861</v>
      </c>
      <c r="I28" s="184"/>
    </row>
    <row r="29" spans="1:10" s="188" customFormat="1" ht="35.25" customHeight="1" thickBot="1" x14ac:dyDescent="0.25">
      <c r="A29" s="375" t="s">
        <v>512</v>
      </c>
      <c r="B29" s="386">
        <v>5758</v>
      </c>
      <c r="C29" s="376">
        <v>10800</v>
      </c>
      <c r="D29" s="384">
        <v>10800</v>
      </c>
      <c r="E29" s="384">
        <v>0</v>
      </c>
      <c r="F29" s="385">
        <v>0</v>
      </c>
      <c r="G29" s="387">
        <v>0</v>
      </c>
      <c r="H29" s="374" t="s">
        <v>874</v>
      </c>
    </row>
    <row r="30" spans="1:10" s="188" customFormat="1" ht="15.75" customHeight="1" thickBot="1" x14ac:dyDescent="0.25">
      <c r="A30" s="193" t="s">
        <v>118</v>
      </c>
      <c r="B30" s="190"/>
      <c r="C30" s="191">
        <v>61400</v>
      </c>
      <c r="D30" s="191">
        <v>36100</v>
      </c>
      <c r="E30" s="191">
        <v>25300</v>
      </c>
      <c r="F30" s="191">
        <v>0</v>
      </c>
      <c r="G30" s="191">
        <v>0</v>
      </c>
      <c r="H30" s="194"/>
    </row>
    <row r="31" spans="1:10" s="188" customFormat="1" ht="18" customHeight="1" x14ac:dyDescent="0.2">
      <c r="A31" s="672" t="s">
        <v>119</v>
      </c>
      <c r="B31" s="673"/>
      <c r="C31" s="673"/>
      <c r="D31" s="673"/>
      <c r="E31" s="673"/>
      <c r="F31" s="673"/>
      <c r="G31" s="673"/>
      <c r="H31" s="674"/>
      <c r="I31" s="663"/>
      <c r="J31" s="664"/>
    </row>
    <row r="32" spans="1:10" s="188" customFormat="1" ht="24" customHeight="1" x14ac:dyDescent="0.2">
      <c r="A32" s="375" t="s">
        <v>498</v>
      </c>
      <c r="B32" s="297">
        <v>4201</v>
      </c>
      <c r="C32" s="376">
        <v>10000</v>
      </c>
      <c r="D32" s="388">
        <v>10000</v>
      </c>
      <c r="E32" s="388">
        <v>0</v>
      </c>
      <c r="F32" s="388">
        <v>0</v>
      </c>
      <c r="G32" s="388">
        <v>0</v>
      </c>
      <c r="H32" s="374" t="s">
        <v>861</v>
      </c>
      <c r="I32" s="184"/>
    </row>
    <row r="33" spans="1:9" s="188" customFormat="1" ht="24" customHeight="1" x14ac:dyDescent="0.2">
      <c r="A33" s="375" t="s">
        <v>875</v>
      </c>
      <c r="B33" s="297">
        <v>4263</v>
      </c>
      <c r="C33" s="376">
        <v>40000</v>
      </c>
      <c r="D33" s="388">
        <v>20000</v>
      </c>
      <c r="E33" s="388">
        <v>20000</v>
      </c>
      <c r="F33" s="388">
        <v>0</v>
      </c>
      <c r="G33" s="388">
        <v>0</v>
      </c>
      <c r="H33" s="374" t="s">
        <v>876</v>
      </c>
      <c r="I33" s="184"/>
    </row>
    <row r="34" spans="1:9" s="188" customFormat="1" ht="24" customHeight="1" x14ac:dyDescent="0.2">
      <c r="A34" s="375" t="s">
        <v>877</v>
      </c>
      <c r="B34" s="386">
        <v>4262</v>
      </c>
      <c r="C34" s="376">
        <v>15000</v>
      </c>
      <c r="D34" s="384">
        <v>15000</v>
      </c>
      <c r="E34" s="384">
        <v>0</v>
      </c>
      <c r="F34" s="385">
        <v>0</v>
      </c>
      <c r="G34" s="387">
        <v>0</v>
      </c>
      <c r="H34" s="374" t="s">
        <v>876</v>
      </c>
    </row>
    <row r="35" spans="1:9" s="188" customFormat="1" ht="45" customHeight="1" x14ac:dyDescent="0.2">
      <c r="A35" s="375" t="s">
        <v>442</v>
      </c>
      <c r="B35" s="297">
        <v>4002</v>
      </c>
      <c r="C35" s="376">
        <v>24000</v>
      </c>
      <c r="D35" s="388">
        <v>24000</v>
      </c>
      <c r="E35" s="388">
        <v>0</v>
      </c>
      <c r="F35" s="388">
        <v>0</v>
      </c>
      <c r="G35" s="388">
        <v>0</v>
      </c>
      <c r="H35" s="374" t="s">
        <v>878</v>
      </c>
    </row>
    <row r="36" spans="1:9" s="188" customFormat="1" ht="24" customHeight="1" x14ac:dyDescent="0.2">
      <c r="A36" s="375" t="s">
        <v>879</v>
      </c>
      <c r="B36" s="297">
        <v>4259</v>
      </c>
      <c r="C36" s="376">
        <v>4000</v>
      </c>
      <c r="D36" s="383">
        <v>4000</v>
      </c>
      <c r="E36" s="383">
        <v>0</v>
      </c>
      <c r="F36" s="383">
        <v>0</v>
      </c>
      <c r="G36" s="383">
        <v>0</v>
      </c>
      <c r="H36" s="374" t="s">
        <v>876</v>
      </c>
    </row>
    <row r="37" spans="1:9" s="188" customFormat="1" ht="24" customHeight="1" x14ac:dyDescent="0.2">
      <c r="A37" s="375" t="s">
        <v>606</v>
      </c>
      <c r="B37" s="297">
        <v>4209</v>
      </c>
      <c r="C37" s="376">
        <v>50500</v>
      </c>
      <c r="D37" s="388">
        <v>50500</v>
      </c>
      <c r="E37" s="388">
        <v>0</v>
      </c>
      <c r="F37" s="388">
        <v>0</v>
      </c>
      <c r="G37" s="388">
        <v>0</v>
      </c>
      <c r="H37" s="374" t="s">
        <v>861</v>
      </c>
    </row>
    <row r="38" spans="1:9" s="188" customFormat="1" ht="34.5" customHeight="1" x14ac:dyDescent="0.2">
      <c r="A38" s="375" t="s">
        <v>246</v>
      </c>
      <c r="B38" s="297">
        <v>5867</v>
      </c>
      <c r="C38" s="376">
        <v>86339</v>
      </c>
      <c r="D38" s="388">
        <v>71339</v>
      </c>
      <c r="E38" s="388">
        <v>15000</v>
      </c>
      <c r="F38" s="388">
        <v>0</v>
      </c>
      <c r="G38" s="388">
        <v>0</v>
      </c>
      <c r="H38" s="374" t="s">
        <v>880</v>
      </c>
    </row>
    <row r="39" spans="1:9" s="188" customFormat="1" ht="24" customHeight="1" x14ac:dyDescent="0.2">
      <c r="A39" s="375" t="s">
        <v>605</v>
      </c>
      <c r="B39" s="297">
        <v>4162</v>
      </c>
      <c r="C39" s="376">
        <v>24100</v>
      </c>
      <c r="D39" s="388">
        <v>24100</v>
      </c>
      <c r="E39" s="388">
        <v>0</v>
      </c>
      <c r="F39" s="388">
        <v>0</v>
      </c>
      <c r="G39" s="388">
        <v>0</v>
      </c>
      <c r="H39" s="374" t="s">
        <v>861</v>
      </c>
    </row>
    <row r="40" spans="1:9" s="188" customFormat="1" ht="34.5" customHeight="1" x14ac:dyDescent="0.2">
      <c r="A40" s="375" t="s">
        <v>444</v>
      </c>
      <c r="B40" s="297">
        <v>4004</v>
      </c>
      <c r="C40" s="376">
        <v>27000</v>
      </c>
      <c r="D40" s="388">
        <v>27000</v>
      </c>
      <c r="E40" s="388">
        <v>0</v>
      </c>
      <c r="F40" s="388">
        <v>0</v>
      </c>
      <c r="G40" s="388">
        <v>0</v>
      </c>
      <c r="H40" s="374" t="s">
        <v>881</v>
      </c>
    </row>
    <row r="41" spans="1:9" s="188" customFormat="1" ht="45" customHeight="1" x14ac:dyDescent="0.2">
      <c r="A41" s="375" t="s">
        <v>604</v>
      </c>
      <c r="B41" s="297">
        <v>5868</v>
      </c>
      <c r="C41" s="376">
        <v>56549</v>
      </c>
      <c r="D41" s="388">
        <v>56549</v>
      </c>
      <c r="E41" s="388">
        <v>0</v>
      </c>
      <c r="F41" s="388">
        <v>0</v>
      </c>
      <c r="G41" s="388">
        <v>0</v>
      </c>
      <c r="H41" s="374" t="s">
        <v>882</v>
      </c>
    </row>
    <row r="42" spans="1:9" s="188" customFormat="1" ht="34.5" customHeight="1" x14ac:dyDescent="0.2">
      <c r="A42" s="375" t="s">
        <v>883</v>
      </c>
      <c r="B42" s="297">
        <v>4272</v>
      </c>
      <c r="C42" s="376">
        <v>36500</v>
      </c>
      <c r="D42" s="388">
        <v>36500</v>
      </c>
      <c r="E42" s="388">
        <v>0</v>
      </c>
      <c r="F42" s="388">
        <v>0</v>
      </c>
      <c r="G42" s="388">
        <v>0</v>
      </c>
      <c r="H42" s="374" t="s">
        <v>863</v>
      </c>
    </row>
    <row r="43" spans="1:9" s="188" customFormat="1" ht="34.5" customHeight="1" x14ac:dyDescent="0.2">
      <c r="A43" s="375" t="s">
        <v>884</v>
      </c>
      <c r="B43" s="297">
        <v>4275</v>
      </c>
      <c r="C43" s="376">
        <v>16000</v>
      </c>
      <c r="D43" s="388">
        <v>16000</v>
      </c>
      <c r="E43" s="388">
        <v>0</v>
      </c>
      <c r="F43" s="388">
        <v>0</v>
      </c>
      <c r="G43" s="388">
        <v>0</v>
      </c>
      <c r="H43" s="374" t="s">
        <v>863</v>
      </c>
    </row>
    <row r="44" spans="1:9" s="188" customFormat="1" ht="34.5" customHeight="1" x14ac:dyDescent="0.2">
      <c r="A44" s="375" t="s">
        <v>885</v>
      </c>
      <c r="B44" s="297">
        <v>4282</v>
      </c>
      <c r="C44" s="376">
        <v>10000</v>
      </c>
      <c r="D44" s="388">
        <v>5000</v>
      </c>
      <c r="E44" s="388">
        <v>5000</v>
      </c>
      <c r="F44" s="388">
        <v>0</v>
      </c>
      <c r="G44" s="388">
        <v>0</v>
      </c>
      <c r="H44" s="374" t="s">
        <v>863</v>
      </c>
    </row>
    <row r="45" spans="1:9" s="188" customFormat="1" ht="34.5" customHeight="1" x14ac:dyDescent="0.2">
      <c r="A45" s="375" t="s">
        <v>886</v>
      </c>
      <c r="B45" s="297">
        <v>4283</v>
      </c>
      <c r="C45" s="376">
        <v>12000</v>
      </c>
      <c r="D45" s="388">
        <v>6000</v>
      </c>
      <c r="E45" s="388">
        <v>6000</v>
      </c>
      <c r="F45" s="388">
        <v>0</v>
      </c>
      <c r="G45" s="388">
        <v>0</v>
      </c>
      <c r="H45" s="374" t="s">
        <v>863</v>
      </c>
    </row>
    <row r="46" spans="1:9" s="188" customFormat="1" ht="34.5" customHeight="1" x14ac:dyDescent="0.2">
      <c r="A46" s="375" t="s">
        <v>887</v>
      </c>
      <c r="B46" s="297">
        <v>4287</v>
      </c>
      <c r="C46" s="376">
        <v>10000</v>
      </c>
      <c r="D46" s="388">
        <v>0</v>
      </c>
      <c r="E46" s="388">
        <v>10000</v>
      </c>
      <c r="F46" s="388">
        <v>0</v>
      </c>
      <c r="G46" s="388">
        <v>0</v>
      </c>
      <c r="H46" s="374" t="s">
        <v>863</v>
      </c>
    </row>
    <row r="47" spans="1:9" s="188" customFormat="1" ht="34.5" customHeight="1" x14ac:dyDescent="0.2">
      <c r="A47" s="375" t="s">
        <v>888</v>
      </c>
      <c r="B47" s="297">
        <v>4289</v>
      </c>
      <c r="C47" s="376">
        <v>98000</v>
      </c>
      <c r="D47" s="388">
        <v>3000</v>
      </c>
      <c r="E47" s="388">
        <v>95000</v>
      </c>
      <c r="F47" s="388">
        <v>0</v>
      </c>
      <c r="G47" s="388">
        <v>0</v>
      </c>
      <c r="H47" s="374" t="s">
        <v>863</v>
      </c>
    </row>
    <row r="48" spans="1:9" s="188" customFormat="1" ht="45" customHeight="1" x14ac:dyDescent="0.2">
      <c r="A48" s="375" t="s">
        <v>613</v>
      </c>
      <c r="B48" s="297">
        <v>5999</v>
      </c>
      <c r="C48" s="376">
        <v>97819</v>
      </c>
      <c r="D48" s="388">
        <v>97819</v>
      </c>
      <c r="E48" s="388">
        <v>0</v>
      </c>
      <c r="F48" s="388">
        <v>0</v>
      </c>
      <c r="G48" s="388">
        <v>0</v>
      </c>
      <c r="H48" s="374" t="s">
        <v>889</v>
      </c>
    </row>
    <row r="49" spans="1:10" s="188" customFormat="1" ht="45.75" customHeight="1" thickBot="1" x14ac:dyDescent="0.25">
      <c r="A49" s="375" t="s">
        <v>890</v>
      </c>
      <c r="B49" s="297">
        <v>4264</v>
      </c>
      <c r="C49" s="376">
        <v>173916</v>
      </c>
      <c r="D49" s="388">
        <v>115</v>
      </c>
      <c r="E49" s="388">
        <v>173801</v>
      </c>
      <c r="F49" s="388">
        <v>0</v>
      </c>
      <c r="G49" s="388">
        <v>0</v>
      </c>
      <c r="H49" s="374" t="s">
        <v>891</v>
      </c>
    </row>
    <row r="50" spans="1:10" s="188" customFormat="1" ht="15.75" customHeight="1" thickBot="1" x14ac:dyDescent="0.25">
      <c r="A50" s="193" t="s">
        <v>120</v>
      </c>
      <c r="B50" s="190"/>
      <c r="C50" s="195">
        <v>791723</v>
      </c>
      <c r="D50" s="195">
        <v>466922</v>
      </c>
      <c r="E50" s="195">
        <v>324801</v>
      </c>
      <c r="F50" s="195">
        <v>0</v>
      </c>
      <c r="G50" s="195">
        <v>0</v>
      </c>
      <c r="H50" s="194"/>
    </row>
    <row r="51" spans="1:10" s="188" customFormat="1" ht="18" customHeight="1" x14ac:dyDescent="0.2">
      <c r="A51" s="672" t="s">
        <v>121</v>
      </c>
      <c r="B51" s="673"/>
      <c r="C51" s="673"/>
      <c r="D51" s="673"/>
      <c r="E51" s="673"/>
      <c r="F51" s="673"/>
      <c r="G51" s="673"/>
      <c r="H51" s="674"/>
      <c r="I51" s="545"/>
    </row>
    <row r="52" spans="1:10" s="188" customFormat="1" ht="34.5" customHeight="1" x14ac:dyDescent="0.2">
      <c r="A52" s="375" t="s">
        <v>143</v>
      </c>
      <c r="B52" s="386">
        <v>5100</v>
      </c>
      <c r="C52" s="376">
        <v>173130</v>
      </c>
      <c r="D52" s="383">
        <v>18229</v>
      </c>
      <c r="E52" s="383">
        <v>18827</v>
      </c>
      <c r="F52" s="383">
        <v>18978</v>
      </c>
      <c r="G52" s="383">
        <v>117096</v>
      </c>
      <c r="H52" s="374" t="s">
        <v>177</v>
      </c>
    </row>
    <row r="53" spans="1:10" s="188" customFormat="1" ht="24" customHeight="1" x14ac:dyDescent="0.2">
      <c r="A53" s="379" t="s">
        <v>607</v>
      </c>
      <c r="B53" s="386">
        <v>4215</v>
      </c>
      <c r="C53" s="376">
        <v>40000</v>
      </c>
      <c r="D53" s="383">
        <v>40000</v>
      </c>
      <c r="E53" s="383">
        <v>0</v>
      </c>
      <c r="F53" s="383">
        <v>0</v>
      </c>
      <c r="G53" s="383">
        <v>0</v>
      </c>
      <c r="H53" s="374" t="s">
        <v>861</v>
      </c>
    </row>
    <row r="54" spans="1:10" s="188" customFormat="1" ht="34.5" customHeight="1" x14ac:dyDescent="0.2">
      <c r="A54" s="375" t="s">
        <v>892</v>
      </c>
      <c r="B54" s="386">
        <v>4485</v>
      </c>
      <c r="C54" s="376">
        <v>40770</v>
      </c>
      <c r="D54" s="383">
        <v>40770</v>
      </c>
      <c r="E54" s="383">
        <v>0</v>
      </c>
      <c r="F54" s="383">
        <v>0</v>
      </c>
      <c r="G54" s="383">
        <v>0</v>
      </c>
      <c r="H54" s="374" t="s">
        <v>893</v>
      </c>
    </row>
    <row r="55" spans="1:10" s="188" customFormat="1" ht="45" customHeight="1" x14ac:dyDescent="0.2">
      <c r="A55" s="375" t="s">
        <v>499</v>
      </c>
      <c r="B55" s="386">
        <v>4298</v>
      </c>
      <c r="C55" s="376">
        <v>11000</v>
      </c>
      <c r="D55" s="383">
        <v>11000</v>
      </c>
      <c r="E55" s="383">
        <v>0</v>
      </c>
      <c r="F55" s="383">
        <v>0</v>
      </c>
      <c r="G55" s="383">
        <v>0</v>
      </c>
      <c r="H55" s="374" t="s">
        <v>894</v>
      </c>
    </row>
    <row r="56" spans="1:10" s="188" customFormat="1" ht="53.25" thickBot="1" x14ac:dyDescent="0.25">
      <c r="A56" s="375" t="s">
        <v>895</v>
      </c>
      <c r="B56" s="386">
        <v>4423</v>
      </c>
      <c r="C56" s="376">
        <v>83901</v>
      </c>
      <c r="D56" s="383">
        <v>27967</v>
      </c>
      <c r="E56" s="383">
        <v>27967</v>
      </c>
      <c r="F56" s="383">
        <v>27967</v>
      </c>
      <c r="G56" s="383">
        <v>0</v>
      </c>
      <c r="H56" s="159" t="s">
        <v>896</v>
      </c>
      <c r="J56" s="545"/>
    </row>
    <row r="57" spans="1:10" s="188" customFormat="1" ht="15.75" customHeight="1" thickBot="1" x14ac:dyDescent="0.25">
      <c r="A57" s="193" t="s">
        <v>122</v>
      </c>
      <c r="B57" s="190"/>
      <c r="C57" s="191">
        <v>348801</v>
      </c>
      <c r="D57" s="191">
        <v>137966</v>
      </c>
      <c r="E57" s="191">
        <v>46794</v>
      </c>
      <c r="F57" s="191">
        <v>46945</v>
      </c>
      <c r="G57" s="191">
        <v>117096</v>
      </c>
      <c r="H57" s="192"/>
    </row>
    <row r="58" spans="1:10" s="188" customFormat="1" ht="18" customHeight="1" x14ac:dyDescent="0.2">
      <c r="A58" s="672" t="s">
        <v>149</v>
      </c>
      <c r="B58" s="673"/>
      <c r="C58" s="673"/>
      <c r="D58" s="673"/>
      <c r="E58" s="673"/>
      <c r="F58" s="673"/>
      <c r="G58" s="673"/>
      <c r="H58" s="674"/>
    </row>
    <row r="59" spans="1:10" s="188" customFormat="1" ht="45" customHeight="1" thickBot="1" x14ac:dyDescent="0.25">
      <c r="A59" s="375" t="s">
        <v>608</v>
      </c>
      <c r="B59" s="386">
        <v>5349</v>
      </c>
      <c r="C59" s="376">
        <v>300</v>
      </c>
      <c r="D59" s="383">
        <v>100</v>
      </c>
      <c r="E59" s="383">
        <v>100</v>
      </c>
      <c r="F59" s="383">
        <v>100</v>
      </c>
      <c r="G59" s="383">
        <v>0</v>
      </c>
      <c r="H59" s="374" t="s">
        <v>897</v>
      </c>
    </row>
    <row r="60" spans="1:10" s="188" customFormat="1" ht="15.75" customHeight="1" thickBot="1" x14ac:dyDescent="0.25">
      <c r="A60" s="193" t="s">
        <v>127</v>
      </c>
      <c r="B60" s="190"/>
      <c r="C60" s="191">
        <v>300</v>
      </c>
      <c r="D60" s="191">
        <v>100</v>
      </c>
      <c r="E60" s="191">
        <v>100</v>
      </c>
      <c r="F60" s="191">
        <v>100</v>
      </c>
      <c r="G60" s="191">
        <v>0</v>
      </c>
      <c r="H60" s="543"/>
    </row>
    <row r="61" spans="1:10" s="188" customFormat="1" ht="9" customHeight="1" thickBot="1" x14ac:dyDescent="0.25">
      <c r="A61" s="546"/>
      <c r="B61" s="550"/>
      <c r="C61" s="551"/>
      <c r="D61" s="551"/>
      <c r="E61" s="551"/>
      <c r="F61" s="551"/>
      <c r="G61" s="551"/>
      <c r="H61" s="547"/>
    </row>
    <row r="62" spans="1:10" s="188" customFormat="1" ht="18" customHeight="1" thickBot="1" x14ac:dyDescent="0.25">
      <c r="A62" s="193" t="s">
        <v>128</v>
      </c>
      <c r="B62" s="190"/>
      <c r="C62" s="191">
        <v>1858922</v>
      </c>
      <c r="D62" s="191">
        <v>829838</v>
      </c>
      <c r="E62" s="191">
        <v>602964</v>
      </c>
      <c r="F62" s="191">
        <v>229024</v>
      </c>
      <c r="G62" s="191">
        <v>197096</v>
      </c>
      <c r="H62" s="194"/>
    </row>
    <row r="63" spans="1:10" x14ac:dyDescent="0.15">
      <c r="A63" s="675"/>
      <c r="B63" s="675"/>
      <c r="C63" s="675"/>
      <c r="D63" s="675"/>
      <c r="E63" s="675"/>
      <c r="F63" s="675"/>
      <c r="G63" s="675"/>
      <c r="H63" s="675"/>
    </row>
    <row r="66" spans="4:7" x14ac:dyDescent="0.2">
      <c r="D66" s="548"/>
      <c r="E66" s="548"/>
      <c r="F66" s="548"/>
      <c r="G66" s="548"/>
    </row>
  </sheetData>
  <mergeCells count="15">
    <mergeCell ref="A51:H51"/>
    <mergeCell ref="A58:H58"/>
    <mergeCell ref="A63:H63"/>
    <mergeCell ref="A6:H6"/>
    <mergeCell ref="A17:H17"/>
    <mergeCell ref="A21:H21"/>
    <mergeCell ref="A27:H27"/>
    <mergeCell ref="A31:H31"/>
    <mergeCell ref="I31:J31"/>
    <mergeCell ref="A2:H2"/>
    <mergeCell ref="A4:A5"/>
    <mergeCell ref="B4:B5"/>
    <mergeCell ref="C4:C5"/>
    <mergeCell ref="D4:G4"/>
    <mergeCell ref="H4:H5"/>
  </mergeCells>
  <pageMargins left="0.39370078740157483" right="0.39370078740157483" top="0.59055118110236227" bottom="0.39370078740157483" header="0.31496062992125984" footer="0.11811023622047245"/>
  <pageSetup paperSize="9" firstPageNumber="11" fitToHeight="0" orientation="landscape" useFirstPageNumber="1" r:id="rId1"/>
  <headerFooter>
    <oddHeader>&amp;L&amp;"Tahoma,Kurzíva"&amp;9Střednědobý výhled rozpočtu Moravskoslezského kraje na léta 2024-2026&amp;R&amp;"Tahoma,Kurzíva"&amp;9Přehled závazků kraje u akcí reprodukce majetku kraje</oddHeader>
    <oddFooter>&amp;C&amp;"Tahoma,Obyčejné"&amp;P</oddFooter>
  </headerFooter>
  <rowBreaks count="1" manualBreakCount="1">
    <brk id="62"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730AA-A1CE-4477-B3D5-B17E87D9792C}">
  <sheetPr>
    <pageSetUpPr fitToPage="1"/>
  </sheetPr>
  <dimension ref="A1:M168"/>
  <sheetViews>
    <sheetView zoomScaleNormal="100" zoomScaleSheetLayoutView="100" workbookViewId="0">
      <pane ySplit="5" topLeftCell="A6" activePane="bottomLeft" state="frozen"/>
      <selection activeCell="F20" sqref="F20"/>
      <selection pane="bottomLeft" activeCell="J44" sqref="J44"/>
    </sheetView>
  </sheetViews>
  <sheetFormatPr defaultRowHeight="15" x14ac:dyDescent="0.25"/>
  <cols>
    <col min="1" max="1" width="30.7109375" style="455" customWidth="1"/>
    <col min="2" max="2" width="0" style="455" hidden="1" customWidth="1"/>
    <col min="3" max="3" width="10.7109375" style="455" customWidth="1"/>
    <col min="4" max="4" width="9.85546875" style="455" customWidth="1"/>
    <col min="5" max="5" width="10.42578125" style="455" customWidth="1"/>
    <col min="6" max="7" width="10" style="455" customWidth="1"/>
    <col min="8" max="8" width="14.7109375" style="455" customWidth="1"/>
    <col min="9" max="9" width="14.42578125" style="455" customWidth="1"/>
    <col min="10" max="10" width="44.7109375" style="455" customWidth="1"/>
    <col min="11" max="11" width="9" style="455" hidden="1" customWidth="1"/>
    <col min="12" max="12" width="14.7109375" style="454" bestFit="1" customWidth="1"/>
    <col min="13" max="13" width="15.140625" style="455" bestFit="1" customWidth="1"/>
    <col min="14" max="14" width="9.140625" style="455" customWidth="1"/>
    <col min="15" max="16384" width="9.140625" style="455"/>
  </cols>
  <sheetData>
    <row r="1" spans="1:13" s="451" customFormat="1" ht="15" customHeight="1" x14ac:dyDescent="0.2">
      <c r="A1" s="451" t="s">
        <v>60</v>
      </c>
      <c r="L1" s="452"/>
    </row>
    <row r="2" spans="1:13" s="451" customFormat="1" ht="30" customHeight="1" x14ac:dyDescent="0.2">
      <c r="A2" s="679" t="s">
        <v>686</v>
      </c>
      <c r="B2" s="679"/>
      <c r="C2" s="679"/>
      <c r="D2" s="679"/>
      <c r="E2" s="679"/>
      <c r="F2" s="679"/>
      <c r="G2" s="679"/>
      <c r="H2" s="679"/>
      <c r="I2" s="679"/>
      <c r="J2" s="679"/>
      <c r="L2" s="452"/>
      <c r="M2" s="453"/>
    </row>
    <row r="3" spans="1:13" s="451" customFormat="1" ht="13.5" customHeight="1" thickBot="1" x14ac:dyDescent="0.3">
      <c r="A3" s="680"/>
      <c r="B3" s="680"/>
      <c r="C3" s="680"/>
      <c r="D3" s="680"/>
      <c r="E3" s="680"/>
      <c r="F3" s="680"/>
      <c r="G3" s="680"/>
      <c r="H3" s="680"/>
      <c r="I3" s="680"/>
      <c r="J3" s="176" t="s">
        <v>98</v>
      </c>
      <c r="L3" s="452"/>
    </row>
    <row r="4" spans="1:13" ht="18" customHeight="1" thickBot="1" x14ac:dyDescent="0.3">
      <c r="A4" s="651" t="s">
        <v>136</v>
      </c>
      <c r="B4" s="682" t="s">
        <v>137</v>
      </c>
      <c r="C4" s="684" t="s">
        <v>138</v>
      </c>
      <c r="D4" s="686" t="s">
        <v>174</v>
      </c>
      <c r="E4" s="687"/>
      <c r="F4" s="687"/>
      <c r="G4" s="688"/>
      <c r="H4" s="682" t="s">
        <v>273</v>
      </c>
      <c r="I4" s="682" t="s">
        <v>274</v>
      </c>
      <c r="J4" s="659" t="s">
        <v>436</v>
      </c>
      <c r="K4" s="693" t="s">
        <v>542</v>
      </c>
    </row>
    <row r="5" spans="1:13" s="458" customFormat="1" ht="21.75" customHeight="1" thickBot="1" x14ac:dyDescent="0.3">
      <c r="A5" s="681"/>
      <c r="B5" s="683"/>
      <c r="C5" s="685"/>
      <c r="D5" s="55" t="s">
        <v>332</v>
      </c>
      <c r="E5" s="55" t="s">
        <v>340</v>
      </c>
      <c r="F5" s="456" t="s">
        <v>628</v>
      </c>
      <c r="G5" s="456" t="s">
        <v>629</v>
      </c>
      <c r="H5" s="683"/>
      <c r="I5" s="683"/>
      <c r="J5" s="689"/>
      <c r="K5" s="693"/>
      <c r="L5" s="457"/>
    </row>
    <row r="6" spans="1:13" ht="18" customHeight="1" x14ac:dyDescent="0.25">
      <c r="A6" s="694" t="s">
        <v>146</v>
      </c>
      <c r="B6" s="694"/>
      <c r="C6" s="694"/>
      <c r="D6" s="694"/>
      <c r="E6" s="694"/>
      <c r="F6" s="694"/>
      <c r="G6" s="694"/>
      <c r="H6" s="694"/>
      <c r="I6" s="694"/>
      <c r="J6" s="695"/>
      <c r="K6" s="363"/>
    </row>
    <row r="7" spans="1:13" s="459" customFormat="1" ht="67.5" customHeight="1" x14ac:dyDescent="0.2">
      <c r="A7" s="144" t="s">
        <v>247</v>
      </c>
      <c r="B7" s="133" t="s">
        <v>275</v>
      </c>
      <c r="C7" s="128">
        <f>D7+E7+F7</f>
        <v>2700</v>
      </c>
      <c r="D7" s="134">
        <v>900</v>
      </c>
      <c r="E7" s="134">
        <f>900</f>
        <v>900</v>
      </c>
      <c r="F7" s="134">
        <v>900</v>
      </c>
      <c r="G7" s="134" t="s">
        <v>6</v>
      </c>
      <c r="H7" s="135" t="s">
        <v>371</v>
      </c>
      <c r="I7" s="136" t="s">
        <v>6</v>
      </c>
      <c r="J7" s="137" t="s">
        <v>481</v>
      </c>
      <c r="K7" s="363">
        <v>1</v>
      </c>
      <c r="L7" s="457"/>
    </row>
    <row r="8" spans="1:13" s="459" customFormat="1" ht="57" customHeight="1" x14ac:dyDescent="0.2">
      <c r="A8" s="460" t="s">
        <v>543</v>
      </c>
      <c r="B8" s="133" t="s">
        <v>276</v>
      </c>
      <c r="C8" s="128">
        <f>D8+E8+F8+G8</f>
        <v>6619</v>
      </c>
      <c r="D8" s="134">
        <v>2482</v>
      </c>
      <c r="E8" s="134">
        <v>2482</v>
      </c>
      <c r="F8" s="134">
        <v>1655</v>
      </c>
      <c r="G8" s="134">
        <v>0</v>
      </c>
      <c r="H8" s="135" t="s">
        <v>544</v>
      </c>
      <c r="I8" s="136" t="s">
        <v>545</v>
      </c>
      <c r="J8" s="137" t="s">
        <v>546</v>
      </c>
      <c r="K8" s="363">
        <v>2</v>
      </c>
      <c r="L8" s="454"/>
    </row>
    <row r="9" spans="1:13" ht="105" x14ac:dyDescent="0.25">
      <c r="A9" s="460" t="s">
        <v>248</v>
      </c>
      <c r="B9" s="133" t="s">
        <v>276</v>
      </c>
      <c r="C9" s="128">
        <f>D9+E9+F9</f>
        <v>113700</v>
      </c>
      <c r="D9" s="134">
        <v>37900</v>
      </c>
      <c r="E9" s="134">
        <v>37900</v>
      </c>
      <c r="F9" s="134">
        <v>37900</v>
      </c>
      <c r="G9" s="134" t="s">
        <v>6</v>
      </c>
      <c r="H9" s="135" t="s">
        <v>426</v>
      </c>
      <c r="I9" s="165" t="s">
        <v>323</v>
      </c>
      <c r="J9" s="137" t="s">
        <v>687</v>
      </c>
      <c r="K9" s="363" t="s">
        <v>547</v>
      </c>
    </row>
    <row r="10" spans="1:13" ht="57" customHeight="1" x14ac:dyDescent="0.25">
      <c r="A10" s="460" t="s">
        <v>484</v>
      </c>
      <c r="B10" s="133" t="s">
        <v>275</v>
      </c>
      <c r="C10" s="128">
        <f>D10+E10+F10+G10</f>
        <v>47</v>
      </c>
      <c r="D10" s="128">
        <v>47</v>
      </c>
      <c r="E10" s="134">
        <f>0</f>
        <v>0</v>
      </c>
      <c r="F10" s="134">
        <v>0</v>
      </c>
      <c r="G10" s="134">
        <v>0</v>
      </c>
      <c r="H10" s="135" t="s">
        <v>372</v>
      </c>
      <c r="I10" s="136" t="s">
        <v>373</v>
      </c>
      <c r="J10" s="137" t="s">
        <v>483</v>
      </c>
      <c r="K10" s="138">
        <v>5</v>
      </c>
    </row>
    <row r="11" spans="1:13" ht="89.25" customHeight="1" thickBot="1" x14ac:dyDescent="0.3">
      <c r="A11" s="460" t="s">
        <v>548</v>
      </c>
      <c r="B11" s="133" t="s">
        <v>276</v>
      </c>
      <c r="C11" s="128">
        <f>D11+E11+F11</f>
        <v>3420</v>
      </c>
      <c r="D11" s="134">
        <v>1140</v>
      </c>
      <c r="E11" s="134">
        <v>1140</v>
      </c>
      <c r="F11" s="134">
        <v>1140</v>
      </c>
      <c r="G11" s="134" t="s">
        <v>6</v>
      </c>
      <c r="H11" s="135" t="s">
        <v>426</v>
      </c>
      <c r="I11" s="165" t="s">
        <v>323</v>
      </c>
      <c r="J11" s="159" t="s">
        <v>688</v>
      </c>
      <c r="K11" s="363">
        <v>5</v>
      </c>
    </row>
    <row r="12" spans="1:13" ht="37.5" customHeight="1" thickBot="1" x14ac:dyDescent="0.3">
      <c r="A12" s="60" t="s">
        <v>147</v>
      </c>
      <c r="B12" s="130"/>
      <c r="C12" s="61">
        <f>SUM(C7:C11)</f>
        <v>126486</v>
      </c>
      <c r="D12" s="61">
        <f t="shared" ref="D12:G12" si="0">SUM(D7:D11)</f>
        <v>42469</v>
      </c>
      <c r="E12" s="61">
        <f t="shared" si="0"/>
        <v>42422</v>
      </c>
      <c r="F12" s="61">
        <f t="shared" si="0"/>
        <v>41595</v>
      </c>
      <c r="G12" s="61">
        <f t="shared" si="0"/>
        <v>0</v>
      </c>
      <c r="H12" s="61"/>
      <c r="I12" s="141"/>
      <c r="J12" s="62"/>
      <c r="K12" s="363"/>
    </row>
    <row r="13" spans="1:13" ht="18" customHeight="1" x14ac:dyDescent="0.25">
      <c r="A13" s="696" t="s">
        <v>101</v>
      </c>
      <c r="B13" s="696"/>
      <c r="C13" s="696"/>
      <c r="D13" s="696"/>
      <c r="E13" s="696"/>
      <c r="F13" s="696"/>
      <c r="G13" s="696"/>
      <c r="H13" s="696"/>
      <c r="I13" s="696"/>
      <c r="J13" s="697"/>
      <c r="K13" s="363"/>
    </row>
    <row r="14" spans="1:13" ht="89.25" customHeight="1" x14ac:dyDescent="0.25">
      <c r="A14" s="460" t="s">
        <v>151</v>
      </c>
      <c r="B14" s="142">
        <v>704</v>
      </c>
      <c r="C14" s="128">
        <f>D14+E14+F14+G14</f>
        <v>147500</v>
      </c>
      <c r="D14" s="143">
        <v>59000</v>
      </c>
      <c r="E14" s="143">
        <v>59000</v>
      </c>
      <c r="F14" s="143">
        <v>29500</v>
      </c>
      <c r="G14" s="143">
        <v>0</v>
      </c>
      <c r="H14" s="135" t="s">
        <v>549</v>
      </c>
      <c r="I14" s="135" t="s">
        <v>689</v>
      </c>
      <c r="J14" s="137" t="s">
        <v>690</v>
      </c>
      <c r="K14" s="363">
        <v>7</v>
      </c>
    </row>
    <row r="15" spans="1:13" ht="78" customHeight="1" x14ac:dyDescent="0.25">
      <c r="A15" s="460" t="s">
        <v>839</v>
      </c>
      <c r="B15" s="142">
        <v>705</v>
      </c>
      <c r="C15" s="128">
        <f>D15+E15+F15</f>
        <v>8285</v>
      </c>
      <c r="D15" s="143">
        <f>2155+624</f>
        <v>2779</v>
      </c>
      <c r="E15" s="143">
        <f>2150+624</f>
        <v>2774</v>
      </c>
      <c r="F15" s="143">
        <f>2108+624</f>
        <v>2732</v>
      </c>
      <c r="G15" s="143" t="s">
        <v>6</v>
      </c>
      <c r="H15" s="135" t="s">
        <v>426</v>
      </c>
      <c r="I15" s="135" t="s">
        <v>691</v>
      </c>
      <c r="J15" s="137" t="s">
        <v>840</v>
      </c>
      <c r="K15" s="364" t="s">
        <v>550</v>
      </c>
    </row>
    <row r="16" spans="1:13" ht="84" x14ac:dyDescent="0.25">
      <c r="A16" s="461" t="s">
        <v>374</v>
      </c>
      <c r="B16" s="142">
        <v>703</v>
      </c>
      <c r="C16" s="128">
        <f t="shared" ref="C16:C27" si="1">D16+E16+F16+G16</f>
        <v>7416</v>
      </c>
      <c r="D16" s="143">
        <v>2472</v>
      </c>
      <c r="E16" s="143">
        <v>2472</v>
      </c>
      <c r="F16" s="143">
        <v>2472</v>
      </c>
      <c r="G16" s="143">
        <v>0</v>
      </c>
      <c r="H16" s="135" t="s">
        <v>692</v>
      </c>
      <c r="I16" s="135" t="s">
        <v>693</v>
      </c>
      <c r="J16" s="137" t="s">
        <v>694</v>
      </c>
      <c r="K16" s="364" t="s">
        <v>550</v>
      </c>
    </row>
    <row r="17" spans="1:13" ht="99" customHeight="1" x14ac:dyDescent="0.25">
      <c r="A17" s="144" t="s">
        <v>150</v>
      </c>
      <c r="B17" s="142">
        <v>804</v>
      </c>
      <c r="C17" s="128">
        <f>D17+E17+F17</f>
        <v>2430</v>
      </c>
      <c r="D17" s="134">
        <v>785</v>
      </c>
      <c r="E17" s="134">
        <f>810</f>
        <v>810</v>
      </c>
      <c r="F17" s="143">
        <v>835</v>
      </c>
      <c r="G17" s="143" t="s">
        <v>6</v>
      </c>
      <c r="H17" s="135" t="s">
        <v>551</v>
      </c>
      <c r="I17" s="136" t="s">
        <v>277</v>
      </c>
      <c r="J17" s="137" t="s">
        <v>695</v>
      </c>
      <c r="K17" s="363">
        <v>8</v>
      </c>
    </row>
    <row r="18" spans="1:13" ht="78.75" customHeight="1" x14ac:dyDescent="0.25">
      <c r="A18" s="460" t="s">
        <v>696</v>
      </c>
      <c r="B18" s="142">
        <v>807</v>
      </c>
      <c r="C18" s="128">
        <f>D18+E18+F18</f>
        <v>1500</v>
      </c>
      <c r="D18" s="462">
        <v>500</v>
      </c>
      <c r="E18" s="462">
        <f>500</f>
        <v>500</v>
      </c>
      <c r="F18" s="143">
        <v>500</v>
      </c>
      <c r="G18" s="143" t="s">
        <v>6</v>
      </c>
      <c r="H18" s="135" t="s">
        <v>697</v>
      </c>
      <c r="I18" s="135" t="s">
        <v>6</v>
      </c>
      <c r="J18" s="463" t="s">
        <v>217</v>
      </c>
      <c r="K18" s="363">
        <v>8</v>
      </c>
    </row>
    <row r="19" spans="1:13" ht="120" customHeight="1" x14ac:dyDescent="0.25">
      <c r="A19" s="460" t="s">
        <v>375</v>
      </c>
      <c r="B19" s="142">
        <v>817</v>
      </c>
      <c r="C19" s="128">
        <f t="shared" si="1"/>
        <v>30</v>
      </c>
      <c r="D19" s="462">
        <v>30</v>
      </c>
      <c r="E19" s="462">
        <v>0</v>
      </c>
      <c r="F19" s="143">
        <v>0</v>
      </c>
      <c r="G19" s="143">
        <v>0</v>
      </c>
      <c r="H19" s="135" t="s">
        <v>376</v>
      </c>
      <c r="I19" s="135" t="s">
        <v>377</v>
      </c>
      <c r="J19" s="464" t="s">
        <v>698</v>
      </c>
      <c r="K19" s="465">
        <v>8</v>
      </c>
    </row>
    <row r="20" spans="1:13" ht="94.5" x14ac:dyDescent="0.25">
      <c r="A20" s="460" t="s">
        <v>152</v>
      </c>
      <c r="B20" s="142" t="s">
        <v>346</v>
      </c>
      <c r="C20" s="128">
        <f t="shared" si="1"/>
        <v>153430</v>
      </c>
      <c r="D20" s="462">
        <v>76715</v>
      </c>
      <c r="E20" s="462">
        <f>76715</f>
        <v>76715</v>
      </c>
      <c r="F20" s="168">
        <v>0</v>
      </c>
      <c r="G20" s="168">
        <v>0</v>
      </c>
      <c r="H20" s="145" t="s">
        <v>278</v>
      </c>
      <c r="I20" s="145" t="s">
        <v>279</v>
      </c>
      <c r="J20" s="464" t="s">
        <v>699</v>
      </c>
      <c r="K20" s="363">
        <v>8</v>
      </c>
    </row>
    <row r="21" spans="1:13" s="466" customFormat="1" ht="94.5" x14ac:dyDescent="0.2">
      <c r="A21" s="460" t="s">
        <v>153</v>
      </c>
      <c r="B21" s="142" t="s">
        <v>346</v>
      </c>
      <c r="C21" s="128">
        <f t="shared" si="1"/>
        <v>1500</v>
      </c>
      <c r="D21" s="462">
        <v>1000</v>
      </c>
      <c r="E21" s="462">
        <f>500</f>
        <v>500</v>
      </c>
      <c r="F21" s="168">
        <v>0</v>
      </c>
      <c r="G21" s="168">
        <v>0</v>
      </c>
      <c r="H21" s="145" t="s">
        <v>278</v>
      </c>
      <c r="I21" s="145" t="s">
        <v>279</v>
      </c>
      <c r="J21" s="464" t="s">
        <v>699</v>
      </c>
      <c r="K21" s="363">
        <v>8</v>
      </c>
      <c r="L21" s="454"/>
    </row>
    <row r="22" spans="1:13" ht="45" customHeight="1" x14ac:dyDescent="0.25">
      <c r="A22" s="460" t="s">
        <v>700</v>
      </c>
      <c r="B22" s="142" t="s">
        <v>346</v>
      </c>
      <c r="C22" s="128">
        <f t="shared" si="1"/>
        <v>497220</v>
      </c>
      <c r="D22" s="462">
        <v>497220</v>
      </c>
      <c r="E22" s="462">
        <f>0</f>
        <v>0</v>
      </c>
      <c r="F22" s="168">
        <v>0</v>
      </c>
      <c r="G22" s="168">
        <v>0</v>
      </c>
      <c r="H22" s="145" t="s">
        <v>701</v>
      </c>
      <c r="I22" s="145" t="s">
        <v>280</v>
      </c>
      <c r="J22" s="464" t="s">
        <v>378</v>
      </c>
      <c r="K22" s="363">
        <v>8</v>
      </c>
      <c r="M22" s="467"/>
    </row>
    <row r="23" spans="1:13" s="466" customFormat="1" ht="45" customHeight="1" x14ac:dyDescent="0.2">
      <c r="A23" s="460" t="s">
        <v>702</v>
      </c>
      <c r="B23" s="146" t="s">
        <v>346</v>
      </c>
      <c r="C23" s="128">
        <f t="shared" si="1"/>
        <v>30000</v>
      </c>
      <c r="D23" s="147">
        <v>30000</v>
      </c>
      <c r="E23" s="147">
        <f>0</f>
        <v>0</v>
      </c>
      <c r="F23" s="168">
        <v>0</v>
      </c>
      <c r="G23" s="168">
        <v>0</v>
      </c>
      <c r="H23" s="145" t="s">
        <v>379</v>
      </c>
      <c r="I23" s="145" t="s">
        <v>280</v>
      </c>
      <c r="J23" s="148" t="s">
        <v>378</v>
      </c>
      <c r="K23" s="363">
        <v>8</v>
      </c>
      <c r="L23" s="454"/>
      <c r="M23" s="468"/>
    </row>
    <row r="24" spans="1:13" s="466" customFormat="1" ht="89.25" customHeight="1" x14ac:dyDescent="0.2">
      <c r="A24" s="460" t="s">
        <v>703</v>
      </c>
      <c r="B24" s="146" t="s">
        <v>346</v>
      </c>
      <c r="C24" s="128">
        <f t="shared" si="1"/>
        <v>336580</v>
      </c>
      <c r="D24" s="147">
        <v>168280</v>
      </c>
      <c r="E24" s="147">
        <v>168300</v>
      </c>
      <c r="F24" s="168">
        <v>0</v>
      </c>
      <c r="G24" s="168">
        <v>0</v>
      </c>
      <c r="H24" s="145" t="s">
        <v>379</v>
      </c>
      <c r="I24" s="135" t="s">
        <v>281</v>
      </c>
      <c r="J24" s="148" t="s">
        <v>704</v>
      </c>
      <c r="K24" s="363">
        <v>8</v>
      </c>
      <c r="L24" s="454"/>
    </row>
    <row r="25" spans="1:13" ht="89.25" customHeight="1" x14ac:dyDescent="0.25">
      <c r="A25" s="460" t="s">
        <v>705</v>
      </c>
      <c r="B25" s="146" t="s">
        <v>346</v>
      </c>
      <c r="C25" s="128">
        <f t="shared" si="1"/>
        <v>35000</v>
      </c>
      <c r="D25" s="147">
        <v>20000</v>
      </c>
      <c r="E25" s="147">
        <v>15000</v>
      </c>
      <c r="F25" s="143">
        <v>0</v>
      </c>
      <c r="G25" s="143">
        <v>0</v>
      </c>
      <c r="H25" s="135" t="s">
        <v>379</v>
      </c>
      <c r="I25" s="135" t="s">
        <v>281</v>
      </c>
      <c r="J25" s="148" t="s">
        <v>704</v>
      </c>
      <c r="K25" s="363">
        <v>8</v>
      </c>
      <c r="M25" s="467"/>
    </row>
    <row r="26" spans="1:13" s="466" customFormat="1" ht="78" customHeight="1" x14ac:dyDescent="0.2">
      <c r="A26" s="460" t="s">
        <v>706</v>
      </c>
      <c r="B26" s="146" t="s">
        <v>435</v>
      </c>
      <c r="C26" s="128">
        <f t="shared" si="1"/>
        <v>3000000</v>
      </c>
      <c r="D26" s="147">
        <v>0</v>
      </c>
      <c r="E26" s="147">
        <v>0</v>
      </c>
      <c r="F26" s="143">
        <v>300000</v>
      </c>
      <c r="G26" s="143">
        <v>2700000</v>
      </c>
      <c r="H26" s="135" t="s">
        <v>611</v>
      </c>
      <c r="I26" s="135" t="s">
        <v>380</v>
      </c>
      <c r="J26" s="148" t="s">
        <v>381</v>
      </c>
      <c r="K26" s="363">
        <v>8</v>
      </c>
      <c r="L26" s="454"/>
    </row>
    <row r="27" spans="1:13" ht="78" customHeight="1" thickBot="1" x14ac:dyDescent="0.3">
      <c r="A27" s="460" t="s">
        <v>707</v>
      </c>
      <c r="B27" s="146" t="s">
        <v>346</v>
      </c>
      <c r="C27" s="128">
        <f t="shared" si="1"/>
        <v>1500000</v>
      </c>
      <c r="D27" s="147">
        <v>205000</v>
      </c>
      <c r="E27" s="147">
        <v>205000</v>
      </c>
      <c r="F27" s="143">
        <v>200000</v>
      </c>
      <c r="G27" s="143">
        <v>890000</v>
      </c>
      <c r="H27" s="135" t="s">
        <v>611</v>
      </c>
      <c r="I27" s="135" t="s">
        <v>380</v>
      </c>
      <c r="J27" s="148" t="s">
        <v>381</v>
      </c>
      <c r="K27" s="366">
        <v>8</v>
      </c>
      <c r="M27" s="467"/>
    </row>
    <row r="28" spans="1:13" ht="27" customHeight="1" thickBot="1" x14ac:dyDescent="0.3">
      <c r="A28" s="63" t="s">
        <v>102</v>
      </c>
      <c r="B28" s="125"/>
      <c r="C28" s="65">
        <f>SUM(C14:C27)</f>
        <v>5720891</v>
      </c>
      <c r="D28" s="65">
        <f>SUM(D14:D27)</f>
        <v>1063781</v>
      </c>
      <c r="E28" s="65">
        <f>SUM(E14:E27)</f>
        <v>531071</v>
      </c>
      <c r="F28" s="65">
        <f>SUM(F14:F27)</f>
        <v>536039</v>
      </c>
      <c r="G28" s="65">
        <f>SUM(G14:G27)</f>
        <v>3590000</v>
      </c>
      <c r="H28" s="141"/>
      <c r="I28" s="141"/>
      <c r="J28" s="62"/>
      <c r="K28" s="363"/>
    </row>
    <row r="29" spans="1:13" ht="18" customHeight="1" x14ac:dyDescent="0.25">
      <c r="A29" s="696" t="s">
        <v>382</v>
      </c>
      <c r="B29" s="696"/>
      <c r="C29" s="696"/>
      <c r="D29" s="696"/>
      <c r="E29" s="696"/>
      <c r="F29" s="696"/>
      <c r="G29" s="696"/>
      <c r="H29" s="696"/>
      <c r="I29" s="696"/>
      <c r="J29" s="697"/>
      <c r="K29" s="363"/>
    </row>
    <row r="30" spans="1:13" ht="126" x14ac:dyDescent="0.25">
      <c r="A30" s="511" t="s">
        <v>841</v>
      </c>
      <c r="B30" s="512">
        <v>1603</v>
      </c>
      <c r="C30" s="513">
        <f t="shared" ref="C30:C38" si="2">D30+E30+F30+G30</f>
        <v>1433280</v>
      </c>
      <c r="D30" s="514">
        <f>776700-D38</f>
        <v>716640</v>
      </c>
      <c r="E30" s="514">
        <f>776700-E38</f>
        <v>716640</v>
      </c>
      <c r="F30" s="515">
        <v>0</v>
      </c>
      <c r="G30" s="515">
        <v>0</v>
      </c>
      <c r="H30" s="516" t="s">
        <v>384</v>
      </c>
      <c r="I30" s="517" t="s">
        <v>282</v>
      </c>
      <c r="J30" s="518" t="s">
        <v>842</v>
      </c>
      <c r="K30" s="363">
        <v>16</v>
      </c>
    </row>
    <row r="31" spans="1:13" ht="94.5" x14ac:dyDescent="0.25">
      <c r="A31" s="511" t="s">
        <v>154</v>
      </c>
      <c r="B31" s="512">
        <v>1603</v>
      </c>
      <c r="C31" s="513">
        <f t="shared" si="2"/>
        <v>346224</v>
      </c>
      <c r="D31" s="519">
        <v>173112</v>
      </c>
      <c r="E31" s="519">
        <f>173112</f>
        <v>173112</v>
      </c>
      <c r="F31" s="515">
        <v>0</v>
      </c>
      <c r="G31" s="515">
        <v>0</v>
      </c>
      <c r="H31" s="516" t="s">
        <v>384</v>
      </c>
      <c r="I31" s="520" t="s">
        <v>283</v>
      </c>
      <c r="J31" s="521" t="s">
        <v>843</v>
      </c>
      <c r="K31" s="363">
        <v>16</v>
      </c>
    </row>
    <row r="32" spans="1:13" ht="94.5" x14ac:dyDescent="0.25">
      <c r="A32" s="511" t="s">
        <v>155</v>
      </c>
      <c r="B32" s="512">
        <v>1603</v>
      </c>
      <c r="C32" s="513">
        <f t="shared" si="2"/>
        <v>125349</v>
      </c>
      <c r="D32" s="515">
        <v>32004</v>
      </c>
      <c r="E32" s="515">
        <f>32004</f>
        <v>32004</v>
      </c>
      <c r="F32" s="515">
        <v>32004</v>
      </c>
      <c r="G32" s="515">
        <v>29337</v>
      </c>
      <c r="H32" s="516" t="s">
        <v>384</v>
      </c>
      <c r="I32" s="517" t="s">
        <v>283</v>
      </c>
      <c r="J32" s="518" t="s">
        <v>844</v>
      </c>
      <c r="K32" s="363">
        <v>16</v>
      </c>
    </row>
    <row r="33" spans="1:13" ht="94.5" x14ac:dyDescent="0.25">
      <c r="A33" s="511" t="s">
        <v>845</v>
      </c>
      <c r="B33" s="512">
        <v>1603</v>
      </c>
      <c r="C33" s="513">
        <f t="shared" si="2"/>
        <v>187822</v>
      </c>
      <c r="D33" s="515">
        <f>73911+20000</f>
        <v>93911</v>
      </c>
      <c r="E33" s="515">
        <f>73911+20000</f>
        <v>93911</v>
      </c>
      <c r="F33" s="515">
        <v>0</v>
      </c>
      <c r="G33" s="515">
        <v>0</v>
      </c>
      <c r="H33" s="516" t="s">
        <v>384</v>
      </c>
      <c r="I33" s="517" t="s">
        <v>284</v>
      </c>
      <c r="J33" s="518" t="s">
        <v>846</v>
      </c>
      <c r="K33" s="363">
        <v>16</v>
      </c>
    </row>
    <row r="34" spans="1:13" ht="84" x14ac:dyDescent="0.25">
      <c r="A34" s="511" t="s">
        <v>847</v>
      </c>
      <c r="B34" s="512">
        <v>1603</v>
      </c>
      <c r="C34" s="513">
        <f t="shared" si="2"/>
        <v>13753</v>
      </c>
      <c r="D34" s="515">
        <v>6876</v>
      </c>
      <c r="E34" s="515">
        <f>6877</f>
        <v>6877</v>
      </c>
      <c r="F34" s="515">
        <v>0</v>
      </c>
      <c r="G34" s="515">
        <v>0</v>
      </c>
      <c r="H34" s="516" t="s">
        <v>384</v>
      </c>
      <c r="I34" s="517" t="s">
        <v>386</v>
      </c>
      <c r="J34" s="518" t="s">
        <v>848</v>
      </c>
      <c r="K34" s="363">
        <v>16</v>
      </c>
    </row>
    <row r="35" spans="1:13" ht="157.5" x14ac:dyDescent="0.25">
      <c r="A35" s="460" t="s">
        <v>708</v>
      </c>
      <c r="B35" s="142">
        <v>1603</v>
      </c>
      <c r="C35" s="128">
        <f>D35+E35+F35+G35</f>
        <v>17905707</v>
      </c>
      <c r="D35" s="473">
        <v>1315860</v>
      </c>
      <c r="E35" s="473">
        <v>1466065</v>
      </c>
      <c r="F35" s="470">
        <v>1928362</v>
      </c>
      <c r="G35" s="470">
        <v>13195420</v>
      </c>
      <c r="H35" s="471" t="s">
        <v>384</v>
      </c>
      <c r="I35" s="472" t="s">
        <v>6</v>
      </c>
      <c r="J35" s="463" t="s">
        <v>709</v>
      </c>
      <c r="K35" s="363">
        <v>16</v>
      </c>
    </row>
    <row r="36" spans="1:13" ht="130.5" customHeight="1" x14ac:dyDescent="0.25">
      <c r="A36" s="460" t="s">
        <v>710</v>
      </c>
      <c r="B36" s="142">
        <v>1603</v>
      </c>
      <c r="C36" s="128">
        <f>D36+E36+F36+G36</f>
        <v>257717</v>
      </c>
      <c r="D36" s="473">
        <v>128859</v>
      </c>
      <c r="E36" s="473">
        <v>128858</v>
      </c>
      <c r="F36" s="470">
        <v>0</v>
      </c>
      <c r="G36" s="470">
        <v>0</v>
      </c>
      <c r="H36" s="471" t="s">
        <v>384</v>
      </c>
      <c r="I36" s="472" t="s">
        <v>282</v>
      </c>
      <c r="J36" s="463" t="s">
        <v>711</v>
      </c>
      <c r="K36" s="363">
        <v>16</v>
      </c>
    </row>
    <row r="37" spans="1:13" ht="84" x14ac:dyDescent="0.25">
      <c r="A37" s="460" t="s">
        <v>712</v>
      </c>
      <c r="B37" s="142">
        <v>1604</v>
      </c>
      <c r="C37" s="128">
        <f t="shared" si="2"/>
        <v>893500</v>
      </c>
      <c r="D37" s="469">
        <v>225750</v>
      </c>
      <c r="E37" s="469">
        <v>225750</v>
      </c>
      <c r="F37" s="470">
        <v>225750</v>
      </c>
      <c r="G37" s="470">
        <v>216250</v>
      </c>
      <c r="H37" s="471" t="s">
        <v>384</v>
      </c>
      <c r="I37" s="510" t="s">
        <v>713</v>
      </c>
      <c r="J37" s="464" t="s">
        <v>714</v>
      </c>
      <c r="K37" s="363">
        <v>16</v>
      </c>
      <c r="M37" s="474"/>
    </row>
    <row r="38" spans="1:13" s="466" customFormat="1" ht="68.25" customHeight="1" x14ac:dyDescent="0.2">
      <c r="A38" s="460" t="s">
        <v>715</v>
      </c>
      <c r="B38" s="142">
        <v>1603</v>
      </c>
      <c r="C38" s="128">
        <f t="shared" si="2"/>
        <v>235240</v>
      </c>
      <c r="D38" s="469">
        <v>60060</v>
      </c>
      <c r="E38" s="469">
        <v>60060</v>
      </c>
      <c r="F38" s="470">
        <v>60060</v>
      </c>
      <c r="G38" s="470">
        <v>55060</v>
      </c>
      <c r="H38" s="471" t="s">
        <v>384</v>
      </c>
      <c r="I38" s="472" t="s">
        <v>6</v>
      </c>
      <c r="J38" s="463" t="s">
        <v>553</v>
      </c>
      <c r="K38" s="363">
        <v>16</v>
      </c>
      <c r="L38" s="454"/>
      <c r="M38" s="468"/>
    </row>
    <row r="39" spans="1:13" ht="67.5" customHeight="1" x14ac:dyDescent="0.25">
      <c r="A39" s="460" t="s">
        <v>716</v>
      </c>
      <c r="B39" s="142">
        <v>1603</v>
      </c>
      <c r="C39" s="128">
        <f>D39+E39+F39+G39</f>
        <v>21340</v>
      </c>
      <c r="D39" s="462">
        <v>10670</v>
      </c>
      <c r="E39" s="462">
        <f>10670</f>
        <v>10670</v>
      </c>
      <c r="F39" s="470">
        <v>0</v>
      </c>
      <c r="G39" s="470">
        <v>0</v>
      </c>
      <c r="H39" s="471" t="s">
        <v>552</v>
      </c>
      <c r="I39" s="472" t="s">
        <v>285</v>
      </c>
      <c r="J39" s="463" t="s">
        <v>383</v>
      </c>
      <c r="K39" s="363">
        <v>16</v>
      </c>
    </row>
    <row r="40" spans="1:13" ht="73.5" x14ac:dyDescent="0.25">
      <c r="A40" s="460" t="s">
        <v>717</v>
      </c>
      <c r="B40" s="142">
        <v>1603</v>
      </c>
      <c r="C40" s="128">
        <f>D40+E40+F40+G40</f>
        <v>1515</v>
      </c>
      <c r="D40" s="470">
        <v>783</v>
      </c>
      <c r="E40" s="470">
        <f>732</f>
        <v>732</v>
      </c>
      <c r="F40" s="470">
        <v>0</v>
      </c>
      <c r="G40" s="470">
        <v>0</v>
      </c>
      <c r="H40" s="471" t="s">
        <v>554</v>
      </c>
      <c r="I40" s="472" t="s">
        <v>286</v>
      </c>
      <c r="J40" s="463" t="s">
        <v>385</v>
      </c>
      <c r="K40" s="363">
        <v>16</v>
      </c>
    </row>
    <row r="41" spans="1:13" s="466" customFormat="1" ht="67.5" customHeight="1" x14ac:dyDescent="0.2">
      <c r="A41" s="460" t="s">
        <v>555</v>
      </c>
      <c r="B41" s="142">
        <v>1603</v>
      </c>
      <c r="C41" s="128">
        <f>D41+E41+F41+G41</f>
        <v>800</v>
      </c>
      <c r="D41" s="470">
        <v>200</v>
      </c>
      <c r="E41" s="470">
        <v>200</v>
      </c>
      <c r="F41" s="470">
        <v>200</v>
      </c>
      <c r="G41" s="470">
        <v>200</v>
      </c>
      <c r="H41" s="471" t="s">
        <v>556</v>
      </c>
      <c r="I41" s="472" t="s">
        <v>718</v>
      </c>
      <c r="J41" s="463" t="s">
        <v>557</v>
      </c>
      <c r="K41" s="363">
        <v>16</v>
      </c>
      <c r="L41" s="454"/>
    </row>
    <row r="42" spans="1:13" s="466" customFormat="1" ht="87" customHeight="1" x14ac:dyDescent="0.2">
      <c r="A42" s="460" t="s">
        <v>555</v>
      </c>
      <c r="B42" s="142">
        <v>1603</v>
      </c>
      <c r="C42" s="128">
        <f>D42+E42+F42+G42</f>
        <v>24000</v>
      </c>
      <c r="D42" s="470">
        <v>6000</v>
      </c>
      <c r="E42" s="470">
        <v>6000</v>
      </c>
      <c r="F42" s="475">
        <v>6000</v>
      </c>
      <c r="G42" s="475">
        <v>6000</v>
      </c>
      <c r="H42" s="471" t="s">
        <v>387</v>
      </c>
      <c r="I42" s="472" t="s">
        <v>558</v>
      </c>
      <c r="J42" s="463" t="s">
        <v>1010</v>
      </c>
      <c r="K42" s="363">
        <v>16</v>
      </c>
      <c r="L42" s="454"/>
    </row>
    <row r="43" spans="1:13" ht="24.75" customHeight="1" x14ac:dyDescent="0.25">
      <c r="A43" s="476" t="s">
        <v>388</v>
      </c>
      <c r="B43" s="151"/>
      <c r="C43" s="152">
        <f>SUM(C35:C42)</f>
        <v>19339819</v>
      </c>
      <c r="D43" s="152">
        <f t="shared" ref="D43:G43" si="3">SUM(D35:D42)</f>
        <v>1748182</v>
      </c>
      <c r="E43" s="152">
        <f t="shared" si="3"/>
        <v>1898335</v>
      </c>
      <c r="F43" s="152">
        <f t="shared" si="3"/>
        <v>2220372</v>
      </c>
      <c r="G43" s="152">
        <f t="shared" si="3"/>
        <v>13472930</v>
      </c>
      <c r="H43" s="477"/>
      <c r="I43" s="478"/>
      <c r="J43" s="479"/>
      <c r="K43" s="367"/>
    </row>
    <row r="44" spans="1:13" ht="153" customHeight="1" x14ac:dyDescent="0.25">
      <c r="A44" s="460" t="s">
        <v>156</v>
      </c>
      <c r="B44" s="142">
        <v>1604</v>
      </c>
      <c r="C44" s="128">
        <f>D44+E44+F44+G44</f>
        <v>121799</v>
      </c>
      <c r="D44" s="480">
        <v>60899</v>
      </c>
      <c r="E44" s="480">
        <f>60900</f>
        <v>60900</v>
      </c>
      <c r="F44" s="480">
        <v>0</v>
      </c>
      <c r="G44" s="480">
        <v>0</v>
      </c>
      <c r="H44" s="471" t="s">
        <v>293</v>
      </c>
      <c r="I44" s="472" t="s">
        <v>294</v>
      </c>
      <c r="J44" s="463" t="s">
        <v>389</v>
      </c>
      <c r="K44" s="363">
        <v>16</v>
      </c>
    </row>
    <row r="45" spans="1:13" ht="157.5" x14ac:dyDescent="0.25">
      <c r="A45" s="460" t="s">
        <v>157</v>
      </c>
      <c r="B45" s="142">
        <v>1604</v>
      </c>
      <c r="C45" s="128">
        <f t="shared" ref="C45:C67" si="4">D45+E45+F45+G45</f>
        <v>263334</v>
      </c>
      <c r="D45" s="462">
        <v>87778</v>
      </c>
      <c r="E45" s="462">
        <f>87778</f>
        <v>87778</v>
      </c>
      <c r="F45" s="480">
        <v>87778</v>
      </c>
      <c r="G45" s="480">
        <v>0</v>
      </c>
      <c r="H45" s="471" t="s">
        <v>295</v>
      </c>
      <c r="I45" s="472" t="s">
        <v>296</v>
      </c>
      <c r="J45" s="463" t="s">
        <v>390</v>
      </c>
      <c r="K45" s="363">
        <v>16</v>
      </c>
    </row>
    <row r="46" spans="1:13" ht="99" customHeight="1" x14ac:dyDescent="0.25">
      <c r="A46" s="460" t="s">
        <v>159</v>
      </c>
      <c r="B46" s="142">
        <v>1604</v>
      </c>
      <c r="C46" s="128">
        <f t="shared" si="4"/>
        <v>261519</v>
      </c>
      <c r="D46" s="462">
        <v>58116</v>
      </c>
      <c r="E46" s="462">
        <v>58116</v>
      </c>
      <c r="F46" s="480">
        <v>58116</v>
      </c>
      <c r="G46" s="480">
        <v>87171</v>
      </c>
      <c r="H46" s="471" t="s">
        <v>391</v>
      </c>
      <c r="I46" s="472" t="s">
        <v>297</v>
      </c>
      <c r="J46" s="463" t="s">
        <v>392</v>
      </c>
      <c r="K46" s="363">
        <v>16</v>
      </c>
    </row>
    <row r="47" spans="1:13" ht="111" customHeight="1" x14ac:dyDescent="0.25">
      <c r="A47" s="460" t="s">
        <v>160</v>
      </c>
      <c r="B47" s="142">
        <v>1604</v>
      </c>
      <c r="C47" s="128">
        <f t="shared" si="4"/>
        <v>357662</v>
      </c>
      <c r="D47" s="462">
        <v>79480</v>
      </c>
      <c r="E47" s="462">
        <v>79480</v>
      </c>
      <c r="F47" s="480">
        <v>79480</v>
      </c>
      <c r="G47" s="480">
        <v>119222</v>
      </c>
      <c r="H47" s="471" t="s">
        <v>391</v>
      </c>
      <c r="I47" s="472" t="s">
        <v>298</v>
      </c>
      <c r="J47" s="463" t="s">
        <v>393</v>
      </c>
      <c r="K47" s="363">
        <v>16</v>
      </c>
    </row>
    <row r="48" spans="1:13" ht="120" customHeight="1" x14ac:dyDescent="0.25">
      <c r="A48" s="460" t="s">
        <v>161</v>
      </c>
      <c r="B48" s="142">
        <v>1604</v>
      </c>
      <c r="C48" s="128">
        <f t="shared" si="4"/>
        <v>156074</v>
      </c>
      <c r="D48" s="462">
        <v>31216</v>
      </c>
      <c r="E48" s="462">
        <v>31216</v>
      </c>
      <c r="F48" s="480">
        <v>31216</v>
      </c>
      <c r="G48" s="480">
        <v>62426</v>
      </c>
      <c r="H48" s="471" t="s">
        <v>719</v>
      </c>
      <c r="I48" s="472" t="s">
        <v>299</v>
      </c>
      <c r="J48" s="463" t="s">
        <v>394</v>
      </c>
      <c r="K48" s="363">
        <v>16</v>
      </c>
    </row>
    <row r="49" spans="1:11" ht="120" customHeight="1" x14ac:dyDescent="0.25">
      <c r="A49" s="460" t="s">
        <v>162</v>
      </c>
      <c r="B49" s="142">
        <v>1604</v>
      </c>
      <c r="C49" s="128">
        <f t="shared" si="4"/>
        <v>745535</v>
      </c>
      <c r="D49" s="462">
        <v>149107</v>
      </c>
      <c r="E49" s="462">
        <v>149107</v>
      </c>
      <c r="F49" s="480">
        <v>149107</v>
      </c>
      <c r="G49" s="480">
        <v>298214</v>
      </c>
      <c r="H49" s="471" t="s">
        <v>395</v>
      </c>
      <c r="I49" s="472" t="s">
        <v>300</v>
      </c>
      <c r="J49" s="463" t="s">
        <v>396</v>
      </c>
      <c r="K49" s="363">
        <v>16</v>
      </c>
    </row>
    <row r="50" spans="1:11" ht="132" customHeight="1" x14ac:dyDescent="0.25">
      <c r="A50" s="460" t="s">
        <v>163</v>
      </c>
      <c r="B50" s="142">
        <v>1604</v>
      </c>
      <c r="C50" s="128">
        <f t="shared" si="4"/>
        <v>580578</v>
      </c>
      <c r="D50" s="462">
        <v>116116</v>
      </c>
      <c r="E50" s="462">
        <v>116116</v>
      </c>
      <c r="F50" s="480">
        <v>116116</v>
      </c>
      <c r="G50" s="480">
        <v>232230</v>
      </c>
      <c r="H50" s="471" t="s">
        <v>559</v>
      </c>
      <c r="I50" s="472" t="s">
        <v>301</v>
      </c>
      <c r="J50" s="463" t="s">
        <v>397</v>
      </c>
      <c r="K50" s="363">
        <v>16</v>
      </c>
    </row>
    <row r="51" spans="1:11" ht="132" customHeight="1" x14ac:dyDescent="0.25">
      <c r="A51" s="460" t="s">
        <v>164</v>
      </c>
      <c r="B51" s="142">
        <v>1604</v>
      </c>
      <c r="C51" s="128">
        <f t="shared" si="4"/>
        <v>500577</v>
      </c>
      <c r="D51" s="462">
        <v>91015</v>
      </c>
      <c r="E51" s="462">
        <v>91015</v>
      </c>
      <c r="F51" s="480">
        <v>91015</v>
      </c>
      <c r="G51" s="480">
        <v>227532</v>
      </c>
      <c r="H51" s="471" t="s">
        <v>559</v>
      </c>
      <c r="I51" s="472" t="s">
        <v>303</v>
      </c>
      <c r="J51" s="463" t="s">
        <v>398</v>
      </c>
      <c r="K51" s="363">
        <v>16</v>
      </c>
    </row>
    <row r="52" spans="1:11" ht="120" customHeight="1" x14ac:dyDescent="0.25">
      <c r="A52" s="460" t="s">
        <v>169</v>
      </c>
      <c r="B52" s="142">
        <v>1604</v>
      </c>
      <c r="C52" s="128">
        <f t="shared" si="4"/>
        <v>300952</v>
      </c>
      <c r="D52" s="462">
        <v>54719</v>
      </c>
      <c r="E52" s="462">
        <v>54719</v>
      </c>
      <c r="F52" s="480">
        <v>54719</v>
      </c>
      <c r="G52" s="480">
        <v>136795</v>
      </c>
      <c r="H52" s="471" t="s">
        <v>395</v>
      </c>
      <c r="I52" s="472" t="s">
        <v>304</v>
      </c>
      <c r="J52" s="153" t="s">
        <v>399</v>
      </c>
      <c r="K52" s="363">
        <v>16</v>
      </c>
    </row>
    <row r="53" spans="1:11" ht="132" customHeight="1" x14ac:dyDescent="0.25">
      <c r="A53" s="460" t="s">
        <v>167</v>
      </c>
      <c r="B53" s="142">
        <v>1604</v>
      </c>
      <c r="C53" s="128">
        <f t="shared" si="4"/>
        <v>723694</v>
      </c>
      <c r="D53" s="462">
        <v>131582</v>
      </c>
      <c r="E53" s="462">
        <v>131582</v>
      </c>
      <c r="F53" s="480">
        <v>131582</v>
      </c>
      <c r="G53" s="480">
        <v>328948</v>
      </c>
      <c r="H53" s="471" t="s">
        <v>293</v>
      </c>
      <c r="I53" s="472" t="s">
        <v>305</v>
      </c>
      <c r="J53" s="153" t="s">
        <v>560</v>
      </c>
      <c r="K53" s="363">
        <v>16</v>
      </c>
    </row>
    <row r="54" spans="1:11" ht="78" customHeight="1" x14ac:dyDescent="0.25">
      <c r="A54" s="460" t="s">
        <v>561</v>
      </c>
      <c r="B54" s="142">
        <v>1604</v>
      </c>
      <c r="C54" s="128">
        <f t="shared" si="4"/>
        <v>137198</v>
      </c>
      <c r="D54" s="462">
        <v>32282</v>
      </c>
      <c r="E54" s="462">
        <v>32282</v>
      </c>
      <c r="F54" s="480">
        <v>32282</v>
      </c>
      <c r="G54" s="480">
        <v>40352</v>
      </c>
      <c r="H54" s="471" t="s">
        <v>293</v>
      </c>
      <c r="I54" s="472" t="s">
        <v>305</v>
      </c>
      <c r="J54" s="153" t="s">
        <v>720</v>
      </c>
      <c r="K54" s="363">
        <v>16</v>
      </c>
    </row>
    <row r="55" spans="1:11" ht="132" customHeight="1" x14ac:dyDescent="0.25">
      <c r="A55" s="460" t="s">
        <v>166</v>
      </c>
      <c r="B55" s="142">
        <v>1604</v>
      </c>
      <c r="C55" s="128">
        <f t="shared" si="4"/>
        <v>185703</v>
      </c>
      <c r="D55" s="462">
        <v>37140</v>
      </c>
      <c r="E55" s="462">
        <v>37140</v>
      </c>
      <c r="F55" s="480">
        <v>37140</v>
      </c>
      <c r="G55" s="480">
        <v>74283</v>
      </c>
      <c r="H55" s="471" t="s">
        <v>302</v>
      </c>
      <c r="I55" s="472" t="s">
        <v>306</v>
      </c>
      <c r="J55" s="153" t="s">
        <v>400</v>
      </c>
      <c r="K55" s="363">
        <v>16</v>
      </c>
    </row>
    <row r="56" spans="1:11" ht="132" customHeight="1" x14ac:dyDescent="0.25">
      <c r="A56" s="460" t="s">
        <v>170</v>
      </c>
      <c r="B56" s="142">
        <v>1604</v>
      </c>
      <c r="C56" s="128">
        <f t="shared" si="4"/>
        <v>345103</v>
      </c>
      <c r="D56" s="462">
        <v>69022</v>
      </c>
      <c r="E56" s="462">
        <v>69022</v>
      </c>
      <c r="F56" s="480">
        <v>69022</v>
      </c>
      <c r="G56" s="480">
        <v>138037</v>
      </c>
      <c r="H56" s="471" t="s">
        <v>559</v>
      </c>
      <c r="I56" s="472" t="s">
        <v>307</v>
      </c>
      <c r="J56" s="153" t="s">
        <v>401</v>
      </c>
      <c r="K56" s="363">
        <v>16</v>
      </c>
    </row>
    <row r="57" spans="1:11" ht="132" customHeight="1" x14ac:dyDescent="0.25">
      <c r="A57" s="460" t="s">
        <v>168</v>
      </c>
      <c r="B57" s="142">
        <v>1604</v>
      </c>
      <c r="C57" s="128">
        <f t="shared" si="4"/>
        <v>284495</v>
      </c>
      <c r="D57" s="462">
        <v>56899</v>
      </c>
      <c r="E57" s="462">
        <v>56899</v>
      </c>
      <c r="F57" s="480">
        <v>56899</v>
      </c>
      <c r="G57" s="480">
        <v>113798</v>
      </c>
      <c r="H57" s="471" t="s">
        <v>559</v>
      </c>
      <c r="I57" s="472" t="s">
        <v>308</v>
      </c>
      <c r="J57" s="153" t="s">
        <v>402</v>
      </c>
      <c r="K57" s="363">
        <v>16</v>
      </c>
    </row>
    <row r="58" spans="1:11" ht="111" customHeight="1" x14ac:dyDescent="0.25">
      <c r="A58" s="460" t="s">
        <v>254</v>
      </c>
      <c r="B58" s="142">
        <v>1604</v>
      </c>
      <c r="C58" s="128">
        <f t="shared" si="4"/>
        <v>433506</v>
      </c>
      <c r="D58" s="462">
        <v>78820</v>
      </c>
      <c r="E58" s="462">
        <v>78820</v>
      </c>
      <c r="F58" s="480">
        <v>78820</v>
      </c>
      <c r="G58" s="480">
        <v>197046</v>
      </c>
      <c r="H58" s="471" t="s">
        <v>719</v>
      </c>
      <c r="I58" s="472" t="s">
        <v>309</v>
      </c>
      <c r="J58" s="463" t="s">
        <v>403</v>
      </c>
      <c r="K58" s="363">
        <v>16</v>
      </c>
    </row>
    <row r="59" spans="1:11" ht="142.5" customHeight="1" x14ac:dyDescent="0.25">
      <c r="A59" s="460" t="s">
        <v>165</v>
      </c>
      <c r="B59" s="142">
        <v>1604</v>
      </c>
      <c r="C59" s="128">
        <f t="shared" si="4"/>
        <v>656810</v>
      </c>
      <c r="D59" s="481">
        <v>101048</v>
      </c>
      <c r="E59" s="481">
        <v>101048</v>
      </c>
      <c r="F59" s="480">
        <v>101048</v>
      </c>
      <c r="G59" s="480">
        <v>353666</v>
      </c>
      <c r="H59" s="471" t="s">
        <v>404</v>
      </c>
      <c r="I59" s="472" t="s">
        <v>310</v>
      </c>
      <c r="J59" s="153" t="s">
        <v>405</v>
      </c>
      <c r="K59" s="363">
        <v>16</v>
      </c>
    </row>
    <row r="60" spans="1:11" ht="57" customHeight="1" x14ac:dyDescent="0.25">
      <c r="A60" s="460" t="s">
        <v>250</v>
      </c>
      <c r="B60" s="142">
        <v>1604</v>
      </c>
      <c r="C60" s="128">
        <f t="shared" si="4"/>
        <v>106110</v>
      </c>
      <c r="D60" s="481">
        <v>21222</v>
      </c>
      <c r="E60" s="481">
        <v>21222</v>
      </c>
      <c r="F60" s="480">
        <v>21222</v>
      </c>
      <c r="G60" s="480">
        <v>42444</v>
      </c>
      <c r="H60" s="471" t="s">
        <v>311</v>
      </c>
      <c r="I60" s="472" t="s">
        <v>312</v>
      </c>
      <c r="J60" s="463" t="s">
        <v>406</v>
      </c>
      <c r="K60" s="363">
        <v>16</v>
      </c>
    </row>
    <row r="61" spans="1:11" ht="57" customHeight="1" x14ac:dyDescent="0.25">
      <c r="A61" s="460" t="s">
        <v>251</v>
      </c>
      <c r="B61" s="142">
        <v>1604</v>
      </c>
      <c r="C61" s="128">
        <f t="shared" si="4"/>
        <v>10385</v>
      </c>
      <c r="D61" s="481">
        <v>2077</v>
      </c>
      <c r="E61" s="481">
        <v>2077</v>
      </c>
      <c r="F61" s="480">
        <v>2077</v>
      </c>
      <c r="G61" s="480">
        <v>4154</v>
      </c>
      <c r="H61" s="471" t="s">
        <v>562</v>
      </c>
      <c r="I61" s="472" t="s">
        <v>313</v>
      </c>
      <c r="J61" s="463" t="s">
        <v>407</v>
      </c>
      <c r="K61" s="363">
        <v>16</v>
      </c>
    </row>
    <row r="62" spans="1:11" ht="57" customHeight="1" x14ac:dyDescent="0.25">
      <c r="A62" s="460" t="s">
        <v>252</v>
      </c>
      <c r="B62" s="142">
        <v>1604</v>
      </c>
      <c r="C62" s="128">
        <f t="shared" si="4"/>
        <v>18985</v>
      </c>
      <c r="D62" s="481">
        <v>18985</v>
      </c>
      <c r="E62" s="481">
        <v>0</v>
      </c>
      <c r="F62" s="480">
        <v>0</v>
      </c>
      <c r="G62" s="480">
        <v>0</v>
      </c>
      <c r="H62" s="471" t="s">
        <v>563</v>
      </c>
      <c r="I62" s="472" t="s">
        <v>314</v>
      </c>
      <c r="J62" s="463" t="s">
        <v>408</v>
      </c>
      <c r="K62" s="363">
        <v>16</v>
      </c>
    </row>
    <row r="63" spans="1:11" ht="67.5" customHeight="1" x14ac:dyDescent="0.25">
      <c r="A63" s="144" t="s">
        <v>158</v>
      </c>
      <c r="B63" s="142">
        <v>1604</v>
      </c>
      <c r="C63" s="128">
        <f t="shared" si="4"/>
        <v>41160</v>
      </c>
      <c r="D63" s="462">
        <v>10290</v>
      </c>
      <c r="E63" s="462">
        <v>10290</v>
      </c>
      <c r="F63" s="480">
        <v>10290</v>
      </c>
      <c r="G63" s="480">
        <v>10290</v>
      </c>
      <c r="H63" s="471" t="s">
        <v>409</v>
      </c>
      <c r="I63" s="472" t="s">
        <v>315</v>
      </c>
      <c r="J63" s="154" t="s">
        <v>410</v>
      </c>
      <c r="K63" s="363">
        <v>16</v>
      </c>
    </row>
    <row r="64" spans="1:11" ht="67.5" customHeight="1" x14ac:dyDescent="0.25">
      <c r="A64" s="144" t="s">
        <v>253</v>
      </c>
      <c r="B64" s="142">
        <v>1604</v>
      </c>
      <c r="C64" s="128">
        <f t="shared" si="4"/>
        <v>3220</v>
      </c>
      <c r="D64" s="480">
        <v>644</v>
      </c>
      <c r="E64" s="480">
        <v>644</v>
      </c>
      <c r="F64" s="480">
        <v>644</v>
      </c>
      <c r="G64" s="480">
        <v>1288</v>
      </c>
      <c r="H64" s="471" t="s">
        <v>564</v>
      </c>
      <c r="I64" s="472" t="s">
        <v>316</v>
      </c>
      <c r="J64" s="154" t="s">
        <v>721</v>
      </c>
      <c r="K64" s="363">
        <v>16</v>
      </c>
    </row>
    <row r="65" spans="1:12" ht="111" customHeight="1" x14ac:dyDescent="0.25">
      <c r="A65" s="460" t="s">
        <v>411</v>
      </c>
      <c r="B65" s="142">
        <v>1604</v>
      </c>
      <c r="C65" s="128">
        <f t="shared" si="4"/>
        <v>749946</v>
      </c>
      <c r="D65" s="480">
        <v>107135</v>
      </c>
      <c r="E65" s="480">
        <v>107135</v>
      </c>
      <c r="F65" s="480">
        <v>107135</v>
      </c>
      <c r="G65" s="480">
        <v>428541</v>
      </c>
      <c r="H65" s="471" t="s">
        <v>404</v>
      </c>
      <c r="I65" s="472" t="s">
        <v>412</v>
      </c>
      <c r="J65" s="154" t="s">
        <v>413</v>
      </c>
      <c r="K65" s="363">
        <v>16</v>
      </c>
    </row>
    <row r="66" spans="1:12" ht="105" customHeight="1" x14ac:dyDescent="0.25">
      <c r="A66" s="460" t="s">
        <v>414</v>
      </c>
      <c r="B66" s="142">
        <v>1604</v>
      </c>
      <c r="C66" s="128">
        <f t="shared" si="4"/>
        <v>75549</v>
      </c>
      <c r="D66" s="480">
        <v>75549</v>
      </c>
      <c r="E66" s="462">
        <v>0</v>
      </c>
      <c r="F66" s="480">
        <v>0</v>
      </c>
      <c r="G66" s="480">
        <v>0</v>
      </c>
      <c r="H66" s="471" t="s">
        <v>404</v>
      </c>
      <c r="I66" s="472" t="s">
        <v>415</v>
      </c>
      <c r="J66" s="154" t="s">
        <v>416</v>
      </c>
      <c r="K66" s="363">
        <v>16</v>
      </c>
    </row>
    <row r="67" spans="1:12" ht="120" customHeight="1" x14ac:dyDescent="0.25">
      <c r="A67" s="460" t="s">
        <v>417</v>
      </c>
      <c r="B67" s="155">
        <v>1604</v>
      </c>
      <c r="C67" s="128">
        <f t="shared" si="4"/>
        <v>1039487</v>
      </c>
      <c r="D67" s="462">
        <v>0</v>
      </c>
      <c r="E67" s="462">
        <v>103948</v>
      </c>
      <c r="F67" s="462">
        <v>103948</v>
      </c>
      <c r="G67" s="462">
        <v>831591</v>
      </c>
      <c r="H67" s="482" t="s">
        <v>6</v>
      </c>
      <c r="I67" s="483" t="s">
        <v>6</v>
      </c>
      <c r="J67" s="154" t="s">
        <v>722</v>
      </c>
      <c r="K67" s="363">
        <v>16</v>
      </c>
    </row>
    <row r="68" spans="1:12" ht="24.75" customHeight="1" x14ac:dyDescent="0.25">
      <c r="A68" s="476" t="s">
        <v>418</v>
      </c>
      <c r="B68" s="151"/>
      <c r="C68" s="152">
        <f>SUM(C44:C67)</f>
        <v>8099381</v>
      </c>
      <c r="D68" s="152">
        <f>SUM(D44:D67)</f>
        <v>1471141</v>
      </c>
      <c r="E68" s="152">
        <f>SUM(E44:E67)</f>
        <v>1480556</v>
      </c>
      <c r="F68" s="152">
        <f>SUM(F44:F67)</f>
        <v>1419656</v>
      </c>
      <c r="G68" s="152">
        <f>SUM(G44:G67)</f>
        <v>3728028</v>
      </c>
      <c r="H68" s="477"/>
      <c r="I68" s="478"/>
      <c r="J68" s="479"/>
      <c r="K68" s="367"/>
    </row>
    <row r="69" spans="1:12" ht="89.25" customHeight="1" x14ac:dyDescent="0.25">
      <c r="A69" s="144" t="s">
        <v>292</v>
      </c>
      <c r="B69" s="142">
        <v>1620</v>
      </c>
      <c r="C69" s="128">
        <f>D69+E69+F69+G69</f>
        <v>62400</v>
      </c>
      <c r="D69" s="470">
        <v>20800</v>
      </c>
      <c r="E69" s="470">
        <v>20800</v>
      </c>
      <c r="F69" s="484">
        <v>20800</v>
      </c>
      <c r="G69" s="484">
        <v>0</v>
      </c>
      <c r="H69" s="471" t="s">
        <v>419</v>
      </c>
      <c r="I69" s="471" t="s">
        <v>420</v>
      </c>
      <c r="J69" s="137" t="s">
        <v>565</v>
      </c>
      <c r="K69" s="363">
        <v>16</v>
      </c>
    </row>
    <row r="70" spans="1:12" ht="24.75" customHeight="1" x14ac:dyDescent="0.25">
      <c r="A70" s="476" t="s">
        <v>421</v>
      </c>
      <c r="B70" s="151"/>
      <c r="C70" s="152">
        <f>SUM(C69)</f>
        <v>62400</v>
      </c>
      <c r="D70" s="152">
        <f t="shared" ref="D70:G70" si="5">SUM(D69)</f>
        <v>20800</v>
      </c>
      <c r="E70" s="152">
        <f t="shared" si="5"/>
        <v>20800</v>
      </c>
      <c r="F70" s="152">
        <f t="shared" si="5"/>
        <v>20800</v>
      </c>
      <c r="G70" s="152">
        <f t="shared" si="5"/>
        <v>0</v>
      </c>
      <c r="H70" s="477"/>
      <c r="I70" s="478"/>
      <c r="J70" s="479"/>
      <c r="K70" s="367"/>
    </row>
    <row r="71" spans="1:12" ht="45" customHeight="1" x14ac:dyDescent="0.25">
      <c r="A71" s="460" t="s">
        <v>287</v>
      </c>
      <c r="B71" s="142">
        <v>1616</v>
      </c>
      <c r="C71" s="128">
        <f>D71+E71+F71</f>
        <v>24600</v>
      </c>
      <c r="D71" s="470">
        <v>8200</v>
      </c>
      <c r="E71" s="470">
        <v>8200</v>
      </c>
      <c r="F71" s="485">
        <v>8200</v>
      </c>
      <c r="G71" s="485" t="s">
        <v>6</v>
      </c>
      <c r="H71" s="471" t="s">
        <v>723</v>
      </c>
      <c r="I71" s="472" t="s">
        <v>288</v>
      </c>
      <c r="J71" s="463" t="s">
        <v>289</v>
      </c>
      <c r="K71" s="363">
        <v>16</v>
      </c>
    </row>
    <row r="72" spans="1:12" ht="57" customHeight="1" x14ac:dyDescent="0.25">
      <c r="A72" s="460" t="s">
        <v>249</v>
      </c>
      <c r="B72" s="142" t="s">
        <v>346</v>
      </c>
      <c r="C72" s="128">
        <f>D72+E72+F72+G72</f>
        <v>163693</v>
      </c>
      <c r="D72" s="470">
        <v>0</v>
      </c>
      <c r="E72" s="470">
        <v>0</v>
      </c>
      <c r="F72" s="470">
        <v>0</v>
      </c>
      <c r="G72" s="470">
        <v>163693</v>
      </c>
      <c r="H72" s="471" t="s">
        <v>566</v>
      </c>
      <c r="I72" s="472" t="s">
        <v>290</v>
      </c>
      <c r="J72" s="486" t="s">
        <v>291</v>
      </c>
      <c r="K72" s="363">
        <v>16</v>
      </c>
    </row>
    <row r="73" spans="1:12" s="487" customFormat="1" ht="57" customHeight="1" x14ac:dyDescent="0.25">
      <c r="A73" s="460" t="s">
        <v>724</v>
      </c>
      <c r="B73" s="142">
        <v>1612</v>
      </c>
      <c r="C73" s="128">
        <f t="shared" ref="C73:C76" si="6">D73+E73+F73+G73</f>
        <v>135000</v>
      </c>
      <c r="D73" s="470">
        <v>135000</v>
      </c>
      <c r="E73" s="470">
        <v>0</v>
      </c>
      <c r="F73" s="475">
        <v>0</v>
      </c>
      <c r="G73" s="475">
        <v>0</v>
      </c>
      <c r="H73" s="471" t="s">
        <v>563</v>
      </c>
      <c r="I73" s="472" t="s">
        <v>725</v>
      </c>
      <c r="J73" s="486" t="s">
        <v>726</v>
      </c>
      <c r="K73" s="363">
        <v>16</v>
      </c>
      <c r="L73" s="454"/>
    </row>
    <row r="74" spans="1:12" s="487" customFormat="1" ht="34.5" customHeight="1" x14ac:dyDescent="0.25">
      <c r="A74" s="460" t="s">
        <v>727</v>
      </c>
      <c r="B74" s="142">
        <v>1612</v>
      </c>
      <c r="C74" s="128">
        <f t="shared" si="6"/>
        <v>28000</v>
      </c>
      <c r="D74" s="470">
        <v>28000</v>
      </c>
      <c r="E74" s="470">
        <v>0</v>
      </c>
      <c r="F74" s="475">
        <v>0</v>
      </c>
      <c r="G74" s="475">
        <v>0</v>
      </c>
      <c r="H74" s="471" t="s">
        <v>728</v>
      </c>
      <c r="I74" s="472" t="s">
        <v>6</v>
      </c>
      <c r="J74" s="486" t="s">
        <v>729</v>
      </c>
      <c r="K74" s="363">
        <v>16</v>
      </c>
      <c r="L74" s="454"/>
    </row>
    <row r="75" spans="1:12" ht="63" x14ac:dyDescent="0.25">
      <c r="A75" s="368" t="s">
        <v>567</v>
      </c>
      <c r="B75" s="142">
        <v>8500</v>
      </c>
      <c r="C75" s="128">
        <f t="shared" si="6"/>
        <v>12000</v>
      </c>
      <c r="D75" s="143">
        <v>12000</v>
      </c>
      <c r="E75" s="143">
        <v>0</v>
      </c>
      <c r="F75" s="475">
        <v>0</v>
      </c>
      <c r="G75" s="475">
        <v>0</v>
      </c>
      <c r="H75" s="135" t="s">
        <v>730</v>
      </c>
      <c r="I75" s="135" t="s">
        <v>6</v>
      </c>
      <c r="J75" s="159" t="s">
        <v>857</v>
      </c>
      <c r="K75" s="369">
        <v>16</v>
      </c>
    </row>
    <row r="76" spans="1:12" s="458" customFormat="1" ht="67.5" customHeight="1" x14ac:dyDescent="0.25">
      <c r="A76" s="368" t="s">
        <v>731</v>
      </c>
      <c r="B76" s="133" t="s">
        <v>732</v>
      </c>
      <c r="C76" s="128">
        <f t="shared" si="6"/>
        <v>20358</v>
      </c>
      <c r="D76" s="143">
        <v>6786</v>
      </c>
      <c r="E76" s="143">
        <v>6786</v>
      </c>
      <c r="F76" s="475">
        <v>6786</v>
      </c>
      <c r="G76" s="475">
        <v>0</v>
      </c>
      <c r="H76" s="135" t="s">
        <v>733</v>
      </c>
      <c r="I76" s="135" t="s">
        <v>734</v>
      </c>
      <c r="J76" s="159" t="s">
        <v>735</v>
      </c>
      <c r="K76" s="369">
        <v>16</v>
      </c>
      <c r="L76" s="457"/>
    </row>
    <row r="77" spans="1:12" ht="15.75" customHeight="1" thickBot="1" x14ac:dyDescent="0.3">
      <c r="A77" s="535" t="s">
        <v>422</v>
      </c>
      <c r="B77" s="536"/>
      <c r="C77" s="537">
        <f>SUM(C71:C76)</f>
        <v>383651</v>
      </c>
      <c r="D77" s="537">
        <f>SUM(D71:D76)</f>
        <v>189986</v>
      </c>
      <c r="E77" s="537">
        <f>SUM(E71:E76)</f>
        <v>14986</v>
      </c>
      <c r="F77" s="537">
        <f>SUM(F71:F76)</f>
        <v>14986</v>
      </c>
      <c r="G77" s="537">
        <f>SUM(G71:G76)</f>
        <v>163693</v>
      </c>
      <c r="H77" s="538"/>
      <c r="I77" s="539"/>
      <c r="J77" s="540"/>
      <c r="K77" s="367"/>
    </row>
    <row r="78" spans="1:12" ht="15.75" customHeight="1" thickBot="1" x14ac:dyDescent="0.3">
      <c r="A78" s="63" t="s">
        <v>449</v>
      </c>
      <c r="B78" s="125"/>
      <c r="C78" s="65">
        <f>SUM(C77,C70,C43,C68)</f>
        <v>27885251</v>
      </c>
      <c r="D78" s="65">
        <f>SUM(D77,D70,D43,D68)</f>
        <v>3430109</v>
      </c>
      <c r="E78" s="65">
        <f>SUM(E77,E70,E43,E68)</f>
        <v>3414677</v>
      </c>
      <c r="F78" s="65">
        <f>SUM(F77,F70,F43,F68)</f>
        <v>3675814</v>
      </c>
      <c r="G78" s="65">
        <f>SUM(G77,G70,G43,G68)</f>
        <v>17364651</v>
      </c>
      <c r="H78" s="141"/>
      <c r="I78" s="141"/>
      <c r="J78" s="62"/>
      <c r="K78" s="363"/>
    </row>
    <row r="79" spans="1:12" ht="18" customHeight="1" x14ac:dyDescent="0.25">
      <c r="A79" s="698" t="s">
        <v>423</v>
      </c>
      <c r="B79" s="698"/>
      <c r="C79" s="698"/>
      <c r="D79" s="698"/>
      <c r="E79" s="698"/>
      <c r="F79" s="698"/>
      <c r="G79" s="698"/>
      <c r="H79" s="698"/>
      <c r="I79" s="698"/>
      <c r="J79" s="699"/>
      <c r="K79" s="363"/>
    </row>
    <row r="80" spans="1:12" s="458" customFormat="1" ht="45" customHeight="1" x14ac:dyDescent="0.25">
      <c r="A80" s="461" t="s">
        <v>569</v>
      </c>
      <c r="B80" s="155">
        <v>1622</v>
      </c>
      <c r="C80" s="128">
        <f t="shared" ref="C80:C81" si="7">D80+E80+F80+G80</f>
        <v>2300</v>
      </c>
      <c r="D80" s="488">
        <v>2000</v>
      </c>
      <c r="E80" s="488">
        <v>150</v>
      </c>
      <c r="F80" s="488">
        <v>150</v>
      </c>
      <c r="G80" s="488">
        <v>0</v>
      </c>
      <c r="H80" s="482" t="s">
        <v>6</v>
      </c>
      <c r="I80" s="489" t="s">
        <v>6</v>
      </c>
      <c r="J80" s="156" t="s">
        <v>736</v>
      </c>
      <c r="K80" s="363">
        <v>19</v>
      </c>
      <c r="L80" s="457"/>
    </row>
    <row r="81" spans="1:12" s="487" customFormat="1" ht="45" customHeight="1" x14ac:dyDescent="0.25">
      <c r="A81" s="461" t="s">
        <v>737</v>
      </c>
      <c r="B81" s="155">
        <v>1625</v>
      </c>
      <c r="C81" s="128">
        <f t="shared" si="7"/>
        <v>9700</v>
      </c>
      <c r="D81" s="488">
        <v>9700</v>
      </c>
      <c r="E81" s="488">
        <v>0</v>
      </c>
      <c r="F81" s="488">
        <v>0</v>
      </c>
      <c r="G81" s="488">
        <v>0</v>
      </c>
      <c r="H81" s="482" t="s">
        <v>738</v>
      </c>
      <c r="I81" s="489" t="s">
        <v>6</v>
      </c>
      <c r="J81" s="156" t="s">
        <v>739</v>
      </c>
      <c r="K81" s="365">
        <v>19</v>
      </c>
      <c r="L81" s="454"/>
    </row>
    <row r="82" spans="1:12" s="458" customFormat="1" ht="35.25" customHeight="1" thickBot="1" x14ac:dyDescent="0.3">
      <c r="A82" s="461" t="s">
        <v>740</v>
      </c>
      <c r="B82" s="155">
        <v>1624</v>
      </c>
      <c r="C82" s="128">
        <f>D82+E82+F82</f>
        <v>3000</v>
      </c>
      <c r="D82" s="488">
        <v>1000</v>
      </c>
      <c r="E82" s="488">
        <v>1000</v>
      </c>
      <c r="F82" s="488">
        <v>1000</v>
      </c>
      <c r="G82" s="490" t="s">
        <v>6</v>
      </c>
      <c r="H82" s="135" t="s">
        <v>741</v>
      </c>
      <c r="I82" s="489" t="s">
        <v>6</v>
      </c>
      <c r="J82" s="156" t="s">
        <v>742</v>
      </c>
      <c r="K82" s="363">
        <v>19</v>
      </c>
      <c r="L82" s="457"/>
    </row>
    <row r="83" spans="1:12" ht="27" customHeight="1" thickBot="1" x14ac:dyDescent="0.3">
      <c r="A83" s="63" t="s">
        <v>424</v>
      </c>
      <c r="B83" s="125"/>
      <c r="C83" s="65">
        <f>SUM(C80:C82)</f>
        <v>15000</v>
      </c>
      <c r="D83" s="65">
        <f>SUM(D80:D82)</f>
        <v>12700</v>
      </c>
      <c r="E83" s="65">
        <f>SUM(E80:E82)</f>
        <v>1150</v>
      </c>
      <c r="F83" s="65">
        <f>SUM(F80:F82)</f>
        <v>1150</v>
      </c>
      <c r="G83" s="65">
        <f>SUM(G80:G82)</f>
        <v>0</v>
      </c>
      <c r="H83" s="65"/>
      <c r="I83" s="141"/>
      <c r="J83" s="62"/>
      <c r="K83" s="363"/>
    </row>
    <row r="84" spans="1:12" ht="18" customHeight="1" x14ac:dyDescent="0.25">
      <c r="A84" s="698" t="s">
        <v>140</v>
      </c>
      <c r="B84" s="698"/>
      <c r="C84" s="698"/>
      <c r="D84" s="698"/>
      <c r="E84" s="698"/>
      <c r="F84" s="698"/>
      <c r="G84" s="698"/>
      <c r="H84" s="698"/>
      <c r="I84" s="698"/>
      <c r="J84" s="699"/>
      <c r="K84" s="363"/>
    </row>
    <row r="85" spans="1:12" s="458" customFormat="1" ht="35.25" customHeight="1" thickBot="1" x14ac:dyDescent="0.3">
      <c r="A85" s="461" t="s">
        <v>255</v>
      </c>
      <c r="B85" s="133" t="s">
        <v>317</v>
      </c>
      <c r="C85" s="128">
        <f>D85+E85+F85</f>
        <v>45</v>
      </c>
      <c r="D85" s="126">
        <v>15</v>
      </c>
      <c r="E85" s="126">
        <v>15</v>
      </c>
      <c r="F85" s="139">
        <v>15</v>
      </c>
      <c r="G85" s="139" t="s">
        <v>6</v>
      </c>
      <c r="H85" s="135" t="s">
        <v>570</v>
      </c>
      <c r="I85" s="136" t="s">
        <v>318</v>
      </c>
      <c r="J85" s="140" t="s">
        <v>571</v>
      </c>
      <c r="K85" s="363">
        <v>5</v>
      </c>
      <c r="L85" s="457"/>
    </row>
    <row r="86" spans="1:12" ht="15.75" customHeight="1" thickBot="1" x14ac:dyDescent="0.3">
      <c r="A86" s="63" t="s">
        <v>141</v>
      </c>
      <c r="B86" s="125"/>
      <c r="C86" s="65">
        <f>SUM(C85:C85)</f>
        <v>45</v>
      </c>
      <c r="D86" s="65">
        <f>SUM(D85:D85)</f>
        <v>15</v>
      </c>
      <c r="E86" s="65">
        <f>SUM(E85:E85)</f>
        <v>15</v>
      </c>
      <c r="F86" s="65">
        <f>SUM(F85:F85)</f>
        <v>15</v>
      </c>
      <c r="G86" s="65">
        <f>SUM(G85:G85)</f>
        <v>0</v>
      </c>
      <c r="H86" s="141"/>
      <c r="I86" s="141"/>
      <c r="J86" s="62"/>
      <c r="K86" s="363"/>
    </row>
    <row r="87" spans="1:12" ht="18" customHeight="1" x14ac:dyDescent="0.25">
      <c r="A87" s="698" t="s">
        <v>103</v>
      </c>
      <c r="B87" s="698"/>
      <c r="C87" s="698"/>
      <c r="D87" s="698"/>
      <c r="E87" s="698"/>
      <c r="F87" s="698"/>
      <c r="G87" s="698"/>
      <c r="H87" s="698"/>
      <c r="I87" s="698"/>
      <c r="J87" s="699"/>
      <c r="K87" s="363"/>
    </row>
    <row r="88" spans="1:12" s="458" customFormat="1" ht="45.75" customHeight="1" thickBot="1" x14ac:dyDescent="0.3">
      <c r="A88" s="166" t="s">
        <v>743</v>
      </c>
      <c r="B88" s="142">
        <v>1852</v>
      </c>
      <c r="C88" s="128">
        <f>D88+E88+F88+G88</f>
        <v>200000</v>
      </c>
      <c r="D88" s="143">
        <v>100000</v>
      </c>
      <c r="E88" s="143">
        <v>0</v>
      </c>
      <c r="F88" s="143">
        <v>100000</v>
      </c>
      <c r="G88" s="143">
        <v>0</v>
      </c>
      <c r="H88" s="135" t="s">
        <v>563</v>
      </c>
      <c r="I88" s="135" t="s">
        <v>744</v>
      </c>
      <c r="J88" s="491" t="s">
        <v>745</v>
      </c>
      <c r="K88" s="363">
        <v>17</v>
      </c>
      <c r="L88" s="492"/>
    </row>
    <row r="89" spans="1:12" ht="15.75" customHeight="1" thickBot="1" x14ac:dyDescent="0.3">
      <c r="A89" s="63" t="s">
        <v>107</v>
      </c>
      <c r="B89" s="130"/>
      <c r="C89" s="65">
        <f>SUM(C88:C88)</f>
        <v>200000</v>
      </c>
      <c r="D89" s="65">
        <f>SUM(D88:D88)</f>
        <v>100000</v>
      </c>
      <c r="E89" s="65">
        <f>SUM(E88:E88)</f>
        <v>0</v>
      </c>
      <c r="F89" s="65">
        <f>SUM(F88:F88)</f>
        <v>100000</v>
      </c>
      <c r="G89" s="65">
        <f>SUM(G88:G88)</f>
        <v>0</v>
      </c>
      <c r="H89" s="65"/>
      <c r="I89" s="127"/>
      <c r="J89" s="64"/>
      <c r="K89" s="367"/>
    </row>
    <row r="90" spans="1:12" ht="18" customHeight="1" x14ac:dyDescent="0.25">
      <c r="A90" s="696" t="s">
        <v>572</v>
      </c>
      <c r="B90" s="696"/>
      <c r="C90" s="696"/>
      <c r="D90" s="696"/>
      <c r="E90" s="696"/>
      <c r="F90" s="696"/>
      <c r="G90" s="696"/>
      <c r="H90" s="696"/>
      <c r="I90" s="696"/>
      <c r="J90" s="697"/>
      <c r="K90" s="363"/>
    </row>
    <row r="91" spans="1:12" ht="57.75" customHeight="1" thickBot="1" x14ac:dyDescent="0.3">
      <c r="A91" s="144" t="s">
        <v>573</v>
      </c>
      <c r="B91" s="133" t="s">
        <v>574</v>
      </c>
      <c r="C91" s="128">
        <f>D91+E91+F91+G91</f>
        <v>268</v>
      </c>
      <c r="D91" s="126">
        <v>134</v>
      </c>
      <c r="E91" s="134">
        <v>134</v>
      </c>
      <c r="F91" s="134">
        <v>0</v>
      </c>
      <c r="G91" s="134">
        <v>0</v>
      </c>
      <c r="H91" s="135" t="s">
        <v>575</v>
      </c>
      <c r="I91" s="136" t="s">
        <v>576</v>
      </c>
      <c r="J91" s="137" t="s">
        <v>577</v>
      </c>
      <c r="K91" s="363">
        <v>1</v>
      </c>
    </row>
    <row r="92" spans="1:12" ht="27" customHeight="1" thickBot="1" x14ac:dyDescent="0.3">
      <c r="A92" s="60" t="s">
        <v>578</v>
      </c>
      <c r="B92" s="130"/>
      <c r="C92" s="61">
        <f>C91</f>
        <v>268</v>
      </c>
      <c r="D92" s="61">
        <f t="shared" ref="D92:G92" si="8">SUM(D91:D91)</f>
        <v>134</v>
      </c>
      <c r="E92" s="61">
        <f t="shared" si="8"/>
        <v>134</v>
      </c>
      <c r="F92" s="61">
        <f t="shared" si="8"/>
        <v>0</v>
      </c>
      <c r="G92" s="61">
        <f t="shared" si="8"/>
        <v>0</v>
      </c>
      <c r="H92" s="61"/>
      <c r="I92" s="141"/>
      <c r="J92" s="62"/>
      <c r="K92" s="363"/>
    </row>
    <row r="93" spans="1:12" ht="18" customHeight="1" x14ac:dyDescent="0.25">
      <c r="A93" s="696" t="s">
        <v>110</v>
      </c>
      <c r="B93" s="696"/>
      <c r="C93" s="696"/>
      <c r="D93" s="696"/>
      <c r="E93" s="696"/>
      <c r="F93" s="696"/>
      <c r="G93" s="696"/>
      <c r="H93" s="696"/>
      <c r="I93" s="696"/>
      <c r="J93" s="697"/>
      <c r="K93" s="363"/>
    </row>
    <row r="94" spans="1:12" s="458" customFormat="1" ht="57" customHeight="1" x14ac:dyDescent="0.25">
      <c r="A94" s="460" t="s">
        <v>179</v>
      </c>
      <c r="B94" s="163">
        <v>1116</v>
      </c>
      <c r="C94" s="128">
        <f>D94+E94+F94</f>
        <v>15000</v>
      </c>
      <c r="D94" s="128">
        <v>5000</v>
      </c>
      <c r="E94" s="128">
        <v>5000</v>
      </c>
      <c r="F94" s="128">
        <v>5000</v>
      </c>
      <c r="G94" s="134" t="s">
        <v>6</v>
      </c>
      <c r="H94" s="135" t="s">
        <v>579</v>
      </c>
      <c r="I94" s="136" t="s">
        <v>6</v>
      </c>
      <c r="J94" s="137" t="s">
        <v>746</v>
      </c>
      <c r="K94" s="363">
        <v>11</v>
      </c>
      <c r="L94" s="457"/>
    </row>
    <row r="95" spans="1:12" s="458" customFormat="1" ht="57" customHeight="1" x14ac:dyDescent="0.25">
      <c r="A95" s="461" t="s">
        <v>319</v>
      </c>
      <c r="B95" s="160">
        <v>1252</v>
      </c>
      <c r="C95" s="128">
        <f t="shared" ref="C95:C97" si="9">D95+E95+F95</f>
        <v>297</v>
      </c>
      <c r="D95" s="126">
        <v>99</v>
      </c>
      <c r="E95" s="128">
        <v>99</v>
      </c>
      <c r="F95" s="128">
        <v>99</v>
      </c>
      <c r="G95" s="134" t="s">
        <v>6</v>
      </c>
      <c r="H95" s="135" t="s">
        <v>580</v>
      </c>
      <c r="I95" s="136" t="s">
        <v>6</v>
      </c>
      <c r="J95" s="137" t="s">
        <v>258</v>
      </c>
      <c r="K95" s="363">
        <v>2</v>
      </c>
      <c r="L95" s="457"/>
    </row>
    <row r="96" spans="1:12" s="458" customFormat="1" ht="45" customHeight="1" x14ac:dyDescent="0.25">
      <c r="A96" s="461" t="s">
        <v>178</v>
      </c>
      <c r="B96" s="160">
        <v>1139</v>
      </c>
      <c r="C96" s="128">
        <f t="shared" si="9"/>
        <v>4092</v>
      </c>
      <c r="D96" s="126">
        <v>1364</v>
      </c>
      <c r="E96" s="128">
        <v>1364</v>
      </c>
      <c r="F96" s="128">
        <v>1364</v>
      </c>
      <c r="G96" s="134" t="s">
        <v>6</v>
      </c>
      <c r="H96" s="135" t="s">
        <v>320</v>
      </c>
      <c r="I96" s="136" t="s">
        <v>6</v>
      </c>
      <c r="J96" s="140" t="s">
        <v>747</v>
      </c>
      <c r="K96" s="363">
        <v>11</v>
      </c>
      <c r="L96" s="457"/>
    </row>
    <row r="97" spans="1:12" s="458" customFormat="1" ht="57" customHeight="1" x14ac:dyDescent="0.25">
      <c r="A97" s="493" t="s">
        <v>321</v>
      </c>
      <c r="B97" s="163">
        <v>1131</v>
      </c>
      <c r="C97" s="128">
        <f t="shared" si="9"/>
        <v>13200</v>
      </c>
      <c r="D97" s="128">
        <v>4400</v>
      </c>
      <c r="E97" s="128">
        <v>4400</v>
      </c>
      <c r="F97" s="128">
        <v>4400</v>
      </c>
      <c r="G97" s="134" t="s">
        <v>6</v>
      </c>
      <c r="H97" s="135" t="s">
        <v>425</v>
      </c>
      <c r="I97" s="136" t="s">
        <v>6</v>
      </c>
      <c r="J97" s="137" t="s">
        <v>748</v>
      </c>
      <c r="K97" s="363">
        <v>11</v>
      </c>
      <c r="L97" s="457"/>
    </row>
    <row r="98" spans="1:12" s="459" customFormat="1" ht="45" customHeight="1" x14ac:dyDescent="0.2">
      <c r="A98" s="493" t="s">
        <v>749</v>
      </c>
      <c r="B98" s="163">
        <v>1105</v>
      </c>
      <c r="C98" s="128">
        <f t="shared" ref="C98:C111" si="10">D98+E98+F98+G98</f>
        <v>42500</v>
      </c>
      <c r="D98" s="128">
        <v>42500</v>
      </c>
      <c r="E98" s="128">
        <v>0</v>
      </c>
      <c r="F98" s="128">
        <v>0</v>
      </c>
      <c r="G98" s="128">
        <v>0</v>
      </c>
      <c r="H98" s="135" t="s">
        <v>750</v>
      </c>
      <c r="I98" s="136" t="s">
        <v>6</v>
      </c>
      <c r="J98" s="137" t="s">
        <v>751</v>
      </c>
      <c r="K98" s="363">
        <v>11</v>
      </c>
      <c r="L98" s="457"/>
    </row>
    <row r="99" spans="1:12" s="459" customFormat="1" ht="45" customHeight="1" x14ac:dyDescent="0.2">
      <c r="A99" s="493" t="s">
        <v>581</v>
      </c>
      <c r="B99" s="163">
        <v>1132</v>
      </c>
      <c r="C99" s="128">
        <f t="shared" si="10"/>
        <v>24000</v>
      </c>
      <c r="D99" s="128">
        <v>12000</v>
      </c>
      <c r="E99" s="128">
        <v>12000</v>
      </c>
      <c r="F99" s="128">
        <v>0</v>
      </c>
      <c r="G99" s="128">
        <v>0</v>
      </c>
      <c r="H99" s="135" t="s">
        <v>582</v>
      </c>
      <c r="I99" s="136" t="s">
        <v>752</v>
      </c>
      <c r="J99" s="137" t="s">
        <v>753</v>
      </c>
      <c r="K99" s="363">
        <v>11</v>
      </c>
      <c r="L99" s="457"/>
    </row>
    <row r="100" spans="1:12" s="459" customFormat="1" ht="96" customHeight="1" x14ac:dyDescent="0.2">
      <c r="A100" s="164" t="s">
        <v>754</v>
      </c>
      <c r="B100" s="142">
        <v>1140</v>
      </c>
      <c r="C100" s="128">
        <f t="shared" si="10"/>
        <v>7936</v>
      </c>
      <c r="D100" s="143">
        <v>1936</v>
      </c>
      <c r="E100" s="143">
        <v>0</v>
      </c>
      <c r="F100" s="128">
        <v>6000</v>
      </c>
      <c r="G100" s="128">
        <v>0</v>
      </c>
      <c r="H100" s="135" t="s">
        <v>976</v>
      </c>
      <c r="I100" s="135" t="s">
        <v>323</v>
      </c>
      <c r="J100" s="137" t="s">
        <v>975</v>
      </c>
      <c r="K100" s="363">
        <v>11</v>
      </c>
      <c r="L100" s="457"/>
    </row>
    <row r="101" spans="1:12" s="459" customFormat="1" ht="45" customHeight="1" x14ac:dyDescent="0.2">
      <c r="A101" s="164" t="s">
        <v>755</v>
      </c>
      <c r="B101" s="142">
        <v>1142</v>
      </c>
      <c r="C101" s="128">
        <f t="shared" si="10"/>
        <v>4817</v>
      </c>
      <c r="D101" s="143">
        <v>4817</v>
      </c>
      <c r="E101" s="143">
        <v>0</v>
      </c>
      <c r="F101" s="128">
        <v>0</v>
      </c>
      <c r="G101" s="128">
        <v>0</v>
      </c>
      <c r="H101" s="135" t="s">
        <v>426</v>
      </c>
      <c r="I101" s="135" t="s">
        <v>323</v>
      </c>
      <c r="J101" s="137" t="s">
        <v>756</v>
      </c>
      <c r="K101" s="363">
        <v>11</v>
      </c>
      <c r="L101" s="494"/>
    </row>
    <row r="102" spans="1:12" s="459" customFormat="1" ht="34.5" customHeight="1" x14ac:dyDescent="0.2">
      <c r="A102" s="164" t="s">
        <v>757</v>
      </c>
      <c r="B102" s="142">
        <v>1730</v>
      </c>
      <c r="C102" s="128">
        <f t="shared" si="10"/>
        <v>4250</v>
      </c>
      <c r="D102" s="170">
        <v>4250</v>
      </c>
      <c r="E102" s="170">
        <v>0</v>
      </c>
      <c r="F102" s="296">
        <v>0</v>
      </c>
      <c r="G102" s="296">
        <v>0</v>
      </c>
      <c r="H102" s="135" t="s">
        <v>426</v>
      </c>
      <c r="I102" s="135" t="s">
        <v>323</v>
      </c>
      <c r="J102" s="137" t="s">
        <v>758</v>
      </c>
      <c r="K102" s="363">
        <v>11</v>
      </c>
      <c r="L102" s="457"/>
    </row>
    <row r="103" spans="1:12" ht="45" customHeight="1" x14ac:dyDescent="0.25">
      <c r="A103" s="164" t="s">
        <v>977</v>
      </c>
      <c r="B103" s="142">
        <v>1731</v>
      </c>
      <c r="C103" s="128">
        <f t="shared" si="10"/>
        <v>4165</v>
      </c>
      <c r="D103" s="143">
        <v>4165</v>
      </c>
      <c r="E103" s="143">
        <v>0</v>
      </c>
      <c r="F103" s="128">
        <v>0</v>
      </c>
      <c r="G103" s="128">
        <v>0</v>
      </c>
      <c r="H103" s="135" t="s">
        <v>322</v>
      </c>
      <c r="I103" s="165" t="s">
        <v>323</v>
      </c>
      <c r="J103" s="137" t="s">
        <v>759</v>
      </c>
      <c r="K103" s="363">
        <v>11</v>
      </c>
      <c r="L103" s="457"/>
    </row>
    <row r="104" spans="1:12" s="458" customFormat="1" ht="34.5" customHeight="1" x14ac:dyDescent="0.25">
      <c r="A104" s="164" t="s">
        <v>978</v>
      </c>
      <c r="B104" s="142">
        <v>1731</v>
      </c>
      <c r="C104" s="128">
        <f t="shared" si="10"/>
        <v>3750</v>
      </c>
      <c r="D104" s="170">
        <v>0</v>
      </c>
      <c r="E104" s="170">
        <v>3750</v>
      </c>
      <c r="F104" s="296">
        <v>0</v>
      </c>
      <c r="G104" s="296">
        <v>0</v>
      </c>
      <c r="H104" s="135" t="s">
        <v>322</v>
      </c>
      <c r="I104" s="135" t="s">
        <v>323</v>
      </c>
      <c r="J104" s="137" t="s">
        <v>760</v>
      </c>
      <c r="K104" s="363">
        <v>11</v>
      </c>
      <c r="L104" s="457"/>
    </row>
    <row r="105" spans="1:12" s="459" customFormat="1" ht="89.25" customHeight="1" x14ac:dyDescent="0.2">
      <c r="A105" s="164" t="s">
        <v>979</v>
      </c>
      <c r="B105" s="142">
        <v>1733</v>
      </c>
      <c r="C105" s="128">
        <f t="shared" si="10"/>
        <v>3915</v>
      </c>
      <c r="D105" s="143">
        <v>3915</v>
      </c>
      <c r="E105" s="143">
        <v>0</v>
      </c>
      <c r="F105" s="128">
        <v>0</v>
      </c>
      <c r="G105" s="128">
        <v>0</v>
      </c>
      <c r="H105" s="135" t="s">
        <v>583</v>
      </c>
      <c r="I105" s="135" t="s">
        <v>323</v>
      </c>
      <c r="J105" s="137" t="s">
        <v>761</v>
      </c>
      <c r="K105" s="363">
        <v>11</v>
      </c>
      <c r="L105" s="457"/>
    </row>
    <row r="106" spans="1:12" s="466" customFormat="1" ht="89.25" customHeight="1" x14ac:dyDescent="0.2">
      <c r="A106" s="164" t="s">
        <v>980</v>
      </c>
      <c r="B106" s="142">
        <v>1733</v>
      </c>
      <c r="C106" s="128">
        <f t="shared" si="10"/>
        <v>4050</v>
      </c>
      <c r="D106" s="143">
        <v>0</v>
      </c>
      <c r="E106" s="143">
        <v>4050</v>
      </c>
      <c r="F106" s="128">
        <v>0</v>
      </c>
      <c r="G106" s="128">
        <v>0</v>
      </c>
      <c r="H106" s="135" t="s">
        <v>583</v>
      </c>
      <c r="I106" s="135" t="s">
        <v>323</v>
      </c>
      <c r="J106" s="137" t="s">
        <v>584</v>
      </c>
      <c r="K106" s="363">
        <v>11</v>
      </c>
      <c r="L106" s="454"/>
    </row>
    <row r="107" spans="1:12" s="459" customFormat="1" ht="89.25" customHeight="1" x14ac:dyDescent="0.2">
      <c r="A107" s="164" t="s">
        <v>981</v>
      </c>
      <c r="B107" s="142">
        <v>1733</v>
      </c>
      <c r="C107" s="128">
        <f t="shared" si="10"/>
        <v>3000</v>
      </c>
      <c r="D107" s="143">
        <v>0</v>
      </c>
      <c r="E107" s="143">
        <v>0</v>
      </c>
      <c r="F107" s="128">
        <v>3000</v>
      </c>
      <c r="G107" s="128">
        <v>0</v>
      </c>
      <c r="H107" s="135" t="s">
        <v>583</v>
      </c>
      <c r="I107" s="135" t="s">
        <v>323</v>
      </c>
      <c r="J107" s="137" t="s">
        <v>762</v>
      </c>
      <c r="K107" s="363">
        <v>11</v>
      </c>
      <c r="L107" s="457"/>
    </row>
    <row r="108" spans="1:12" s="459" customFormat="1" ht="35.25" customHeight="1" x14ac:dyDescent="0.2">
      <c r="A108" s="164" t="s">
        <v>763</v>
      </c>
      <c r="B108" s="142">
        <v>1735</v>
      </c>
      <c r="C108" s="128">
        <f t="shared" si="10"/>
        <v>2000</v>
      </c>
      <c r="D108" s="143">
        <v>2000</v>
      </c>
      <c r="E108" s="143">
        <v>0</v>
      </c>
      <c r="F108" s="128">
        <v>0</v>
      </c>
      <c r="G108" s="128">
        <v>0</v>
      </c>
      <c r="H108" s="135" t="s">
        <v>426</v>
      </c>
      <c r="I108" s="135" t="s">
        <v>323</v>
      </c>
      <c r="J108" s="137" t="s">
        <v>758</v>
      </c>
      <c r="K108" s="365">
        <v>11</v>
      </c>
      <c r="L108" s="457"/>
    </row>
    <row r="109" spans="1:12" s="459" customFormat="1" ht="34.5" customHeight="1" x14ac:dyDescent="0.2">
      <c r="A109" s="164" t="s">
        <v>764</v>
      </c>
      <c r="B109" s="142">
        <v>1738</v>
      </c>
      <c r="C109" s="128">
        <f t="shared" si="10"/>
        <v>1500</v>
      </c>
      <c r="D109" s="143">
        <v>1500</v>
      </c>
      <c r="E109" s="143">
        <v>0</v>
      </c>
      <c r="F109" s="128">
        <v>0</v>
      </c>
      <c r="G109" s="128">
        <v>0</v>
      </c>
      <c r="H109" s="135" t="s">
        <v>426</v>
      </c>
      <c r="I109" s="135" t="s">
        <v>323</v>
      </c>
      <c r="J109" s="137" t="s">
        <v>758</v>
      </c>
      <c r="K109" s="363">
        <v>11</v>
      </c>
      <c r="L109" s="457"/>
    </row>
    <row r="110" spans="1:12" s="458" customFormat="1" ht="35.25" customHeight="1" x14ac:dyDescent="0.25">
      <c r="A110" s="164" t="s">
        <v>765</v>
      </c>
      <c r="B110" s="142">
        <v>1739</v>
      </c>
      <c r="C110" s="128">
        <f t="shared" si="10"/>
        <v>4000</v>
      </c>
      <c r="D110" s="143">
        <v>4000</v>
      </c>
      <c r="E110" s="143">
        <v>0</v>
      </c>
      <c r="F110" s="128">
        <v>0</v>
      </c>
      <c r="G110" s="128">
        <v>0</v>
      </c>
      <c r="H110" s="135" t="s">
        <v>426</v>
      </c>
      <c r="I110" s="135" t="s">
        <v>323</v>
      </c>
      <c r="J110" s="137" t="s">
        <v>758</v>
      </c>
      <c r="K110" s="363">
        <v>11</v>
      </c>
      <c r="L110" s="457"/>
    </row>
    <row r="111" spans="1:12" ht="57.75" customHeight="1" thickBot="1" x14ac:dyDescent="0.3">
      <c r="A111" s="164" t="s">
        <v>766</v>
      </c>
      <c r="B111" s="142">
        <v>1107</v>
      </c>
      <c r="C111" s="128">
        <f t="shared" si="10"/>
        <v>80000</v>
      </c>
      <c r="D111" s="143">
        <v>80000</v>
      </c>
      <c r="E111" s="143">
        <v>0</v>
      </c>
      <c r="F111" s="128">
        <v>0</v>
      </c>
      <c r="G111" s="128">
        <v>0</v>
      </c>
      <c r="H111" s="135" t="s">
        <v>767</v>
      </c>
      <c r="I111" s="135" t="s">
        <v>6</v>
      </c>
      <c r="J111" s="137" t="s">
        <v>768</v>
      </c>
      <c r="K111" s="363">
        <v>11</v>
      </c>
    </row>
    <row r="112" spans="1:12" ht="27" customHeight="1" thickBot="1" x14ac:dyDescent="0.3">
      <c r="A112" s="60" t="s">
        <v>111</v>
      </c>
      <c r="B112" s="125"/>
      <c r="C112" s="65">
        <f>SUM(C94:C111)</f>
        <v>222472</v>
      </c>
      <c r="D112" s="65">
        <f>SUM(D94:D111)</f>
        <v>171946</v>
      </c>
      <c r="E112" s="65">
        <f>SUM(E94:E111)</f>
        <v>30663</v>
      </c>
      <c r="F112" s="65">
        <f>SUM(F94:F111)</f>
        <v>19863</v>
      </c>
      <c r="G112" s="65">
        <f>SUM(G94:G111)</f>
        <v>0</v>
      </c>
      <c r="H112" s="141"/>
      <c r="I112" s="141"/>
      <c r="J112" s="62"/>
      <c r="K112" s="363"/>
    </row>
    <row r="113" spans="1:12" ht="18" customHeight="1" x14ac:dyDescent="0.25">
      <c r="A113" s="698" t="s">
        <v>108</v>
      </c>
      <c r="B113" s="700"/>
      <c r="C113" s="700"/>
      <c r="D113" s="700"/>
      <c r="E113" s="700"/>
      <c r="F113" s="700"/>
      <c r="G113" s="700"/>
      <c r="H113" s="700"/>
      <c r="I113" s="700"/>
      <c r="J113" s="701"/>
      <c r="K113" s="363"/>
    </row>
    <row r="114" spans="1:12" s="459" customFormat="1" ht="66" customHeight="1" x14ac:dyDescent="0.2">
      <c r="A114" s="166" t="s">
        <v>180</v>
      </c>
      <c r="B114" s="167">
        <v>1128</v>
      </c>
      <c r="C114" s="128">
        <f>D114+E114+F114</f>
        <v>420</v>
      </c>
      <c r="D114" s="143">
        <v>140</v>
      </c>
      <c r="E114" s="143">
        <v>140</v>
      </c>
      <c r="F114" s="143">
        <v>140</v>
      </c>
      <c r="G114" s="143" t="s">
        <v>6</v>
      </c>
      <c r="H114" s="135" t="s">
        <v>427</v>
      </c>
      <c r="I114" s="135" t="s">
        <v>6</v>
      </c>
      <c r="J114" s="137" t="s">
        <v>256</v>
      </c>
      <c r="K114" s="363">
        <v>11</v>
      </c>
      <c r="L114" s="457"/>
    </row>
    <row r="115" spans="1:12" s="459" customFormat="1" ht="34.5" customHeight="1" x14ac:dyDescent="0.2">
      <c r="A115" s="371" t="s">
        <v>769</v>
      </c>
      <c r="B115" s="155">
        <v>1101</v>
      </c>
      <c r="C115" s="128">
        <f t="shared" ref="C115:C123" si="11">D115+E115+F115+G115</f>
        <v>600</v>
      </c>
      <c r="D115" s="162">
        <v>600</v>
      </c>
      <c r="E115" s="162">
        <v>0</v>
      </c>
      <c r="F115" s="143">
        <v>0</v>
      </c>
      <c r="G115" s="143">
        <v>0</v>
      </c>
      <c r="H115" s="135" t="s">
        <v>770</v>
      </c>
      <c r="I115" s="165" t="s">
        <v>771</v>
      </c>
      <c r="J115" s="137" t="s">
        <v>772</v>
      </c>
      <c r="K115" s="363">
        <v>11</v>
      </c>
      <c r="L115" s="457"/>
    </row>
    <row r="116" spans="1:12" s="459" customFormat="1" ht="34.5" customHeight="1" x14ac:dyDescent="0.2">
      <c r="A116" s="371" t="s">
        <v>773</v>
      </c>
      <c r="B116" s="155">
        <v>1101</v>
      </c>
      <c r="C116" s="128">
        <f t="shared" si="11"/>
        <v>700</v>
      </c>
      <c r="D116" s="162">
        <v>700</v>
      </c>
      <c r="E116" s="162">
        <v>0</v>
      </c>
      <c r="F116" s="143">
        <v>0</v>
      </c>
      <c r="G116" s="143">
        <v>0</v>
      </c>
      <c r="H116" s="135" t="s">
        <v>774</v>
      </c>
      <c r="I116" s="165" t="s">
        <v>775</v>
      </c>
      <c r="J116" s="137" t="s">
        <v>772</v>
      </c>
      <c r="K116" s="363">
        <v>11</v>
      </c>
      <c r="L116" s="457"/>
    </row>
    <row r="117" spans="1:12" s="459" customFormat="1" ht="52.5" x14ac:dyDescent="0.2">
      <c r="A117" s="371" t="s">
        <v>776</v>
      </c>
      <c r="B117" s="155">
        <v>1101</v>
      </c>
      <c r="C117" s="128">
        <f t="shared" si="11"/>
        <v>300</v>
      </c>
      <c r="D117" s="162">
        <v>300</v>
      </c>
      <c r="E117" s="162">
        <v>0</v>
      </c>
      <c r="F117" s="143">
        <v>0</v>
      </c>
      <c r="G117" s="143">
        <v>0</v>
      </c>
      <c r="H117" s="135" t="s">
        <v>777</v>
      </c>
      <c r="I117" s="165" t="s">
        <v>778</v>
      </c>
      <c r="J117" s="137" t="s">
        <v>772</v>
      </c>
      <c r="K117" s="363">
        <v>11</v>
      </c>
      <c r="L117" s="457"/>
    </row>
    <row r="118" spans="1:12" s="459" customFormat="1" ht="42" x14ac:dyDescent="0.2">
      <c r="A118" s="371" t="s">
        <v>779</v>
      </c>
      <c r="B118" s="142">
        <v>1101</v>
      </c>
      <c r="C118" s="128">
        <f t="shared" si="11"/>
        <v>199.85</v>
      </c>
      <c r="D118" s="143">
        <v>199.85</v>
      </c>
      <c r="E118" s="143">
        <v>0</v>
      </c>
      <c r="F118" s="143">
        <v>0</v>
      </c>
      <c r="G118" s="143">
        <v>0</v>
      </c>
      <c r="H118" s="135" t="s">
        <v>780</v>
      </c>
      <c r="I118" s="135" t="s">
        <v>781</v>
      </c>
      <c r="J118" s="137" t="s">
        <v>772</v>
      </c>
      <c r="K118" s="363">
        <v>11</v>
      </c>
      <c r="L118" s="457"/>
    </row>
    <row r="119" spans="1:12" s="459" customFormat="1" ht="57" customHeight="1" x14ac:dyDescent="0.2">
      <c r="A119" s="371" t="s">
        <v>782</v>
      </c>
      <c r="B119" s="155">
        <v>1101</v>
      </c>
      <c r="C119" s="128">
        <f t="shared" si="11"/>
        <v>110</v>
      </c>
      <c r="D119" s="162">
        <v>73</v>
      </c>
      <c r="E119" s="162">
        <v>37</v>
      </c>
      <c r="F119" s="143">
        <v>0</v>
      </c>
      <c r="G119" s="143">
        <v>0</v>
      </c>
      <c r="H119" s="135" t="s">
        <v>783</v>
      </c>
      <c r="I119" s="165" t="s">
        <v>784</v>
      </c>
      <c r="J119" s="137" t="s">
        <v>785</v>
      </c>
      <c r="K119" s="363">
        <v>11</v>
      </c>
      <c r="L119" s="457"/>
    </row>
    <row r="120" spans="1:12" s="459" customFormat="1" ht="45" customHeight="1" x14ac:dyDescent="0.2">
      <c r="A120" s="164" t="s">
        <v>585</v>
      </c>
      <c r="B120" s="155">
        <v>1740</v>
      </c>
      <c r="C120" s="128">
        <f t="shared" si="11"/>
        <v>4003</v>
      </c>
      <c r="D120" s="162">
        <v>2668</v>
      </c>
      <c r="E120" s="162">
        <v>1335</v>
      </c>
      <c r="F120" s="143">
        <v>0</v>
      </c>
      <c r="G120" s="143">
        <v>0</v>
      </c>
      <c r="H120" s="135" t="s">
        <v>324</v>
      </c>
      <c r="I120" s="165" t="s">
        <v>323</v>
      </c>
      <c r="J120" s="137" t="s">
        <v>786</v>
      </c>
      <c r="K120" s="363">
        <v>11</v>
      </c>
      <c r="L120" s="457"/>
    </row>
    <row r="121" spans="1:12" s="459" customFormat="1" ht="34.5" customHeight="1" x14ac:dyDescent="0.2">
      <c r="A121" s="495" t="s">
        <v>787</v>
      </c>
      <c r="B121" s="155">
        <v>1742</v>
      </c>
      <c r="C121" s="128">
        <f t="shared" si="11"/>
        <v>375</v>
      </c>
      <c r="D121" s="162">
        <v>375</v>
      </c>
      <c r="E121" s="162">
        <v>0</v>
      </c>
      <c r="F121" s="143">
        <v>0</v>
      </c>
      <c r="G121" s="162">
        <v>0</v>
      </c>
      <c r="H121" s="135" t="s">
        <v>426</v>
      </c>
      <c r="I121" s="165" t="s">
        <v>323</v>
      </c>
      <c r="J121" s="137" t="s">
        <v>758</v>
      </c>
      <c r="K121" s="363">
        <v>11</v>
      </c>
      <c r="L121" s="457"/>
    </row>
    <row r="122" spans="1:12" s="459" customFormat="1" ht="34.5" customHeight="1" x14ac:dyDescent="0.2">
      <c r="A122" s="496" t="s">
        <v>788</v>
      </c>
      <c r="B122" s="155">
        <v>1749</v>
      </c>
      <c r="C122" s="128">
        <f t="shared" si="11"/>
        <v>1750</v>
      </c>
      <c r="D122" s="162">
        <v>1750</v>
      </c>
      <c r="E122" s="162">
        <v>0</v>
      </c>
      <c r="F122" s="143">
        <v>0</v>
      </c>
      <c r="G122" s="162">
        <v>0</v>
      </c>
      <c r="H122" s="135" t="s">
        <v>426</v>
      </c>
      <c r="I122" s="165" t="s">
        <v>323</v>
      </c>
      <c r="J122" s="137" t="s">
        <v>758</v>
      </c>
      <c r="K122" s="363">
        <v>11</v>
      </c>
      <c r="L122" s="457"/>
    </row>
    <row r="123" spans="1:12" s="459" customFormat="1" ht="53.25" thickBot="1" x14ac:dyDescent="0.25">
      <c r="A123" s="161" t="s">
        <v>982</v>
      </c>
      <c r="B123" s="155">
        <v>1745</v>
      </c>
      <c r="C123" s="128">
        <f t="shared" si="11"/>
        <v>1794</v>
      </c>
      <c r="D123" s="162">
        <f>738+1056</f>
        <v>1794</v>
      </c>
      <c r="E123" s="162">
        <v>0</v>
      </c>
      <c r="F123" s="143">
        <v>0</v>
      </c>
      <c r="G123" s="162">
        <v>0</v>
      </c>
      <c r="H123" s="150" t="s">
        <v>426</v>
      </c>
      <c r="I123" s="150" t="s">
        <v>323</v>
      </c>
      <c r="J123" s="137" t="s">
        <v>789</v>
      </c>
      <c r="K123" s="363">
        <v>11</v>
      </c>
      <c r="L123" s="457"/>
    </row>
    <row r="124" spans="1:12" s="487" customFormat="1" ht="18" customHeight="1" thickBot="1" x14ac:dyDescent="0.3">
      <c r="A124" s="60" t="s">
        <v>109</v>
      </c>
      <c r="B124" s="61"/>
      <c r="C124" s="61">
        <f>SUM(C114:C123)</f>
        <v>10251.85</v>
      </c>
      <c r="D124" s="61">
        <f>SUM(D114:D123)</f>
        <v>8599.85</v>
      </c>
      <c r="E124" s="61">
        <f>SUM(E114:E123)</f>
        <v>1512</v>
      </c>
      <c r="F124" s="61">
        <f>SUM(F114:F123)</f>
        <v>140</v>
      </c>
      <c r="G124" s="61">
        <f>SUM(G114:G123)</f>
        <v>0</v>
      </c>
      <c r="H124" s="141"/>
      <c r="I124" s="141"/>
      <c r="J124" s="62"/>
      <c r="K124" s="365"/>
      <c r="L124" s="454"/>
    </row>
    <row r="125" spans="1:12" s="458" customFormat="1" ht="18" customHeight="1" x14ac:dyDescent="0.25">
      <c r="A125" s="696" t="s">
        <v>112</v>
      </c>
      <c r="B125" s="696"/>
      <c r="C125" s="696"/>
      <c r="D125" s="696"/>
      <c r="E125" s="696"/>
      <c r="F125" s="696"/>
      <c r="G125" s="696"/>
      <c r="H125" s="696"/>
      <c r="I125" s="696"/>
      <c r="J125" s="697"/>
      <c r="K125" s="363"/>
      <c r="L125" s="457"/>
    </row>
    <row r="126" spans="1:12" s="458" customFormat="1" ht="57.75" customHeight="1" thickBot="1" x14ac:dyDescent="0.3">
      <c r="A126" s="497" t="s">
        <v>790</v>
      </c>
      <c r="B126" s="498">
        <v>1502</v>
      </c>
      <c r="C126" s="498">
        <f>D126+E126+F126</f>
        <v>6</v>
      </c>
      <c r="D126" s="498">
        <v>2</v>
      </c>
      <c r="E126" s="498">
        <v>2</v>
      </c>
      <c r="F126" s="498">
        <v>2</v>
      </c>
      <c r="G126" s="332" t="s">
        <v>6</v>
      </c>
      <c r="H126" s="499" t="s">
        <v>791</v>
      </c>
      <c r="I126" s="499" t="s">
        <v>6</v>
      </c>
      <c r="J126" s="443" t="s">
        <v>792</v>
      </c>
      <c r="K126" s="363">
        <v>15</v>
      </c>
      <c r="L126" s="457"/>
    </row>
    <row r="127" spans="1:12" s="458" customFormat="1" ht="18" customHeight="1" thickBot="1" x14ac:dyDescent="0.3">
      <c r="A127" s="500" t="s">
        <v>118</v>
      </c>
      <c r="B127" s="370"/>
      <c r="C127" s="370">
        <f>SUM(C126)</f>
        <v>6</v>
      </c>
      <c r="D127" s="370">
        <f t="shared" ref="D127:G127" si="12">SUM(D126)</f>
        <v>2</v>
      </c>
      <c r="E127" s="370">
        <f t="shared" si="12"/>
        <v>2</v>
      </c>
      <c r="F127" s="370">
        <f t="shared" si="12"/>
        <v>2</v>
      </c>
      <c r="G127" s="370">
        <f t="shared" si="12"/>
        <v>0</v>
      </c>
      <c r="H127" s="157"/>
      <c r="I127" s="157"/>
      <c r="J127" s="158"/>
      <c r="K127" s="363"/>
      <c r="L127" s="457"/>
    </row>
    <row r="128" spans="1:12" ht="18" customHeight="1" x14ac:dyDescent="0.25">
      <c r="A128" s="690" t="s">
        <v>119</v>
      </c>
      <c r="B128" s="691"/>
      <c r="C128" s="691"/>
      <c r="D128" s="691"/>
      <c r="E128" s="691"/>
      <c r="F128" s="691"/>
      <c r="G128" s="691"/>
      <c r="H128" s="691"/>
      <c r="I128" s="691"/>
      <c r="J128" s="692"/>
      <c r="K128" s="363"/>
    </row>
    <row r="129" spans="1:13" s="458" customFormat="1" ht="63" x14ac:dyDescent="0.25">
      <c r="A129" s="460" t="s">
        <v>793</v>
      </c>
      <c r="B129" s="142">
        <v>1314</v>
      </c>
      <c r="C129" s="128">
        <f>D129+E129+F129</f>
        <v>10500</v>
      </c>
      <c r="D129" s="462">
        <v>3000</v>
      </c>
      <c r="E129" s="462">
        <v>3500</v>
      </c>
      <c r="F129" s="462">
        <v>4000</v>
      </c>
      <c r="G129" s="501" t="s">
        <v>6</v>
      </c>
      <c r="H129" s="142" t="s">
        <v>794</v>
      </c>
      <c r="I129" s="502" t="s">
        <v>6</v>
      </c>
      <c r="J129" s="137" t="s">
        <v>795</v>
      </c>
      <c r="K129" s="138">
        <v>13</v>
      </c>
      <c r="L129" s="457"/>
    </row>
    <row r="130" spans="1:13" s="458" customFormat="1" ht="107.25" customHeight="1" x14ac:dyDescent="0.25">
      <c r="A130" s="460" t="s">
        <v>586</v>
      </c>
      <c r="B130" s="142">
        <v>1315</v>
      </c>
      <c r="C130" s="128">
        <f>D130+E130+F130+G130</f>
        <v>80000</v>
      </c>
      <c r="D130" s="143">
        <v>0</v>
      </c>
      <c r="E130" s="462">
        <v>0</v>
      </c>
      <c r="F130" s="462">
        <v>40000</v>
      </c>
      <c r="G130" s="462">
        <v>40000</v>
      </c>
      <c r="H130" s="503" t="s">
        <v>428</v>
      </c>
      <c r="I130" s="142" t="s">
        <v>429</v>
      </c>
      <c r="J130" s="464" t="s">
        <v>796</v>
      </c>
      <c r="K130" s="138">
        <v>13</v>
      </c>
      <c r="L130" s="457"/>
    </row>
    <row r="131" spans="1:13" s="458" customFormat="1" ht="84" customHeight="1" x14ac:dyDescent="0.25">
      <c r="A131" s="460" t="s">
        <v>587</v>
      </c>
      <c r="B131" s="142">
        <v>1316</v>
      </c>
      <c r="C131" s="128">
        <f t="shared" ref="C131:C134" si="13">D131+E131+F131+G131</f>
        <v>4500</v>
      </c>
      <c r="D131" s="143">
        <v>1500</v>
      </c>
      <c r="E131" s="462">
        <v>1500</v>
      </c>
      <c r="F131" s="462">
        <v>1500</v>
      </c>
      <c r="G131" s="462">
        <v>0</v>
      </c>
      <c r="H131" s="503" t="s">
        <v>797</v>
      </c>
      <c r="I131" s="142" t="s">
        <v>430</v>
      </c>
      <c r="J131" s="464" t="s">
        <v>431</v>
      </c>
      <c r="K131" s="138">
        <v>13</v>
      </c>
      <c r="L131" s="457"/>
    </row>
    <row r="132" spans="1:13" s="458" customFormat="1" ht="78" customHeight="1" x14ac:dyDescent="0.25">
      <c r="A132" s="460" t="s">
        <v>588</v>
      </c>
      <c r="B132" s="142">
        <v>1303</v>
      </c>
      <c r="C132" s="128">
        <f t="shared" si="13"/>
        <v>15000</v>
      </c>
      <c r="D132" s="143">
        <v>15000</v>
      </c>
      <c r="E132" s="462">
        <v>0</v>
      </c>
      <c r="F132" s="462">
        <v>0</v>
      </c>
      <c r="G132" s="462">
        <v>0</v>
      </c>
      <c r="H132" s="503" t="s">
        <v>798</v>
      </c>
      <c r="I132" s="142" t="s">
        <v>799</v>
      </c>
      <c r="J132" s="137" t="s">
        <v>849</v>
      </c>
      <c r="K132" s="138">
        <v>13</v>
      </c>
      <c r="L132" s="457"/>
    </row>
    <row r="133" spans="1:13" s="458" customFormat="1" ht="99" customHeight="1" x14ac:dyDescent="0.25">
      <c r="A133" s="460" t="s">
        <v>800</v>
      </c>
      <c r="B133" s="133" t="s">
        <v>801</v>
      </c>
      <c r="C133" s="128">
        <f t="shared" si="13"/>
        <v>16600</v>
      </c>
      <c r="D133" s="143">
        <v>8300</v>
      </c>
      <c r="E133" s="462">
        <v>8300</v>
      </c>
      <c r="F133" s="143">
        <v>0</v>
      </c>
      <c r="G133" s="143">
        <v>0</v>
      </c>
      <c r="H133" s="503" t="s">
        <v>802</v>
      </c>
      <c r="I133" s="142" t="s">
        <v>803</v>
      </c>
      <c r="J133" s="137" t="s">
        <v>804</v>
      </c>
      <c r="K133" s="138">
        <v>13</v>
      </c>
      <c r="L133" s="454"/>
      <c r="M133" s="457"/>
    </row>
    <row r="134" spans="1:13" s="458" customFormat="1" ht="53.25" thickBot="1" x14ac:dyDescent="0.3">
      <c r="A134" s="460" t="s">
        <v>805</v>
      </c>
      <c r="B134" s="142">
        <v>1306</v>
      </c>
      <c r="C134" s="128">
        <f t="shared" si="13"/>
        <v>30000</v>
      </c>
      <c r="D134" s="143">
        <v>25000</v>
      </c>
      <c r="E134" s="462">
        <v>5000</v>
      </c>
      <c r="F134" s="143">
        <v>0</v>
      </c>
      <c r="G134" s="143">
        <v>0</v>
      </c>
      <c r="H134" s="503" t="s">
        <v>6</v>
      </c>
      <c r="I134" s="142" t="s">
        <v>6</v>
      </c>
      <c r="J134" s="137" t="s">
        <v>806</v>
      </c>
      <c r="K134" s="363">
        <v>13</v>
      </c>
      <c r="L134" s="457"/>
    </row>
    <row r="135" spans="1:13" s="487" customFormat="1" ht="15.75" customHeight="1" thickBot="1" x14ac:dyDescent="0.3">
      <c r="A135" s="63" t="s">
        <v>120</v>
      </c>
      <c r="B135" s="61"/>
      <c r="C135" s="61">
        <f>SUM(C129:C134)</f>
        <v>156600</v>
      </c>
      <c r="D135" s="61">
        <f>SUM(D129:D134)</f>
        <v>52800</v>
      </c>
      <c r="E135" s="61">
        <f t="shared" ref="E135:G135" si="14">SUM(E129:E134)</f>
        <v>18300</v>
      </c>
      <c r="F135" s="61">
        <f t="shared" si="14"/>
        <v>45500</v>
      </c>
      <c r="G135" s="61">
        <f t="shared" si="14"/>
        <v>40000</v>
      </c>
      <c r="H135" s="61"/>
      <c r="I135" s="141"/>
      <c r="J135" s="62"/>
      <c r="K135" s="365"/>
      <c r="L135" s="454"/>
    </row>
    <row r="136" spans="1:13" s="458" customFormat="1" ht="18" customHeight="1" x14ac:dyDescent="0.25">
      <c r="A136" s="690" t="s">
        <v>331</v>
      </c>
      <c r="B136" s="691"/>
      <c r="C136" s="691"/>
      <c r="D136" s="691"/>
      <c r="E136" s="691"/>
      <c r="F136" s="691"/>
      <c r="G136" s="691"/>
      <c r="H136" s="691"/>
      <c r="I136" s="691"/>
      <c r="J136" s="692"/>
      <c r="K136" s="363"/>
      <c r="L136" s="457"/>
    </row>
    <row r="137" spans="1:13" s="458" customFormat="1" ht="53.25" thickBot="1" x14ac:dyDescent="0.3">
      <c r="A137" s="504" t="s">
        <v>731</v>
      </c>
      <c r="B137" s="178" t="s">
        <v>807</v>
      </c>
      <c r="C137" s="522">
        <f>D137+E137+F137+G137</f>
        <v>15250</v>
      </c>
      <c r="D137" s="179">
        <v>3449</v>
      </c>
      <c r="E137" s="179">
        <v>3454</v>
      </c>
      <c r="F137" s="179">
        <v>3454</v>
      </c>
      <c r="G137" s="179">
        <v>4893</v>
      </c>
      <c r="H137" s="499" t="s">
        <v>808</v>
      </c>
      <c r="I137" s="177" t="s">
        <v>809</v>
      </c>
      <c r="J137" s="443" t="s">
        <v>810</v>
      </c>
      <c r="K137" s="363">
        <v>5</v>
      </c>
      <c r="L137" s="457"/>
    </row>
    <row r="138" spans="1:13" s="458" customFormat="1" ht="27" customHeight="1" thickBot="1" x14ac:dyDescent="0.3">
      <c r="A138" s="60" t="s">
        <v>434</v>
      </c>
      <c r="B138" s="130"/>
      <c r="C138" s="61">
        <f>SUM(C137)</f>
        <v>15250</v>
      </c>
      <c r="D138" s="61">
        <f t="shared" ref="D138:G138" si="15">SUM(D137)</f>
        <v>3449</v>
      </c>
      <c r="E138" s="61">
        <f t="shared" si="15"/>
        <v>3454</v>
      </c>
      <c r="F138" s="61">
        <f t="shared" si="15"/>
        <v>3454</v>
      </c>
      <c r="G138" s="61">
        <f t="shared" si="15"/>
        <v>4893</v>
      </c>
      <c r="H138" s="61"/>
      <c r="I138" s="141"/>
      <c r="J138" s="62"/>
      <c r="K138" s="363"/>
      <c r="L138" s="457"/>
    </row>
    <row r="139" spans="1:13" ht="18" customHeight="1" x14ac:dyDescent="0.25">
      <c r="A139" s="690" t="s">
        <v>121</v>
      </c>
      <c r="B139" s="691"/>
      <c r="C139" s="691"/>
      <c r="D139" s="691"/>
      <c r="E139" s="691"/>
      <c r="F139" s="691"/>
      <c r="G139" s="691"/>
      <c r="H139" s="691"/>
      <c r="I139" s="691"/>
      <c r="J139" s="692"/>
      <c r="K139" s="363">
        <v>9</v>
      </c>
    </row>
    <row r="140" spans="1:13" ht="45" customHeight="1" x14ac:dyDescent="0.25">
      <c r="A140" s="144" t="s">
        <v>171</v>
      </c>
      <c r="B140" s="142" t="s">
        <v>346</v>
      </c>
      <c r="C140" s="128">
        <f>D140+E140+F140+G140</f>
        <v>31000</v>
      </c>
      <c r="D140" s="168">
        <v>0</v>
      </c>
      <c r="E140" s="168">
        <v>0</v>
      </c>
      <c r="F140" s="168">
        <v>0</v>
      </c>
      <c r="G140" s="168">
        <v>31000</v>
      </c>
      <c r="H140" s="145" t="s">
        <v>811</v>
      </c>
      <c r="I140" s="145" t="s">
        <v>325</v>
      </c>
      <c r="J140" s="159" t="s">
        <v>181</v>
      </c>
      <c r="K140" s="363"/>
    </row>
    <row r="141" spans="1:13" ht="57" customHeight="1" x14ac:dyDescent="0.25">
      <c r="A141" s="169" t="s">
        <v>172</v>
      </c>
      <c r="B141" s="155" t="s">
        <v>346</v>
      </c>
      <c r="C141" s="128">
        <f t="shared" ref="C141:C147" si="16">D141+E141+F141+G141</f>
        <v>9800</v>
      </c>
      <c r="D141" s="168">
        <v>0</v>
      </c>
      <c r="E141" s="168">
        <v>0</v>
      </c>
      <c r="F141" s="168">
        <v>0</v>
      </c>
      <c r="G141" s="168">
        <v>9800</v>
      </c>
      <c r="H141" s="145" t="s">
        <v>812</v>
      </c>
      <c r="I141" s="145" t="s">
        <v>325</v>
      </c>
      <c r="J141" s="159" t="s">
        <v>326</v>
      </c>
      <c r="K141" s="363">
        <v>9</v>
      </c>
    </row>
    <row r="142" spans="1:13" ht="34.5" customHeight="1" x14ac:dyDescent="0.25">
      <c r="A142" s="461" t="s">
        <v>327</v>
      </c>
      <c r="B142" s="155">
        <v>904</v>
      </c>
      <c r="C142" s="128">
        <f>D142+E142+F142</f>
        <v>600</v>
      </c>
      <c r="D142" s="168">
        <v>200</v>
      </c>
      <c r="E142" s="168">
        <v>200</v>
      </c>
      <c r="F142" s="168">
        <v>200</v>
      </c>
      <c r="G142" s="168" t="s">
        <v>6</v>
      </c>
      <c r="H142" s="145" t="s">
        <v>589</v>
      </c>
      <c r="I142" s="149" t="s">
        <v>328</v>
      </c>
      <c r="J142" s="156" t="s">
        <v>813</v>
      </c>
      <c r="K142" s="363">
        <v>5</v>
      </c>
    </row>
    <row r="143" spans="1:13" ht="34.5" customHeight="1" x14ac:dyDescent="0.25">
      <c r="A143" s="460" t="s">
        <v>257</v>
      </c>
      <c r="B143" s="133" t="s">
        <v>329</v>
      </c>
      <c r="C143" s="128">
        <f t="shared" si="16"/>
        <v>2893</v>
      </c>
      <c r="D143" s="143">
        <v>2893</v>
      </c>
      <c r="E143" s="168">
        <v>0</v>
      </c>
      <c r="F143" s="168">
        <v>0</v>
      </c>
      <c r="G143" s="168">
        <v>0</v>
      </c>
      <c r="H143" s="135" t="s">
        <v>432</v>
      </c>
      <c r="I143" s="135" t="s">
        <v>330</v>
      </c>
      <c r="J143" s="159" t="s">
        <v>590</v>
      </c>
      <c r="K143" s="363">
        <v>9</v>
      </c>
    </row>
    <row r="144" spans="1:13" s="466" customFormat="1" ht="89.25" customHeight="1" x14ac:dyDescent="0.2">
      <c r="A144" s="460" t="s">
        <v>591</v>
      </c>
      <c r="B144" s="133" t="s">
        <v>592</v>
      </c>
      <c r="C144" s="128">
        <f t="shared" si="16"/>
        <v>42099</v>
      </c>
      <c r="D144" s="143">
        <v>14033</v>
      </c>
      <c r="E144" s="143">
        <v>14033</v>
      </c>
      <c r="F144" s="168">
        <v>14033</v>
      </c>
      <c r="G144" s="168">
        <v>0</v>
      </c>
      <c r="H144" s="135" t="s">
        <v>814</v>
      </c>
      <c r="I144" s="149" t="s">
        <v>6</v>
      </c>
      <c r="J144" s="159" t="s">
        <v>815</v>
      </c>
      <c r="K144" s="363">
        <v>9.19</v>
      </c>
      <c r="L144" s="454"/>
    </row>
    <row r="145" spans="1:13" s="466" customFormat="1" ht="45" customHeight="1" x14ac:dyDescent="0.2">
      <c r="A145" s="460" t="s">
        <v>433</v>
      </c>
      <c r="B145" s="133"/>
      <c r="C145" s="128">
        <f t="shared" si="16"/>
        <v>30000</v>
      </c>
      <c r="D145" s="143">
        <v>10000</v>
      </c>
      <c r="E145" s="143">
        <v>10000</v>
      </c>
      <c r="F145" s="168">
        <v>10000</v>
      </c>
      <c r="G145" s="168">
        <v>0</v>
      </c>
      <c r="H145" s="135" t="s">
        <v>6</v>
      </c>
      <c r="I145" s="149" t="s">
        <v>6</v>
      </c>
      <c r="J145" s="159" t="s">
        <v>816</v>
      </c>
      <c r="K145" s="363">
        <v>9</v>
      </c>
      <c r="L145" s="454"/>
    </row>
    <row r="146" spans="1:13" ht="89.25" customHeight="1" x14ac:dyDescent="0.25">
      <c r="A146" s="460" t="s">
        <v>817</v>
      </c>
      <c r="B146" s="133" t="s">
        <v>818</v>
      </c>
      <c r="C146" s="128">
        <f t="shared" si="16"/>
        <v>24000</v>
      </c>
      <c r="D146" s="143">
        <v>12000</v>
      </c>
      <c r="E146" s="143">
        <v>12000</v>
      </c>
      <c r="F146" s="168">
        <v>0</v>
      </c>
      <c r="G146" s="168">
        <v>0</v>
      </c>
      <c r="H146" s="135" t="s">
        <v>819</v>
      </c>
      <c r="I146" s="149" t="s">
        <v>820</v>
      </c>
      <c r="J146" s="159" t="s">
        <v>821</v>
      </c>
      <c r="K146" s="363">
        <v>9</v>
      </c>
    </row>
    <row r="147" spans="1:13" ht="73.5" x14ac:dyDescent="0.25">
      <c r="A147" s="460" t="s">
        <v>822</v>
      </c>
      <c r="B147" s="133" t="s">
        <v>823</v>
      </c>
      <c r="C147" s="128">
        <f t="shared" si="16"/>
        <v>7200</v>
      </c>
      <c r="D147" s="143">
        <v>2400</v>
      </c>
      <c r="E147" s="143">
        <v>2400</v>
      </c>
      <c r="F147" s="143">
        <v>2400</v>
      </c>
      <c r="G147" s="143">
        <v>0</v>
      </c>
      <c r="H147" s="135" t="s">
        <v>376</v>
      </c>
      <c r="I147" s="135" t="s">
        <v>824</v>
      </c>
      <c r="J147" s="159" t="s">
        <v>825</v>
      </c>
      <c r="K147" s="363">
        <v>9</v>
      </c>
    </row>
    <row r="148" spans="1:13" ht="18" customHeight="1" thickBot="1" x14ac:dyDescent="0.3">
      <c r="A148" s="500" t="s">
        <v>122</v>
      </c>
      <c r="B148" s="505"/>
      <c r="C148" s="370">
        <f>SUM(C140:C147)</f>
        <v>147592</v>
      </c>
      <c r="D148" s="370">
        <f>SUM(D140:D147)</f>
        <v>41526</v>
      </c>
      <c r="E148" s="370">
        <f>SUM(E140:E147)</f>
        <v>38633</v>
      </c>
      <c r="F148" s="370">
        <f>SUM(F140:F147)</f>
        <v>26633</v>
      </c>
      <c r="G148" s="370">
        <f>SUM(G140:G147)</f>
        <v>40800</v>
      </c>
      <c r="H148" s="370"/>
      <c r="I148" s="157"/>
      <c r="J148" s="158"/>
      <c r="K148" s="369"/>
    </row>
    <row r="149" spans="1:13" ht="18" customHeight="1" x14ac:dyDescent="0.25">
      <c r="A149" s="690" t="s">
        <v>149</v>
      </c>
      <c r="B149" s="691"/>
      <c r="C149" s="691"/>
      <c r="D149" s="691"/>
      <c r="E149" s="691"/>
      <c r="F149" s="691"/>
      <c r="G149" s="691"/>
      <c r="H149" s="691"/>
      <c r="I149" s="691"/>
      <c r="J149" s="692"/>
      <c r="K149" s="369">
        <v>12</v>
      </c>
      <c r="M149" s="466"/>
    </row>
    <row r="150" spans="1:13" ht="89.25" customHeight="1" x14ac:dyDescent="0.25">
      <c r="A150" s="144" t="s">
        <v>173</v>
      </c>
      <c r="B150" s="142">
        <v>1218</v>
      </c>
      <c r="C150" s="128">
        <f>D150+E150+F150</f>
        <v>13500</v>
      </c>
      <c r="D150" s="143">
        <v>4500</v>
      </c>
      <c r="E150" s="143">
        <v>4500</v>
      </c>
      <c r="F150" s="143">
        <v>4500</v>
      </c>
      <c r="G150" s="143" t="s">
        <v>6</v>
      </c>
      <c r="H150" s="135" t="s">
        <v>426</v>
      </c>
      <c r="I150" s="135" t="s">
        <v>323</v>
      </c>
      <c r="J150" s="159" t="s">
        <v>826</v>
      </c>
      <c r="K150" s="369">
        <v>12</v>
      </c>
    </row>
    <row r="151" spans="1:13" s="458" customFormat="1" ht="45" customHeight="1" x14ac:dyDescent="0.25">
      <c r="A151" s="368" t="s">
        <v>593</v>
      </c>
      <c r="B151" s="142">
        <v>1214</v>
      </c>
      <c r="C151" s="128">
        <f t="shared" ref="C151:C157" si="17">D151+E151+F151+G151</f>
        <v>2000</v>
      </c>
      <c r="D151" s="143">
        <v>2000</v>
      </c>
      <c r="E151" s="143">
        <v>0</v>
      </c>
      <c r="F151" s="143">
        <v>0</v>
      </c>
      <c r="G151" s="143">
        <v>0</v>
      </c>
      <c r="H151" s="135" t="s">
        <v>426</v>
      </c>
      <c r="I151" s="135" t="s">
        <v>323</v>
      </c>
      <c r="J151" s="159" t="s">
        <v>827</v>
      </c>
      <c r="K151" s="369">
        <v>12</v>
      </c>
      <c r="L151" s="457"/>
    </row>
    <row r="152" spans="1:13" s="458" customFormat="1" ht="45" customHeight="1" x14ac:dyDescent="0.25">
      <c r="A152" s="368" t="s">
        <v>594</v>
      </c>
      <c r="B152" s="142">
        <v>1755</v>
      </c>
      <c r="C152" s="128">
        <f t="shared" si="17"/>
        <v>2000</v>
      </c>
      <c r="D152" s="143">
        <v>2000</v>
      </c>
      <c r="E152" s="143">
        <v>0</v>
      </c>
      <c r="F152" s="143">
        <v>0</v>
      </c>
      <c r="G152" s="143">
        <v>0</v>
      </c>
      <c r="H152" s="135" t="s">
        <v>828</v>
      </c>
      <c r="I152" s="135" t="s">
        <v>323</v>
      </c>
      <c r="J152" s="159" t="s">
        <v>829</v>
      </c>
      <c r="K152" s="369">
        <v>12</v>
      </c>
      <c r="L152" s="457"/>
    </row>
    <row r="153" spans="1:13" s="458" customFormat="1" ht="45" customHeight="1" x14ac:dyDescent="0.25">
      <c r="A153" s="368" t="s">
        <v>595</v>
      </c>
      <c r="B153" s="142">
        <v>1763</v>
      </c>
      <c r="C153" s="128">
        <f t="shared" si="17"/>
        <v>2000</v>
      </c>
      <c r="D153" s="143">
        <v>2000</v>
      </c>
      <c r="E153" s="143">
        <v>0</v>
      </c>
      <c r="F153" s="143">
        <v>0</v>
      </c>
      <c r="G153" s="143">
        <v>0</v>
      </c>
      <c r="H153" s="135" t="s">
        <v>830</v>
      </c>
      <c r="I153" s="135" t="s">
        <v>323</v>
      </c>
      <c r="J153" s="159" t="s">
        <v>831</v>
      </c>
      <c r="K153" s="369">
        <v>12</v>
      </c>
      <c r="L153" s="457"/>
    </row>
    <row r="154" spans="1:13" s="458" customFormat="1" ht="45" customHeight="1" x14ac:dyDescent="0.25">
      <c r="A154" s="368" t="s">
        <v>596</v>
      </c>
      <c r="B154" s="142">
        <v>1754</v>
      </c>
      <c r="C154" s="128">
        <f t="shared" si="17"/>
        <v>3000</v>
      </c>
      <c r="D154" s="143">
        <v>3000</v>
      </c>
      <c r="E154" s="143">
        <v>0</v>
      </c>
      <c r="F154" s="143">
        <v>0</v>
      </c>
      <c r="G154" s="143">
        <v>0</v>
      </c>
      <c r="H154" s="135" t="s">
        <v>830</v>
      </c>
      <c r="I154" s="135" t="s">
        <v>323</v>
      </c>
      <c r="J154" s="159" t="s">
        <v>832</v>
      </c>
      <c r="K154" s="369">
        <v>12</v>
      </c>
      <c r="L154" s="457"/>
    </row>
    <row r="155" spans="1:13" s="458" customFormat="1" ht="78" customHeight="1" x14ac:dyDescent="0.25">
      <c r="A155" s="368" t="s">
        <v>597</v>
      </c>
      <c r="B155" s="142">
        <v>1230</v>
      </c>
      <c r="C155" s="128">
        <f t="shared" si="17"/>
        <v>350</v>
      </c>
      <c r="D155" s="143">
        <v>350</v>
      </c>
      <c r="E155" s="143">
        <v>0</v>
      </c>
      <c r="F155" s="143">
        <v>0</v>
      </c>
      <c r="G155" s="143">
        <v>0</v>
      </c>
      <c r="H155" s="135" t="s">
        <v>830</v>
      </c>
      <c r="I155" s="135" t="s">
        <v>323</v>
      </c>
      <c r="J155" s="159" t="s">
        <v>833</v>
      </c>
      <c r="K155" s="369">
        <v>12</v>
      </c>
      <c r="L155" s="457"/>
    </row>
    <row r="156" spans="1:13" s="458" customFormat="1" ht="141" customHeight="1" x14ac:dyDescent="0.25">
      <c r="A156" s="368" t="s">
        <v>834</v>
      </c>
      <c r="B156" s="142">
        <v>1216</v>
      </c>
      <c r="C156" s="128">
        <f t="shared" si="17"/>
        <v>497</v>
      </c>
      <c r="D156" s="143">
        <v>248</v>
      </c>
      <c r="E156" s="143">
        <v>249</v>
      </c>
      <c r="F156" s="143">
        <v>0</v>
      </c>
      <c r="G156" s="143">
        <v>0</v>
      </c>
      <c r="H156" s="135" t="s">
        <v>830</v>
      </c>
      <c r="I156" s="135" t="s">
        <v>323</v>
      </c>
      <c r="J156" s="159" t="s">
        <v>835</v>
      </c>
      <c r="K156" s="369">
        <v>12</v>
      </c>
      <c r="L156" s="457"/>
    </row>
    <row r="157" spans="1:13" s="458" customFormat="1" ht="57.75" customHeight="1" thickBot="1" x14ac:dyDescent="0.3">
      <c r="A157" s="368" t="s">
        <v>598</v>
      </c>
      <c r="B157" s="142">
        <v>1231</v>
      </c>
      <c r="C157" s="128">
        <f t="shared" si="17"/>
        <v>20</v>
      </c>
      <c r="D157" s="143">
        <v>20</v>
      </c>
      <c r="E157" s="143">
        <v>0</v>
      </c>
      <c r="F157" s="143">
        <v>0</v>
      </c>
      <c r="G157" s="143">
        <v>0</v>
      </c>
      <c r="H157" s="135" t="s">
        <v>830</v>
      </c>
      <c r="I157" s="135" t="s">
        <v>6</v>
      </c>
      <c r="J157" s="159" t="s">
        <v>836</v>
      </c>
      <c r="K157" s="369">
        <v>12</v>
      </c>
      <c r="L157" s="457"/>
    </row>
    <row r="158" spans="1:13" ht="25.5" customHeight="1" thickBot="1" x14ac:dyDescent="0.3">
      <c r="A158" s="63" t="s">
        <v>127</v>
      </c>
      <c r="B158" s="125"/>
      <c r="C158" s="61">
        <f>SUM(C150:C157)</f>
        <v>23367</v>
      </c>
      <c r="D158" s="61">
        <f>SUM(D150:D157)</f>
        <v>14118</v>
      </c>
      <c r="E158" s="61">
        <f>SUM(E150:E157)</f>
        <v>4749</v>
      </c>
      <c r="F158" s="61">
        <f>SUM(F150:F157)</f>
        <v>4500</v>
      </c>
      <c r="G158" s="61">
        <f>SUM(G150:G157)</f>
        <v>0</v>
      </c>
      <c r="H158" s="61"/>
      <c r="I158" s="141"/>
      <c r="J158" s="62"/>
      <c r="K158" s="372"/>
    </row>
    <row r="159" spans="1:13" ht="36" customHeight="1" thickBot="1" x14ac:dyDescent="0.3">
      <c r="A159" s="131"/>
      <c r="B159" s="506"/>
      <c r="C159" s="507"/>
      <c r="D159" s="507"/>
      <c r="E159" s="507"/>
      <c r="F159" s="507"/>
      <c r="G159" s="507"/>
      <c r="H159" s="508"/>
      <c r="I159" s="508"/>
      <c r="J159" s="132"/>
      <c r="K159" s="362"/>
    </row>
    <row r="160" spans="1:13" ht="15.75" customHeight="1" x14ac:dyDescent="0.25">
      <c r="A160" s="651" t="s">
        <v>136</v>
      </c>
      <c r="B160" s="666" t="s">
        <v>137</v>
      </c>
      <c r="C160" s="653" t="s">
        <v>138</v>
      </c>
      <c r="D160" s="686" t="s">
        <v>174</v>
      </c>
      <c r="E160" s="705"/>
      <c r="F160" s="687"/>
      <c r="G160" s="688"/>
      <c r="H160" s="686" t="s">
        <v>599</v>
      </c>
      <c r="I160" s="686" t="s">
        <v>274</v>
      </c>
      <c r="J160" s="659" t="s">
        <v>485</v>
      </c>
      <c r="K160" s="362"/>
    </row>
    <row r="161" spans="1:12" ht="18" customHeight="1" thickBot="1" x14ac:dyDescent="0.3">
      <c r="A161" s="652"/>
      <c r="B161" s="704"/>
      <c r="C161" s="654"/>
      <c r="D161" s="55" t="s">
        <v>332</v>
      </c>
      <c r="E161" s="55" t="s">
        <v>340</v>
      </c>
      <c r="F161" s="509" t="s">
        <v>628</v>
      </c>
      <c r="G161" s="509" t="s">
        <v>629</v>
      </c>
      <c r="H161" s="706"/>
      <c r="I161" s="706"/>
      <c r="J161" s="660"/>
      <c r="K161" s="363"/>
    </row>
    <row r="162" spans="1:12" s="487" customFormat="1" ht="18" customHeight="1" x14ac:dyDescent="0.25">
      <c r="A162" s="696" t="s">
        <v>855</v>
      </c>
      <c r="B162" s="702"/>
      <c r="C162" s="702"/>
      <c r="D162" s="702"/>
      <c r="E162" s="702"/>
      <c r="F162" s="702"/>
      <c r="G162" s="702"/>
      <c r="H162" s="702"/>
      <c r="I162" s="702"/>
      <c r="J162" s="703"/>
      <c r="K162" s="365"/>
      <c r="L162" s="454"/>
    </row>
    <row r="163" spans="1:12" ht="225.75" customHeight="1" thickBot="1" x14ac:dyDescent="0.3">
      <c r="A163" s="169" t="s">
        <v>837</v>
      </c>
      <c r="B163" s="155" t="s">
        <v>346</v>
      </c>
      <c r="C163" s="128">
        <f>D163+E163+F163+G163</f>
        <v>78735</v>
      </c>
      <c r="D163" s="139">
        <v>0</v>
      </c>
      <c r="E163" s="139">
        <v>0</v>
      </c>
      <c r="F163" s="139">
        <v>0</v>
      </c>
      <c r="G163" s="139">
        <v>78735</v>
      </c>
      <c r="H163" s="482" t="s">
        <v>333</v>
      </c>
      <c r="I163" s="171" t="s">
        <v>6</v>
      </c>
      <c r="J163" s="156" t="s">
        <v>838</v>
      </c>
      <c r="K163" s="363">
        <v>8</v>
      </c>
    </row>
    <row r="164" spans="1:12" ht="15.75" thickBot="1" x14ac:dyDescent="0.3">
      <c r="A164" s="63" t="s">
        <v>218</v>
      </c>
      <c r="B164" s="125"/>
      <c r="C164" s="61">
        <f t="shared" ref="C164:G164" si="18">SUM(C163:C163)</f>
        <v>78735</v>
      </c>
      <c r="D164" s="61">
        <f t="shared" si="18"/>
        <v>0</v>
      </c>
      <c r="E164" s="61">
        <f t="shared" si="18"/>
        <v>0</v>
      </c>
      <c r="F164" s="61">
        <f t="shared" si="18"/>
        <v>0</v>
      </c>
      <c r="G164" s="61">
        <f t="shared" si="18"/>
        <v>78735</v>
      </c>
      <c r="H164" s="141"/>
      <c r="I164" s="141"/>
      <c r="J164" s="62"/>
      <c r="K164" s="363"/>
    </row>
    <row r="165" spans="1:12" ht="13.5" customHeight="1" thickBot="1" x14ac:dyDescent="0.3">
      <c r="A165" s="172"/>
      <c r="B165" s="114"/>
      <c r="C165" s="173"/>
      <c r="D165" s="114"/>
      <c r="E165" s="114"/>
      <c r="F165" s="114"/>
      <c r="G165" s="114"/>
      <c r="H165" s="174"/>
      <c r="I165" s="174"/>
      <c r="J165" s="175"/>
      <c r="K165" s="363"/>
    </row>
    <row r="166" spans="1:12" ht="18" customHeight="1" thickBot="1" x14ac:dyDescent="0.3">
      <c r="A166" s="66" t="s">
        <v>128</v>
      </c>
      <c r="B166" s="125"/>
      <c r="C166" s="61">
        <f>C164+C158+C148+C135+C124+C112+C89+C86+C83+C78+C92+C28+C12+C127+C138</f>
        <v>34602214.850000001</v>
      </c>
      <c r="D166" s="61">
        <f>D164+D158+D148+D135+D124+D112+D89+D86+D83+D78+D92+D28+D12+D127+D138</f>
        <v>4941648.8499999996</v>
      </c>
      <c r="E166" s="61">
        <f>E164+E158+E148+E135+E124+E112+E89+E86+E83+E78+E92+E28+E12+E127+E138</f>
        <v>4086782</v>
      </c>
      <c r="F166" s="61">
        <f>F164+F158+F148+F135+F124+F112+F89+F86+F83+F78+F92+F28+F12+F127+F138</f>
        <v>4454705</v>
      </c>
      <c r="G166" s="61">
        <f>G164+G158+G148+G135+G124+G112+G89+G86+G83+G78+G92+G28+G12+G127+G138</f>
        <v>21119079</v>
      </c>
      <c r="H166" s="141"/>
      <c r="I166" s="141"/>
      <c r="J166" s="67"/>
    </row>
    <row r="167" spans="1:12" ht="6" customHeight="1" x14ac:dyDescent="0.25"/>
    <row r="168" spans="1:12" x14ac:dyDescent="0.25">
      <c r="A168" s="533" t="s">
        <v>856</v>
      </c>
    </row>
  </sheetData>
  <mergeCells count="32">
    <mergeCell ref="J160:J161"/>
    <mergeCell ref="A162:J162"/>
    <mergeCell ref="A160:A161"/>
    <mergeCell ref="B160:B161"/>
    <mergeCell ref="C160:C161"/>
    <mergeCell ref="D160:G160"/>
    <mergeCell ref="H160:H161"/>
    <mergeCell ref="I160:I161"/>
    <mergeCell ref="A149:J149"/>
    <mergeCell ref="K4:K5"/>
    <mergeCell ref="A6:J6"/>
    <mergeCell ref="A13:J13"/>
    <mergeCell ref="A29:J29"/>
    <mergeCell ref="A79:J79"/>
    <mergeCell ref="A84:J84"/>
    <mergeCell ref="A113:J113"/>
    <mergeCell ref="A128:J128"/>
    <mergeCell ref="A136:J136"/>
    <mergeCell ref="A139:J139"/>
    <mergeCell ref="A87:J87"/>
    <mergeCell ref="A90:J90"/>
    <mergeCell ref="A93:J93"/>
    <mergeCell ref="A125:J125"/>
    <mergeCell ref="A2:J2"/>
    <mergeCell ref="A3:I3"/>
    <mergeCell ref="A4:A5"/>
    <mergeCell ref="B4:B5"/>
    <mergeCell ref="C4:C5"/>
    <mergeCell ref="D4:G4"/>
    <mergeCell ref="H4:H5"/>
    <mergeCell ref="I4:I5"/>
    <mergeCell ref="J4:J5"/>
  </mergeCells>
  <pageMargins left="0.39370078740157483" right="0.39370078740157483" top="0.59055118110236227" bottom="0.39370078740157483" header="0.31496062992125984" footer="0.11811023622047245"/>
  <pageSetup paperSize="9" scale="91" firstPageNumber="15" fitToHeight="0" orientation="landscape" useFirstPageNumber="1" r:id="rId1"/>
  <headerFooter scaleWithDoc="0">
    <oddHeader>&amp;L&amp;"Tahoma,Kurzíva"&amp;9Střednědobý výhled rozpočtu Moravskoslezského kraje na léta 2024-2026&amp;R&amp;"Tahoma,Kurzíva"&amp;9Přehled ostatních dlouhodobých závazků kraje</oddHeader>
    <oddFooter>&amp;C&amp;"Tahoma,Obyčejné"&amp;P</oddFooter>
  </headerFooter>
  <rowBreaks count="4" manualBreakCount="4">
    <brk id="12" max="16383" man="1"/>
    <brk id="83" max="16383" man="1"/>
    <brk id="97" max="16383" man="1"/>
    <brk id="14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9636B-0FEE-4C6D-832C-C5B16FB52C9F}">
  <sheetPr>
    <pageSetUpPr fitToPage="1"/>
  </sheetPr>
  <dimension ref="A1:WUY98"/>
  <sheetViews>
    <sheetView zoomScaleNormal="100" workbookViewId="0">
      <pane ySplit="5" topLeftCell="A6" activePane="bottomLeft" state="frozen"/>
      <selection activeCell="F20" sqref="F20"/>
      <selection pane="bottomLeft" activeCell="G97" sqref="G97"/>
    </sheetView>
  </sheetViews>
  <sheetFormatPr defaultRowHeight="12.75" x14ac:dyDescent="0.2"/>
  <cols>
    <col min="1" max="1" width="54.140625" style="450" customWidth="1"/>
    <col min="2" max="2" width="8.7109375" style="450" hidden="1" customWidth="1"/>
    <col min="3" max="3" width="12.7109375" style="450" customWidth="1"/>
    <col min="4" max="4" width="11.85546875" style="621" customWidth="1"/>
    <col min="5" max="5" width="7.7109375" style="621" customWidth="1"/>
    <col min="6" max="6" width="7.7109375" style="450" customWidth="1"/>
    <col min="7" max="10" width="12.7109375" style="450" customWidth="1"/>
    <col min="11" max="235" width="9.140625" style="450"/>
    <col min="236" max="236" width="5.5703125" style="450" customWidth="1"/>
    <col min="237" max="237" width="32" style="450" customWidth="1"/>
    <col min="238" max="239" width="9.85546875" style="450" customWidth="1"/>
    <col min="240" max="241" width="9.42578125" style="450" customWidth="1"/>
    <col min="242" max="242" width="11.140625" style="450" customWidth="1"/>
    <col min="243" max="245" width="8.5703125" style="450" customWidth="1"/>
    <col min="246" max="246" width="32.140625" style="450" customWidth="1"/>
    <col min="247" max="247" width="8" style="450" hidden="1" customWidth="1"/>
    <col min="248" max="491" width="9.140625" style="450"/>
    <col min="492" max="492" width="5.5703125" style="450" customWidth="1"/>
    <col min="493" max="493" width="32" style="450" customWidth="1"/>
    <col min="494" max="495" width="9.85546875" style="450" customWidth="1"/>
    <col min="496" max="497" width="9.42578125" style="450" customWidth="1"/>
    <col min="498" max="498" width="11.140625" style="450" customWidth="1"/>
    <col min="499" max="501" width="8.5703125" style="450" customWidth="1"/>
    <col min="502" max="502" width="32.140625" style="450" customWidth="1"/>
    <col min="503" max="503" width="8" style="450" hidden="1" customWidth="1"/>
    <col min="504" max="747" width="9.140625" style="450"/>
    <col min="748" max="748" width="5.5703125" style="450" customWidth="1"/>
    <col min="749" max="749" width="32" style="450" customWidth="1"/>
    <col min="750" max="751" width="9.85546875" style="450" customWidth="1"/>
    <col min="752" max="753" width="9.42578125" style="450" customWidth="1"/>
    <col min="754" max="754" width="11.140625" style="450" customWidth="1"/>
    <col min="755" max="757" width="8.5703125" style="450" customWidth="1"/>
    <col min="758" max="758" width="32.140625" style="450" customWidth="1"/>
    <col min="759" max="759" width="8" style="450" hidden="1" customWidth="1"/>
    <col min="760" max="1003" width="9.140625" style="450"/>
    <col min="1004" max="1004" width="5.5703125" style="450" customWidth="1"/>
    <col min="1005" max="1005" width="32" style="450" customWidth="1"/>
    <col min="1006" max="1007" width="9.85546875" style="450" customWidth="1"/>
    <col min="1008" max="1009" width="9.42578125" style="450" customWidth="1"/>
    <col min="1010" max="1010" width="11.140625" style="450" customWidth="1"/>
    <col min="1011" max="1013" width="8.5703125" style="450" customWidth="1"/>
    <col min="1014" max="1014" width="32.140625" style="450" customWidth="1"/>
    <col min="1015" max="1015" width="8" style="450" hidden="1" customWidth="1"/>
    <col min="1016" max="1259" width="9.140625" style="450"/>
    <col min="1260" max="1260" width="5.5703125" style="450" customWidth="1"/>
    <col min="1261" max="1261" width="32" style="450" customWidth="1"/>
    <col min="1262" max="1263" width="9.85546875" style="450" customWidth="1"/>
    <col min="1264" max="1265" width="9.42578125" style="450" customWidth="1"/>
    <col min="1266" max="1266" width="11.140625" style="450" customWidth="1"/>
    <col min="1267" max="1269" width="8.5703125" style="450" customWidth="1"/>
    <col min="1270" max="1270" width="32.140625" style="450" customWidth="1"/>
    <col min="1271" max="1271" width="8" style="450" hidden="1" customWidth="1"/>
    <col min="1272" max="1515" width="9.140625" style="450"/>
    <col min="1516" max="1516" width="5.5703125" style="450" customWidth="1"/>
    <col min="1517" max="1517" width="32" style="450" customWidth="1"/>
    <col min="1518" max="1519" width="9.85546875" style="450" customWidth="1"/>
    <col min="1520" max="1521" width="9.42578125" style="450" customWidth="1"/>
    <col min="1522" max="1522" width="11.140625" style="450" customWidth="1"/>
    <col min="1523" max="1525" width="8.5703125" style="450" customWidth="1"/>
    <col min="1526" max="1526" width="32.140625" style="450" customWidth="1"/>
    <col min="1527" max="1527" width="8" style="450" hidden="1" customWidth="1"/>
    <col min="1528" max="1771" width="9.140625" style="450"/>
    <col min="1772" max="1772" width="5.5703125" style="450" customWidth="1"/>
    <col min="1773" max="1773" width="32" style="450" customWidth="1"/>
    <col min="1774" max="1775" width="9.85546875" style="450" customWidth="1"/>
    <col min="1776" max="1777" width="9.42578125" style="450" customWidth="1"/>
    <col min="1778" max="1778" width="11.140625" style="450" customWidth="1"/>
    <col min="1779" max="1781" width="8.5703125" style="450" customWidth="1"/>
    <col min="1782" max="1782" width="32.140625" style="450" customWidth="1"/>
    <col min="1783" max="1783" width="8" style="450" hidden="1" customWidth="1"/>
    <col min="1784" max="2027" width="9.140625" style="450"/>
    <col min="2028" max="2028" width="5.5703125" style="450" customWidth="1"/>
    <col min="2029" max="2029" width="32" style="450" customWidth="1"/>
    <col min="2030" max="2031" width="9.85546875" style="450" customWidth="1"/>
    <col min="2032" max="2033" width="9.42578125" style="450" customWidth="1"/>
    <col min="2034" max="2034" width="11.140625" style="450" customWidth="1"/>
    <col min="2035" max="2037" width="8.5703125" style="450" customWidth="1"/>
    <col min="2038" max="2038" width="32.140625" style="450" customWidth="1"/>
    <col min="2039" max="2039" width="8" style="450" hidden="1" customWidth="1"/>
    <col min="2040" max="2283" width="9.140625" style="450"/>
    <col min="2284" max="2284" width="5.5703125" style="450" customWidth="1"/>
    <col min="2285" max="2285" width="32" style="450" customWidth="1"/>
    <col min="2286" max="2287" width="9.85546875" style="450" customWidth="1"/>
    <col min="2288" max="2289" width="9.42578125" style="450" customWidth="1"/>
    <col min="2290" max="2290" width="11.140625" style="450" customWidth="1"/>
    <col min="2291" max="2293" width="8.5703125" style="450" customWidth="1"/>
    <col min="2294" max="2294" width="32.140625" style="450" customWidth="1"/>
    <col min="2295" max="2295" width="8" style="450" hidden="1" customWidth="1"/>
    <col min="2296" max="2539" width="9.140625" style="450"/>
    <col min="2540" max="2540" width="5.5703125" style="450" customWidth="1"/>
    <col min="2541" max="2541" width="32" style="450" customWidth="1"/>
    <col min="2542" max="2543" width="9.85546875" style="450" customWidth="1"/>
    <col min="2544" max="2545" width="9.42578125" style="450" customWidth="1"/>
    <col min="2546" max="2546" width="11.140625" style="450" customWidth="1"/>
    <col min="2547" max="2549" width="8.5703125" style="450" customWidth="1"/>
    <col min="2550" max="2550" width="32.140625" style="450" customWidth="1"/>
    <col min="2551" max="2551" width="8" style="450" hidden="1" customWidth="1"/>
    <col min="2552" max="2795" width="9.140625" style="450"/>
    <col min="2796" max="2796" width="5.5703125" style="450" customWidth="1"/>
    <col min="2797" max="2797" width="32" style="450" customWidth="1"/>
    <col min="2798" max="2799" width="9.85546875" style="450" customWidth="1"/>
    <col min="2800" max="2801" width="9.42578125" style="450" customWidth="1"/>
    <col min="2802" max="2802" width="11.140625" style="450" customWidth="1"/>
    <col min="2803" max="2805" width="8.5703125" style="450" customWidth="1"/>
    <col min="2806" max="2806" width="32.140625" style="450" customWidth="1"/>
    <col min="2807" max="2807" width="8" style="450" hidden="1" customWidth="1"/>
    <col min="2808" max="3051" width="9.140625" style="450"/>
    <col min="3052" max="3052" width="5.5703125" style="450" customWidth="1"/>
    <col min="3053" max="3053" width="32" style="450" customWidth="1"/>
    <col min="3054" max="3055" width="9.85546875" style="450" customWidth="1"/>
    <col min="3056" max="3057" width="9.42578125" style="450" customWidth="1"/>
    <col min="3058" max="3058" width="11.140625" style="450" customWidth="1"/>
    <col min="3059" max="3061" width="8.5703125" style="450" customWidth="1"/>
    <col min="3062" max="3062" width="32.140625" style="450" customWidth="1"/>
    <col min="3063" max="3063" width="8" style="450" hidden="1" customWidth="1"/>
    <col min="3064" max="3307" width="9.140625" style="450"/>
    <col min="3308" max="3308" width="5.5703125" style="450" customWidth="1"/>
    <col min="3309" max="3309" width="32" style="450" customWidth="1"/>
    <col min="3310" max="3311" width="9.85546875" style="450" customWidth="1"/>
    <col min="3312" max="3313" width="9.42578125" style="450" customWidth="1"/>
    <col min="3314" max="3314" width="11.140625" style="450" customWidth="1"/>
    <col min="3315" max="3317" width="8.5703125" style="450" customWidth="1"/>
    <col min="3318" max="3318" width="32.140625" style="450" customWidth="1"/>
    <col min="3319" max="3319" width="8" style="450" hidden="1" customWidth="1"/>
    <col min="3320" max="3563" width="9.140625" style="450"/>
    <col min="3564" max="3564" width="5.5703125" style="450" customWidth="1"/>
    <col min="3565" max="3565" width="32" style="450" customWidth="1"/>
    <col min="3566" max="3567" width="9.85546875" style="450" customWidth="1"/>
    <col min="3568" max="3569" width="9.42578125" style="450" customWidth="1"/>
    <col min="3570" max="3570" width="11.140625" style="450" customWidth="1"/>
    <col min="3571" max="3573" width="8.5703125" style="450" customWidth="1"/>
    <col min="3574" max="3574" width="32.140625" style="450" customWidth="1"/>
    <col min="3575" max="3575" width="8" style="450" hidden="1" customWidth="1"/>
    <col min="3576" max="3819" width="9.140625" style="450"/>
    <col min="3820" max="3820" width="5.5703125" style="450" customWidth="1"/>
    <col min="3821" max="3821" width="32" style="450" customWidth="1"/>
    <col min="3822" max="3823" width="9.85546875" style="450" customWidth="1"/>
    <col min="3824" max="3825" width="9.42578125" style="450" customWidth="1"/>
    <col min="3826" max="3826" width="11.140625" style="450" customWidth="1"/>
    <col min="3827" max="3829" width="8.5703125" style="450" customWidth="1"/>
    <col min="3830" max="3830" width="32.140625" style="450" customWidth="1"/>
    <col min="3831" max="3831" width="8" style="450" hidden="1" customWidth="1"/>
    <col min="3832" max="4075" width="9.140625" style="450"/>
    <col min="4076" max="4076" width="5.5703125" style="450" customWidth="1"/>
    <col min="4077" max="4077" width="32" style="450" customWidth="1"/>
    <col min="4078" max="4079" width="9.85546875" style="450" customWidth="1"/>
    <col min="4080" max="4081" width="9.42578125" style="450" customWidth="1"/>
    <col min="4082" max="4082" width="11.140625" style="450" customWidth="1"/>
    <col min="4083" max="4085" width="8.5703125" style="450" customWidth="1"/>
    <col min="4086" max="4086" width="32.140625" style="450" customWidth="1"/>
    <col min="4087" max="4087" width="8" style="450" hidden="1" customWidth="1"/>
    <col min="4088" max="4331" width="9.140625" style="450"/>
    <col min="4332" max="4332" width="5.5703125" style="450" customWidth="1"/>
    <col min="4333" max="4333" width="32" style="450" customWidth="1"/>
    <col min="4334" max="4335" width="9.85546875" style="450" customWidth="1"/>
    <col min="4336" max="4337" width="9.42578125" style="450" customWidth="1"/>
    <col min="4338" max="4338" width="11.140625" style="450" customWidth="1"/>
    <col min="4339" max="4341" width="8.5703125" style="450" customWidth="1"/>
    <col min="4342" max="4342" width="32.140625" style="450" customWidth="1"/>
    <col min="4343" max="4343" width="8" style="450" hidden="1" customWidth="1"/>
    <col min="4344" max="4587" width="9.140625" style="450"/>
    <col min="4588" max="4588" width="5.5703125" style="450" customWidth="1"/>
    <col min="4589" max="4589" width="32" style="450" customWidth="1"/>
    <col min="4590" max="4591" width="9.85546875" style="450" customWidth="1"/>
    <col min="4592" max="4593" width="9.42578125" style="450" customWidth="1"/>
    <col min="4594" max="4594" width="11.140625" style="450" customWidth="1"/>
    <col min="4595" max="4597" width="8.5703125" style="450" customWidth="1"/>
    <col min="4598" max="4598" width="32.140625" style="450" customWidth="1"/>
    <col min="4599" max="4599" width="8" style="450" hidden="1" customWidth="1"/>
    <col min="4600" max="4843" width="9.140625" style="450"/>
    <col min="4844" max="4844" width="5.5703125" style="450" customWidth="1"/>
    <col min="4845" max="4845" width="32" style="450" customWidth="1"/>
    <col min="4846" max="4847" width="9.85546875" style="450" customWidth="1"/>
    <col min="4848" max="4849" width="9.42578125" style="450" customWidth="1"/>
    <col min="4850" max="4850" width="11.140625" style="450" customWidth="1"/>
    <col min="4851" max="4853" width="8.5703125" style="450" customWidth="1"/>
    <col min="4854" max="4854" width="32.140625" style="450" customWidth="1"/>
    <col min="4855" max="4855" width="8" style="450" hidden="1" customWidth="1"/>
    <col min="4856" max="5099" width="9.140625" style="450"/>
    <col min="5100" max="5100" width="5.5703125" style="450" customWidth="1"/>
    <col min="5101" max="5101" width="32" style="450" customWidth="1"/>
    <col min="5102" max="5103" width="9.85546875" style="450" customWidth="1"/>
    <col min="5104" max="5105" width="9.42578125" style="450" customWidth="1"/>
    <col min="5106" max="5106" width="11.140625" style="450" customWidth="1"/>
    <col min="5107" max="5109" width="8.5703125" style="450" customWidth="1"/>
    <col min="5110" max="5110" width="32.140625" style="450" customWidth="1"/>
    <col min="5111" max="5111" width="8" style="450" hidden="1" customWidth="1"/>
    <col min="5112" max="5355" width="9.140625" style="450"/>
    <col min="5356" max="5356" width="5.5703125" style="450" customWidth="1"/>
    <col min="5357" max="5357" width="32" style="450" customWidth="1"/>
    <col min="5358" max="5359" width="9.85546875" style="450" customWidth="1"/>
    <col min="5360" max="5361" width="9.42578125" style="450" customWidth="1"/>
    <col min="5362" max="5362" width="11.140625" style="450" customWidth="1"/>
    <col min="5363" max="5365" width="8.5703125" style="450" customWidth="1"/>
    <col min="5366" max="5366" width="32.140625" style="450" customWidth="1"/>
    <col min="5367" max="5367" width="8" style="450" hidden="1" customWidth="1"/>
    <col min="5368" max="5611" width="9.140625" style="450"/>
    <col min="5612" max="5612" width="5.5703125" style="450" customWidth="1"/>
    <col min="5613" max="5613" width="32" style="450" customWidth="1"/>
    <col min="5614" max="5615" width="9.85546875" style="450" customWidth="1"/>
    <col min="5616" max="5617" width="9.42578125" style="450" customWidth="1"/>
    <col min="5618" max="5618" width="11.140625" style="450" customWidth="1"/>
    <col min="5619" max="5621" width="8.5703125" style="450" customWidth="1"/>
    <col min="5622" max="5622" width="32.140625" style="450" customWidth="1"/>
    <col min="5623" max="5623" width="8" style="450" hidden="1" customWidth="1"/>
    <col min="5624" max="5867" width="9.140625" style="450"/>
    <col min="5868" max="5868" width="5.5703125" style="450" customWidth="1"/>
    <col min="5869" max="5869" width="32" style="450" customWidth="1"/>
    <col min="5870" max="5871" width="9.85546875" style="450" customWidth="1"/>
    <col min="5872" max="5873" width="9.42578125" style="450" customWidth="1"/>
    <col min="5874" max="5874" width="11.140625" style="450" customWidth="1"/>
    <col min="5875" max="5877" width="8.5703125" style="450" customWidth="1"/>
    <col min="5878" max="5878" width="32.140625" style="450" customWidth="1"/>
    <col min="5879" max="5879" width="8" style="450" hidden="1" customWidth="1"/>
    <col min="5880" max="6123" width="9.140625" style="450"/>
    <col min="6124" max="6124" width="5.5703125" style="450" customWidth="1"/>
    <col min="6125" max="6125" width="32" style="450" customWidth="1"/>
    <col min="6126" max="6127" width="9.85546875" style="450" customWidth="1"/>
    <col min="6128" max="6129" width="9.42578125" style="450" customWidth="1"/>
    <col min="6130" max="6130" width="11.140625" style="450" customWidth="1"/>
    <col min="6131" max="6133" width="8.5703125" style="450" customWidth="1"/>
    <col min="6134" max="6134" width="32.140625" style="450" customWidth="1"/>
    <col min="6135" max="6135" width="8" style="450" hidden="1" customWidth="1"/>
    <col min="6136" max="6379" width="9.140625" style="450"/>
    <col min="6380" max="6380" width="5.5703125" style="450" customWidth="1"/>
    <col min="6381" max="6381" width="32" style="450" customWidth="1"/>
    <col min="6382" max="6383" width="9.85546875" style="450" customWidth="1"/>
    <col min="6384" max="6385" width="9.42578125" style="450" customWidth="1"/>
    <col min="6386" max="6386" width="11.140625" style="450" customWidth="1"/>
    <col min="6387" max="6389" width="8.5703125" style="450" customWidth="1"/>
    <col min="6390" max="6390" width="32.140625" style="450" customWidth="1"/>
    <col min="6391" max="6391" width="8" style="450" hidden="1" customWidth="1"/>
    <col min="6392" max="6635" width="9.140625" style="450"/>
    <col min="6636" max="6636" width="5.5703125" style="450" customWidth="1"/>
    <col min="6637" max="6637" width="32" style="450" customWidth="1"/>
    <col min="6638" max="6639" width="9.85546875" style="450" customWidth="1"/>
    <col min="6640" max="6641" width="9.42578125" style="450" customWidth="1"/>
    <col min="6642" max="6642" width="11.140625" style="450" customWidth="1"/>
    <col min="6643" max="6645" width="8.5703125" style="450" customWidth="1"/>
    <col min="6646" max="6646" width="32.140625" style="450" customWidth="1"/>
    <col min="6647" max="6647" width="8" style="450" hidden="1" customWidth="1"/>
    <col min="6648" max="6891" width="9.140625" style="450"/>
    <col min="6892" max="6892" width="5.5703125" style="450" customWidth="1"/>
    <col min="6893" max="6893" width="32" style="450" customWidth="1"/>
    <col min="6894" max="6895" width="9.85546875" style="450" customWidth="1"/>
    <col min="6896" max="6897" width="9.42578125" style="450" customWidth="1"/>
    <col min="6898" max="6898" width="11.140625" style="450" customWidth="1"/>
    <col min="6899" max="6901" width="8.5703125" style="450" customWidth="1"/>
    <col min="6902" max="6902" width="32.140625" style="450" customWidth="1"/>
    <col min="6903" max="6903" width="8" style="450" hidden="1" customWidth="1"/>
    <col min="6904" max="7147" width="9.140625" style="450"/>
    <col min="7148" max="7148" width="5.5703125" style="450" customWidth="1"/>
    <col min="7149" max="7149" width="32" style="450" customWidth="1"/>
    <col min="7150" max="7151" width="9.85546875" style="450" customWidth="1"/>
    <col min="7152" max="7153" width="9.42578125" style="450" customWidth="1"/>
    <col min="7154" max="7154" width="11.140625" style="450" customWidth="1"/>
    <col min="7155" max="7157" width="8.5703125" style="450" customWidth="1"/>
    <col min="7158" max="7158" width="32.140625" style="450" customWidth="1"/>
    <col min="7159" max="7159" width="8" style="450" hidden="1" customWidth="1"/>
    <col min="7160" max="7403" width="9.140625" style="450"/>
    <col min="7404" max="7404" width="5.5703125" style="450" customWidth="1"/>
    <col min="7405" max="7405" width="32" style="450" customWidth="1"/>
    <col min="7406" max="7407" width="9.85546875" style="450" customWidth="1"/>
    <col min="7408" max="7409" width="9.42578125" style="450" customWidth="1"/>
    <col min="7410" max="7410" width="11.140625" style="450" customWidth="1"/>
    <col min="7411" max="7413" width="8.5703125" style="450" customWidth="1"/>
    <col min="7414" max="7414" width="32.140625" style="450" customWidth="1"/>
    <col min="7415" max="7415" width="8" style="450" hidden="1" customWidth="1"/>
    <col min="7416" max="7659" width="9.140625" style="450"/>
    <col min="7660" max="7660" width="5.5703125" style="450" customWidth="1"/>
    <col min="7661" max="7661" width="32" style="450" customWidth="1"/>
    <col min="7662" max="7663" width="9.85546875" style="450" customWidth="1"/>
    <col min="7664" max="7665" width="9.42578125" style="450" customWidth="1"/>
    <col min="7666" max="7666" width="11.140625" style="450" customWidth="1"/>
    <col min="7667" max="7669" width="8.5703125" style="450" customWidth="1"/>
    <col min="7670" max="7670" width="32.140625" style="450" customWidth="1"/>
    <col min="7671" max="7671" width="8" style="450" hidden="1" customWidth="1"/>
    <col min="7672" max="7915" width="9.140625" style="450"/>
    <col min="7916" max="7916" width="5.5703125" style="450" customWidth="1"/>
    <col min="7917" max="7917" width="32" style="450" customWidth="1"/>
    <col min="7918" max="7919" width="9.85546875" style="450" customWidth="1"/>
    <col min="7920" max="7921" width="9.42578125" style="450" customWidth="1"/>
    <col min="7922" max="7922" width="11.140625" style="450" customWidth="1"/>
    <col min="7923" max="7925" width="8.5703125" style="450" customWidth="1"/>
    <col min="7926" max="7926" width="32.140625" style="450" customWidth="1"/>
    <col min="7927" max="7927" width="8" style="450" hidden="1" customWidth="1"/>
    <col min="7928" max="8171" width="9.140625" style="450"/>
    <col min="8172" max="8172" width="5.5703125" style="450" customWidth="1"/>
    <col min="8173" max="8173" width="32" style="450" customWidth="1"/>
    <col min="8174" max="8175" width="9.85546875" style="450" customWidth="1"/>
    <col min="8176" max="8177" width="9.42578125" style="450" customWidth="1"/>
    <col min="8178" max="8178" width="11.140625" style="450" customWidth="1"/>
    <col min="8179" max="8181" width="8.5703125" style="450" customWidth="1"/>
    <col min="8182" max="8182" width="32.140625" style="450" customWidth="1"/>
    <col min="8183" max="8183" width="8" style="450" hidden="1" customWidth="1"/>
    <col min="8184" max="8427" width="9.140625" style="450"/>
    <col min="8428" max="8428" width="5.5703125" style="450" customWidth="1"/>
    <col min="8429" max="8429" width="32" style="450" customWidth="1"/>
    <col min="8430" max="8431" width="9.85546875" style="450" customWidth="1"/>
    <col min="8432" max="8433" width="9.42578125" style="450" customWidth="1"/>
    <col min="8434" max="8434" width="11.140625" style="450" customWidth="1"/>
    <col min="8435" max="8437" width="8.5703125" style="450" customWidth="1"/>
    <col min="8438" max="8438" width="32.140625" style="450" customWidth="1"/>
    <col min="8439" max="8439" width="8" style="450" hidden="1" customWidth="1"/>
    <col min="8440" max="8683" width="9.140625" style="450"/>
    <col min="8684" max="8684" width="5.5703125" style="450" customWidth="1"/>
    <col min="8685" max="8685" width="32" style="450" customWidth="1"/>
    <col min="8686" max="8687" width="9.85546875" style="450" customWidth="1"/>
    <col min="8688" max="8689" width="9.42578125" style="450" customWidth="1"/>
    <col min="8690" max="8690" width="11.140625" style="450" customWidth="1"/>
    <col min="8691" max="8693" width="8.5703125" style="450" customWidth="1"/>
    <col min="8694" max="8694" width="32.140625" style="450" customWidth="1"/>
    <col min="8695" max="8695" width="8" style="450" hidden="1" customWidth="1"/>
    <col min="8696" max="8939" width="9.140625" style="450"/>
    <col min="8940" max="8940" width="5.5703125" style="450" customWidth="1"/>
    <col min="8941" max="8941" width="32" style="450" customWidth="1"/>
    <col min="8942" max="8943" width="9.85546875" style="450" customWidth="1"/>
    <col min="8944" max="8945" width="9.42578125" style="450" customWidth="1"/>
    <col min="8946" max="8946" width="11.140625" style="450" customWidth="1"/>
    <col min="8947" max="8949" width="8.5703125" style="450" customWidth="1"/>
    <col min="8950" max="8950" width="32.140625" style="450" customWidth="1"/>
    <col min="8951" max="8951" width="8" style="450" hidden="1" customWidth="1"/>
    <col min="8952" max="9195" width="9.140625" style="450"/>
    <col min="9196" max="9196" width="5.5703125" style="450" customWidth="1"/>
    <col min="9197" max="9197" width="32" style="450" customWidth="1"/>
    <col min="9198" max="9199" width="9.85546875" style="450" customWidth="1"/>
    <col min="9200" max="9201" width="9.42578125" style="450" customWidth="1"/>
    <col min="9202" max="9202" width="11.140625" style="450" customWidth="1"/>
    <col min="9203" max="9205" width="8.5703125" style="450" customWidth="1"/>
    <col min="9206" max="9206" width="32.140625" style="450" customWidth="1"/>
    <col min="9207" max="9207" width="8" style="450" hidden="1" customWidth="1"/>
    <col min="9208" max="9451" width="9.140625" style="450"/>
    <col min="9452" max="9452" width="5.5703125" style="450" customWidth="1"/>
    <col min="9453" max="9453" width="32" style="450" customWidth="1"/>
    <col min="9454" max="9455" width="9.85546875" style="450" customWidth="1"/>
    <col min="9456" max="9457" width="9.42578125" style="450" customWidth="1"/>
    <col min="9458" max="9458" width="11.140625" style="450" customWidth="1"/>
    <col min="9459" max="9461" width="8.5703125" style="450" customWidth="1"/>
    <col min="9462" max="9462" width="32.140625" style="450" customWidth="1"/>
    <col min="9463" max="9463" width="8" style="450" hidden="1" customWidth="1"/>
    <col min="9464" max="9707" width="9.140625" style="450"/>
    <col min="9708" max="9708" width="5.5703125" style="450" customWidth="1"/>
    <col min="9709" max="9709" width="32" style="450" customWidth="1"/>
    <col min="9710" max="9711" width="9.85546875" style="450" customWidth="1"/>
    <col min="9712" max="9713" width="9.42578125" style="450" customWidth="1"/>
    <col min="9714" max="9714" width="11.140625" style="450" customWidth="1"/>
    <col min="9715" max="9717" width="8.5703125" style="450" customWidth="1"/>
    <col min="9718" max="9718" width="32.140625" style="450" customWidth="1"/>
    <col min="9719" max="9719" width="8" style="450" hidden="1" customWidth="1"/>
    <col min="9720" max="9963" width="9.140625" style="450"/>
    <col min="9964" max="9964" width="5.5703125" style="450" customWidth="1"/>
    <col min="9965" max="9965" width="32" style="450" customWidth="1"/>
    <col min="9966" max="9967" width="9.85546875" style="450" customWidth="1"/>
    <col min="9968" max="9969" width="9.42578125" style="450" customWidth="1"/>
    <col min="9970" max="9970" width="11.140625" style="450" customWidth="1"/>
    <col min="9971" max="9973" width="8.5703125" style="450" customWidth="1"/>
    <col min="9974" max="9974" width="32.140625" style="450" customWidth="1"/>
    <col min="9975" max="9975" width="8" style="450" hidden="1" customWidth="1"/>
    <col min="9976" max="10219" width="9.140625" style="450"/>
    <col min="10220" max="10220" width="5.5703125" style="450" customWidth="1"/>
    <col min="10221" max="10221" width="32" style="450" customWidth="1"/>
    <col min="10222" max="10223" width="9.85546875" style="450" customWidth="1"/>
    <col min="10224" max="10225" width="9.42578125" style="450" customWidth="1"/>
    <col min="10226" max="10226" width="11.140625" style="450" customWidth="1"/>
    <col min="10227" max="10229" width="8.5703125" style="450" customWidth="1"/>
    <col min="10230" max="10230" width="32.140625" style="450" customWidth="1"/>
    <col min="10231" max="10231" width="8" style="450" hidden="1" customWidth="1"/>
    <col min="10232" max="10475" width="9.140625" style="450"/>
    <col min="10476" max="10476" width="5.5703125" style="450" customWidth="1"/>
    <col min="10477" max="10477" width="32" style="450" customWidth="1"/>
    <col min="10478" max="10479" width="9.85546875" style="450" customWidth="1"/>
    <col min="10480" max="10481" width="9.42578125" style="450" customWidth="1"/>
    <col min="10482" max="10482" width="11.140625" style="450" customWidth="1"/>
    <col min="10483" max="10485" width="8.5703125" style="450" customWidth="1"/>
    <col min="10486" max="10486" width="32.140625" style="450" customWidth="1"/>
    <col min="10487" max="10487" width="8" style="450" hidden="1" customWidth="1"/>
    <col min="10488" max="10731" width="9.140625" style="450"/>
    <col min="10732" max="10732" width="5.5703125" style="450" customWidth="1"/>
    <col min="10733" max="10733" width="32" style="450" customWidth="1"/>
    <col min="10734" max="10735" width="9.85546875" style="450" customWidth="1"/>
    <col min="10736" max="10737" width="9.42578125" style="450" customWidth="1"/>
    <col min="10738" max="10738" width="11.140625" style="450" customWidth="1"/>
    <col min="10739" max="10741" width="8.5703125" style="450" customWidth="1"/>
    <col min="10742" max="10742" width="32.140625" style="450" customWidth="1"/>
    <col min="10743" max="10743" width="8" style="450" hidden="1" customWidth="1"/>
    <col min="10744" max="10987" width="9.140625" style="450"/>
    <col min="10988" max="10988" width="5.5703125" style="450" customWidth="1"/>
    <col min="10989" max="10989" width="32" style="450" customWidth="1"/>
    <col min="10990" max="10991" width="9.85546875" style="450" customWidth="1"/>
    <col min="10992" max="10993" width="9.42578125" style="450" customWidth="1"/>
    <col min="10994" max="10994" width="11.140625" style="450" customWidth="1"/>
    <col min="10995" max="10997" width="8.5703125" style="450" customWidth="1"/>
    <col min="10998" max="10998" width="32.140625" style="450" customWidth="1"/>
    <col min="10999" max="10999" width="8" style="450" hidden="1" customWidth="1"/>
    <col min="11000" max="11243" width="9.140625" style="450"/>
    <col min="11244" max="11244" width="5.5703125" style="450" customWidth="1"/>
    <col min="11245" max="11245" width="32" style="450" customWidth="1"/>
    <col min="11246" max="11247" width="9.85546875" style="450" customWidth="1"/>
    <col min="11248" max="11249" width="9.42578125" style="450" customWidth="1"/>
    <col min="11250" max="11250" width="11.140625" style="450" customWidth="1"/>
    <col min="11251" max="11253" width="8.5703125" style="450" customWidth="1"/>
    <col min="11254" max="11254" width="32.140625" style="450" customWidth="1"/>
    <col min="11255" max="11255" width="8" style="450" hidden="1" customWidth="1"/>
    <col min="11256" max="11499" width="9.140625" style="450"/>
    <col min="11500" max="11500" width="5.5703125" style="450" customWidth="1"/>
    <col min="11501" max="11501" width="32" style="450" customWidth="1"/>
    <col min="11502" max="11503" width="9.85546875" style="450" customWidth="1"/>
    <col min="11504" max="11505" width="9.42578125" style="450" customWidth="1"/>
    <col min="11506" max="11506" width="11.140625" style="450" customWidth="1"/>
    <col min="11507" max="11509" width="8.5703125" style="450" customWidth="1"/>
    <col min="11510" max="11510" width="32.140625" style="450" customWidth="1"/>
    <col min="11511" max="11511" width="8" style="450" hidden="1" customWidth="1"/>
    <col min="11512" max="11755" width="9.140625" style="450"/>
    <col min="11756" max="11756" width="5.5703125" style="450" customWidth="1"/>
    <col min="11757" max="11757" width="32" style="450" customWidth="1"/>
    <col min="11758" max="11759" width="9.85546875" style="450" customWidth="1"/>
    <col min="11760" max="11761" width="9.42578125" style="450" customWidth="1"/>
    <col min="11762" max="11762" width="11.140625" style="450" customWidth="1"/>
    <col min="11763" max="11765" width="8.5703125" style="450" customWidth="1"/>
    <col min="11766" max="11766" width="32.140625" style="450" customWidth="1"/>
    <col min="11767" max="11767" width="8" style="450" hidden="1" customWidth="1"/>
    <col min="11768" max="12011" width="9.140625" style="450"/>
    <col min="12012" max="12012" width="5.5703125" style="450" customWidth="1"/>
    <col min="12013" max="12013" width="32" style="450" customWidth="1"/>
    <col min="12014" max="12015" width="9.85546875" style="450" customWidth="1"/>
    <col min="12016" max="12017" width="9.42578125" style="450" customWidth="1"/>
    <col min="12018" max="12018" width="11.140625" style="450" customWidth="1"/>
    <col min="12019" max="12021" width="8.5703125" style="450" customWidth="1"/>
    <col min="12022" max="12022" width="32.140625" style="450" customWidth="1"/>
    <col min="12023" max="12023" width="8" style="450" hidden="1" customWidth="1"/>
    <col min="12024" max="12267" width="9.140625" style="450"/>
    <col min="12268" max="12268" width="5.5703125" style="450" customWidth="1"/>
    <col min="12269" max="12269" width="32" style="450" customWidth="1"/>
    <col min="12270" max="12271" width="9.85546875" style="450" customWidth="1"/>
    <col min="12272" max="12273" width="9.42578125" style="450" customWidth="1"/>
    <col min="12274" max="12274" width="11.140625" style="450" customWidth="1"/>
    <col min="12275" max="12277" width="8.5703125" style="450" customWidth="1"/>
    <col min="12278" max="12278" width="32.140625" style="450" customWidth="1"/>
    <col min="12279" max="12279" width="8" style="450" hidden="1" customWidth="1"/>
    <col min="12280" max="12523" width="9.140625" style="450"/>
    <col min="12524" max="12524" width="5.5703125" style="450" customWidth="1"/>
    <col min="12525" max="12525" width="32" style="450" customWidth="1"/>
    <col min="12526" max="12527" width="9.85546875" style="450" customWidth="1"/>
    <col min="12528" max="12529" width="9.42578125" style="450" customWidth="1"/>
    <col min="12530" max="12530" width="11.140625" style="450" customWidth="1"/>
    <col min="12531" max="12533" width="8.5703125" style="450" customWidth="1"/>
    <col min="12534" max="12534" width="32.140625" style="450" customWidth="1"/>
    <col min="12535" max="12535" width="8" style="450" hidden="1" customWidth="1"/>
    <col min="12536" max="12779" width="9.140625" style="450"/>
    <col min="12780" max="12780" width="5.5703125" style="450" customWidth="1"/>
    <col min="12781" max="12781" width="32" style="450" customWidth="1"/>
    <col min="12782" max="12783" width="9.85546875" style="450" customWidth="1"/>
    <col min="12784" max="12785" width="9.42578125" style="450" customWidth="1"/>
    <col min="12786" max="12786" width="11.140625" style="450" customWidth="1"/>
    <col min="12787" max="12789" width="8.5703125" style="450" customWidth="1"/>
    <col min="12790" max="12790" width="32.140625" style="450" customWidth="1"/>
    <col min="12791" max="12791" width="8" style="450" hidden="1" customWidth="1"/>
    <col min="12792" max="13035" width="9.140625" style="450"/>
    <col min="13036" max="13036" width="5.5703125" style="450" customWidth="1"/>
    <col min="13037" max="13037" width="32" style="450" customWidth="1"/>
    <col min="13038" max="13039" width="9.85546875" style="450" customWidth="1"/>
    <col min="13040" max="13041" width="9.42578125" style="450" customWidth="1"/>
    <col min="13042" max="13042" width="11.140625" style="450" customWidth="1"/>
    <col min="13043" max="13045" width="8.5703125" style="450" customWidth="1"/>
    <col min="13046" max="13046" width="32.140625" style="450" customWidth="1"/>
    <col min="13047" max="13047" width="8" style="450" hidden="1" customWidth="1"/>
    <col min="13048" max="13291" width="9.140625" style="450"/>
    <col min="13292" max="13292" width="5.5703125" style="450" customWidth="1"/>
    <col min="13293" max="13293" width="32" style="450" customWidth="1"/>
    <col min="13294" max="13295" width="9.85546875" style="450" customWidth="1"/>
    <col min="13296" max="13297" width="9.42578125" style="450" customWidth="1"/>
    <col min="13298" max="13298" width="11.140625" style="450" customWidth="1"/>
    <col min="13299" max="13301" width="8.5703125" style="450" customWidth="1"/>
    <col min="13302" max="13302" width="32.140625" style="450" customWidth="1"/>
    <col min="13303" max="13303" width="8" style="450" hidden="1" customWidth="1"/>
    <col min="13304" max="13547" width="9.140625" style="450"/>
    <col min="13548" max="13548" width="5.5703125" style="450" customWidth="1"/>
    <col min="13549" max="13549" width="32" style="450" customWidth="1"/>
    <col min="13550" max="13551" width="9.85546875" style="450" customWidth="1"/>
    <col min="13552" max="13553" width="9.42578125" style="450" customWidth="1"/>
    <col min="13554" max="13554" width="11.140625" style="450" customWidth="1"/>
    <col min="13555" max="13557" width="8.5703125" style="450" customWidth="1"/>
    <col min="13558" max="13558" width="32.140625" style="450" customWidth="1"/>
    <col min="13559" max="13559" width="8" style="450" hidden="1" customWidth="1"/>
    <col min="13560" max="13803" width="9.140625" style="450"/>
    <col min="13804" max="13804" width="5.5703125" style="450" customWidth="1"/>
    <col min="13805" max="13805" width="32" style="450" customWidth="1"/>
    <col min="13806" max="13807" width="9.85546875" style="450" customWidth="1"/>
    <col min="13808" max="13809" width="9.42578125" style="450" customWidth="1"/>
    <col min="13810" max="13810" width="11.140625" style="450" customWidth="1"/>
    <col min="13811" max="13813" width="8.5703125" style="450" customWidth="1"/>
    <col min="13814" max="13814" width="32.140625" style="450" customWidth="1"/>
    <col min="13815" max="13815" width="8" style="450" hidden="1" customWidth="1"/>
    <col min="13816" max="14059" width="9.140625" style="450"/>
    <col min="14060" max="14060" width="5.5703125" style="450" customWidth="1"/>
    <col min="14061" max="14061" width="32" style="450" customWidth="1"/>
    <col min="14062" max="14063" width="9.85546875" style="450" customWidth="1"/>
    <col min="14064" max="14065" width="9.42578125" style="450" customWidth="1"/>
    <col min="14066" max="14066" width="11.140625" style="450" customWidth="1"/>
    <col min="14067" max="14069" width="8.5703125" style="450" customWidth="1"/>
    <col min="14070" max="14070" width="32.140625" style="450" customWidth="1"/>
    <col min="14071" max="14071" width="8" style="450" hidden="1" customWidth="1"/>
    <col min="14072" max="14315" width="9.140625" style="450"/>
    <col min="14316" max="14316" width="5.5703125" style="450" customWidth="1"/>
    <col min="14317" max="14317" width="32" style="450" customWidth="1"/>
    <col min="14318" max="14319" width="9.85546875" style="450" customWidth="1"/>
    <col min="14320" max="14321" width="9.42578125" style="450" customWidth="1"/>
    <col min="14322" max="14322" width="11.140625" style="450" customWidth="1"/>
    <col min="14323" max="14325" width="8.5703125" style="450" customWidth="1"/>
    <col min="14326" max="14326" width="32.140625" style="450" customWidth="1"/>
    <col min="14327" max="14327" width="8" style="450" hidden="1" customWidth="1"/>
    <col min="14328" max="14571" width="9.140625" style="450"/>
    <col min="14572" max="14572" width="5.5703125" style="450" customWidth="1"/>
    <col min="14573" max="14573" width="32" style="450" customWidth="1"/>
    <col min="14574" max="14575" width="9.85546875" style="450" customWidth="1"/>
    <col min="14576" max="14577" width="9.42578125" style="450" customWidth="1"/>
    <col min="14578" max="14578" width="11.140625" style="450" customWidth="1"/>
    <col min="14579" max="14581" width="8.5703125" style="450" customWidth="1"/>
    <col min="14582" max="14582" width="32.140625" style="450" customWidth="1"/>
    <col min="14583" max="14583" width="8" style="450" hidden="1" customWidth="1"/>
    <col min="14584" max="14827" width="9.140625" style="450"/>
    <col min="14828" max="14828" width="5.5703125" style="450" customWidth="1"/>
    <col min="14829" max="14829" width="32" style="450" customWidth="1"/>
    <col min="14830" max="14831" width="9.85546875" style="450" customWidth="1"/>
    <col min="14832" max="14833" width="9.42578125" style="450" customWidth="1"/>
    <col min="14834" max="14834" width="11.140625" style="450" customWidth="1"/>
    <col min="14835" max="14837" width="8.5703125" style="450" customWidth="1"/>
    <col min="14838" max="14838" width="32.140625" style="450" customWidth="1"/>
    <col min="14839" max="14839" width="8" style="450" hidden="1" customWidth="1"/>
    <col min="14840" max="15083" width="9.140625" style="450"/>
    <col min="15084" max="15084" width="5.5703125" style="450" customWidth="1"/>
    <col min="15085" max="15085" width="32" style="450" customWidth="1"/>
    <col min="15086" max="15087" width="9.85546875" style="450" customWidth="1"/>
    <col min="15088" max="15089" width="9.42578125" style="450" customWidth="1"/>
    <col min="15090" max="15090" width="11.140625" style="450" customWidth="1"/>
    <col min="15091" max="15093" width="8.5703125" style="450" customWidth="1"/>
    <col min="15094" max="15094" width="32.140625" style="450" customWidth="1"/>
    <col min="15095" max="15095" width="8" style="450" hidden="1" customWidth="1"/>
    <col min="15096" max="15339" width="9.140625" style="450"/>
    <col min="15340" max="15340" width="5.5703125" style="450" customWidth="1"/>
    <col min="15341" max="15341" width="32" style="450" customWidth="1"/>
    <col min="15342" max="15343" width="9.85546875" style="450" customWidth="1"/>
    <col min="15344" max="15345" width="9.42578125" style="450" customWidth="1"/>
    <col min="15346" max="15346" width="11.140625" style="450" customWidth="1"/>
    <col min="15347" max="15349" width="8.5703125" style="450" customWidth="1"/>
    <col min="15350" max="15350" width="32.140625" style="450" customWidth="1"/>
    <col min="15351" max="15351" width="8" style="450" hidden="1" customWidth="1"/>
    <col min="15352" max="15595" width="9.140625" style="450"/>
    <col min="15596" max="15596" width="5.5703125" style="450" customWidth="1"/>
    <col min="15597" max="15597" width="32" style="450" customWidth="1"/>
    <col min="15598" max="15599" width="9.85546875" style="450" customWidth="1"/>
    <col min="15600" max="15601" width="9.42578125" style="450" customWidth="1"/>
    <col min="15602" max="15602" width="11.140625" style="450" customWidth="1"/>
    <col min="15603" max="15605" width="8.5703125" style="450" customWidth="1"/>
    <col min="15606" max="15606" width="32.140625" style="450" customWidth="1"/>
    <col min="15607" max="15607" width="8" style="450" hidden="1" customWidth="1"/>
    <col min="15608" max="15851" width="9.140625" style="450"/>
    <col min="15852" max="15852" width="5.5703125" style="450" customWidth="1"/>
    <col min="15853" max="15853" width="32" style="450" customWidth="1"/>
    <col min="15854" max="15855" width="9.85546875" style="450" customWidth="1"/>
    <col min="15856" max="15857" width="9.42578125" style="450" customWidth="1"/>
    <col min="15858" max="15858" width="11.140625" style="450" customWidth="1"/>
    <col min="15859" max="15861" width="8.5703125" style="450" customWidth="1"/>
    <col min="15862" max="15862" width="32.140625" style="450" customWidth="1"/>
    <col min="15863" max="15863" width="8" style="450" hidden="1" customWidth="1"/>
    <col min="15864" max="16107" width="9.140625" style="450"/>
    <col min="16108" max="16108" width="5.5703125" style="450" customWidth="1"/>
    <col min="16109" max="16109" width="32" style="450" customWidth="1"/>
    <col min="16110" max="16111" width="9.85546875" style="450" customWidth="1"/>
    <col min="16112" max="16113" width="9.42578125" style="450" customWidth="1"/>
    <col min="16114" max="16114" width="11.140625" style="450" customWidth="1"/>
    <col min="16115" max="16117" width="8.5703125" style="450" customWidth="1"/>
    <col min="16118" max="16118" width="32.140625" style="450" customWidth="1"/>
    <col min="16119" max="16119" width="8" style="450" hidden="1" customWidth="1"/>
    <col min="16120" max="16384" width="9.140625" style="450"/>
  </cols>
  <sheetData>
    <row r="1" spans="1:10" s="56" customFormat="1" ht="15" customHeight="1" x14ac:dyDescent="0.2">
      <c r="A1" s="21" t="s">
        <v>61</v>
      </c>
      <c r="D1" s="180"/>
      <c r="E1" s="180"/>
    </row>
    <row r="2" spans="1:10" s="56" customFormat="1" ht="30" customHeight="1" x14ac:dyDescent="0.2">
      <c r="A2" s="649" t="s">
        <v>97</v>
      </c>
      <c r="B2" s="649"/>
      <c r="C2" s="649"/>
      <c r="D2" s="649"/>
      <c r="E2" s="649"/>
      <c r="F2" s="649"/>
      <c r="G2" s="649"/>
      <c r="H2" s="649"/>
      <c r="I2" s="649"/>
      <c r="J2" s="649"/>
    </row>
    <row r="3" spans="1:10" s="56" customFormat="1" ht="15.75" thickBot="1" x14ac:dyDescent="0.25">
      <c r="A3" s="57"/>
      <c r="B3" s="57"/>
      <c r="C3" s="707" t="s">
        <v>98</v>
      </c>
      <c r="D3" s="708"/>
      <c r="E3" s="708"/>
      <c r="F3" s="708"/>
      <c r="G3" s="708"/>
      <c r="H3" s="708"/>
      <c r="I3" s="708"/>
      <c r="J3" s="708"/>
    </row>
    <row r="4" spans="1:10" s="56" customFormat="1" ht="24" customHeight="1" x14ac:dyDescent="0.2">
      <c r="A4" s="709" t="s">
        <v>998</v>
      </c>
      <c r="B4" s="711" t="s">
        <v>999</v>
      </c>
      <c r="C4" s="713" t="s">
        <v>99</v>
      </c>
      <c r="D4" s="711" t="s">
        <v>337</v>
      </c>
      <c r="E4" s="713" t="s">
        <v>1013</v>
      </c>
      <c r="F4" s="715"/>
      <c r="G4" s="716" t="s">
        <v>100</v>
      </c>
      <c r="H4" s="716"/>
      <c r="I4" s="716"/>
      <c r="J4" s="717"/>
    </row>
    <row r="5" spans="1:10" s="56" customFormat="1" ht="24" customHeight="1" thickBot="1" x14ac:dyDescent="0.25">
      <c r="A5" s="710"/>
      <c r="B5" s="712"/>
      <c r="C5" s="714"/>
      <c r="D5" s="712"/>
      <c r="E5" s="604" t="s">
        <v>1000</v>
      </c>
      <c r="F5" s="604" t="s">
        <v>1001</v>
      </c>
      <c r="G5" s="356" t="s">
        <v>539</v>
      </c>
      <c r="H5" s="356" t="s">
        <v>540</v>
      </c>
      <c r="I5" s="616" t="s">
        <v>1002</v>
      </c>
      <c r="J5" s="357" t="s">
        <v>629</v>
      </c>
    </row>
    <row r="6" spans="1:10" s="448" customFormat="1" ht="18" customHeight="1" x14ac:dyDescent="0.2">
      <c r="A6" s="698" t="s">
        <v>146</v>
      </c>
      <c r="B6" s="700"/>
      <c r="C6" s="700"/>
      <c r="D6" s="700"/>
      <c r="E6" s="700"/>
      <c r="F6" s="700"/>
      <c r="G6" s="700"/>
      <c r="H6" s="700"/>
      <c r="I6" s="700"/>
      <c r="J6" s="701"/>
    </row>
    <row r="7" spans="1:10" s="448" customFormat="1" ht="15" customHeight="1" x14ac:dyDescent="0.2">
      <c r="A7" s="333" t="s">
        <v>342</v>
      </c>
      <c r="B7" s="142">
        <v>3255</v>
      </c>
      <c r="C7" s="134">
        <v>59185</v>
      </c>
      <c r="D7" s="358">
        <v>9.9999999999999978E-2</v>
      </c>
      <c r="E7" s="623">
        <v>2016</v>
      </c>
      <c r="F7" s="623">
        <v>2019</v>
      </c>
      <c r="G7" s="128">
        <v>1600</v>
      </c>
      <c r="H7" s="128">
        <v>0</v>
      </c>
      <c r="I7" s="618">
        <v>0</v>
      </c>
      <c r="J7" s="129">
        <v>0</v>
      </c>
    </row>
    <row r="8" spans="1:10" s="448" customFormat="1" ht="15" customHeight="1" x14ac:dyDescent="0.2">
      <c r="A8" s="333" t="s">
        <v>1003</v>
      </c>
      <c r="B8" s="142">
        <v>3558</v>
      </c>
      <c r="C8" s="134">
        <v>9990</v>
      </c>
      <c r="D8" s="358">
        <v>0.15</v>
      </c>
      <c r="E8" s="623">
        <v>2022</v>
      </c>
      <c r="F8" s="623">
        <v>2026</v>
      </c>
      <c r="G8" s="128">
        <v>0</v>
      </c>
      <c r="H8" s="128">
        <v>0</v>
      </c>
      <c r="I8" s="618">
        <v>0</v>
      </c>
      <c r="J8" s="129">
        <v>14663</v>
      </c>
    </row>
    <row r="9" spans="1:10" s="448" customFormat="1" ht="15" customHeight="1" x14ac:dyDescent="0.2">
      <c r="A9" s="333" t="s">
        <v>850</v>
      </c>
      <c r="B9" s="142">
        <v>3535</v>
      </c>
      <c r="C9" s="134">
        <v>30000</v>
      </c>
      <c r="D9" s="358">
        <v>0.15</v>
      </c>
      <c r="E9" s="623">
        <v>2021</v>
      </c>
      <c r="F9" s="623">
        <v>2027</v>
      </c>
      <c r="G9" s="128">
        <v>0</v>
      </c>
      <c r="H9" s="128">
        <v>0</v>
      </c>
      <c r="I9" s="618">
        <v>0</v>
      </c>
      <c r="J9" s="129">
        <v>600</v>
      </c>
    </row>
    <row r="10" spans="1:10" s="448" customFormat="1" ht="24" customHeight="1" x14ac:dyDescent="0.2">
      <c r="A10" s="333" t="s">
        <v>853</v>
      </c>
      <c r="B10" s="142">
        <v>3526</v>
      </c>
      <c r="C10" s="134">
        <v>9990</v>
      </c>
      <c r="D10" s="358">
        <v>0.15</v>
      </c>
      <c r="E10" s="623">
        <v>2022</v>
      </c>
      <c r="F10" s="623">
        <v>2025</v>
      </c>
      <c r="G10" s="128">
        <v>0</v>
      </c>
      <c r="H10" s="128">
        <v>0</v>
      </c>
      <c r="I10" s="618">
        <v>1023</v>
      </c>
      <c r="J10" s="129">
        <v>4093</v>
      </c>
    </row>
    <row r="11" spans="1:10" s="448" customFormat="1" ht="21.75" thickBot="1" x14ac:dyDescent="0.25">
      <c r="A11" s="333" t="s">
        <v>343</v>
      </c>
      <c r="B11" s="142">
        <v>3303</v>
      </c>
      <c r="C11" s="134">
        <v>10693</v>
      </c>
      <c r="D11" s="358">
        <v>9.9999999999999978E-2</v>
      </c>
      <c r="E11" s="623">
        <v>2016</v>
      </c>
      <c r="F11" s="623">
        <v>2019</v>
      </c>
      <c r="G11" s="128">
        <v>1438</v>
      </c>
      <c r="H11" s="128">
        <v>0</v>
      </c>
      <c r="I11" s="618">
        <v>0</v>
      </c>
      <c r="J11" s="129">
        <v>0</v>
      </c>
    </row>
    <row r="12" spans="1:10" s="448" customFormat="1" ht="25.5" customHeight="1" thickBot="1" x14ac:dyDescent="0.25">
      <c r="A12" s="63" t="s">
        <v>147</v>
      </c>
      <c r="B12" s="130"/>
      <c r="C12" s="127" t="s">
        <v>6</v>
      </c>
      <c r="D12" s="127" t="s">
        <v>6</v>
      </c>
      <c r="E12" s="619" t="s">
        <v>6</v>
      </c>
      <c r="F12" s="619" t="s">
        <v>6</v>
      </c>
      <c r="G12" s="61">
        <f t="shared" ref="G12:J12" si="0">SUM(G7:G11)</f>
        <v>3038</v>
      </c>
      <c r="H12" s="61">
        <f t="shared" si="0"/>
        <v>0</v>
      </c>
      <c r="I12" s="61">
        <f t="shared" si="0"/>
        <v>1023</v>
      </c>
      <c r="J12" s="181">
        <f t="shared" si="0"/>
        <v>19356</v>
      </c>
    </row>
    <row r="13" spans="1:10" s="448" customFormat="1" ht="18" customHeight="1" x14ac:dyDescent="0.2">
      <c r="A13" s="698" t="s">
        <v>541</v>
      </c>
      <c r="B13" s="700"/>
      <c r="C13" s="700"/>
      <c r="D13" s="700"/>
      <c r="E13" s="700"/>
      <c r="F13" s="700"/>
      <c r="G13" s="700"/>
      <c r="H13" s="700"/>
      <c r="I13" s="700"/>
      <c r="J13" s="701"/>
    </row>
    <row r="14" spans="1:10" s="448" customFormat="1" ht="15.75" customHeight="1" thickBot="1" x14ac:dyDescent="0.25">
      <c r="A14" s="333" t="s">
        <v>341</v>
      </c>
      <c r="B14" s="142">
        <v>3392</v>
      </c>
      <c r="C14" s="134">
        <v>70556</v>
      </c>
      <c r="D14" s="358">
        <v>9.9999999999999978E-2</v>
      </c>
      <c r="E14" s="623">
        <v>2018</v>
      </c>
      <c r="F14" s="623">
        <v>2022</v>
      </c>
      <c r="G14" s="128">
        <v>6786</v>
      </c>
      <c r="H14" s="128">
        <v>6786</v>
      </c>
      <c r="I14" s="618">
        <v>6786</v>
      </c>
      <c r="J14" s="129">
        <v>6786</v>
      </c>
    </row>
    <row r="15" spans="1:10" s="59" customFormat="1" ht="15.75" customHeight="1" thickBot="1" x14ac:dyDescent="0.25">
      <c r="A15" s="63" t="s">
        <v>449</v>
      </c>
      <c r="B15" s="130"/>
      <c r="C15" s="127" t="s">
        <v>6</v>
      </c>
      <c r="D15" s="127" t="s">
        <v>6</v>
      </c>
      <c r="E15" s="619" t="s">
        <v>6</v>
      </c>
      <c r="F15" s="619" t="s">
        <v>6</v>
      </c>
      <c r="G15" s="61">
        <f t="shared" ref="G15:J15" si="1">SUM(G14)</f>
        <v>6786</v>
      </c>
      <c r="H15" s="61">
        <f t="shared" si="1"/>
        <v>6786</v>
      </c>
      <c r="I15" s="61">
        <f t="shared" si="1"/>
        <v>6786</v>
      </c>
      <c r="J15" s="181">
        <f t="shared" si="1"/>
        <v>6786</v>
      </c>
    </row>
    <row r="16" spans="1:10" s="59" customFormat="1" ht="18" customHeight="1" x14ac:dyDescent="0.2">
      <c r="A16" s="698" t="s">
        <v>423</v>
      </c>
      <c r="B16" s="700"/>
      <c r="C16" s="700"/>
      <c r="D16" s="700"/>
      <c r="E16" s="700"/>
      <c r="F16" s="700"/>
      <c r="G16" s="700"/>
      <c r="H16" s="700"/>
      <c r="I16" s="700"/>
      <c r="J16" s="701"/>
    </row>
    <row r="17" spans="1:10" s="59" customFormat="1" ht="15.75" customHeight="1" thickBot="1" x14ac:dyDescent="0.25">
      <c r="A17" s="333" t="s">
        <v>638</v>
      </c>
      <c r="B17" s="142">
        <v>3556</v>
      </c>
      <c r="C17" s="134">
        <v>503000</v>
      </c>
      <c r="D17" s="358">
        <v>0.15</v>
      </c>
      <c r="E17" s="623">
        <v>2022</v>
      </c>
      <c r="F17" s="623">
        <v>2027</v>
      </c>
      <c r="G17" s="128">
        <v>0</v>
      </c>
      <c r="H17" s="128">
        <v>0</v>
      </c>
      <c r="I17" s="618">
        <v>0</v>
      </c>
      <c r="J17" s="129">
        <v>90000</v>
      </c>
    </row>
    <row r="18" spans="1:10" s="59" customFormat="1" ht="15.75" customHeight="1" thickBot="1" x14ac:dyDescent="0.25">
      <c r="A18" s="63" t="s">
        <v>437</v>
      </c>
      <c r="B18" s="130"/>
      <c r="C18" s="127" t="s">
        <v>6</v>
      </c>
      <c r="D18" s="127" t="s">
        <v>6</v>
      </c>
      <c r="E18" s="619" t="s">
        <v>6</v>
      </c>
      <c r="F18" s="619" t="s">
        <v>6</v>
      </c>
      <c r="G18" s="61">
        <f t="shared" ref="G18:J18" si="2">SUM(G17)</f>
        <v>0</v>
      </c>
      <c r="H18" s="61">
        <f t="shared" si="2"/>
        <v>0</v>
      </c>
      <c r="I18" s="61">
        <f t="shared" si="2"/>
        <v>0</v>
      </c>
      <c r="J18" s="181">
        <f t="shared" si="2"/>
        <v>90000</v>
      </c>
    </row>
    <row r="19" spans="1:10" s="59" customFormat="1" ht="18" customHeight="1" x14ac:dyDescent="0.2">
      <c r="A19" s="698" t="s">
        <v>103</v>
      </c>
      <c r="B19" s="700"/>
      <c r="C19" s="700"/>
      <c r="D19" s="700"/>
      <c r="E19" s="700"/>
      <c r="F19" s="700"/>
      <c r="G19" s="700"/>
      <c r="H19" s="700"/>
      <c r="I19" s="700"/>
      <c r="J19" s="701"/>
    </row>
    <row r="20" spans="1:10" s="59" customFormat="1" ht="15" customHeight="1" x14ac:dyDescent="0.2">
      <c r="A20" s="333" t="s">
        <v>271</v>
      </c>
      <c r="B20" s="142">
        <v>3247</v>
      </c>
      <c r="C20" s="134">
        <v>30121</v>
      </c>
      <c r="D20" s="358">
        <v>9.9999999999999978E-2</v>
      </c>
      <c r="E20" s="617">
        <v>2019</v>
      </c>
      <c r="F20" s="623">
        <v>2021</v>
      </c>
      <c r="G20" s="128">
        <v>400</v>
      </c>
      <c r="H20" s="128">
        <v>400</v>
      </c>
      <c r="I20" s="618">
        <v>400</v>
      </c>
      <c r="J20" s="129">
        <v>0</v>
      </c>
    </row>
    <row r="21" spans="1:10" s="448" customFormat="1" ht="15" customHeight="1" x14ac:dyDescent="0.2">
      <c r="A21" s="333" t="s">
        <v>237</v>
      </c>
      <c r="B21" s="133">
        <v>3250</v>
      </c>
      <c r="C21" s="134">
        <v>41568</v>
      </c>
      <c r="D21" s="358">
        <v>9.9999999999999978E-2</v>
      </c>
      <c r="E21" s="623">
        <v>2016</v>
      </c>
      <c r="F21" s="623">
        <v>2021</v>
      </c>
      <c r="G21" s="128">
        <v>620</v>
      </c>
      <c r="H21" s="128">
        <v>620</v>
      </c>
      <c r="I21" s="618">
        <v>620</v>
      </c>
      <c r="J21" s="129">
        <v>0</v>
      </c>
    </row>
    <row r="22" spans="1:10" s="448" customFormat="1" ht="15" customHeight="1" x14ac:dyDescent="0.2">
      <c r="A22" s="333" t="s">
        <v>1009</v>
      </c>
      <c r="B22" s="133">
        <v>3253</v>
      </c>
      <c r="C22" s="134">
        <v>34842</v>
      </c>
      <c r="D22" s="358">
        <v>9.9999999999999978E-2</v>
      </c>
      <c r="E22" s="623">
        <v>2016</v>
      </c>
      <c r="F22" s="623">
        <v>2020</v>
      </c>
      <c r="G22" s="128">
        <v>400</v>
      </c>
      <c r="H22" s="128">
        <v>400</v>
      </c>
      <c r="I22" s="618">
        <v>0</v>
      </c>
      <c r="J22" s="129">
        <v>0</v>
      </c>
    </row>
    <row r="23" spans="1:10" s="448" customFormat="1" ht="15" customHeight="1" x14ac:dyDescent="0.2">
      <c r="A23" s="333" t="s">
        <v>344</v>
      </c>
      <c r="B23" s="142">
        <v>3267</v>
      </c>
      <c r="C23" s="134">
        <v>51148</v>
      </c>
      <c r="D23" s="358">
        <v>9.9999999999999978E-2</v>
      </c>
      <c r="E23" s="623">
        <v>2016</v>
      </c>
      <c r="F23" s="623">
        <v>2019</v>
      </c>
      <c r="G23" s="128">
        <v>360</v>
      </c>
      <c r="H23" s="128">
        <v>0</v>
      </c>
      <c r="I23" s="618">
        <v>0</v>
      </c>
      <c r="J23" s="129">
        <v>0</v>
      </c>
    </row>
    <row r="24" spans="1:10" s="448" customFormat="1" ht="15" customHeight="1" x14ac:dyDescent="0.2">
      <c r="A24" s="333" t="s">
        <v>105</v>
      </c>
      <c r="B24" s="142">
        <v>3304</v>
      </c>
      <c r="C24" s="134">
        <v>112804</v>
      </c>
      <c r="D24" s="358">
        <v>9.9999999999999978E-2</v>
      </c>
      <c r="E24" s="623">
        <v>2015</v>
      </c>
      <c r="F24" s="623">
        <v>2020</v>
      </c>
      <c r="G24" s="128">
        <v>3800</v>
      </c>
      <c r="H24" s="128">
        <v>3800</v>
      </c>
      <c r="I24" s="618">
        <v>0</v>
      </c>
      <c r="J24" s="129">
        <v>0</v>
      </c>
    </row>
    <row r="25" spans="1:10" s="448" customFormat="1" ht="15" customHeight="1" x14ac:dyDescent="0.2">
      <c r="A25" s="333" t="s">
        <v>104</v>
      </c>
      <c r="B25" s="142">
        <v>3305</v>
      </c>
      <c r="C25" s="134">
        <v>171136</v>
      </c>
      <c r="D25" s="358">
        <v>9.9999999999999978E-2</v>
      </c>
      <c r="E25" s="623">
        <v>2016</v>
      </c>
      <c r="F25" s="623">
        <v>2021</v>
      </c>
      <c r="G25" s="128">
        <v>7434</v>
      </c>
      <c r="H25" s="128">
        <v>7434</v>
      </c>
      <c r="I25" s="618">
        <v>7434</v>
      </c>
      <c r="J25" s="129">
        <v>0</v>
      </c>
    </row>
    <row r="26" spans="1:10" s="448" customFormat="1" ht="15" customHeight="1" x14ac:dyDescent="0.2">
      <c r="A26" s="333" t="s">
        <v>106</v>
      </c>
      <c r="B26" s="142">
        <v>3233</v>
      </c>
      <c r="C26" s="134">
        <v>25574</v>
      </c>
      <c r="D26" s="358">
        <v>9.9999999999999978E-2</v>
      </c>
      <c r="E26" s="623">
        <v>2016</v>
      </c>
      <c r="F26" s="623">
        <v>2021</v>
      </c>
      <c r="G26" s="128">
        <v>1650</v>
      </c>
      <c r="H26" s="128">
        <v>1650</v>
      </c>
      <c r="I26" s="618">
        <v>1650</v>
      </c>
      <c r="J26" s="129">
        <v>0</v>
      </c>
    </row>
    <row r="27" spans="1:10" s="448" customFormat="1" ht="15.75" customHeight="1" x14ac:dyDescent="0.2">
      <c r="A27" s="333" t="s">
        <v>148</v>
      </c>
      <c r="B27" s="142">
        <v>3234</v>
      </c>
      <c r="C27" s="134">
        <v>55696</v>
      </c>
      <c r="D27" s="358">
        <v>9.9999999999999978E-2</v>
      </c>
      <c r="E27" s="623">
        <v>2018</v>
      </c>
      <c r="F27" s="623">
        <v>2022</v>
      </c>
      <c r="G27" s="128">
        <v>1940</v>
      </c>
      <c r="H27" s="128">
        <v>1940</v>
      </c>
      <c r="I27" s="618">
        <v>1940</v>
      </c>
      <c r="J27" s="129">
        <v>1940</v>
      </c>
    </row>
    <row r="28" spans="1:10" s="448" customFormat="1" ht="15" customHeight="1" x14ac:dyDescent="0.2">
      <c r="A28" s="333" t="s">
        <v>1004</v>
      </c>
      <c r="B28" s="142">
        <v>3505</v>
      </c>
      <c r="C28" s="134">
        <v>2600000</v>
      </c>
      <c r="D28" s="358">
        <v>0.15</v>
      </c>
      <c r="E28" s="623">
        <v>2022</v>
      </c>
      <c r="F28" s="623">
        <v>2027</v>
      </c>
      <c r="G28" s="128">
        <v>0</v>
      </c>
      <c r="H28" s="128">
        <v>0</v>
      </c>
      <c r="I28" s="618">
        <v>0</v>
      </c>
      <c r="J28" s="129">
        <v>1112000</v>
      </c>
    </row>
    <row r="29" spans="1:10" s="448" customFormat="1" ht="15" customHeight="1" x14ac:dyDescent="0.2">
      <c r="A29" s="333" t="s">
        <v>653</v>
      </c>
      <c r="B29" s="142">
        <v>3514</v>
      </c>
      <c r="C29" s="134">
        <v>130</v>
      </c>
      <c r="D29" s="358">
        <v>0.15</v>
      </c>
      <c r="E29" s="623">
        <v>2022</v>
      </c>
      <c r="F29" s="623">
        <v>2027</v>
      </c>
      <c r="G29" s="128">
        <v>0</v>
      </c>
      <c r="H29" s="128">
        <v>0</v>
      </c>
      <c r="I29" s="618">
        <v>0</v>
      </c>
      <c r="J29" s="129">
        <v>1500</v>
      </c>
    </row>
    <row r="30" spans="1:10" s="448" customFormat="1" ht="15" customHeight="1" x14ac:dyDescent="0.2">
      <c r="A30" s="333" t="s">
        <v>646</v>
      </c>
      <c r="B30" s="142">
        <v>3555</v>
      </c>
      <c r="C30" s="134">
        <v>250000</v>
      </c>
      <c r="D30" s="358">
        <v>0.15</v>
      </c>
      <c r="E30" s="623">
        <v>2022</v>
      </c>
      <c r="F30" s="623">
        <v>2027</v>
      </c>
      <c r="G30" s="128">
        <v>0</v>
      </c>
      <c r="H30" s="128">
        <v>0</v>
      </c>
      <c r="I30" s="618">
        <v>0</v>
      </c>
      <c r="J30" s="129">
        <v>11000</v>
      </c>
    </row>
    <row r="31" spans="1:10" s="448" customFormat="1" ht="15" customHeight="1" x14ac:dyDescent="0.2">
      <c r="A31" s="333" t="s">
        <v>648</v>
      </c>
      <c r="B31" s="142">
        <v>3549</v>
      </c>
      <c r="C31" s="134">
        <v>5500</v>
      </c>
      <c r="D31" s="359">
        <v>0.15</v>
      </c>
      <c r="E31" s="623">
        <v>2022</v>
      </c>
      <c r="F31" s="623">
        <v>2025</v>
      </c>
      <c r="G31" s="128">
        <v>0</v>
      </c>
      <c r="H31" s="128">
        <v>0</v>
      </c>
      <c r="I31" s="618">
        <v>0</v>
      </c>
      <c r="J31" s="129">
        <v>1500</v>
      </c>
    </row>
    <row r="32" spans="1:10" s="448" customFormat="1" ht="15" customHeight="1" x14ac:dyDescent="0.2">
      <c r="A32" s="333" t="s">
        <v>642</v>
      </c>
      <c r="B32" s="142">
        <v>3550</v>
      </c>
      <c r="C32" s="134">
        <v>30500</v>
      </c>
      <c r="D32" s="358">
        <v>0.15</v>
      </c>
      <c r="E32" s="623">
        <v>2023</v>
      </c>
      <c r="F32" s="623">
        <v>2025</v>
      </c>
      <c r="G32" s="128">
        <v>0</v>
      </c>
      <c r="H32" s="128">
        <v>0</v>
      </c>
      <c r="I32" s="618">
        <v>0</v>
      </c>
      <c r="J32" s="129">
        <v>3000</v>
      </c>
    </row>
    <row r="33" spans="1:10" s="448" customFormat="1" ht="15" customHeight="1" x14ac:dyDescent="0.2">
      <c r="A33" s="333" t="s">
        <v>644</v>
      </c>
      <c r="B33" s="142">
        <v>3523</v>
      </c>
      <c r="C33" s="134">
        <v>179967</v>
      </c>
      <c r="D33" s="358">
        <v>0.25</v>
      </c>
      <c r="E33" s="623">
        <v>2023</v>
      </c>
      <c r="F33" s="623">
        <v>2026</v>
      </c>
      <c r="G33" s="128">
        <v>0</v>
      </c>
      <c r="H33" s="128">
        <v>0</v>
      </c>
      <c r="I33" s="618">
        <v>0</v>
      </c>
      <c r="J33" s="129">
        <v>35000</v>
      </c>
    </row>
    <row r="34" spans="1:10" s="59" customFormat="1" ht="15.75" customHeight="1" thickBot="1" x14ac:dyDescent="0.25">
      <c r="A34" s="333" t="s">
        <v>1005</v>
      </c>
      <c r="B34" s="142">
        <v>3524</v>
      </c>
      <c r="C34" s="134">
        <v>137000</v>
      </c>
      <c r="D34" s="358">
        <v>0.25</v>
      </c>
      <c r="E34" s="623">
        <v>2023</v>
      </c>
      <c r="F34" s="623">
        <v>2026</v>
      </c>
      <c r="G34" s="128">
        <v>0</v>
      </c>
      <c r="H34" s="128">
        <v>0</v>
      </c>
      <c r="I34" s="618">
        <v>0</v>
      </c>
      <c r="J34" s="129">
        <v>35000</v>
      </c>
    </row>
    <row r="35" spans="1:10" s="59" customFormat="1" ht="15.75" customHeight="1" thickBot="1" x14ac:dyDescent="0.25">
      <c r="A35" s="63" t="s">
        <v>107</v>
      </c>
      <c r="B35" s="130"/>
      <c r="C35" s="127" t="s">
        <v>6</v>
      </c>
      <c r="D35" s="127" t="s">
        <v>6</v>
      </c>
      <c r="E35" s="619" t="s">
        <v>6</v>
      </c>
      <c r="F35" s="619" t="s">
        <v>6</v>
      </c>
      <c r="G35" s="61">
        <f t="shared" ref="G35:J35" si="3">SUM(G20:G34)</f>
        <v>16604</v>
      </c>
      <c r="H35" s="61">
        <f t="shared" si="3"/>
        <v>16244</v>
      </c>
      <c r="I35" s="61">
        <f t="shared" si="3"/>
        <v>12044</v>
      </c>
      <c r="J35" s="181">
        <f t="shared" si="3"/>
        <v>1200940</v>
      </c>
    </row>
    <row r="36" spans="1:10" s="59" customFormat="1" ht="18" customHeight="1" x14ac:dyDescent="0.2">
      <c r="A36" s="698" t="s">
        <v>108</v>
      </c>
      <c r="B36" s="700"/>
      <c r="C36" s="700"/>
      <c r="D36" s="700"/>
      <c r="E36" s="700"/>
      <c r="F36" s="700"/>
      <c r="G36" s="700"/>
      <c r="H36" s="700"/>
      <c r="I36" s="700"/>
      <c r="J36" s="701"/>
    </row>
    <row r="37" spans="1:10" s="59" customFormat="1" ht="15.75" customHeight="1" thickBot="1" x14ac:dyDescent="0.25">
      <c r="A37" s="333" t="s">
        <v>345</v>
      </c>
      <c r="B37" s="620">
        <v>3277</v>
      </c>
      <c r="C37" s="134">
        <v>3733</v>
      </c>
      <c r="D37" s="358">
        <v>9.9999999999999978E-2</v>
      </c>
      <c r="E37" s="623">
        <v>2016</v>
      </c>
      <c r="F37" s="623">
        <v>2019</v>
      </c>
      <c r="G37" s="128">
        <v>60</v>
      </c>
      <c r="H37" s="128">
        <v>0</v>
      </c>
      <c r="I37" s="618">
        <v>0</v>
      </c>
      <c r="J37" s="129">
        <v>0</v>
      </c>
    </row>
    <row r="38" spans="1:10" s="59" customFormat="1" ht="15.75" customHeight="1" thickBot="1" x14ac:dyDescent="0.25">
      <c r="A38" s="63" t="s">
        <v>109</v>
      </c>
      <c r="B38" s="130"/>
      <c r="C38" s="127" t="s">
        <v>6</v>
      </c>
      <c r="D38" s="127" t="s">
        <v>6</v>
      </c>
      <c r="E38" s="619" t="s">
        <v>6</v>
      </c>
      <c r="F38" s="619" t="s">
        <v>6</v>
      </c>
      <c r="G38" s="61">
        <f t="shared" ref="G38:J38" si="4">SUM(G37)</f>
        <v>60</v>
      </c>
      <c r="H38" s="61">
        <f t="shared" si="4"/>
        <v>0</v>
      </c>
      <c r="I38" s="61">
        <f t="shared" si="4"/>
        <v>0</v>
      </c>
      <c r="J38" s="181">
        <f t="shared" si="4"/>
        <v>0</v>
      </c>
    </row>
    <row r="39" spans="1:10" s="59" customFormat="1" ht="18" customHeight="1" x14ac:dyDescent="0.2">
      <c r="A39" s="698" t="s">
        <v>110</v>
      </c>
      <c r="B39" s="700"/>
      <c r="C39" s="700"/>
      <c r="D39" s="700"/>
      <c r="E39" s="700"/>
      <c r="F39" s="700"/>
      <c r="G39" s="700"/>
      <c r="H39" s="700"/>
      <c r="I39" s="700"/>
      <c r="J39" s="701"/>
    </row>
    <row r="40" spans="1:10" s="59" customFormat="1" ht="15.75" customHeight="1" thickBot="1" x14ac:dyDescent="0.25">
      <c r="A40" s="333" t="s">
        <v>655</v>
      </c>
      <c r="B40" s="142">
        <v>3562</v>
      </c>
      <c r="C40" s="134">
        <v>76000</v>
      </c>
      <c r="D40" s="358">
        <v>0.15</v>
      </c>
      <c r="E40" s="623">
        <v>2023</v>
      </c>
      <c r="F40" s="623">
        <v>2026</v>
      </c>
      <c r="G40" s="128">
        <v>0</v>
      </c>
      <c r="H40" s="128">
        <v>0</v>
      </c>
      <c r="I40" s="618">
        <v>0</v>
      </c>
      <c r="J40" s="129">
        <v>500</v>
      </c>
    </row>
    <row r="41" spans="1:10" s="59" customFormat="1" ht="15.75" customHeight="1" thickBot="1" x14ac:dyDescent="0.25">
      <c r="A41" s="63" t="s">
        <v>111</v>
      </c>
      <c r="B41" s="130"/>
      <c r="C41" s="127" t="s">
        <v>6</v>
      </c>
      <c r="D41" s="127" t="s">
        <v>6</v>
      </c>
      <c r="E41" s="619" t="s">
        <v>6</v>
      </c>
      <c r="F41" s="619" t="s">
        <v>6</v>
      </c>
      <c r="G41" s="61">
        <f t="shared" ref="G41:J41" si="5">SUM(G40)</f>
        <v>0</v>
      </c>
      <c r="H41" s="61">
        <f t="shared" si="5"/>
        <v>0</v>
      </c>
      <c r="I41" s="61">
        <f t="shared" si="5"/>
        <v>0</v>
      </c>
      <c r="J41" s="181">
        <f t="shared" si="5"/>
        <v>500</v>
      </c>
    </row>
    <row r="42" spans="1:10" s="59" customFormat="1" ht="18" customHeight="1" x14ac:dyDescent="0.2">
      <c r="A42" s="698" t="s">
        <v>112</v>
      </c>
      <c r="B42" s="700"/>
      <c r="C42" s="700"/>
      <c r="D42" s="700"/>
      <c r="E42" s="700"/>
      <c r="F42" s="700"/>
      <c r="G42" s="700"/>
      <c r="H42" s="700"/>
      <c r="I42" s="700"/>
      <c r="J42" s="701"/>
    </row>
    <row r="43" spans="1:10" s="59" customFormat="1" ht="15" customHeight="1" x14ac:dyDescent="0.2">
      <c r="A43" s="333" t="s">
        <v>347</v>
      </c>
      <c r="B43" s="133">
        <v>3213</v>
      </c>
      <c r="C43" s="134">
        <v>11157</v>
      </c>
      <c r="D43" s="358">
        <v>5.0000000000000044E-2</v>
      </c>
      <c r="E43" s="623">
        <v>2016</v>
      </c>
      <c r="F43" s="623">
        <v>2019</v>
      </c>
      <c r="G43" s="128">
        <v>400</v>
      </c>
      <c r="H43" s="128">
        <v>0</v>
      </c>
      <c r="I43" s="618">
        <v>0</v>
      </c>
      <c r="J43" s="129">
        <v>0</v>
      </c>
    </row>
    <row r="44" spans="1:10" s="59" customFormat="1" ht="15" customHeight="1" x14ac:dyDescent="0.2">
      <c r="A44" s="333" t="s">
        <v>348</v>
      </c>
      <c r="B44" s="142">
        <v>3335</v>
      </c>
      <c r="C44" s="134">
        <v>9913</v>
      </c>
      <c r="D44" s="358">
        <v>9.9999999999999978E-2</v>
      </c>
      <c r="E44" s="623">
        <v>2017</v>
      </c>
      <c r="F44" s="623">
        <v>2019</v>
      </c>
      <c r="G44" s="128">
        <v>464</v>
      </c>
      <c r="H44" s="128">
        <v>0</v>
      </c>
      <c r="I44" s="618">
        <v>0</v>
      </c>
      <c r="J44" s="129">
        <v>0</v>
      </c>
    </row>
    <row r="45" spans="1:10" s="59" customFormat="1" ht="15" customHeight="1" x14ac:dyDescent="0.2">
      <c r="A45" s="333" t="s">
        <v>114</v>
      </c>
      <c r="B45" s="133">
        <v>3210</v>
      </c>
      <c r="C45" s="134">
        <v>55000</v>
      </c>
      <c r="D45" s="358">
        <v>9.9999999999999978E-2</v>
      </c>
      <c r="E45" s="623">
        <v>2016</v>
      </c>
      <c r="F45" s="623">
        <v>2022</v>
      </c>
      <c r="G45" s="128">
        <v>3079.5</v>
      </c>
      <c r="H45" s="128">
        <v>3080</v>
      </c>
      <c r="I45" s="618">
        <v>3080</v>
      </c>
      <c r="J45" s="129">
        <v>3080</v>
      </c>
    </row>
    <row r="46" spans="1:10" s="59" customFormat="1" ht="15" customHeight="1" x14ac:dyDescent="0.2">
      <c r="A46" s="333" t="s">
        <v>115</v>
      </c>
      <c r="B46" s="133">
        <v>3211</v>
      </c>
      <c r="C46" s="134">
        <v>26470</v>
      </c>
      <c r="D46" s="358">
        <v>9.9999999999999978E-2</v>
      </c>
      <c r="E46" s="623">
        <v>2016</v>
      </c>
      <c r="F46" s="623">
        <v>2022</v>
      </c>
      <c r="G46" s="128">
        <v>3183.64</v>
      </c>
      <c r="H46" s="128">
        <v>3184</v>
      </c>
      <c r="I46" s="618">
        <v>3184</v>
      </c>
      <c r="J46" s="129">
        <v>3184</v>
      </c>
    </row>
    <row r="47" spans="1:10" s="59" customFormat="1" ht="15" customHeight="1" x14ac:dyDescent="0.2">
      <c r="A47" s="333" t="s">
        <v>116</v>
      </c>
      <c r="B47" s="133">
        <v>3209</v>
      </c>
      <c r="C47" s="134">
        <v>44710</v>
      </c>
      <c r="D47" s="358">
        <v>9.9999999999999978E-2</v>
      </c>
      <c r="E47" s="623">
        <v>2016</v>
      </c>
      <c r="F47" s="623">
        <v>2022</v>
      </c>
      <c r="G47" s="128">
        <v>732</v>
      </c>
      <c r="H47" s="128">
        <v>732</v>
      </c>
      <c r="I47" s="618">
        <v>732</v>
      </c>
      <c r="J47" s="129">
        <v>732</v>
      </c>
    </row>
    <row r="48" spans="1:10" s="59" customFormat="1" ht="15" customHeight="1" x14ac:dyDescent="0.2">
      <c r="A48" s="333" t="s">
        <v>657</v>
      </c>
      <c r="B48" s="142">
        <v>3512</v>
      </c>
      <c r="C48" s="134">
        <v>30000</v>
      </c>
      <c r="D48" s="358">
        <v>0</v>
      </c>
      <c r="E48" s="623">
        <v>2022</v>
      </c>
      <c r="F48" s="623">
        <v>2024</v>
      </c>
      <c r="G48" s="128">
        <v>0</v>
      </c>
      <c r="H48" s="128">
        <v>6600</v>
      </c>
      <c r="I48" s="618">
        <v>6600</v>
      </c>
      <c r="J48" s="129">
        <f>59400-6600</f>
        <v>52800</v>
      </c>
    </row>
    <row r="49" spans="1:10" s="59" customFormat="1" ht="15" customHeight="1" x14ac:dyDescent="0.2">
      <c r="A49" s="333" t="s">
        <v>117</v>
      </c>
      <c r="B49" s="142">
        <v>3371</v>
      </c>
      <c r="C49" s="134">
        <v>50000</v>
      </c>
      <c r="D49" s="358">
        <v>9.9999999999999978E-2</v>
      </c>
      <c r="E49" s="623">
        <v>2017</v>
      </c>
      <c r="F49" s="623">
        <v>2023</v>
      </c>
      <c r="G49" s="128">
        <v>403.8</v>
      </c>
      <c r="H49" s="128">
        <v>404</v>
      </c>
      <c r="I49" s="618">
        <v>404</v>
      </c>
      <c r="J49" s="129">
        <v>808</v>
      </c>
    </row>
    <row r="50" spans="1:10" s="59" customFormat="1" ht="15" customHeight="1" x14ac:dyDescent="0.2">
      <c r="A50" s="333" t="s">
        <v>113</v>
      </c>
      <c r="B50" s="142">
        <v>3372</v>
      </c>
      <c r="C50" s="134">
        <v>39000</v>
      </c>
      <c r="D50" s="358">
        <v>9.9999999999999978E-2</v>
      </c>
      <c r="E50" s="623">
        <v>2017</v>
      </c>
      <c r="F50" s="623">
        <v>2023</v>
      </c>
      <c r="G50" s="128">
        <v>1416</v>
      </c>
      <c r="H50" s="128">
        <v>1416</v>
      </c>
      <c r="I50" s="618">
        <v>1416</v>
      </c>
      <c r="J50" s="129">
        <f>1416+1416</f>
        <v>2832</v>
      </c>
    </row>
    <row r="51" spans="1:10" s="59" customFormat="1" ht="15.75" customHeight="1" thickBot="1" x14ac:dyDescent="0.25">
      <c r="A51" s="333" t="s">
        <v>1006</v>
      </c>
      <c r="B51" s="142">
        <v>3552</v>
      </c>
      <c r="C51" s="134">
        <v>12000</v>
      </c>
      <c r="D51" s="358">
        <v>0.5</v>
      </c>
      <c r="E51" s="623">
        <v>2022</v>
      </c>
      <c r="F51" s="623">
        <v>2023</v>
      </c>
      <c r="G51" s="128">
        <v>1200</v>
      </c>
      <c r="H51" s="128">
        <v>1200</v>
      </c>
      <c r="I51" s="618">
        <v>1200</v>
      </c>
      <c r="J51" s="129">
        <f>1200+1200+1200</f>
        <v>3600</v>
      </c>
    </row>
    <row r="52" spans="1:10" s="59" customFormat="1" ht="15.75" customHeight="1" thickBot="1" x14ac:dyDescent="0.25">
      <c r="A52" s="63" t="s">
        <v>118</v>
      </c>
      <c r="B52" s="130"/>
      <c r="C52" s="127" t="s">
        <v>6</v>
      </c>
      <c r="D52" s="127" t="s">
        <v>6</v>
      </c>
      <c r="E52" s="619" t="s">
        <v>6</v>
      </c>
      <c r="F52" s="619" t="s">
        <v>6</v>
      </c>
      <c r="G52" s="61">
        <f t="shared" ref="G52:J52" si="6">SUM(G43:G51)</f>
        <v>10878.939999999999</v>
      </c>
      <c r="H52" s="61">
        <f t="shared" si="6"/>
        <v>16616</v>
      </c>
      <c r="I52" s="61">
        <f t="shared" si="6"/>
        <v>16616</v>
      </c>
      <c r="J52" s="181">
        <f t="shared" si="6"/>
        <v>67036</v>
      </c>
    </row>
    <row r="53" spans="1:10" s="59" customFormat="1" ht="18" customHeight="1" x14ac:dyDescent="0.2">
      <c r="A53" s="698" t="s">
        <v>119</v>
      </c>
      <c r="B53" s="700"/>
      <c r="C53" s="700"/>
      <c r="D53" s="700"/>
      <c r="E53" s="700"/>
      <c r="F53" s="700"/>
      <c r="G53" s="700"/>
      <c r="H53" s="700"/>
      <c r="I53" s="700"/>
      <c r="J53" s="701"/>
    </row>
    <row r="54" spans="1:10" s="59" customFormat="1" ht="15" customHeight="1" x14ac:dyDescent="0.2">
      <c r="A54" s="333" t="s">
        <v>349</v>
      </c>
      <c r="B54" s="133">
        <v>3224</v>
      </c>
      <c r="C54" s="134">
        <v>20084</v>
      </c>
      <c r="D54" s="358">
        <v>9.9999999999999978E-2</v>
      </c>
      <c r="E54" s="623">
        <v>2016</v>
      </c>
      <c r="F54" s="623">
        <v>2019</v>
      </c>
      <c r="G54" s="128">
        <v>1388</v>
      </c>
      <c r="H54" s="128">
        <v>0</v>
      </c>
      <c r="I54" s="618">
        <v>0</v>
      </c>
      <c r="J54" s="129">
        <v>0</v>
      </c>
    </row>
    <row r="55" spans="1:10" s="59" customFormat="1" ht="15" customHeight="1" x14ac:dyDescent="0.2">
      <c r="A55" s="333" t="s">
        <v>350</v>
      </c>
      <c r="B55" s="133">
        <v>3223</v>
      </c>
      <c r="C55" s="134">
        <v>7797</v>
      </c>
      <c r="D55" s="358">
        <v>9.9999999999999978E-2</v>
      </c>
      <c r="E55" s="623">
        <v>2017</v>
      </c>
      <c r="F55" s="623">
        <v>2018</v>
      </c>
      <c r="G55" s="128">
        <v>0</v>
      </c>
      <c r="H55" s="128">
        <v>0</v>
      </c>
      <c r="I55" s="618">
        <v>0</v>
      </c>
      <c r="J55" s="129">
        <v>0</v>
      </c>
    </row>
    <row r="56" spans="1:10" s="59" customFormat="1" ht="15" customHeight="1" x14ac:dyDescent="0.2">
      <c r="A56" s="333" t="s">
        <v>272</v>
      </c>
      <c r="B56" s="142">
        <v>3437</v>
      </c>
      <c r="C56" s="134">
        <v>2900</v>
      </c>
      <c r="D56" s="358">
        <v>9.9999999999999978E-2</v>
      </c>
      <c r="E56" s="623">
        <v>2019</v>
      </c>
      <c r="F56" s="623">
        <v>2022</v>
      </c>
      <c r="G56" s="128">
        <v>44</v>
      </c>
      <c r="H56" s="128">
        <v>44</v>
      </c>
      <c r="I56" s="618">
        <v>44</v>
      </c>
      <c r="J56" s="129">
        <v>44</v>
      </c>
    </row>
    <row r="57" spans="1:10" s="59" customFormat="1" ht="15" customHeight="1" x14ac:dyDescent="0.2">
      <c r="A57" s="333" t="s">
        <v>351</v>
      </c>
      <c r="B57" s="133">
        <v>3225</v>
      </c>
      <c r="C57" s="134">
        <v>5401</v>
      </c>
      <c r="D57" s="358">
        <v>9.9999999999999978E-2</v>
      </c>
      <c r="E57" s="623">
        <v>2016</v>
      </c>
      <c r="F57" s="623">
        <v>2020</v>
      </c>
      <c r="G57" s="128">
        <v>174</v>
      </c>
      <c r="H57" s="128">
        <v>174</v>
      </c>
      <c r="I57" s="618">
        <v>0</v>
      </c>
      <c r="J57" s="129">
        <v>0</v>
      </c>
    </row>
    <row r="58" spans="1:10" s="59" customFormat="1" ht="15" customHeight="1" x14ac:dyDescent="0.2">
      <c r="A58" s="333" t="s">
        <v>352</v>
      </c>
      <c r="B58" s="142">
        <v>3316</v>
      </c>
      <c r="C58" s="134">
        <v>10943</v>
      </c>
      <c r="D58" s="358">
        <v>9.9999999999999978E-2</v>
      </c>
      <c r="E58" s="623">
        <v>2016</v>
      </c>
      <c r="F58" s="623">
        <v>2019</v>
      </c>
      <c r="G58" s="128">
        <v>174</v>
      </c>
      <c r="H58" s="128">
        <v>0</v>
      </c>
      <c r="I58" s="618">
        <v>0</v>
      </c>
      <c r="J58" s="129">
        <v>0</v>
      </c>
    </row>
    <row r="59" spans="1:10" s="59" customFormat="1" ht="15" customHeight="1" x14ac:dyDescent="0.2">
      <c r="A59" s="333" t="s">
        <v>353</v>
      </c>
      <c r="B59" s="133">
        <v>3222</v>
      </c>
      <c r="C59" s="134">
        <v>15839</v>
      </c>
      <c r="D59" s="358">
        <v>9.9999999999999978E-2</v>
      </c>
      <c r="E59" s="623">
        <v>2016</v>
      </c>
      <c r="F59" s="623">
        <v>2019</v>
      </c>
      <c r="G59" s="128">
        <v>1898</v>
      </c>
      <c r="H59" s="128">
        <v>0</v>
      </c>
      <c r="I59" s="618">
        <v>0</v>
      </c>
      <c r="J59" s="129">
        <v>0</v>
      </c>
    </row>
    <row r="60" spans="1:10" s="59" customFormat="1" ht="15" customHeight="1" x14ac:dyDescent="0.2">
      <c r="A60" s="333" t="s">
        <v>354</v>
      </c>
      <c r="B60" s="142">
        <v>3464</v>
      </c>
      <c r="C60" s="134">
        <v>454086</v>
      </c>
      <c r="D60" s="358">
        <v>5.0000000000000044E-2</v>
      </c>
      <c r="E60" s="623">
        <v>2021</v>
      </c>
      <c r="F60" s="623">
        <v>2023</v>
      </c>
      <c r="G60" s="128">
        <v>1667</v>
      </c>
      <c r="H60" s="128">
        <v>1667</v>
      </c>
      <c r="I60" s="618">
        <v>1667</v>
      </c>
      <c r="J60" s="129">
        <v>3334</v>
      </c>
    </row>
    <row r="61" spans="1:10" s="59" customFormat="1" ht="15" customHeight="1" x14ac:dyDescent="0.2">
      <c r="A61" s="333" t="s">
        <v>355</v>
      </c>
      <c r="B61" s="133">
        <v>3221</v>
      </c>
      <c r="C61" s="134">
        <v>23475</v>
      </c>
      <c r="D61" s="359">
        <v>9.9999999999999978E-2</v>
      </c>
      <c r="E61" s="623">
        <v>2016</v>
      </c>
      <c r="F61" s="623">
        <v>2018</v>
      </c>
      <c r="G61" s="128">
        <v>0</v>
      </c>
      <c r="H61" s="128">
        <v>0</v>
      </c>
      <c r="I61" s="618">
        <v>0</v>
      </c>
      <c r="J61" s="129">
        <v>0</v>
      </c>
    </row>
    <row r="62" spans="1:10" s="59" customFormat="1" ht="15" customHeight="1" x14ac:dyDescent="0.2">
      <c r="A62" s="333" t="s">
        <v>239</v>
      </c>
      <c r="B62" s="142">
        <v>3423</v>
      </c>
      <c r="C62" s="134">
        <v>8000</v>
      </c>
      <c r="D62" s="358">
        <v>9.9999999999999978E-2</v>
      </c>
      <c r="E62" s="623">
        <v>2019</v>
      </c>
      <c r="F62" s="623">
        <v>2022</v>
      </c>
      <c r="G62" s="128">
        <v>240</v>
      </c>
      <c r="H62" s="128">
        <v>240</v>
      </c>
      <c r="I62" s="618">
        <v>240</v>
      </c>
      <c r="J62" s="129">
        <v>240</v>
      </c>
    </row>
    <row r="63" spans="1:10" s="59" customFormat="1" ht="15" customHeight="1" x14ac:dyDescent="0.2">
      <c r="A63" s="333" t="s">
        <v>240</v>
      </c>
      <c r="B63" s="142">
        <v>3285</v>
      </c>
      <c r="C63" s="134">
        <v>34000</v>
      </c>
      <c r="D63" s="359">
        <v>9.9999999999999978E-2</v>
      </c>
      <c r="E63" s="623">
        <v>2019</v>
      </c>
      <c r="F63" s="623">
        <v>2022</v>
      </c>
      <c r="G63" s="128">
        <v>1640</v>
      </c>
      <c r="H63" s="128">
        <v>1640</v>
      </c>
      <c r="I63" s="618">
        <v>1640</v>
      </c>
      <c r="J63" s="129">
        <v>1640</v>
      </c>
    </row>
    <row r="64" spans="1:10" s="59" customFormat="1" ht="15" customHeight="1" x14ac:dyDescent="0.2">
      <c r="A64" s="333" t="s">
        <v>241</v>
      </c>
      <c r="B64" s="142">
        <v>3413</v>
      </c>
      <c r="C64" s="134">
        <v>8629</v>
      </c>
      <c r="D64" s="358">
        <v>9.9999999999999978E-2</v>
      </c>
      <c r="E64" s="623">
        <v>2019</v>
      </c>
      <c r="F64" s="623">
        <v>2021</v>
      </c>
      <c r="G64" s="128">
        <v>340</v>
      </c>
      <c r="H64" s="128">
        <v>340</v>
      </c>
      <c r="I64" s="618">
        <v>340</v>
      </c>
      <c r="J64" s="129">
        <v>0</v>
      </c>
    </row>
    <row r="65" spans="1:10" s="59" customFormat="1" ht="15" customHeight="1" x14ac:dyDescent="0.2">
      <c r="A65" s="333" t="s">
        <v>356</v>
      </c>
      <c r="B65" s="142">
        <v>3414</v>
      </c>
      <c r="C65" s="134">
        <v>9074</v>
      </c>
      <c r="D65" s="358">
        <v>9.9999999999999978E-2</v>
      </c>
      <c r="E65" s="623">
        <v>2019</v>
      </c>
      <c r="F65" s="623">
        <v>2021</v>
      </c>
      <c r="G65" s="128">
        <v>500</v>
      </c>
      <c r="H65" s="128">
        <v>500</v>
      </c>
      <c r="I65" s="618">
        <v>500</v>
      </c>
      <c r="J65" s="129">
        <v>0</v>
      </c>
    </row>
    <row r="66" spans="1:10" s="59" customFormat="1" ht="15" customHeight="1" x14ac:dyDescent="0.2">
      <c r="A66" s="333" t="s">
        <v>357</v>
      </c>
      <c r="B66" s="142">
        <v>3387</v>
      </c>
      <c r="C66" s="134">
        <v>24941</v>
      </c>
      <c r="D66" s="358">
        <v>9.9999999999999978E-2</v>
      </c>
      <c r="E66" s="623">
        <v>2017</v>
      </c>
      <c r="F66" s="623">
        <v>2018</v>
      </c>
      <c r="G66" s="128">
        <v>0</v>
      </c>
      <c r="H66" s="128">
        <v>0</v>
      </c>
      <c r="I66" s="618">
        <v>0</v>
      </c>
      <c r="J66" s="129">
        <v>0</v>
      </c>
    </row>
    <row r="67" spans="1:10" s="59" customFormat="1" ht="15" customHeight="1" x14ac:dyDescent="0.2">
      <c r="A67" s="333" t="s">
        <v>358</v>
      </c>
      <c r="B67" s="142">
        <v>3287</v>
      </c>
      <c r="C67" s="134">
        <v>29965</v>
      </c>
      <c r="D67" s="358">
        <v>9.9999999999999978E-2</v>
      </c>
      <c r="E67" s="623">
        <v>2017</v>
      </c>
      <c r="F67" s="623">
        <v>2019</v>
      </c>
      <c r="G67" s="128">
        <v>762</v>
      </c>
      <c r="H67" s="128">
        <v>0</v>
      </c>
      <c r="I67" s="618">
        <v>0</v>
      </c>
      <c r="J67" s="129">
        <v>0</v>
      </c>
    </row>
    <row r="68" spans="1:10" s="59" customFormat="1" ht="15" customHeight="1" x14ac:dyDescent="0.2">
      <c r="A68" s="333" t="s">
        <v>359</v>
      </c>
      <c r="B68" s="142">
        <v>3386</v>
      </c>
      <c r="C68" s="134">
        <v>15967</v>
      </c>
      <c r="D68" s="358">
        <v>9.9999999999999978E-2</v>
      </c>
      <c r="E68" s="623">
        <v>2017</v>
      </c>
      <c r="F68" s="623">
        <v>2018</v>
      </c>
      <c r="G68" s="128">
        <v>0</v>
      </c>
      <c r="H68" s="128">
        <v>0</v>
      </c>
      <c r="I68" s="618">
        <v>0</v>
      </c>
      <c r="J68" s="129">
        <v>0</v>
      </c>
    </row>
    <row r="69" spans="1:10" s="59" customFormat="1" ht="15" customHeight="1" x14ac:dyDescent="0.2">
      <c r="A69" s="333" t="s">
        <v>360</v>
      </c>
      <c r="B69" s="142">
        <v>3289</v>
      </c>
      <c r="C69" s="134">
        <v>13261</v>
      </c>
      <c r="D69" s="358">
        <v>9.9999999999999978E-2</v>
      </c>
      <c r="E69" s="623">
        <v>2017</v>
      </c>
      <c r="F69" s="623">
        <v>2018</v>
      </c>
      <c r="G69" s="128">
        <v>0</v>
      </c>
      <c r="H69" s="128">
        <v>0</v>
      </c>
      <c r="I69" s="618">
        <v>0</v>
      </c>
      <c r="J69" s="129">
        <v>0</v>
      </c>
    </row>
    <row r="70" spans="1:10" s="59" customFormat="1" ht="24.75" customHeight="1" x14ac:dyDescent="0.2">
      <c r="A70" s="333" t="s">
        <v>361</v>
      </c>
      <c r="B70" s="133">
        <v>3220</v>
      </c>
      <c r="C70" s="134">
        <v>50651</v>
      </c>
      <c r="D70" s="358">
        <v>9.9999999999999978E-2</v>
      </c>
      <c r="E70" s="623">
        <v>2016</v>
      </c>
      <c r="F70" s="623">
        <v>2019</v>
      </c>
      <c r="G70" s="128">
        <v>755</v>
      </c>
      <c r="H70" s="128">
        <v>0</v>
      </c>
      <c r="I70" s="618">
        <v>0</v>
      </c>
      <c r="J70" s="129">
        <v>0</v>
      </c>
    </row>
    <row r="71" spans="1:10" s="59" customFormat="1" ht="24" customHeight="1" x14ac:dyDescent="0.2">
      <c r="A71" s="333" t="s">
        <v>1007</v>
      </c>
      <c r="B71" s="142">
        <v>3219</v>
      </c>
      <c r="C71" s="134">
        <v>1612</v>
      </c>
      <c r="D71" s="358">
        <v>0.1</v>
      </c>
      <c r="E71" s="623">
        <v>2016</v>
      </c>
      <c r="F71" s="623">
        <v>2019</v>
      </c>
      <c r="G71" s="128">
        <v>620</v>
      </c>
      <c r="H71" s="128"/>
      <c r="I71" s="618"/>
      <c r="J71" s="129"/>
    </row>
    <row r="72" spans="1:10" s="59" customFormat="1" ht="15.75" customHeight="1" thickBot="1" x14ac:dyDescent="0.25">
      <c r="A72" s="333" t="s">
        <v>1008</v>
      </c>
      <c r="B72" s="142">
        <v>3502</v>
      </c>
      <c r="C72" s="134">
        <v>1220000</v>
      </c>
      <c r="D72" s="358">
        <v>0.15</v>
      </c>
      <c r="E72" s="623">
        <v>2022</v>
      </c>
      <c r="F72" s="623">
        <v>2027</v>
      </c>
      <c r="G72" s="128">
        <v>0</v>
      </c>
      <c r="H72" s="128">
        <v>0</v>
      </c>
      <c r="I72" s="618">
        <v>0</v>
      </c>
      <c r="J72" s="129">
        <v>1090550</v>
      </c>
    </row>
    <row r="73" spans="1:10" s="59" customFormat="1" ht="15.75" customHeight="1" thickBot="1" x14ac:dyDescent="0.25">
      <c r="A73" s="63" t="s">
        <v>120</v>
      </c>
      <c r="B73" s="130"/>
      <c r="C73" s="127" t="s">
        <v>6</v>
      </c>
      <c r="D73" s="127" t="s">
        <v>6</v>
      </c>
      <c r="E73" s="619" t="s">
        <v>6</v>
      </c>
      <c r="F73" s="619" t="s">
        <v>6</v>
      </c>
      <c r="G73" s="61">
        <f t="shared" ref="G73:J73" si="7">SUM(G54:G72)</f>
        <v>10202</v>
      </c>
      <c r="H73" s="61">
        <f t="shared" si="7"/>
        <v>4605</v>
      </c>
      <c r="I73" s="61">
        <f t="shared" si="7"/>
        <v>4431</v>
      </c>
      <c r="J73" s="181">
        <f t="shared" si="7"/>
        <v>1095808</v>
      </c>
    </row>
    <row r="74" spans="1:10" s="59" customFormat="1" ht="18" customHeight="1" x14ac:dyDescent="0.2">
      <c r="A74" s="698" t="s">
        <v>331</v>
      </c>
      <c r="B74" s="700"/>
      <c r="C74" s="700"/>
      <c r="D74" s="700"/>
      <c r="E74" s="700"/>
      <c r="F74" s="700"/>
      <c r="G74" s="700"/>
      <c r="H74" s="700"/>
      <c r="I74" s="700"/>
      <c r="J74" s="701"/>
    </row>
    <row r="75" spans="1:10" s="59" customFormat="1" ht="15.75" customHeight="1" thickBot="1" x14ac:dyDescent="0.25">
      <c r="A75" s="333" t="s">
        <v>369</v>
      </c>
      <c r="B75" s="142">
        <v>3468</v>
      </c>
      <c r="C75" s="134">
        <v>236095</v>
      </c>
      <c r="D75" s="358">
        <v>0.15000000000000002</v>
      </c>
      <c r="E75" s="623">
        <v>2022</v>
      </c>
      <c r="F75" s="623">
        <v>2023</v>
      </c>
      <c r="G75" s="128">
        <v>7626.2</v>
      </c>
      <c r="H75" s="128">
        <v>7626</v>
      </c>
      <c r="I75" s="618">
        <v>7626</v>
      </c>
      <c r="J75" s="129">
        <v>15252</v>
      </c>
    </row>
    <row r="76" spans="1:10" s="59" customFormat="1" ht="15.75" customHeight="1" thickBot="1" x14ac:dyDescent="0.25">
      <c r="A76" s="63" t="s">
        <v>434</v>
      </c>
      <c r="B76" s="130"/>
      <c r="C76" s="127" t="s">
        <v>6</v>
      </c>
      <c r="D76" s="127" t="s">
        <v>6</v>
      </c>
      <c r="E76" s="619" t="s">
        <v>6</v>
      </c>
      <c r="F76" s="619" t="s">
        <v>6</v>
      </c>
      <c r="G76" s="61">
        <f t="shared" ref="G76:J76" si="8">SUM(G75)</f>
        <v>7626.2</v>
      </c>
      <c r="H76" s="61">
        <f t="shared" si="8"/>
        <v>7626</v>
      </c>
      <c r="I76" s="61">
        <f t="shared" si="8"/>
        <v>7626</v>
      </c>
      <c r="J76" s="181">
        <f t="shared" si="8"/>
        <v>15252</v>
      </c>
    </row>
    <row r="77" spans="1:10" s="59" customFormat="1" ht="18" customHeight="1" x14ac:dyDescent="0.2">
      <c r="A77" s="698" t="s">
        <v>121</v>
      </c>
      <c r="B77" s="700"/>
      <c r="C77" s="700"/>
      <c r="D77" s="700"/>
      <c r="E77" s="700"/>
      <c r="F77" s="700"/>
      <c r="G77" s="700"/>
      <c r="H77" s="700"/>
      <c r="I77" s="700"/>
      <c r="J77" s="701"/>
    </row>
    <row r="78" spans="1:10" s="59" customFormat="1" ht="15" customHeight="1" x14ac:dyDescent="0.2">
      <c r="A78" s="333" t="s">
        <v>363</v>
      </c>
      <c r="B78" s="142">
        <v>3391</v>
      </c>
      <c r="C78" s="134">
        <v>1185</v>
      </c>
      <c r="D78" s="358">
        <v>9.9999999999999978E-2</v>
      </c>
      <c r="E78" s="623">
        <v>2018</v>
      </c>
      <c r="F78" s="623">
        <v>2018</v>
      </c>
      <c r="G78" s="128">
        <v>0</v>
      </c>
      <c r="H78" s="128">
        <v>0</v>
      </c>
      <c r="I78" s="618">
        <v>0</v>
      </c>
      <c r="J78" s="129">
        <v>0</v>
      </c>
    </row>
    <row r="79" spans="1:10" s="59" customFormat="1" ht="24" customHeight="1" x14ac:dyDescent="0.2">
      <c r="A79" s="333" t="s">
        <v>364</v>
      </c>
      <c r="B79" s="142">
        <v>3330</v>
      </c>
      <c r="C79" s="134">
        <v>19100</v>
      </c>
      <c r="D79" s="358">
        <v>9.9999999999999978E-2</v>
      </c>
      <c r="E79" s="623">
        <v>2016</v>
      </c>
      <c r="F79" s="623">
        <v>2018</v>
      </c>
      <c r="G79" s="128">
        <v>0</v>
      </c>
      <c r="H79" s="128">
        <v>0</v>
      </c>
      <c r="I79" s="618">
        <v>0</v>
      </c>
      <c r="J79" s="129">
        <v>0</v>
      </c>
    </row>
    <row r="80" spans="1:10" s="59" customFormat="1" ht="24" customHeight="1" x14ac:dyDescent="0.2">
      <c r="A80" s="333" t="s">
        <v>365</v>
      </c>
      <c r="B80" s="133">
        <v>3240</v>
      </c>
      <c r="C80" s="134">
        <v>94334</v>
      </c>
      <c r="D80" s="358">
        <v>9.9999999999999978E-2</v>
      </c>
      <c r="E80" s="623">
        <v>2016</v>
      </c>
      <c r="F80" s="623">
        <v>2019</v>
      </c>
      <c r="G80" s="128">
        <v>1000</v>
      </c>
      <c r="H80" s="128">
        <v>0</v>
      </c>
      <c r="I80" s="618">
        <v>0</v>
      </c>
      <c r="J80" s="129">
        <v>0</v>
      </c>
    </row>
    <row r="81" spans="1:10" s="59" customFormat="1" ht="15.75" customHeight="1" thickBot="1" x14ac:dyDescent="0.25">
      <c r="A81" s="333" t="s">
        <v>219</v>
      </c>
      <c r="B81" s="142">
        <v>3292</v>
      </c>
      <c r="C81" s="134">
        <v>140000</v>
      </c>
      <c r="D81" s="358">
        <v>0.15000000000000002</v>
      </c>
      <c r="E81" s="623">
        <v>2018</v>
      </c>
      <c r="F81" s="623">
        <v>2026</v>
      </c>
      <c r="G81" s="128">
        <v>0</v>
      </c>
      <c r="H81" s="128">
        <v>0</v>
      </c>
      <c r="I81" s="618">
        <v>3127</v>
      </c>
      <c r="J81" s="129">
        <f>9381+3127</f>
        <v>12508</v>
      </c>
    </row>
    <row r="82" spans="1:10" s="59" customFormat="1" ht="15.75" customHeight="1" thickBot="1" x14ac:dyDescent="0.25">
      <c r="A82" s="63" t="s">
        <v>122</v>
      </c>
      <c r="B82" s="130"/>
      <c r="C82" s="127" t="s">
        <v>6</v>
      </c>
      <c r="D82" s="127" t="s">
        <v>6</v>
      </c>
      <c r="E82" s="619" t="s">
        <v>6</v>
      </c>
      <c r="F82" s="619" t="s">
        <v>6</v>
      </c>
      <c r="G82" s="61">
        <f t="shared" ref="G82:J82" si="9">SUM(G78:G81)</f>
        <v>1000</v>
      </c>
      <c r="H82" s="61">
        <f t="shared" si="9"/>
        <v>0</v>
      </c>
      <c r="I82" s="61">
        <f t="shared" si="9"/>
        <v>3127</v>
      </c>
      <c r="J82" s="181">
        <f t="shared" si="9"/>
        <v>12508</v>
      </c>
    </row>
    <row r="83" spans="1:10" s="59" customFormat="1" ht="18" customHeight="1" x14ac:dyDescent="0.2">
      <c r="A83" s="698" t="s">
        <v>149</v>
      </c>
      <c r="B83" s="700"/>
      <c r="C83" s="700"/>
      <c r="D83" s="700"/>
      <c r="E83" s="700"/>
      <c r="F83" s="700"/>
      <c r="G83" s="700"/>
      <c r="H83" s="700"/>
      <c r="I83" s="700"/>
      <c r="J83" s="701"/>
    </row>
    <row r="84" spans="1:10" s="59" customFormat="1" ht="15" customHeight="1" x14ac:dyDescent="0.2">
      <c r="A84" s="333" t="s">
        <v>366</v>
      </c>
      <c r="B84" s="142">
        <v>3293</v>
      </c>
      <c r="C84" s="134">
        <v>1205</v>
      </c>
      <c r="D84" s="358">
        <v>0.15000000000000002</v>
      </c>
      <c r="E84" s="623">
        <v>2016</v>
      </c>
      <c r="F84" s="623">
        <v>2019</v>
      </c>
      <c r="G84" s="128">
        <v>50</v>
      </c>
      <c r="H84" s="128">
        <v>0</v>
      </c>
      <c r="I84" s="618">
        <v>0</v>
      </c>
      <c r="J84" s="129">
        <v>0</v>
      </c>
    </row>
    <row r="85" spans="1:10" s="59" customFormat="1" ht="15" customHeight="1" x14ac:dyDescent="0.2">
      <c r="A85" s="333" t="s">
        <v>126</v>
      </c>
      <c r="B85" s="142">
        <v>3301</v>
      </c>
      <c r="C85" s="134">
        <v>858</v>
      </c>
      <c r="D85" s="358">
        <v>9.9999999999999978E-2</v>
      </c>
      <c r="E85" s="623">
        <v>2018</v>
      </c>
      <c r="F85" s="623">
        <v>2020</v>
      </c>
      <c r="G85" s="128">
        <v>20</v>
      </c>
      <c r="H85" s="128">
        <v>20</v>
      </c>
      <c r="I85" s="618">
        <v>0</v>
      </c>
      <c r="J85" s="129">
        <v>0</v>
      </c>
    </row>
    <row r="86" spans="1:10" s="59" customFormat="1" ht="15" customHeight="1" x14ac:dyDescent="0.2">
      <c r="A86" s="333" t="s">
        <v>242</v>
      </c>
      <c r="B86" s="142">
        <v>3334</v>
      </c>
      <c r="C86" s="134">
        <v>40710</v>
      </c>
      <c r="D86" s="358">
        <v>0</v>
      </c>
      <c r="E86" s="623">
        <v>2017</v>
      </c>
      <c r="F86" s="623">
        <v>2023</v>
      </c>
      <c r="G86" s="128">
        <v>300</v>
      </c>
      <c r="H86" s="128">
        <v>300</v>
      </c>
      <c r="I86" s="618">
        <v>300</v>
      </c>
      <c r="J86" s="129">
        <v>2100</v>
      </c>
    </row>
    <row r="87" spans="1:10" s="59" customFormat="1" ht="15" customHeight="1" x14ac:dyDescent="0.2">
      <c r="A87" s="333" t="s">
        <v>243</v>
      </c>
      <c r="B87" s="142">
        <v>3244</v>
      </c>
      <c r="C87" s="134">
        <v>3244</v>
      </c>
      <c r="D87" s="358">
        <v>0</v>
      </c>
      <c r="E87" s="623">
        <v>2018</v>
      </c>
      <c r="F87" s="623">
        <v>2021</v>
      </c>
      <c r="G87" s="128">
        <v>30</v>
      </c>
      <c r="H87" s="128">
        <v>30</v>
      </c>
      <c r="I87" s="618">
        <v>30</v>
      </c>
      <c r="J87" s="129">
        <v>180</v>
      </c>
    </row>
    <row r="88" spans="1:10" s="59" customFormat="1" ht="15" customHeight="1" x14ac:dyDescent="0.2">
      <c r="A88" s="333" t="s">
        <v>124</v>
      </c>
      <c r="B88" s="142">
        <v>3294</v>
      </c>
      <c r="C88" s="134">
        <v>1160</v>
      </c>
      <c r="D88" s="358">
        <v>0</v>
      </c>
      <c r="E88" s="623">
        <v>2019</v>
      </c>
      <c r="F88" s="623">
        <v>2023</v>
      </c>
      <c r="G88" s="128">
        <v>84</v>
      </c>
      <c r="H88" s="128">
        <v>84</v>
      </c>
      <c r="I88" s="618">
        <v>84</v>
      </c>
      <c r="J88" s="129">
        <v>588</v>
      </c>
    </row>
    <row r="89" spans="1:10" s="59" customFormat="1" ht="15" customHeight="1" x14ac:dyDescent="0.2">
      <c r="A89" s="333" t="s">
        <v>125</v>
      </c>
      <c r="B89" s="142">
        <v>3377</v>
      </c>
      <c r="C89" s="134">
        <v>7439</v>
      </c>
      <c r="D89" s="359">
        <v>0</v>
      </c>
      <c r="E89" s="623">
        <v>2016</v>
      </c>
      <c r="F89" s="623">
        <v>2023</v>
      </c>
      <c r="G89" s="128">
        <v>292</v>
      </c>
      <c r="H89" s="128">
        <v>292</v>
      </c>
      <c r="I89" s="618">
        <v>292</v>
      </c>
      <c r="J89" s="129">
        <v>2044</v>
      </c>
    </row>
    <row r="90" spans="1:10" s="59" customFormat="1" ht="15.75" customHeight="1" thickBot="1" x14ac:dyDescent="0.25">
      <c r="A90" s="333" t="s">
        <v>123</v>
      </c>
      <c r="B90" s="142">
        <v>3378</v>
      </c>
      <c r="C90" s="134">
        <v>1030</v>
      </c>
      <c r="D90" s="358">
        <v>0</v>
      </c>
      <c r="E90" s="623">
        <v>2017</v>
      </c>
      <c r="F90" s="623">
        <v>2020</v>
      </c>
      <c r="G90" s="128">
        <v>100</v>
      </c>
      <c r="H90" s="128">
        <v>100</v>
      </c>
      <c r="I90" s="618">
        <v>100</v>
      </c>
      <c r="J90" s="129">
        <v>700</v>
      </c>
    </row>
    <row r="91" spans="1:10" s="59" customFormat="1" ht="15.75" customHeight="1" thickBot="1" x14ac:dyDescent="0.25">
      <c r="A91" s="63" t="s">
        <v>127</v>
      </c>
      <c r="B91" s="130"/>
      <c r="C91" s="127" t="s">
        <v>6</v>
      </c>
      <c r="D91" s="182" t="s">
        <v>6</v>
      </c>
      <c r="E91" s="619" t="s">
        <v>6</v>
      </c>
      <c r="F91" s="619" t="s">
        <v>6</v>
      </c>
      <c r="G91" s="61">
        <f t="shared" ref="G91:J91" si="10">SUM(G84:G90)</f>
        <v>876</v>
      </c>
      <c r="H91" s="61">
        <f t="shared" si="10"/>
        <v>826</v>
      </c>
      <c r="I91" s="61">
        <f t="shared" si="10"/>
        <v>806</v>
      </c>
      <c r="J91" s="181">
        <f t="shared" si="10"/>
        <v>5612</v>
      </c>
    </row>
    <row r="92" spans="1:10" s="59" customFormat="1" ht="9" customHeight="1" thickBot="1" x14ac:dyDescent="0.25">
      <c r="A92" s="718"/>
      <c r="B92" s="719"/>
      <c r="C92" s="719"/>
      <c r="D92" s="719"/>
      <c r="E92" s="719"/>
      <c r="F92" s="719"/>
      <c r="G92" s="719"/>
      <c r="H92" s="719"/>
      <c r="I92" s="719"/>
      <c r="J92" s="720"/>
    </row>
    <row r="93" spans="1:10" s="59" customFormat="1" ht="18" customHeight="1" thickBot="1" x14ac:dyDescent="0.25">
      <c r="A93" s="63" t="s">
        <v>128</v>
      </c>
      <c r="B93" s="130"/>
      <c r="C93" s="127" t="s">
        <v>6</v>
      </c>
      <c r="D93" s="182" t="s">
        <v>6</v>
      </c>
      <c r="E93" s="619" t="s">
        <v>6</v>
      </c>
      <c r="F93" s="619" t="s">
        <v>6</v>
      </c>
      <c r="G93" s="61">
        <f t="shared" ref="G93:J93" si="11">G91+G82+G76+G73+G52+G41+G38+G35+G18+G15+G12</f>
        <v>57071.14</v>
      </c>
      <c r="H93" s="61">
        <f t="shared" si="11"/>
        <v>52703</v>
      </c>
      <c r="I93" s="61">
        <f t="shared" si="11"/>
        <v>52459</v>
      </c>
      <c r="J93" s="181">
        <f t="shared" si="11"/>
        <v>2513798</v>
      </c>
    </row>
    <row r="94" spans="1:10" s="56" customFormat="1" x14ac:dyDescent="0.2">
      <c r="D94" s="180"/>
      <c r="E94" s="180"/>
      <c r="F94" s="360"/>
    </row>
    <row r="95" spans="1:10" s="56" customFormat="1" x14ac:dyDescent="0.2">
      <c r="D95" s="180"/>
      <c r="E95" s="180"/>
      <c r="F95" s="361"/>
    </row>
    <row r="96" spans="1:10" x14ac:dyDescent="0.2">
      <c r="F96" s="622"/>
    </row>
    <row r="98" spans="1:2" ht="14.25" x14ac:dyDescent="0.2">
      <c r="A98" s="449"/>
      <c r="B98" s="449"/>
    </row>
  </sheetData>
  <mergeCells count="20">
    <mergeCell ref="A42:J42"/>
    <mergeCell ref="A53:J53"/>
    <mergeCell ref="A74:J74"/>
    <mergeCell ref="A77:J77"/>
    <mergeCell ref="A92:J92"/>
    <mergeCell ref="A83:J83"/>
    <mergeCell ref="A2:J2"/>
    <mergeCell ref="C3:J3"/>
    <mergeCell ref="A4:A5"/>
    <mergeCell ref="B4:B5"/>
    <mergeCell ref="C4:C5"/>
    <mergeCell ref="D4:D5"/>
    <mergeCell ref="E4:F4"/>
    <mergeCell ref="G4:J4"/>
    <mergeCell ref="A39:J39"/>
    <mergeCell ref="A6:J6"/>
    <mergeCell ref="A13:J13"/>
    <mergeCell ref="A16:J16"/>
    <mergeCell ref="A19:J19"/>
    <mergeCell ref="A36:J36"/>
  </mergeCells>
  <dataValidations count="1">
    <dataValidation type="whole" operator="greaterThan" allowBlank="1" showInputMessage="1" showErrorMessage="1" sqref="C14 C7:C11 C37 C75 C78:C81 C84:C90 C40 C17 C54:C72 C43:C51" xr:uid="{BC6C85D6-0B2F-46EB-9E86-267ECE07FC23}">
      <formula1>0</formula1>
    </dataValidation>
  </dataValidations>
  <printOptions horizontalCentered="1"/>
  <pageMargins left="0.39370078740157483" right="0.39370078740157483" top="0.59055118110236227" bottom="0.39370078740157483" header="0.31496062992125984" footer="0.11811023622047245"/>
  <pageSetup paperSize="9" scale="97" firstPageNumber="36" fitToHeight="0" orientation="landscape" useFirstPageNumber="1" r:id="rId1"/>
  <headerFooter>
    <oddHeader>&amp;L&amp;"Tahoma,Kurzíva"&amp;9Střednědobý výhled rozpočtu Moravskoslezského kraje na léta 2024-2026&amp;R&amp;"Tahoma,Kurzíva"&amp;9Přehled výdajů na zajištění udržitelnosti akcí spolufinancovaných z evropských finančních zdrojů</oddHeader>
    <oddFooter>&amp;C&amp;"Tahoma,Obyčejné"&amp;P</oddFooter>
  </headerFooter>
  <rowBreaks count="3" manualBreakCount="3">
    <brk id="31" max="9" man="1"/>
    <brk id="61" max="9" man="1"/>
    <brk id="89"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45C3F-E755-436C-9D44-5C84209E5D66}">
  <sheetPr>
    <pageSetUpPr fitToPage="1"/>
  </sheetPr>
  <dimension ref="A1:T18"/>
  <sheetViews>
    <sheetView zoomScaleNormal="100" zoomScaleSheetLayoutView="100" workbookViewId="0">
      <selection activeCell="F20" sqref="F20"/>
    </sheetView>
  </sheetViews>
  <sheetFormatPr defaultColWidth="9.140625" defaultRowHeight="12.75" x14ac:dyDescent="0.2"/>
  <cols>
    <col min="1" max="1" width="7.7109375" style="43" customWidth="1"/>
    <col min="2" max="13" width="10" style="43" customWidth="1"/>
    <col min="14" max="16" width="11.7109375" style="43" customWidth="1"/>
    <col min="17" max="19" width="10" style="43" customWidth="1"/>
    <col min="20" max="16384" width="9.140625" style="43"/>
  </cols>
  <sheetData>
    <row r="1" spans="1:20" ht="15" customHeight="1" x14ac:dyDescent="0.2">
      <c r="A1" s="21" t="s">
        <v>62</v>
      </c>
    </row>
    <row r="2" spans="1:20" ht="34.5" customHeight="1" x14ac:dyDescent="0.2">
      <c r="A2" s="721" t="s">
        <v>482</v>
      </c>
      <c r="B2" s="722"/>
      <c r="C2" s="722"/>
      <c r="D2" s="722"/>
      <c r="E2" s="722"/>
      <c r="F2" s="722"/>
      <c r="G2" s="722"/>
      <c r="H2" s="722"/>
      <c r="I2" s="722"/>
      <c r="J2" s="722"/>
      <c r="K2" s="722"/>
      <c r="L2" s="722"/>
      <c r="M2" s="722"/>
      <c r="N2" s="722"/>
      <c r="O2" s="722"/>
      <c r="P2" s="722"/>
      <c r="Q2" s="722"/>
      <c r="R2" s="722"/>
      <c r="S2" s="722"/>
    </row>
    <row r="3" spans="1:20" ht="13.5" thickBot="1" x14ac:dyDescent="0.25">
      <c r="G3" s="44"/>
      <c r="J3" s="44"/>
      <c r="M3" s="44"/>
      <c r="P3" s="44"/>
      <c r="S3" s="45" t="s">
        <v>98</v>
      </c>
    </row>
    <row r="4" spans="1:20" ht="81.75" customHeight="1" x14ac:dyDescent="0.2">
      <c r="A4" s="355" t="s">
        <v>129</v>
      </c>
      <c r="B4" s="723" t="s">
        <v>338</v>
      </c>
      <c r="C4" s="724"/>
      <c r="D4" s="725"/>
      <c r="E4" s="726" t="s">
        <v>334</v>
      </c>
      <c r="F4" s="727"/>
      <c r="G4" s="728"/>
      <c r="H4" s="726" t="s">
        <v>339</v>
      </c>
      <c r="I4" s="727"/>
      <c r="J4" s="728"/>
      <c r="K4" s="726" t="s">
        <v>477</v>
      </c>
      <c r="L4" s="727"/>
      <c r="M4" s="728"/>
      <c r="N4" s="727" t="s">
        <v>478</v>
      </c>
      <c r="O4" s="727"/>
      <c r="P4" s="727"/>
      <c r="Q4" s="726" t="s">
        <v>130</v>
      </c>
      <c r="R4" s="729"/>
      <c r="S4" s="730"/>
    </row>
    <row r="5" spans="1:20" ht="51" x14ac:dyDescent="0.2">
      <c r="A5" s="46" t="s">
        <v>131</v>
      </c>
      <c r="B5" s="118" t="s">
        <v>132</v>
      </c>
      <c r="C5" s="116" t="s">
        <v>133</v>
      </c>
      <c r="D5" s="119" t="s">
        <v>134</v>
      </c>
      <c r="E5" s="118" t="s">
        <v>132</v>
      </c>
      <c r="F5" s="116" t="s">
        <v>133</v>
      </c>
      <c r="G5" s="119" t="s">
        <v>134</v>
      </c>
      <c r="H5" s="118" t="s">
        <v>132</v>
      </c>
      <c r="I5" s="116" t="s">
        <v>133</v>
      </c>
      <c r="J5" s="119" t="s">
        <v>134</v>
      </c>
      <c r="K5" s="118" t="s">
        <v>132</v>
      </c>
      <c r="L5" s="116" t="s">
        <v>133</v>
      </c>
      <c r="M5" s="119" t="s">
        <v>134</v>
      </c>
      <c r="N5" s="300" t="s">
        <v>132</v>
      </c>
      <c r="O5" s="116" t="s">
        <v>133</v>
      </c>
      <c r="P5" s="117" t="s">
        <v>134</v>
      </c>
      <c r="Q5" s="118" t="s">
        <v>135</v>
      </c>
      <c r="R5" s="116" t="s">
        <v>133</v>
      </c>
      <c r="S5" s="119" t="s">
        <v>134</v>
      </c>
    </row>
    <row r="6" spans="1:20" ht="16.5" customHeight="1" x14ac:dyDescent="0.2">
      <c r="A6" s="47">
        <v>2023</v>
      </c>
      <c r="B6" s="50">
        <v>153428.57145000002</v>
      </c>
      <c r="C6" s="48">
        <v>76714.285709999996</v>
      </c>
      <c r="D6" s="51">
        <v>1500</v>
      </c>
      <c r="E6" s="608">
        <v>497220</v>
      </c>
      <c r="F6" s="609">
        <v>1149017</v>
      </c>
      <c r="G6" s="51">
        <v>58500</v>
      </c>
      <c r="H6" s="50">
        <v>336580</v>
      </c>
      <c r="I6" s="48">
        <v>168280</v>
      </c>
      <c r="J6" s="51">
        <v>30000</v>
      </c>
      <c r="K6" s="608">
        <v>2863983.17</v>
      </c>
      <c r="L6" s="48">
        <v>0</v>
      </c>
      <c r="M6" s="51">
        <v>160000</v>
      </c>
      <c r="N6" s="610">
        <v>0</v>
      </c>
      <c r="O6" s="609">
        <v>0</v>
      </c>
      <c r="P6" s="611">
        <v>0</v>
      </c>
      <c r="Q6" s="50">
        <v>3851211.7414500001</v>
      </c>
      <c r="R6" s="48">
        <v>1394011.28571</v>
      </c>
      <c r="S6" s="51">
        <v>250000</v>
      </c>
    </row>
    <row r="7" spans="1:20" ht="16.5" customHeight="1" x14ac:dyDescent="0.2">
      <c r="A7" s="47">
        <v>2024</v>
      </c>
      <c r="B7" s="50">
        <f>B6-C7</f>
        <v>76714.285740000021</v>
      </c>
      <c r="C7" s="48">
        <v>76714.285709999996</v>
      </c>
      <c r="D7" s="51">
        <v>1000</v>
      </c>
      <c r="E7" s="608">
        <v>0</v>
      </c>
      <c r="F7" s="609">
        <v>497220</v>
      </c>
      <c r="G7" s="51">
        <v>30000</v>
      </c>
      <c r="H7" s="50">
        <f t="shared" ref="H7" si="0">H6-I7</f>
        <v>168300</v>
      </c>
      <c r="I7" s="48">
        <v>168280</v>
      </c>
      <c r="J7" s="51">
        <v>20000</v>
      </c>
      <c r="K7" s="50">
        <v>3000000</v>
      </c>
      <c r="L7" s="48">
        <v>0</v>
      </c>
      <c r="M7" s="51">
        <v>205000</v>
      </c>
      <c r="N7" s="610">
        <v>1940030</v>
      </c>
      <c r="O7" s="609">
        <v>356215</v>
      </c>
      <c r="P7" s="49">
        <v>50000</v>
      </c>
      <c r="Q7" s="50">
        <f>B7+E7+H7+K7+N7</f>
        <v>5185044.2857400002</v>
      </c>
      <c r="R7" s="48">
        <f t="shared" ref="Q7:S18" si="1">C7+F7+I7+L7+O7</f>
        <v>1098429.28571</v>
      </c>
      <c r="S7" s="51">
        <f t="shared" si="1"/>
        <v>306000</v>
      </c>
      <c r="T7" s="612"/>
    </row>
    <row r="8" spans="1:20" ht="16.5" customHeight="1" x14ac:dyDescent="0.2">
      <c r="A8" s="47">
        <v>2025</v>
      </c>
      <c r="B8" s="50">
        <f t="shared" ref="B8" si="2">B7-C8</f>
        <v>3.0000024707987905E-5</v>
      </c>
      <c r="C8" s="48">
        <v>76714.285709999996</v>
      </c>
      <c r="D8" s="51">
        <v>500</v>
      </c>
      <c r="E8" s="50">
        <v>0</v>
      </c>
      <c r="F8" s="48">
        <v>0</v>
      </c>
      <c r="G8" s="51">
        <v>0</v>
      </c>
      <c r="H8" s="50">
        <f>H7-I8</f>
        <v>0</v>
      </c>
      <c r="I8" s="48">
        <v>168300</v>
      </c>
      <c r="J8" s="51">
        <v>15000</v>
      </c>
      <c r="K8" s="50">
        <f>K7-L8</f>
        <v>3000000</v>
      </c>
      <c r="L8" s="48">
        <v>0</v>
      </c>
      <c r="M8" s="51">
        <v>205000</v>
      </c>
      <c r="N8" s="610">
        <v>2589665</v>
      </c>
      <c r="O8" s="609">
        <v>1912245</v>
      </c>
      <c r="P8" s="49">
        <v>100000</v>
      </c>
      <c r="Q8" s="50">
        <f t="shared" si="1"/>
        <v>5589665.0000299998</v>
      </c>
      <c r="R8" s="48">
        <f t="shared" si="1"/>
        <v>2157259.28571</v>
      </c>
      <c r="S8" s="51">
        <f t="shared" si="1"/>
        <v>320500</v>
      </c>
      <c r="T8" s="612"/>
    </row>
    <row r="9" spans="1:20" ht="16.5" customHeight="1" x14ac:dyDescent="0.2">
      <c r="A9" s="47">
        <v>2026</v>
      </c>
      <c r="B9" s="50">
        <v>0</v>
      </c>
      <c r="C9" s="48">
        <v>0</v>
      </c>
      <c r="D9" s="51">
        <v>0</v>
      </c>
      <c r="E9" s="50">
        <v>0</v>
      </c>
      <c r="F9" s="48">
        <v>0</v>
      </c>
      <c r="G9" s="51">
        <v>0</v>
      </c>
      <c r="H9" s="50">
        <v>0</v>
      </c>
      <c r="I9" s="48">
        <v>0</v>
      </c>
      <c r="J9" s="51">
        <v>0</v>
      </c>
      <c r="K9" s="50">
        <f>K8-L9</f>
        <v>2700000</v>
      </c>
      <c r="L9" s="48">
        <v>300000</v>
      </c>
      <c r="M9" s="51">
        <v>200000</v>
      </c>
      <c r="N9" s="610">
        <v>1422769</v>
      </c>
      <c r="O9" s="609">
        <v>2635540</v>
      </c>
      <c r="P9" s="49">
        <v>120000</v>
      </c>
      <c r="Q9" s="50">
        <f t="shared" si="1"/>
        <v>4122769</v>
      </c>
      <c r="R9" s="48">
        <f t="shared" si="1"/>
        <v>2935540</v>
      </c>
      <c r="S9" s="51">
        <f t="shared" si="1"/>
        <v>320000</v>
      </c>
      <c r="T9" s="612"/>
    </row>
    <row r="10" spans="1:20" ht="16.5" customHeight="1" x14ac:dyDescent="0.2">
      <c r="A10" s="47">
        <v>2027</v>
      </c>
      <c r="B10" s="50">
        <v>0</v>
      </c>
      <c r="C10" s="48">
        <v>0</v>
      </c>
      <c r="D10" s="51">
        <v>0</v>
      </c>
      <c r="E10" s="50">
        <v>0</v>
      </c>
      <c r="F10" s="48">
        <v>0</v>
      </c>
      <c r="G10" s="51">
        <v>0</v>
      </c>
      <c r="H10" s="50">
        <v>0</v>
      </c>
      <c r="I10" s="48">
        <v>0</v>
      </c>
      <c r="J10" s="51">
        <v>0</v>
      </c>
      <c r="K10" s="50">
        <f t="shared" ref="K10:K18" si="3">K9-L10</f>
        <v>2400000</v>
      </c>
      <c r="L10" s="48">
        <v>300000</v>
      </c>
      <c r="M10" s="51">
        <v>200000</v>
      </c>
      <c r="N10" s="302"/>
      <c r="O10" s="283"/>
      <c r="P10" s="49"/>
      <c r="Q10" s="50">
        <f t="shared" si="1"/>
        <v>2400000</v>
      </c>
      <c r="R10" s="48">
        <f t="shared" si="1"/>
        <v>300000</v>
      </c>
      <c r="S10" s="51">
        <f t="shared" si="1"/>
        <v>200000</v>
      </c>
    </row>
    <row r="11" spans="1:20" ht="16.5" customHeight="1" x14ac:dyDescent="0.2">
      <c r="A11" s="47">
        <v>2028</v>
      </c>
      <c r="B11" s="50">
        <v>0</v>
      </c>
      <c r="C11" s="48">
        <v>0</v>
      </c>
      <c r="D11" s="51">
        <v>0</v>
      </c>
      <c r="E11" s="50">
        <v>0</v>
      </c>
      <c r="F11" s="48">
        <v>0</v>
      </c>
      <c r="G11" s="51">
        <v>0</v>
      </c>
      <c r="H11" s="50">
        <v>0</v>
      </c>
      <c r="I11" s="48">
        <v>0</v>
      </c>
      <c r="J11" s="51">
        <v>0</v>
      </c>
      <c r="K11" s="50">
        <f t="shared" si="3"/>
        <v>2100000</v>
      </c>
      <c r="L11" s="48">
        <v>300000</v>
      </c>
      <c r="M11" s="51">
        <v>200000</v>
      </c>
      <c r="N11" s="282"/>
      <c r="O11" s="48"/>
      <c r="P11" s="49"/>
      <c r="Q11" s="50">
        <f t="shared" si="1"/>
        <v>2100000</v>
      </c>
      <c r="R11" s="48">
        <f t="shared" si="1"/>
        <v>300000</v>
      </c>
      <c r="S11" s="51">
        <f t="shared" si="1"/>
        <v>200000</v>
      </c>
    </row>
    <row r="12" spans="1:20" ht="16.5" customHeight="1" x14ac:dyDescent="0.2">
      <c r="A12" s="47">
        <v>2029</v>
      </c>
      <c r="B12" s="50">
        <v>0</v>
      </c>
      <c r="C12" s="48">
        <v>0</v>
      </c>
      <c r="D12" s="51">
        <v>0</v>
      </c>
      <c r="E12" s="50">
        <v>0</v>
      </c>
      <c r="F12" s="48">
        <v>0</v>
      </c>
      <c r="G12" s="51">
        <v>0</v>
      </c>
      <c r="H12" s="50">
        <v>0</v>
      </c>
      <c r="I12" s="48">
        <v>0</v>
      </c>
      <c r="J12" s="51">
        <v>0</v>
      </c>
      <c r="K12" s="50">
        <f t="shared" si="3"/>
        <v>1800000</v>
      </c>
      <c r="L12" s="48">
        <v>300000</v>
      </c>
      <c r="M12" s="51">
        <v>130000</v>
      </c>
      <c r="N12" s="282"/>
      <c r="O12" s="48"/>
      <c r="P12" s="49"/>
      <c r="Q12" s="50">
        <f t="shared" si="1"/>
        <v>1800000</v>
      </c>
      <c r="R12" s="48">
        <f t="shared" si="1"/>
        <v>300000</v>
      </c>
      <c r="S12" s="51">
        <f t="shared" si="1"/>
        <v>130000</v>
      </c>
    </row>
    <row r="13" spans="1:20" ht="16.5" customHeight="1" x14ac:dyDescent="0.2">
      <c r="A13" s="47">
        <v>2030</v>
      </c>
      <c r="B13" s="50">
        <v>0</v>
      </c>
      <c r="C13" s="48">
        <v>0</v>
      </c>
      <c r="D13" s="51">
        <v>0</v>
      </c>
      <c r="E13" s="50">
        <v>0</v>
      </c>
      <c r="F13" s="48">
        <v>0</v>
      </c>
      <c r="G13" s="51">
        <v>0</v>
      </c>
      <c r="H13" s="50">
        <v>0</v>
      </c>
      <c r="I13" s="48">
        <v>0</v>
      </c>
      <c r="J13" s="51">
        <v>0</v>
      </c>
      <c r="K13" s="50">
        <f t="shared" si="3"/>
        <v>1500000</v>
      </c>
      <c r="L13" s="48">
        <v>300000</v>
      </c>
      <c r="M13" s="51">
        <v>110000</v>
      </c>
      <c r="N13" s="282"/>
      <c r="O13" s="48"/>
      <c r="P13" s="49"/>
      <c r="Q13" s="50">
        <f t="shared" si="1"/>
        <v>1500000</v>
      </c>
      <c r="R13" s="48">
        <f t="shared" si="1"/>
        <v>300000</v>
      </c>
      <c r="S13" s="51">
        <f t="shared" si="1"/>
        <v>110000</v>
      </c>
    </row>
    <row r="14" spans="1:20" ht="16.5" customHeight="1" x14ac:dyDescent="0.2">
      <c r="A14" s="47">
        <v>2031</v>
      </c>
      <c r="B14" s="50">
        <v>0</v>
      </c>
      <c r="C14" s="48">
        <v>0</v>
      </c>
      <c r="D14" s="51">
        <v>0</v>
      </c>
      <c r="E14" s="50">
        <v>0</v>
      </c>
      <c r="F14" s="48">
        <v>0</v>
      </c>
      <c r="G14" s="51">
        <v>0</v>
      </c>
      <c r="H14" s="50">
        <v>0</v>
      </c>
      <c r="I14" s="48">
        <v>0</v>
      </c>
      <c r="J14" s="51">
        <v>0</v>
      </c>
      <c r="K14" s="50">
        <f t="shared" si="3"/>
        <v>1200000</v>
      </c>
      <c r="L14" s="48">
        <v>300000</v>
      </c>
      <c r="M14" s="51">
        <v>90000</v>
      </c>
      <c r="N14" s="282"/>
      <c r="O14" s="48"/>
      <c r="P14" s="49"/>
      <c r="Q14" s="50">
        <f t="shared" si="1"/>
        <v>1200000</v>
      </c>
      <c r="R14" s="48">
        <f t="shared" si="1"/>
        <v>300000</v>
      </c>
      <c r="S14" s="51">
        <f t="shared" si="1"/>
        <v>90000</v>
      </c>
    </row>
    <row r="15" spans="1:20" ht="16.5" customHeight="1" x14ac:dyDescent="0.2">
      <c r="A15" s="47">
        <v>2032</v>
      </c>
      <c r="B15" s="50">
        <v>0</v>
      </c>
      <c r="C15" s="48">
        <v>0</v>
      </c>
      <c r="D15" s="51">
        <v>0</v>
      </c>
      <c r="E15" s="50">
        <v>0</v>
      </c>
      <c r="F15" s="48">
        <v>0</v>
      </c>
      <c r="G15" s="51">
        <v>0</v>
      </c>
      <c r="H15" s="50">
        <v>0</v>
      </c>
      <c r="I15" s="48">
        <v>0</v>
      </c>
      <c r="J15" s="51">
        <v>0</v>
      </c>
      <c r="K15" s="50">
        <f t="shared" si="3"/>
        <v>900000</v>
      </c>
      <c r="L15" s="48">
        <v>300000</v>
      </c>
      <c r="M15" s="51">
        <v>70000</v>
      </c>
      <c r="N15" s="282"/>
      <c r="O15" s="48"/>
      <c r="P15" s="49"/>
      <c r="Q15" s="50">
        <f t="shared" si="1"/>
        <v>900000</v>
      </c>
      <c r="R15" s="48">
        <f t="shared" si="1"/>
        <v>300000</v>
      </c>
      <c r="S15" s="51">
        <f t="shared" si="1"/>
        <v>70000</v>
      </c>
    </row>
    <row r="16" spans="1:20" ht="16.5" customHeight="1" x14ac:dyDescent="0.2">
      <c r="A16" s="47">
        <v>2033</v>
      </c>
      <c r="B16" s="50">
        <v>0</v>
      </c>
      <c r="C16" s="48">
        <v>0</v>
      </c>
      <c r="D16" s="51">
        <v>0</v>
      </c>
      <c r="E16" s="50">
        <v>0</v>
      </c>
      <c r="F16" s="48">
        <v>0</v>
      </c>
      <c r="G16" s="51">
        <v>0</v>
      </c>
      <c r="H16" s="50">
        <v>0</v>
      </c>
      <c r="I16" s="48">
        <v>0</v>
      </c>
      <c r="J16" s="51">
        <v>0</v>
      </c>
      <c r="K16" s="50">
        <f t="shared" si="3"/>
        <v>600000</v>
      </c>
      <c r="L16" s="48">
        <v>300000</v>
      </c>
      <c r="M16" s="51">
        <v>50000</v>
      </c>
      <c r="N16" s="282"/>
      <c r="O16" s="48"/>
      <c r="P16" s="49"/>
      <c r="Q16" s="50">
        <f t="shared" si="1"/>
        <v>600000</v>
      </c>
      <c r="R16" s="48">
        <f t="shared" si="1"/>
        <v>300000</v>
      </c>
      <c r="S16" s="51">
        <f t="shared" si="1"/>
        <v>50000</v>
      </c>
    </row>
    <row r="17" spans="1:19" ht="16.5" customHeight="1" x14ac:dyDescent="0.2">
      <c r="A17" s="47">
        <v>2034</v>
      </c>
      <c r="B17" s="50">
        <v>0</v>
      </c>
      <c r="C17" s="48">
        <v>0</v>
      </c>
      <c r="D17" s="51">
        <v>0</v>
      </c>
      <c r="E17" s="50">
        <v>0</v>
      </c>
      <c r="F17" s="48">
        <v>0</v>
      </c>
      <c r="G17" s="51">
        <v>0</v>
      </c>
      <c r="H17" s="50">
        <v>0</v>
      </c>
      <c r="I17" s="48">
        <v>0</v>
      </c>
      <c r="J17" s="51">
        <v>0</v>
      </c>
      <c r="K17" s="50">
        <f t="shared" si="3"/>
        <v>300000</v>
      </c>
      <c r="L17" s="48">
        <v>300000</v>
      </c>
      <c r="M17" s="51">
        <v>30000</v>
      </c>
      <c r="N17" s="282"/>
      <c r="O17" s="48"/>
      <c r="P17" s="49"/>
      <c r="Q17" s="50">
        <f t="shared" si="1"/>
        <v>300000</v>
      </c>
      <c r="R17" s="48">
        <f t="shared" si="1"/>
        <v>300000</v>
      </c>
      <c r="S17" s="51">
        <f t="shared" si="1"/>
        <v>30000</v>
      </c>
    </row>
    <row r="18" spans="1:19" ht="16.5" customHeight="1" thickBot="1" x14ac:dyDescent="0.25">
      <c r="A18" s="298">
        <v>2035</v>
      </c>
      <c r="B18" s="53">
        <v>0</v>
      </c>
      <c r="C18" s="52">
        <v>0</v>
      </c>
      <c r="D18" s="54">
        <v>0</v>
      </c>
      <c r="E18" s="53">
        <v>0</v>
      </c>
      <c r="F18" s="52">
        <v>0</v>
      </c>
      <c r="G18" s="54">
        <v>0</v>
      </c>
      <c r="H18" s="53">
        <v>0</v>
      </c>
      <c r="I18" s="52">
        <v>0</v>
      </c>
      <c r="J18" s="54">
        <v>0</v>
      </c>
      <c r="K18" s="53">
        <f t="shared" si="3"/>
        <v>0</v>
      </c>
      <c r="L18" s="52">
        <v>300000</v>
      </c>
      <c r="M18" s="54">
        <v>10000</v>
      </c>
      <c r="N18" s="301"/>
      <c r="O18" s="52"/>
      <c r="P18" s="299"/>
      <c r="Q18" s="53">
        <f t="shared" si="1"/>
        <v>0</v>
      </c>
      <c r="R18" s="52">
        <f t="shared" si="1"/>
        <v>300000</v>
      </c>
      <c r="S18" s="54">
        <f t="shared" si="1"/>
        <v>10000</v>
      </c>
    </row>
  </sheetData>
  <mergeCells count="7">
    <mergeCell ref="A2:S2"/>
    <mergeCell ref="B4:D4"/>
    <mergeCell ref="E4:G4"/>
    <mergeCell ref="H4:J4"/>
    <mergeCell ref="K4:M4"/>
    <mergeCell ref="N4:P4"/>
    <mergeCell ref="Q4:S4"/>
  </mergeCells>
  <printOptions horizontalCentered="1"/>
  <pageMargins left="0.31496062992125984" right="0.31496062992125984" top="0.59055118110236227" bottom="0.39370078740157483" header="0.31496062992125984" footer="0.11811023622047245"/>
  <pageSetup paperSize="9" scale="61" firstPageNumber="40" orientation="landscape" useFirstPageNumber="1" r:id="rId1"/>
  <headerFooter alignWithMargins="0">
    <oddHeader>&amp;L&amp;"Tahoma,Kurzíva"Střednědobý výhled rozpočtu Moravskoslezského kraje na léta 2024-2026&amp;R&amp;"Tahoma,Kurzíva"Přehled splácení jistiny a úroků z úvěru čerpaných Moravskoslezským krajem</oddHeader>
    <oddFooter>&amp;C&amp;"Tahoma,Obyčejné"&amp;P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6FB03299F61C040A97358ABA2F264EA" ma:contentTypeVersion="2" ma:contentTypeDescription="Vytvoří nový dokument" ma:contentTypeScope="" ma:versionID="a55099a46df2cfa0911d0093d788d4be">
  <xsd:schema xmlns:xsd="http://www.w3.org/2001/XMLSchema" xmlns:xs="http://www.w3.org/2001/XMLSchema" xmlns:p="http://schemas.microsoft.com/office/2006/metadata/properties" xmlns:ns2="e3b2b205-de92-4ce4-a1ef-b5d6008670aa" targetNamespace="http://schemas.microsoft.com/office/2006/metadata/properties" ma:root="true" ma:fieldsID="e41ce44471669bf9e47e94fa5e503025" ns2:_="">
    <xsd:import namespace="e3b2b205-de92-4ce4-a1ef-b5d6008670a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2b205-de92-4ce4-a1ef-b5d600867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12DBBC-52A0-4DBC-9B23-9C0C25513080}">
  <ds:schemaRefs>
    <ds:schemaRef ds:uri="http://schemas.microsoft.com/sharepoint/v3/contenttype/forms"/>
  </ds:schemaRefs>
</ds:datastoreItem>
</file>

<file path=customXml/itemProps2.xml><?xml version="1.0" encoding="utf-8"?>
<ds:datastoreItem xmlns:ds="http://schemas.openxmlformats.org/officeDocument/2006/customXml" ds:itemID="{DF4AFC0B-2B7B-46B1-B521-BBBDF5B72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2b205-de92-4ce4-a1ef-b5d600867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AD1738-15FF-4B5D-B6B2-812D364CF33D}">
  <ds:schemaRefs>
    <ds:schemaRef ds:uri="http://purl.org/dc/dcmitype/"/>
    <ds:schemaRef ds:uri="http://www.w3.org/XML/1998/namespace"/>
    <ds:schemaRef ds:uri="http://schemas.microsoft.com/office/2006/documentManagement/types"/>
    <ds:schemaRef ds:uri="http://purl.org/dc/terms/"/>
    <ds:schemaRef ds:uri="http://purl.org/dc/elements/1.1/"/>
    <ds:schemaRef ds:uri="http://schemas.microsoft.com/office/2006/metadata/properties"/>
    <ds:schemaRef ds:uri="e3b2b205-de92-4ce4-a1ef-b5d6008670a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15</vt:i4>
      </vt:variant>
    </vt:vector>
  </HeadingPairs>
  <TitlesOfParts>
    <vt:vector size="26" baseType="lpstr">
      <vt:lpstr>seznam</vt:lpstr>
      <vt:lpstr>Tab. 1 </vt:lpstr>
      <vt:lpstr>Tab. 1 VÝDAJE</vt:lpstr>
      <vt:lpstr>Tab. 2 </vt:lpstr>
      <vt:lpstr>Tab. 3</vt:lpstr>
      <vt:lpstr>Tab. 4</vt:lpstr>
      <vt:lpstr>Tab. 5</vt:lpstr>
      <vt:lpstr>Tab. 6</vt:lpstr>
      <vt:lpstr>Tab. 7</vt:lpstr>
      <vt:lpstr>Tab. 8</vt:lpstr>
      <vt:lpstr>Tab. 9</vt:lpstr>
      <vt:lpstr>'Tab. 1 '!Názvy_tisku</vt:lpstr>
      <vt:lpstr>'Tab. 1 VÝDAJE'!Názvy_tisku</vt:lpstr>
      <vt:lpstr>'Tab. 2 '!Názvy_tisku</vt:lpstr>
      <vt:lpstr>'Tab. 3'!Názvy_tisku</vt:lpstr>
      <vt:lpstr>'Tab. 4'!Názvy_tisku</vt:lpstr>
      <vt:lpstr>'Tab. 5'!Názvy_tisku</vt:lpstr>
      <vt:lpstr>'Tab. 6'!Názvy_tisku</vt:lpstr>
      <vt:lpstr>'Tab. 8'!Názvy_tisku</vt:lpstr>
      <vt:lpstr>'Tab. 1 '!Oblast_tisku</vt:lpstr>
      <vt:lpstr>'Tab. 2 '!Oblast_tisku</vt:lpstr>
      <vt:lpstr>'Tab. 3'!Oblast_tisku</vt:lpstr>
      <vt:lpstr>'Tab. 4'!Oblast_tisku</vt:lpstr>
      <vt:lpstr>'Tab. 5'!Oblast_tisku</vt:lpstr>
      <vt:lpstr>'Tab. 6'!Oblast_tisku</vt:lpstr>
      <vt:lpstr>'Tab. 9'!Oblast_tisku</vt:lpstr>
    </vt:vector>
  </TitlesOfParts>
  <Company>KUMSK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Metelka Tomáš</dc:creator>
  <cp:lastModifiedBy>Metelka Tomáš</cp:lastModifiedBy>
  <cp:lastPrinted>2022-12-01T08:32:40Z</cp:lastPrinted>
  <dcterms:created xsi:type="dcterms:W3CDTF">2015-11-13T16:09:39Z</dcterms:created>
  <dcterms:modified xsi:type="dcterms:W3CDTF">2022-12-01T08:33:43Z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0x010100A6FB03299F61C040A97358ABA2F264EA</vt:lpwstr>
  </property>
  <property fmtid="{D5CDD505-2E9C-101B-9397-08002B2CF9AE}" pid="3" name="MSIP_Label_bc18e8b5-cf04-4356-9f73-4b8f937bc4ae_Enabled">
    <vt:lpwstr>true</vt:lpwstr>
  </property>
  <property fmtid="{D5CDD505-2E9C-101B-9397-08002B2CF9AE}" pid="4" name="MSIP_Label_bc18e8b5-cf04-4356-9f73-4b8f937bc4ae_SetDate">
    <vt:lpwstr>2022-11-21T11:17:07Z</vt:lpwstr>
  </property>
  <property fmtid="{D5CDD505-2E9C-101B-9397-08002B2CF9AE}" pid="5" name="MSIP_Label_bc18e8b5-cf04-4356-9f73-4b8f937bc4ae_Method">
    <vt:lpwstr>Privileged</vt:lpwstr>
  </property>
  <property fmtid="{D5CDD505-2E9C-101B-9397-08002B2CF9AE}" pid="6" name="MSIP_Label_bc18e8b5-cf04-4356-9f73-4b8f937bc4ae_Name">
    <vt:lpwstr>Neveřejná informace (bez označení)</vt:lpwstr>
  </property>
  <property fmtid="{D5CDD505-2E9C-101B-9397-08002B2CF9AE}" pid="7" name="MSIP_Label_bc18e8b5-cf04-4356-9f73-4b8f937bc4ae_SiteId">
    <vt:lpwstr>39f24d0b-aa30-4551-8e81-43c77cf1000e</vt:lpwstr>
  </property>
  <property fmtid="{D5CDD505-2E9C-101B-9397-08002B2CF9AE}" pid="8" name="MSIP_Label_bc18e8b5-cf04-4356-9f73-4b8f937bc4ae_ActionId">
    <vt:lpwstr>541401f0-1fd6-4332-9974-815ef682c2a1</vt:lpwstr>
  </property>
  <property fmtid="{D5CDD505-2E9C-101B-9397-08002B2CF9AE}" pid="9" name="MSIP_Label_bc18e8b5-cf04-4356-9f73-4b8f937bc4ae_ContentBits">
    <vt:lpwstr>0</vt:lpwstr>
  </property>
</Properties>
</file>