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tomas_metelka_msk_cz/Documents/_N_FINANCE/2023/"/>
    </mc:Choice>
  </mc:AlternateContent>
  <xr:revisionPtr revIDLastSave="84" documentId="8_{A7726725-522A-4FE1-8D69-D97FE5065F60}" xr6:coauthVersionLast="47" xr6:coauthVersionMax="47" xr10:uidLastSave="{7D01B674-B28D-4E0A-8430-64F88BF36BCC}"/>
  <bookViews>
    <workbookView xWindow="-120" yWindow="-120" windowWidth="29040" windowHeight="15840" tabRatio="505" firstSheet="26" activeTab="26" xr2:uid="{E510E962-0F90-463F-8DD8-9036D002E16D}"/>
  </bookViews>
  <sheets>
    <sheet name="Akce úvěru ČS-stav 2021 k 26_4" sheetId="6" r:id="rId1"/>
    <sheet name="Akce z úvěru ČS-plán" sheetId="5" r:id="rId2"/>
    <sheet name="Akce z úvěru ČS-plán 21_04" sheetId="7" r:id="rId3"/>
    <sheet name="Akce z úvěru ČS-plán 29_04" sheetId="8" r:id="rId4"/>
    <sheet name="Akce z úvěru ČS-plán 04_05" sheetId="9" r:id="rId5"/>
    <sheet name="Akce z úvěru ČS-plán 07_05" sheetId="10" r:id="rId6"/>
    <sheet name="Akce z úvěru ČS-plán 14_05" sheetId="11" r:id="rId7"/>
    <sheet name="Akce z úvěru ČS-plán 20_05" sheetId="12" r:id="rId8"/>
    <sheet name="ZK září 3.8" sheetId="14" r:id="rId9"/>
    <sheet name="ZK září 9.8." sheetId="15" r:id="rId10"/>
    <sheet name="ZK září 10.8 ZMĚNY" sheetId="16" r:id="rId11"/>
    <sheet name="ZK září 13.8." sheetId="17" r:id="rId12"/>
    <sheet name="ZK září 17.8." sheetId="18" r:id="rId13"/>
    <sheet name="ZK 16.9." sheetId="19" r:id="rId14"/>
    <sheet name="po ZK 16.9.-přípravaROZP" sheetId="20" r:id="rId15"/>
    <sheet name="ZK 16.12." sheetId="21" r:id="rId16"/>
    <sheet name="RK 24.1. převody" sheetId="22" r:id="rId17"/>
    <sheet name="Úvěr ČS-další změny 2022" sheetId="24" r:id="rId18"/>
    <sheet name="Úvěr ČS podklad revize duben 22" sheetId="25" r:id="rId19"/>
    <sheet name="ZK 16.6." sheetId="27" r:id="rId20"/>
    <sheet name="Přesuny -podklad revize září 22" sheetId="29" r:id="rId21"/>
    <sheet name="po ZK 16.6." sheetId="28" r:id="rId22"/>
    <sheet name="ZK 15.9." sheetId="30" r:id="rId23"/>
    <sheet name="po ZK 15.9.-přípravaROZP" sheetId="32" r:id="rId24"/>
    <sheet name="ZK 15.12." sheetId="33" r:id="rId25"/>
    <sheet name="2023-po převodech" sheetId="34" r:id="rId26"/>
    <sheet name="Revize květen 23" sheetId="35" r:id="rId27"/>
  </sheets>
  <externalReferences>
    <externalReference r:id="rId28"/>
  </externalReferences>
  <definedNames>
    <definedName name="_xlnm._FilterDatabase" localSheetId="0" hidden="1">'Akce úvěru ČS-stav 2021 k 26_4'!$A$3:$F$9</definedName>
    <definedName name="_xlnm._FilterDatabase" localSheetId="1" hidden="1">'Akce z úvěru ČS-plán'!$A$3:$F$9</definedName>
    <definedName name="_xlnm._FilterDatabase" localSheetId="4" hidden="1">'Akce z úvěru ČS-plán 04_05'!$A$3:$F$9</definedName>
    <definedName name="_xlnm._FilterDatabase" localSheetId="5" hidden="1">'Akce z úvěru ČS-plán 07_05'!$A$3:$F$9</definedName>
    <definedName name="_xlnm._FilterDatabase" localSheetId="6" hidden="1">'Akce z úvěru ČS-plán 14_05'!$A$3:$F$9</definedName>
    <definedName name="_xlnm._FilterDatabase" localSheetId="7" hidden="1">'Akce z úvěru ČS-plán 20_05'!$A$3:$F$9</definedName>
    <definedName name="_xlnm._FilterDatabase" localSheetId="2" hidden="1">'Akce z úvěru ČS-plán 21_04'!$A$3:$F$9</definedName>
    <definedName name="_xlnm._FilterDatabase" localSheetId="3" hidden="1">'Akce z úvěru ČS-plán 29_04'!$A$3:$F$9</definedName>
    <definedName name="_xlnm._FilterDatabase" localSheetId="14" hidden="1">'po ZK 16.9.-přípravaROZP'!$A$3:$F$97</definedName>
    <definedName name="_xlnm._FilterDatabase" localSheetId="16" hidden="1">'RK 24.1. převody'!$A$4:$G$88</definedName>
    <definedName name="_xlnm._FilterDatabase" localSheetId="17" hidden="1">'Úvěr ČS-další změny 2022'!$A$4:$H$88</definedName>
    <definedName name="_xlnm._FilterDatabase" localSheetId="15" hidden="1">'ZK 16.12.'!$A$4:$F$88</definedName>
    <definedName name="_xlnm._FilterDatabase" localSheetId="19" hidden="1">'ZK 16.6.'!$A$5:$P$20</definedName>
    <definedName name="_xlnm._FilterDatabase" localSheetId="13" hidden="1">'ZK 16.9.'!$A$3:$F$93</definedName>
    <definedName name="_xlnm._FilterDatabase" localSheetId="10" hidden="1">'ZK září 10.8 ZMĚNY'!$A$2:$K$91</definedName>
    <definedName name="_xlnm._FilterDatabase" localSheetId="11" hidden="1">'ZK září 13.8.'!$A$3:$F$93</definedName>
    <definedName name="_xlnm._FilterDatabase" localSheetId="12" hidden="1">'ZK září 17.8.'!$A$3:$F$93</definedName>
    <definedName name="_xlnm._FilterDatabase" localSheetId="8" hidden="1">'ZK září 3.8'!$A$2:$K$8</definedName>
    <definedName name="_xlnm._FilterDatabase" localSheetId="9" hidden="1">'ZK září 9.8.'!$A$2:$K$91</definedName>
    <definedName name="DF_GRID_1" localSheetId="25">#REF!</definedName>
    <definedName name="DF_GRID_1" localSheetId="21">#REF!</definedName>
    <definedName name="DF_GRID_1" localSheetId="24">#REF!</definedName>
    <definedName name="DF_GRID_1" localSheetId="19">#REF!</definedName>
    <definedName name="DF_GRID_1">#REF!</definedName>
    <definedName name="DF_GRID_2">#REF!</definedName>
    <definedName name="DF_GRID_3">#REF!</definedName>
    <definedName name="kurz" localSheetId="25">[1]rozhodnutí!$N$31</definedName>
    <definedName name="kurz" localSheetId="14">[1]rozhodnutí!$N$31</definedName>
    <definedName name="kurz" localSheetId="16">[1]rozhodnutí!$N$31</definedName>
    <definedName name="kurz" localSheetId="17">[1]rozhodnutí!$N$31</definedName>
    <definedName name="kurz" localSheetId="24">[1]rozhodnutí!$N$31</definedName>
    <definedName name="kurz" localSheetId="15">[1]rozhodnutí!$N$31</definedName>
    <definedName name="kurz" localSheetId="13">[1]rozhodnutí!$N$31</definedName>
    <definedName name="kurz" localSheetId="10">[1]rozhodnutí!$N$31</definedName>
    <definedName name="kurz" localSheetId="11">[1]rozhodnutí!$N$31</definedName>
    <definedName name="kurz" localSheetId="12">[1]rozhodnutí!$N$31</definedName>
    <definedName name="kurz" localSheetId="9">[1]rozhodnutí!$N$31</definedName>
    <definedName name="kurz">[1]rozhodnutí!$N$31</definedName>
    <definedName name="_xlnm.Print_Titles" localSheetId="25">'2023-po převodech'!$3:$5</definedName>
    <definedName name="_xlnm.Print_Titles" localSheetId="0">'Akce úvěru ČS-stav 2021 k 26_4'!$2:$4</definedName>
    <definedName name="_xlnm.Print_Titles" localSheetId="1">'Akce z úvěru ČS-plán'!$2:$4</definedName>
    <definedName name="_xlnm.Print_Titles" localSheetId="4">'Akce z úvěru ČS-plán 04_05'!$2:$4</definedName>
    <definedName name="_xlnm.Print_Titles" localSheetId="5">'Akce z úvěru ČS-plán 07_05'!$2:$4</definedName>
    <definedName name="_xlnm.Print_Titles" localSheetId="6">'Akce z úvěru ČS-plán 14_05'!$2:$4</definedName>
    <definedName name="_xlnm.Print_Titles" localSheetId="7">'Akce z úvěru ČS-plán 20_05'!$2:$4</definedName>
    <definedName name="_xlnm.Print_Titles" localSheetId="2">'Akce z úvěru ČS-plán 21_04'!$2:$4</definedName>
    <definedName name="_xlnm.Print_Titles" localSheetId="3">'Akce z úvěru ČS-plán 29_04'!$2:$4</definedName>
    <definedName name="_xlnm.Print_Titles" localSheetId="21">'po ZK 16.6.'!$3:$5</definedName>
    <definedName name="_xlnm.Print_Titles" localSheetId="14">'po ZK 16.9.-přípravaROZP'!$2:$4</definedName>
    <definedName name="_xlnm.Print_Titles" localSheetId="26">'Revize květen 23'!$3:$5</definedName>
    <definedName name="_xlnm.Print_Titles" localSheetId="16">'RK 24.1. převody'!$3:$5</definedName>
    <definedName name="_xlnm.Print_Titles" localSheetId="18">'Úvěr ČS podklad revize duben 22'!$3:$5</definedName>
    <definedName name="_xlnm.Print_Titles" localSheetId="17">'Úvěr ČS-další změny 2022'!$3:$5</definedName>
    <definedName name="_xlnm.Print_Titles" localSheetId="24">'ZK 15.12.'!$3:$5</definedName>
    <definedName name="_xlnm.Print_Titles" localSheetId="15">'ZK 16.12.'!$3:$5</definedName>
    <definedName name="_xlnm.Print_Titles" localSheetId="19">'ZK 16.6.'!$3:$5</definedName>
    <definedName name="_xlnm.Print_Titles" localSheetId="13">'ZK 16.9.'!$2:$4</definedName>
    <definedName name="_xlnm.Print_Titles" localSheetId="10">'ZK září 10.8 ZMĚNY'!$2:$3</definedName>
    <definedName name="_xlnm.Print_Titles" localSheetId="11">'ZK září 13.8.'!$2:$4</definedName>
    <definedName name="_xlnm.Print_Titles" localSheetId="12">'ZK září 17.8.'!$2:$4</definedName>
    <definedName name="_xlnm.Print_Titles" localSheetId="8">'ZK září 3.8'!$2:$3</definedName>
    <definedName name="_xlnm.Print_Titles" localSheetId="9">'ZK září 9.8.'!$2:$3</definedName>
    <definedName name="_xlnm.Print_Area" localSheetId="0">'Akce úvěru ČS-stav 2021 k 26_4'!$A$1:$F$61</definedName>
    <definedName name="_xlnm.Print_Area" localSheetId="1">'Akce z úvěru ČS-plán'!$A$1:$F$62</definedName>
    <definedName name="_xlnm.Print_Area" localSheetId="4">'Akce z úvěru ČS-plán 04_05'!$A$1:$F$73</definedName>
    <definedName name="_xlnm.Print_Area" localSheetId="5">'Akce z úvěru ČS-plán 07_05'!$A$1:$F$82</definedName>
    <definedName name="_xlnm.Print_Area" localSheetId="6">'Akce z úvěru ČS-plán 14_05'!$A$1:$F$82</definedName>
    <definedName name="_xlnm.Print_Area" localSheetId="7">'Akce z úvěru ČS-plán 20_05'!$A$1:$F$83</definedName>
    <definedName name="_xlnm.Print_Area" localSheetId="2">'Akce z úvěru ČS-plán 21_04'!$A$1:$F$57</definedName>
    <definedName name="_xlnm.Print_Area" localSheetId="3">'Akce z úvěru ČS-plán 29_04'!$A$1:$F$70</definedName>
    <definedName name="_xlnm.Print_Area" localSheetId="21">'po ZK 16.6.'!$A$1:$I$96</definedName>
    <definedName name="_xlnm.Print_Area" localSheetId="14">'po ZK 16.9.-přípravaROZP'!$A$1:$F$97</definedName>
    <definedName name="_xlnm.Print_Area" localSheetId="16">'RK 24.1. převody'!$A$1:$G$88</definedName>
    <definedName name="_xlnm.Print_Area" localSheetId="18">'Úvěr ČS podklad revize duben 22'!$A$1:$M$98</definedName>
    <definedName name="_xlnm.Print_Area" localSheetId="17">'Úvěr ČS-další změny 2022'!$A$1:$H$88</definedName>
    <definedName name="_xlnm.Print_Area" localSheetId="15">'ZK 16.12.'!$A$1:$F$88</definedName>
    <definedName name="_xlnm.Print_Area" localSheetId="19">'ZK 16.6.'!$A$1:$M$98</definedName>
    <definedName name="_xlnm.Print_Area" localSheetId="13">'ZK 16.9.'!$A$1:$F$93</definedName>
    <definedName name="_xlnm.Print_Area" localSheetId="10">'ZK září 10.8 ZMĚNY'!$A$1:$K$93</definedName>
    <definedName name="_xlnm.Print_Area" localSheetId="11">'ZK září 13.8.'!$A$1:$F$93</definedName>
    <definedName name="_xlnm.Print_Area" localSheetId="12">'ZK září 17.8.'!$A$1:$F$93</definedName>
    <definedName name="_xlnm.Print_Area" localSheetId="8">'ZK září 3.8'!$A$1:$L$93</definedName>
    <definedName name="_xlnm.Print_Area" localSheetId="9">'ZK září 9.8.'!$A$1:$L$93</definedName>
    <definedName name="SAPBEXhrIndnt" hidden="1">"Wide"</definedName>
    <definedName name="SAPsysID" hidden="1">"708C5W7SBKP804JT78WJ0JNKI"</definedName>
    <definedName name="SAPwbID" hidden="1">"ARS"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0" i="35" l="1"/>
  <c r="G100" i="35"/>
  <c r="H100" i="35"/>
  <c r="I100" i="35"/>
  <c r="J100" i="35"/>
  <c r="K100" i="35"/>
  <c r="L100" i="35"/>
  <c r="M100" i="35"/>
  <c r="E100" i="35"/>
  <c r="D100" i="35"/>
  <c r="E29" i="35"/>
  <c r="F29" i="35"/>
  <c r="G29" i="35"/>
  <c r="H29" i="35"/>
  <c r="I29" i="35"/>
  <c r="J29" i="35"/>
  <c r="K29" i="35"/>
  <c r="L29" i="35"/>
  <c r="M29" i="35"/>
  <c r="D29" i="35"/>
  <c r="L28" i="35"/>
  <c r="M28" i="35"/>
  <c r="E28" i="35"/>
  <c r="F28" i="35"/>
  <c r="G28" i="35"/>
  <c r="H28" i="35"/>
  <c r="I28" i="35"/>
  <c r="J28" i="35"/>
  <c r="K28" i="35"/>
  <c r="D28" i="35"/>
  <c r="L27" i="35"/>
  <c r="K27" i="35"/>
  <c r="M27" i="35" s="1"/>
  <c r="H27" i="35"/>
  <c r="G90" i="35" l="1"/>
  <c r="H90" i="35" s="1"/>
  <c r="J90" i="35"/>
  <c r="L90" i="35"/>
  <c r="I103" i="35" l="1"/>
  <c r="J97" i="35"/>
  <c r="G97" i="35"/>
  <c r="K93" i="35"/>
  <c r="K91" i="35"/>
  <c r="K92" i="35"/>
  <c r="L92" i="35"/>
  <c r="L91" i="35"/>
  <c r="H93" i="35"/>
  <c r="H91" i="35"/>
  <c r="H92" i="35"/>
  <c r="M92" i="35" l="1"/>
  <c r="M91" i="35"/>
  <c r="L93" i="35" l="1"/>
  <c r="M93" i="35"/>
  <c r="E78" i="35"/>
  <c r="H81" i="35"/>
  <c r="H82" i="35"/>
  <c r="H83" i="35"/>
  <c r="H84" i="35"/>
  <c r="H85" i="35"/>
  <c r="H86" i="35"/>
  <c r="H87" i="35"/>
  <c r="H88" i="35"/>
  <c r="H89" i="35"/>
  <c r="H94" i="35"/>
  <c r="H95" i="35"/>
  <c r="H96" i="35"/>
  <c r="H80" i="35"/>
  <c r="K81" i="35"/>
  <c r="K82" i="35"/>
  <c r="K83" i="35"/>
  <c r="K84" i="35"/>
  <c r="K85" i="35"/>
  <c r="K86" i="35"/>
  <c r="K87" i="35"/>
  <c r="K88" i="35"/>
  <c r="K89" i="35"/>
  <c r="K90" i="35"/>
  <c r="M90" i="35" s="1"/>
  <c r="O91" i="35" s="1"/>
  <c r="K94" i="35"/>
  <c r="K95" i="35"/>
  <c r="K96" i="35"/>
  <c r="K80" i="35"/>
  <c r="H53" i="35"/>
  <c r="H54" i="35"/>
  <c r="H55" i="35"/>
  <c r="H56" i="35"/>
  <c r="H57" i="35"/>
  <c r="H58" i="35"/>
  <c r="H59" i="35"/>
  <c r="H60" i="35"/>
  <c r="H61" i="35"/>
  <c r="H62" i="35"/>
  <c r="H63" i="35"/>
  <c r="H64" i="35"/>
  <c r="H65" i="35"/>
  <c r="H66" i="35"/>
  <c r="H67" i="35"/>
  <c r="H68" i="35"/>
  <c r="H69" i="35"/>
  <c r="H70" i="35"/>
  <c r="H71" i="35"/>
  <c r="H72" i="35"/>
  <c r="H73" i="35"/>
  <c r="H74" i="35"/>
  <c r="H75" i="35"/>
  <c r="H76" i="35"/>
  <c r="H77" i="35"/>
  <c r="H52" i="35"/>
  <c r="H48" i="35"/>
  <c r="K53" i="35"/>
  <c r="K54" i="35"/>
  <c r="K55" i="35"/>
  <c r="K56" i="35"/>
  <c r="K57" i="35"/>
  <c r="K58" i="35"/>
  <c r="K59" i="35"/>
  <c r="K60" i="35"/>
  <c r="K61" i="35"/>
  <c r="K62" i="35"/>
  <c r="K63" i="35"/>
  <c r="K64" i="35"/>
  <c r="M64" i="35" s="1"/>
  <c r="K65" i="35"/>
  <c r="K66" i="35"/>
  <c r="K67" i="35"/>
  <c r="K68" i="35"/>
  <c r="K69" i="35"/>
  <c r="K70" i="35"/>
  <c r="K71" i="35"/>
  <c r="K72" i="35"/>
  <c r="M72" i="35" s="1"/>
  <c r="K73" i="35"/>
  <c r="K74" i="35"/>
  <c r="K75" i="35"/>
  <c r="K76" i="35"/>
  <c r="K77" i="35"/>
  <c r="K52" i="35"/>
  <c r="K49" i="35"/>
  <c r="K45" i="35"/>
  <c r="K46" i="35"/>
  <c r="K47" i="35"/>
  <c r="K48" i="35"/>
  <c r="M48" i="35" s="1"/>
  <c r="K44" i="35"/>
  <c r="K41" i="35"/>
  <c r="K35" i="35"/>
  <c r="L33" i="35"/>
  <c r="K33" i="35"/>
  <c r="K34" i="35"/>
  <c r="K36" i="35"/>
  <c r="K37" i="35"/>
  <c r="K21" i="35"/>
  <c r="K22" i="35" s="1"/>
  <c r="K16" i="35"/>
  <c r="K17" i="35"/>
  <c r="K18" i="35"/>
  <c r="K15" i="35"/>
  <c r="K12" i="35"/>
  <c r="K11" i="35"/>
  <c r="K8" i="35"/>
  <c r="K9" i="35" s="1"/>
  <c r="H45" i="35"/>
  <c r="H46" i="35"/>
  <c r="H47" i="35"/>
  <c r="H49" i="35"/>
  <c r="H44" i="35"/>
  <c r="H41" i="35"/>
  <c r="H34" i="35"/>
  <c r="H35" i="35"/>
  <c r="H36" i="35"/>
  <c r="H37" i="35"/>
  <c r="H33" i="35"/>
  <c r="H21" i="35"/>
  <c r="H22" i="35" s="1"/>
  <c r="H11" i="35"/>
  <c r="I97" i="35"/>
  <c r="G78" i="35"/>
  <c r="I78" i="35"/>
  <c r="J78" i="35"/>
  <c r="G50" i="35"/>
  <c r="I50" i="35"/>
  <c r="J50" i="35"/>
  <c r="G42" i="35"/>
  <c r="J42" i="35"/>
  <c r="G38" i="35"/>
  <c r="I38" i="35"/>
  <c r="J38" i="35"/>
  <c r="J22" i="35"/>
  <c r="G22" i="35"/>
  <c r="G19" i="35"/>
  <c r="I19" i="35"/>
  <c r="J19" i="35"/>
  <c r="L15" i="35"/>
  <c r="H16" i="35"/>
  <c r="H17" i="35"/>
  <c r="H18" i="35"/>
  <c r="H15" i="35"/>
  <c r="H8" i="35"/>
  <c r="H9" i="35" s="1"/>
  <c r="J9" i="35"/>
  <c r="G13" i="35"/>
  <c r="I13" i="35"/>
  <c r="J13" i="35"/>
  <c r="H12" i="35"/>
  <c r="G9" i="35"/>
  <c r="I9" i="35"/>
  <c r="N102" i="35"/>
  <c r="F97" i="35"/>
  <c r="D97" i="35"/>
  <c r="L96" i="35"/>
  <c r="E95" i="35"/>
  <c r="E97" i="35" s="1"/>
  <c r="L94" i="35"/>
  <c r="L89" i="35"/>
  <c r="L88" i="35"/>
  <c r="L87" i="35"/>
  <c r="L86" i="35"/>
  <c r="L85" i="35"/>
  <c r="L84" i="35"/>
  <c r="L83" i="35"/>
  <c r="L82" i="35"/>
  <c r="L81" i="35"/>
  <c r="L80" i="35"/>
  <c r="F78" i="35"/>
  <c r="D78" i="35"/>
  <c r="L77" i="35"/>
  <c r="L76" i="35"/>
  <c r="L75" i="35"/>
  <c r="L74" i="35"/>
  <c r="L73" i="35"/>
  <c r="L72" i="35"/>
  <c r="L71" i="35"/>
  <c r="L70" i="35"/>
  <c r="L69" i="35"/>
  <c r="L68" i="35"/>
  <c r="L67" i="35"/>
  <c r="L66" i="35"/>
  <c r="L65" i="35"/>
  <c r="L64" i="35"/>
  <c r="L63" i="35"/>
  <c r="L62" i="35"/>
  <c r="L61" i="35"/>
  <c r="L60" i="35"/>
  <c r="L59" i="35"/>
  <c r="L58" i="35"/>
  <c r="L57" i="35"/>
  <c r="L56" i="35"/>
  <c r="L55" i="35"/>
  <c r="L54" i="35"/>
  <c r="L53" i="35"/>
  <c r="L52" i="35"/>
  <c r="F50" i="35"/>
  <c r="E50" i="35"/>
  <c r="D50" i="35"/>
  <c r="L49" i="35"/>
  <c r="L48" i="35"/>
  <c r="L47" i="35"/>
  <c r="L46" i="35"/>
  <c r="L45" i="35"/>
  <c r="L44" i="35"/>
  <c r="D42" i="35"/>
  <c r="L41" i="35"/>
  <c r="I40" i="35"/>
  <c r="I42" i="35" s="1"/>
  <c r="F40" i="35"/>
  <c r="F42" i="35" s="1"/>
  <c r="E40" i="35"/>
  <c r="E42" i="35" s="1"/>
  <c r="F38" i="35"/>
  <c r="E38" i="35"/>
  <c r="D38" i="35"/>
  <c r="L37" i="35"/>
  <c r="L36" i="35"/>
  <c r="L35" i="35"/>
  <c r="L34" i="35"/>
  <c r="I22" i="35"/>
  <c r="F22" i="35"/>
  <c r="E22" i="35"/>
  <c r="D22" i="35"/>
  <c r="L21" i="35"/>
  <c r="F19" i="35"/>
  <c r="E19" i="35"/>
  <c r="D19" i="35"/>
  <c r="L18" i="35"/>
  <c r="L17" i="35"/>
  <c r="L16" i="35"/>
  <c r="F13" i="35"/>
  <c r="E13" i="35"/>
  <c r="D13" i="35"/>
  <c r="L12" i="35"/>
  <c r="L11" i="35"/>
  <c r="F9" i="35"/>
  <c r="E9" i="35"/>
  <c r="D9" i="35"/>
  <c r="L8" i="35"/>
  <c r="L9" i="35" s="1"/>
  <c r="H53" i="34"/>
  <c r="G88" i="34"/>
  <c r="D88" i="34"/>
  <c r="H87" i="34"/>
  <c r="E86" i="34"/>
  <c r="H86" i="34" s="1"/>
  <c r="H85" i="34"/>
  <c r="H84" i="34"/>
  <c r="E88" i="34"/>
  <c r="H82" i="34"/>
  <c r="H81" i="34"/>
  <c r="H80" i="34"/>
  <c r="H79" i="34"/>
  <c r="H78" i="34"/>
  <c r="H77" i="34"/>
  <c r="H76" i="34"/>
  <c r="H75" i="34"/>
  <c r="H74" i="34"/>
  <c r="G72" i="34"/>
  <c r="D72" i="34"/>
  <c r="H71" i="34"/>
  <c r="H70" i="34"/>
  <c r="H69" i="34"/>
  <c r="H68" i="34"/>
  <c r="H67" i="34"/>
  <c r="H66" i="34"/>
  <c r="H65" i="34"/>
  <c r="H64" i="34"/>
  <c r="H63" i="34"/>
  <c r="H62" i="34"/>
  <c r="H61" i="34"/>
  <c r="H60" i="34"/>
  <c r="F72" i="34"/>
  <c r="H59" i="34"/>
  <c r="H58" i="34"/>
  <c r="H57" i="34"/>
  <c r="H56" i="34"/>
  <c r="H55" i="34"/>
  <c r="H54" i="34"/>
  <c r="H52" i="34"/>
  <c r="H51" i="34"/>
  <c r="H50" i="34"/>
  <c r="H49" i="34"/>
  <c r="H48" i="34"/>
  <c r="H47" i="34"/>
  <c r="H46" i="34"/>
  <c r="G44" i="34"/>
  <c r="G89" i="34" s="1"/>
  <c r="F44" i="34"/>
  <c r="D44" i="34"/>
  <c r="H43" i="34"/>
  <c r="H42" i="34"/>
  <c r="H41" i="34"/>
  <c r="H40" i="34"/>
  <c r="H39" i="34"/>
  <c r="H38" i="34"/>
  <c r="F36" i="34"/>
  <c r="D36" i="34"/>
  <c r="D89" i="34" s="1"/>
  <c r="H35" i="34"/>
  <c r="G34" i="34"/>
  <c r="G36" i="34" s="1"/>
  <c r="F34" i="34"/>
  <c r="E34" i="34"/>
  <c r="E36" i="34" s="1"/>
  <c r="G32" i="34"/>
  <c r="D32" i="34"/>
  <c r="H31" i="34"/>
  <c r="F32" i="34"/>
  <c r="H30" i="34"/>
  <c r="H29" i="34"/>
  <c r="H28" i="34"/>
  <c r="H27" i="34"/>
  <c r="D23" i="34"/>
  <c r="D91" i="34" s="1"/>
  <c r="G22" i="34"/>
  <c r="F22" i="34"/>
  <c r="E22" i="34"/>
  <c r="D22" i="34"/>
  <c r="H21" i="34"/>
  <c r="G19" i="34"/>
  <c r="F19" i="34"/>
  <c r="E19" i="34"/>
  <c r="D19" i="34"/>
  <c r="H18" i="34"/>
  <c r="H17" i="34"/>
  <c r="H16" i="34"/>
  <c r="H15" i="34"/>
  <c r="G13" i="34"/>
  <c r="E13" i="34"/>
  <c r="D13" i="34"/>
  <c r="H12" i="34"/>
  <c r="F13" i="34"/>
  <c r="H9" i="34"/>
  <c r="G9" i="34"/>
  <c r="G23" i="34" s="1"/>
  <c r="G91" i="34" s="1"/>
  <c r="F9" i="34"/>
  <c r="E9" i="34"/>
  <c r="D9" i="34"/>
  <c r="H8" i="34"/>
  <c r="G98" i="35" l="1"/>
  <c r="M89" i="35"/>
  <c r="H97" i="35"/>
  <c r="M96" i="35"/>
  <c r="J98" i="35"/>
  <c r="M81" i="35"/>
  <c r="M86" i="35"/>
  <c r="M85" i="35"/>
  <c r="H19" i="35"/>
  <c r="M47" i="35"/>
  <c r="M12" i="35"/>
  <c r="K19" i="35"/>
  <c r="M70" i="35"/>
  <c r="M49" i="35"/>
  <c r="M22" i="35"/>
  <c r="M69" i="35"/>
  <c r="I23" i="35"/>
  <c r="M11" i="35"/>
  <c r="M88" i="35"/>
  <c r="M84" i="35"/>
  <c r="M34" i="35"/>
  <c r="M35" i="35"/>
  <c r="M73" i="35"/>
  <c r="M65" i="35"/>
  <c r="M94" i="35"/>
  <c r="M83" i="35"/>
  <c r="J23" i="35"/>
  <c r="H13" i="35"/>
  <c r="M15" i="35"/>
  <c r="M33" i="35"/>
  <c r="M41" i="35"/>
  <c r="M18" i="35"/>
  <c r="M8" i="35"/>
  <c r="M9" i="35" s="1"/>
  <c r="M76" i="35"/>
  <c r="M68" i="35"/>
  <c r="M60" i="35"/>
  <c r="H38" i="35"/>
  <c r="M17" i="35"/>
  <c r="M45" i="35"/>
  <c r="L38" i="35"/>
  <c r="M46" i="35"/>
  <c r="M95" i="35"/>
  <c r="I98" i="35"/>
  <c r="M21" i="35"/>
  <c r="H40" i="35"/>
  <c r="H42" i="35" s="1"/>
  <c r="M82" i="35"/>
  <c r="G23" i="35"/>
  <c r="K13" i="35"/>
  <c r="K23" i="35" s="1"/>
  <c r="M44" i="35"/>
  <c r="M63" i="35"/>
  <c r="M16" i="35"/>
  <c r="K40" i="35"/>
  <c r="M62" i="35"/>
  <c r="M54" i="35"/>
  <c r="M74" i="35"/>
  <c r="M58" i="35"/>
  <c r="M77" i="35"/>
  <c r="M61" i="35"/>
  <c r="M75" i="35"/>
  <c r="M67" i="35"/>
  <c r="M59" i="35"/>
  <c r="M57" i="35"/>
  <c r="M80" i="35"/>
  <c r="M71" i="35"/>
  <c r="M37" i="35"/>
  <c r="M36" i="35"/>
  <c r="K97" i="35"/>
  <c r="M56" i="35"/>
  <c r="M55" i="35"/>
  <c r="M66" i="35"/>
  <c r="H78" i="35"/>
  <c r="M87" i="35"/>
  <c r="M53" i="35"/>
  <c r="M52" i="35"/>
  <c r="K78" i="35"/>
  <c r="K50" i="35"/>
  <c r="K38" i="35"/>
  <c r="H50" i="35"/>
  <c r="E23" i="35"/>
  <c r="L19" i="35"/>
  <c r="L13" i="35"/>
  <c r="L78" i="35"/>
  <c r="L22" i="35"/>
  <c r="D98" i="35"/>
  <c r="E98" i="35"/>
  <c r="D23" i="35"/>
  <c r="F98" i="35"/>
  <c r="L40" i="35"/>
  <c r="L42" i="35" s="1"/>
  <c r="L50" i="35"/>
  <c r="F23" i="35"/>
  <c r="L95" i="35"/>
  <c r="L97" i="35" s="1"/>
  <c r="H22" i="34"/>
  <c r="E23" i="34"/>
  <c r="H19" i="34"/>
  <c r="F23" i="34"/>
  <c r="H44" i="34"/>
  <c r="H32" i="34"/>
  <c r="H72" i="34"/>
  <c r="H11" i="34"/>
  <c r="H13" i="34" s="1"/>
  <c r="H83" i="34"/>
  <c r="H88" i="34" s="1"/>
  <c r="H34" i="34"/>
  <c r="H36" i="34" s="1"/>
  <c r="E72" i="34"/>
  <c r="E32" i="34"/>
  <c r="E44" i="34"/>
  <c r="F88" i="34"/>
  <c r="F89" i="34" s="1"/>
  <c r="F91" i="34" s="1"/>
  <c r="H23" i="35" l="1"/>
  <c r="O102" i="35"/>
  <c r="M13" i="35"/>
  <c r="M50" i="35"/>
  <c r="M19" i="35"/>
  <c r="M38" i="35"/>
  <c r="I102" i="35"/>
  <c r="K42" i="35"/>
  <c r="K98" i="35" s="1"/>
  <c r="M40" i="35"/>
  <c r="M42" i="35" s="1"/>
  <c r="M97" i="35"/>
  <c r="H98" i="35"/>
  <c r="M78" i="35"/>
  <c r="L23" i="35"/>
  <c r="L98" i="35"/>
  <c r="H23" i="34"/>
  <c r="H89" i="34"/>
  <c r="H91" i="34" s="1"/>
  <c r="E89" i="34"/>
  <c r="E91" i="34" s="1"/>
  <c r="M23" i="35" l="1"/>
  <c r="M98" i="35"/>
  <c r="K29" i="32"/>
  <c r="G88" i="33"/>
  <c r="G89" i="33" s="1"/>
  <c r="F88" i="33"/>
  <c r="E88" i="33"/>
  <c r="D88" i="33"/>
  <c r="D89" i="33" s="1"/>
  <c r="H87" i="33"/>
  <c r="E86" i="33"/>
  <c r="H86" i="33" s="1"/>
  <c r="F85" i="33"/>
  <c r="E85" i="33"/>
  <c r="H85" i="33" s="1"/>
  <c r="H84" i="33"/>
  <c r="H83" i="33"/>
  <c r="F83" i="33"/>
  <c r="E83" i="33"/>
  <c r="F82" i="33"/>
  <c r="E82" i="33"/>
  <c r="H82" i="33" s="1"/>
  <c r="H81" i="33"/>
  <c r="H80" i="33"/>
  <c r="H79" i="33"/>
  <c r="H78" i="33"/>
  <c r="H77" i="33"/>
  <c r="H76" i="33"/>
  <c r="H75" i="33"/>
  <c r="H74" i="33"/>
  <c r="G72" i="33"/>
  <c r="E72" i="33"/>
  <c r="D72" i="33"/>
  <c r="H71" i="33"/>
  <c r="H70" i="33"/>
  <c r="H69" i="33"/>
  <c r="H68" i="33"/>
  <c r="H67" i="33"/>
  <c r="F67" i="33"/>
  <c r="E67" i="33"/>
  <c r="H66" i="33"/>
  <c r="F66" i="33"/>
  <c r="E66" i="33"/>
  <c r="E65" i="33"/>
  <c r="H65" i="33" s="1"/>
  <c r="H64" i="33"/>
  <c r="F64" i="33"/>
  <c r="E64" i="33"/>
  <c r="H63" i="33"/>
  <c r="H62" i="33"/>
  <c r="H61" i="33"/>
  <c r="F60" i="33"/>
  <c r="E60" i="33"/>
  <c r="H60" i="33" s="1"/>
  <c r="F59" i="33"/>
  <c r="F72" i="33" s="1"/>
  <c r="E59" i="33"/>
  <c r="H59" i="33" s="1"/>
  <c r="H58" i="33"/>
  <c r="E57" i="33"/>
  <c r="H57" i="33" s="1"/>
  <c r="H56" i="33"/>
  <c r="H55" i="33"/>
  <c r="E54" i="33"/>
  <c r="H54" i="33" s="1"/>
  <c r="H53" i="33"/>
  <c r="E53" i="33"/>
  <c r="H52" i="33"/>
  <c r="H51" i="33"/>
  <c r="H50" i="33"/>
  <c r="H49" i="33"/>
  <c r="H72" i="33" s="1"/>
  <c r="H48" i="33"/>
  <c r="H47" i="33"/>
  <c r="H46" i="33"/>
  <c r="G44" i="33"/>
  <c r="F44" i="33"/>
  <c r="E44" i="33"/>
  <c r="D44" i="33"/>
  <c r="H43" i="33"/>
  <c r="H42" i="33"/>
  <c r="E41" i="33"/>
  <c r="H41" i="33" s="1"/>
  <c r="H44" i="33" s="1"/>
  <c r="H40" i="33"/>
  <c r="H39" i="33"/>
  <c r="H38" i="33"/>
  <c r="D36" i="33"/>
  <c r="F35" i="33"/>
  <c r="E35" i="33"/>
  <c r="H35" i="33" s="1"/>
  <c r="H34" i="33"/>
  <c r="G34" i="33"/>
  <c r="G36" i="33" s="1"/>
  <c r="F34" i="33"/>
  <c r="F36" i="33" s="1"/>
  <c r="E34" i="33"/>
  <c r="E36" i="33" s="1"/>
  <c r="G32" i="33"/>
  <c r="F32" i="33"/>
  <c r="E32" i="33"/>
  <c r="D32" i="33"/>
  <c r="H31" i="33"/>
  <c r="F30" i="33"/>
  <c r="E30" i="33"/>
  <c r="H30" i="33" s="1"/>
  <c r="H29" i="33"/>
  <c r="H28" i="33"/>
  <c r="H27" i="33"/>
  <c r="G22" i="33"/>
  <c r="F22" i="33"/>
  <c r="E22" i="33"/>
  <c r="H22" i="33" s="1"/>
  <c r="D22" i="33"/>
  <c r="H21" i="33"/>
  <c r="G19" i="33"/>
  <c r="F19" i="33"/>
  <c r="E19" i="33"/>
  <c r="D19" i="33"/>
  <c r="H18" i="33"/>
  <c r="H17" i="33"/>
  <c r="H16" i="33"/>
  <c r="H15" i="33"/>
  <c r="H19" i="33" s="1"/>
  <c r="G13" i="33"/>
  <c r="F13" i="33"/>
  <c r="E13" i="33"/>
  <c r="D13" i="33"/>
  <c r="H12" i="33"/>
  <c r="H11" i="33"/>
  <c r="H13" i="33" s="1"/>
  <c r="F11" i="33"/>
  <c r="H9" i="33"/>
  <c r="G9" i="33"/>
  <c r="G23" i="33" s="1"/>
  <c r="F9" i="33"/>
  <c r="F23" i="33" s="1"/>
  <c r="E9" i="33"/>
  <c r="E23" i="33" s="1"/>
  <c r="D9" i="33"/>
  <c r="D23" i="33" s="1"/>
  <c r="D91" i="33" s="1"/>
  <c r="H8" i="33"/>
  <c r="L104" i="35" l="1"/>
  <c r="H32" i="33"/>
  <c r="G91" i="33"/>
  <c r="E89" i="33"/>
  <c r="E91" i="33" s="1"/>
  <c r="H88" i="33"/>
  <c r="H89" i="33" s="1"/>
  <c r="H23" i="33"/>
  <c r="H36" i="33"/>
  <c r="F89" i="33"/>
  <c r="F91" i="33" s="1"/>
  <c r="H91" i="33" l="1"/>
  <c r="H67" i="32" l="1"/>
  <c r="G88" i="32"/>
  <c r="D88" i="32"/>
  <c r="H87" i="32"/>
  <c r="E86" i="32"/>
  <c r="H86" i="32" s="1"/>
  <c r="H85" i="32"/>
  <c r="F85" i="32"/>
  <c r="E85" i="32"/>
  <c r="H84" i="32"/>
  <c r="F83" i="32"/>
  <c r="E83" i="32"/>
  <c r="H83" i="32" s="1"/>
  <c r="F82" i="32"/>
  <c r="F88" i="32" s="1"/>
  <c r="E82" i="32"/>
  <c r="E88" i="32" s="1"/>
  <c r="H81" i="32"/>
  <c r="H80" i="32"/>
  <c r="H79" i="32"/>
  <c r="H78" i="32"/>
  <c r="H77" i="32"/>
  <c r="H76" i="32"/>
  <c r="H75" i="32"/>
  <c r="H74" i="32"/>
  <c r="G72" i="32"/>
  <c r="D72" i="32"/>
  <c r="H71" i="32"/>
  <c r="H70" i="32"/>
  <c r="H69" i="32"/>
  <c r="H68" i="32"/>
  <c r="F67" i="32"/>
  <c r="E67" i="32"/>
  <c r="F66" i="32"/>
  <c r="E66" i="32"/>
  <c r="H66" i="32" s="1"/>
  <c r="H65" i="32"/>
  <c r="E65" i="32"/>
  <c r="F64" i="32"/>
  <c r="H64" i="32" s="1"/>
  <c r="E64" i="32"/>
  <c r="H63" i="32"/>
  <c r="H62" i="32"/>
  <c r="H61" i="32"/>
  <c r="H60" i="32"/>
  <c r="F60" i="32"/>
  <c r="E60" i="32"/>
  <c r="F59" i="32"/>
  <c r="E59" i="32"/>
  <c r="H59" i="32" s="1"/>
  <c r="H58" i="32"/>
  <c r="H57" i="32"/>
  <c r="E57" i="32"/>
  <c r="H56" i="32"/>
  <c r="H55" i="32"/>
  <c r="H54" i="32"/>
  <c r="E54" i="32"/>
  <c r="E53" i="32"/>
  <c r="H53" i="32" s="1"/>
  <c r="H52" i="32"/>
  <c r="H51" i="32"/>
  <c r="H50" i="32"/>
  <c r="H49" i="32"/>
  <c r="H48" i="32"/>
  <c r="H47" i="32"/>
  <c r="H46" i="32"/>
  <c r="G44" i="32"/>
  <c r="F44" i="32"/>
  <c r="D44" i="32"/>
  <c r="H43" i="32"/>
  <c r="H42" i="32"/>
  <c r="E41" i="32"/>
  <c r="E44" i="32" s="1"/>
  <c r="H40" i="32"/>
  <c r="H39" i="32"/>
  <c r="H38" i="32"/>
  <c r="D36" i="32"/>
  <c r="D89" i="32" s="1"/>
  <c r="H35" i="32"/>
  <c r="F35" i="32"/>
  <c r="E35" i="32"/>
  <c r="G34" i="32"/>
  <c r="G36" i="32" s="1"/>
  <c r="F34" i="32"/>
  <c r="F36" i="32" s="1"/>
  <c r="E34" i="32"/>
  <c r="H34" i="32" s="1"/>
  <c r="H36" i="32" s="1"/>
  <c r="G32" i="32"/>
  <c r="D32" i="32"/>
  <c r="H31" i="32"/>
  <c r="F30" i="32"/>
  <c r="F32" i="32" s="1"/>
  <c r="E30" i="32"/>
  <c r="E32" i="32" s="1"/>
  <c r="H29" i="32"/>
  <c r="H28" i="32"/>
  <c r="H27" i="32"/>
  <c r="E23" i="32"/>
  <c r="D23" i="32"/>
  <c r="D91" i="32" s="1"/>
  <c r="H22" i="32"/>
  <c r="G22" i="32"/>
  <c r="F22" i="32"/>
  <c r="E22" i="32"/>
  <c r="D22" i="32"/>
  <c r="H21" i="32"/>
  <c r="G19" i="32"/>
  <c r="F19" i="32"/>
  <c r="E19" i="32"/>
  <c r="D19" i="32"/>
  <c r="H18" i="32"/>
  <c r="H17" i="32"/>
  <c r="H16" i="32"/>
  <c r="H15" i="32"/>
  <c r="H19" i="32" s="1"/>
  <c r="G13" i="32"/>
  <c r="E13" i="32"/>
  <c r="D13" i="32"/>
  <c r="H12" i="32"/>
  <c r="F11" i="32"/>
  <c r="F13" i="32" s="1"/>
  <c r="H9" i="32"/>
  <c r="G9" i="32"/>
  <c r="G23" i="32" s="1"/>
  <c r="F9" i="32"/>
  <c r="E9" i="32"/>
  <c r="D9" i="32"/>
  <c r="H8" i="32"/>
  <c r="F23" i="32" l="1"/>
  <c r="H72" i="32"/>
  <c r="G89" i="32"/>
  <c r="G91" i="32" s="1"/>
  <c r="E36" i="32"/>
  <c r="H11" i="32"/>
  <c r="H13" i="32" s="1"/>
  <c r="H23" i="32" s="1"/>
  <c r="H30" i="32"/>
  <c r="H32" i="32" s="1"/>
  <c r="E72" i="32"/>
  <c r="E89" i="32" s="1"/>
  <c r="E91" i="32" s="1"/>
  <c r="F72" i="32"/>
  <c r="F89" i="32" s="1"/>
  <c r="H82" i="32"/>
  <c r="H88" i="32" s="1"/>
  <c r="H41" i="32"/>
  <c r="H44" i="32" s="1"/>
  <c r="H89" i="32" l="1"/>
  <c r="H91" i="32" s="1"/>
  <c r="F91" i="32"/>
  <c r="J39" i="29" l="1"/>
  <c r="M91" i="30"/>
  <c r="J89" i="30"/>
  <c r="J90" i="30" s="1"/>
  <c r="I89" i="30"/>
  <c r="I90" i="30" s="1"/>
  <c r="D89" i="30"/>
  <c r="L88" i="30"/>
  <c r="K88" i="30"/>
  <c r="M88" i="30" s="1"/>
  <c r="K87" i="30"/>
  <c r="H87" i="30"/>
  <c r="F87" i="30"/>
  <c r="L87" i="30" s="1"/>
  <c r="L86" i="30"/>
  <c r="K86" i="30"/>
  <c r="M86" i="30" s="1"/>
  <c r="K85" i="30"/>
  <c r="H85" i="30"/>
  <c r="F85" i="30"/>
  <c r="L85" i="30" s="1"/>
  <c r="L84" i="30"/>
  <c r="K84" i="30"/>
  <c r="M84" i="30" s="1"/>
  <c r="H84" i="30"/>
  <c r="H89" i="30" s="1"/>
  <c r="G84" i="30"/>
  <c r="G89" i="30" s="1"/>
  <c r="G90" i="30" s="1"/>
  <c r="F84" i="30"/>
  <c r="F89" i="30" s="1"/>
  <c r="E84" i="30"/>
  <c r="E89" i="30" s="1"/>
  <c r="L83" i="30"/>
  <c r="K83" i="30"/>
  <c r="M83" i="30" s="1"/>
  <c r="M82" i="30"/>
  <c r="L82" i="30"/>
  <c r="K82" i="30"/>
  <c r="M81" i="30"/>
  <c r="L81" i="30"/>
  <c r="K81" i="30"/>
  <c r="L80" i="30"/>
  <c r="K80" i="30"/>
  <c r="M80" i="30" s="1"/>
  <c r="L79" i="30"/>
  <c r="K79" i="30"/>
  <c r="M79" i="30" s="1"/>
  <c r="L78" i="30"/>
  <c r="K78" i="30"/>
  <c r="M78" i="30" s="1"/>
  <c r="M77" i="30"/>
  <c r="L77" i="30"/>
  <c r="K77" i="30"/>
  <c r="L76" i="30"/>
  <c r="K76" i="30"/>
  <c r="M76" i="30" s="1"/>
  <c r="M75" i="30"/>
  <c r="J74" i="30"/>
  <c r="I74" i="30"/>
  <c r="H74" i="30"/>
  <c r="D74" i="30"/>
  <c r="D90" i="30" s="1"/>
  <c r="M73" i="30"/>
  <c r="L73" i="30"/>
  <c r="K73" i="30"/>
  <c r="M72" i="30"/>
  <c r="L72" i="30"/>
  <c r="K72" i="30"/>
  <c r="L71" i="30"/>
  <c r="K71" i="30"/>
  <c r="M71" i="30" s="1"/>
  <c r="K70" i="30"/>
  <c r="H70" i="30"/>
  <c r="F70" i="30"/>
  <c r="L70" i="30" s="1"/>
  <c r="L69" i="30"/>
  <c r="K69" i="30"/>
  <c r="M69" i="30" s="1"/>
  <c r="H69" i="30"/>
  <c r="G69" i="30"/>
  <c r="F69" i="30"/>
  <c r="E69" i="30"/>
  <c r="K68" i="30"/>
  <c r="M68" i="30" s="1"/>
  <c r="F68" i="30"/>
  <c r="L68" i="30" s="1"/>
  <c r="E68" i="30"/>
  <c r="H67" i="30"/>
  <c r="G67" i="30"/>
  <c r="F67" i="30"/>
  <c r="L67" i="30" s="1"/>
  <c r="E67" i="30"/>
  <c r="K67" i="30" s="1"/>
  <c r="L66" i="30"/>
  <c r="K66" i="30"/>
  <c r="M66" i="30" s="1"/>
  <c r="L65" i="30"/>
  <c r="K65" i="30"/>
  <c r="M65" i="30" s="1"/>
  <c r="M64" i="30"/>
  <c r="L64" i="30"/>
  <c r="K64" i="30"/>
  <c r="H63" i="30"/>
  <c r="G63" i="30"/>
  <c r="G74" i="30" s="1"/>
  <c r="F63" i="30"/>
  <c r="L63" i="30" s="1"/>
  <c r="E63" i="30"/>
  <c r="K63" i="30" s="1"/>
  <c r="K62" i="30"/>
  <c r="H62" i="30"/>
  <c r="L62" i="30" s="1"/>
  <c r="F62" i="30"/>
  <c r="L61" i="30"/>
  <c r="K61" i="30"/>
  <c r="M61" i="30" s="1"/>
  <c r="K60" i="30"/>
  <c r="F60" i="30"/>
  <c r="L60" i="30" s="1"/>
  <c r="E60" i="30"/>
  <c r="L59" i="30"/>
  <c r="K59" i="30"/>
  <c r="M59" i="30" s="1"/>
  <c r="L58" i="30"/>
  <c r="K58" i="30"/>
  <c r="M58" i="30" s="1"/>
  <c r="F57" i="30"/>
  <c r="F74" i="30" s="1"/>
  <c r="E57" i="30"/>
  <c r="E74" i="30" s="1"/>
  <c r="L56" i="30"/>
  <c r="K56" i="30"/>
  <c r="M56" i="30" s="1"/>
  <c r="L55" i="30"/>
  <c r="K55" i="30"/>
  <c r="M55" i="30" s="1"/>
  <c r="M54" i="30"/>
  <c r="L54" i="30"/>
  <c r="K54" i="30"/>
  <c r="L53" i="30"/>
  <c r="K53" i="30"/>
  <c r="M53" i="30" s="1"/>
  <c r="L52" i="30"/>
  <c r="K52" i="30"/>
  <c r="M52" i="30" s="1"/>
  <c r="M51" i="30"/>
  <c r="L51" i="30"/>
  <c r="K51" i="30"/>
  <c r="M50" i="30"/>
  <c r="L50" i="30"/>
  <c r="K50" i="30"/>
  <c r="L49" i="30"/>
  <c r="K49" i="30"/>
  <c r="M48" i="30"/>
  <c r="J47" i="30"/>
  <c r="I47" i="30"/>
  <c r="H47" i="30"/>
  <c r="G47" i="30"/>
  <c r="F47" i="30"/>
  <c r="D47" i="30"/>
  <c r="L46" i="30"/>
  <c r="K46" i="30"/>
  <c r="M46" i="30" s="1"/>
  <c r="M45" i="30"/>
  <c r="L45" i="30"/>
  <c r="K45" i="30"/>
  <c r="L44" i="30"/>
  <c r="F44" i="30"/>
  <c r="E44" i="30"/>
  <c r="E47" i="30" s="1"/>
  <c r="M43" i="30"/>
  <c r="L43" i="30"/>
  <c r="K43" i="30"/>
  <c r="L42" i="30"/>
  <c r="L47" i="30" s="1"/>
  <c r="K42" i="30"/>
  <c r="M42" i="30" s="1"/>
  <c r="L41" i="30"/>
  <c r="K41" i="30"/>
  <c r="M40" i="30"/>
  <c r="K39" i="30"/>
  <c r="J39" i="30"/>
  <c r="I39" i="30"/>
  <c r="G39" i="30"/>
  <c r="E39" i="30"/>
  <c r="D39" i="30"/>
  <c r="K38" i="30"/>
  <c r="H38" i="30"/>
  <c r="F38" i="30"/>
  <c r="F39" i="30" s="1"/>
  <c r="K37" i="30"/>
  <c r="H37" i="30"/>
  <c r="L37" i="30" s="1"/>
  <c r="F37" i="30"/>
  <c r="M36" i="30"/>
  <c r="J35" i="30"/>
  <c r="I35" i="30"/>
  <c r="H35" i="30"/>
  <c r="D35" i="30"/>
  <c r="M34" i="30"/>
  <c r="L34" i="30"/>
  <c r="K34" i="30"/>
  <c r="H33" i="30"/>
  <c r="G33" i="30"/>
  <c r="G35" i="30" s="1"/>
  <c r="F33" i="30"/>
  <c r="L33" i="30" s="1"/>
  <c r="L35" i="30" s="1"/>
  <c r="E33" i="30"/>
  <c r="K33" i="30" s="1"/>
  <c r="L32" i="30"/>
  <c r="K32" i="30"/>
  <c r="M32" i="30" s="1"/>
  <c r="L31" i="30"/>
  <c r="K31" i="30"/>
  <c r="K35" i="30" s="1"/>
  <c r="M30" i="30"/>
  <c r="L30" i="30"/>
  <c r="K30" i="30"/>
  <c r="M29" i="30"/>
  <c r="M28" i="30"/>
  <c r="M27" i="30"/>
  <c r="L26" i="30"/>
  <c r="E26" i="30"/>
  <c r="L25" i="30"/>
  <c r="K25" i="30"/>
  <c r="K26" i="30" s="1"/>
  <c r="M26" i="30" s="1"/>
  <c r="I25" i="30"/>
  <c r="I26" i="30" s="1"/>
  <c r="G25" i="30"/>
  <c r="G26" i="30" s="1"/>
  <c r="E25" i="30"/>
  <c r="D25" i="30"/>
  <c r="D26" i="30" s="1"/>
  <c r="M24" i="30"/>
  <c r="L24" i="30"/>
  <c r="K24" i="30"/>
  <c r="M23" i="30"/>
  <c r="M22" i="30"/>
  <c r="M21" i="30"/>
  <c r="J19" i="30"/>
  <c r="I19" i="30"/>
  <c r="H19" i="30"/>
  <c r="G19" i="30"/>
  <c r="F19" i="30"/>
  <c r="L19" i="30" s="1"/>
  <c r="E19" i="30"/>
  <c r="D19" i="30"/>
  <c r="L18" i="30"/>
  <c r="K18" i="30"/>
  <c r="K19" i="30" s="1"/>
  <c r="M19" i="30" s="1"/>
  <c r="M17" i="30"/>
  <c r="J16" i="30"/>
  <c r="I16" i="30"/>
  <c r="H16" i="30"/>
  <c r="G16" i="30"/>
  <c r="F16" i="30"/>
  <c r="E16" i="30"/>
  <c r="D16" i="30"/>
  <c r="D20" i="30" s="1"/>
  <c r="M15" i="30"/>
  <c r="L15" i="30"/>
  <c r="K15" i="30"/>
  <c r="M14" i="30"/>
  <c r="L14" i="30"/>
  <c r="K14" i="30"/>
  <c r="L13" i="30"/>
  <c r="L16" i="30" s="1"/>
  <c r="K13" i="30"/>
  <c r="M13" i="30" s="1"/>
  <c r="L12" i="30"/>
  <c r="K12" i="30"/>
  <c r="K16" i="30" s="1"/>
  <c r="M16" i="30" s="1"/>
  <c r="M11" i="30"/>
  <c r="K10" i="30"/>
  <c r="J10" i="30"/>
  <c r="J20" i="30" s="1"/>
  <c r="J92" i="30" s="1"/>
  <c r="I10" i="30"/>
  <c r="I20" i="30" s="1"/>
  <c r="I92" i="30" s="1"/>
  <c r="G10" i="30"/>
  <c r="G20" i="30" s="1"/>
  <c r="G92" i="30" s="1"/>
  <c r="F10" i="30"/>
  <c r="F20" i="30" s="1"/>
  <c r="E10" i="30"/>
  <c r="E20" i="30" s="1"/>
  <c r="D10" i="30"/>
  <c r="M9" i="30"/>
  <c r="L9" i="30"/>
  <c r="K9" i="30"/>
  <c r="L8" i="30"/>
  <c r="L10" i="30" s="1"/>
  <c r="L20" i="30" s="1"/>
  <c r="K8" i="30"/>
  <c r="M8" i="30" s="1"/>
  <c r="H8" i="30"/>
  <c r="H10" i="30" s="1"/>
  <c r="H20" i="30" s="1"/>
  <c r="H90" i="30" l="1"/>
  <c r="H92" i="30" s="1"/>
  <c r="D92" i="30"/>
  <c r="M62" i="30"/>
  <c r="M33" i="30"/>
  <c r="L74" i="30"/>
  <c r="M63" i="30"/>
  <c r="M87" i="30"/>
  <c r="M60" i="30"/>
  <c r="M70" i="30"/>
  <c r="L89" i="30"/>
  <c r="M10" i="30"/>
  <c r="M67" i="30"/>
  <c r="M85" i="30"/>
  <c r="M35" i="30"/>
  <c r="M37" i="30"/>
  <c r="L39" i="30"/>
  <c r="M39" i="30" s="1"/>
  <c r="M18" i="30"/>
  <c r="E35" i="30"/>
  <c r="E90" i="30" s="1"/>
  <c r="E92" i="30" s="1"/>
  <c r="H39" i="30"/>
  <c r="M49" i="30"/>
  <c r="K57" i="30"/>
  <c r="M57" i="30" s="1"/>
  <c r="K89" i="30"/>
  <c r="M12" i="30"/>
  <c r="M25" i="30"/>
  <c r="M31" i="30"/>
  <c r="F35" i="30"/>
  <c r="F90" i="30" s="1"/>
  <c r="F92" i="30" s="1"/>
  <c r="M41" i="30"/>
  <c r="L57" i="30"/>
  <c r="K20" i="30"/>
  <c r="L38" i="30"/>
  <c r="M38" i="30" s="1"/>
  <c r="K44" i="30"/>
  <c r="M44" i="30" s="1"/>
  <c r="M89" i="30" l="1"/>
  <c r="K74" i="30"/>
  <c r="M74" i="30" s="1"/>
  <c r="M20" i="30"/>
  <c r="L90" i="30"/>
  <c r="L92" i="30" s="1"/>
  <c r="K47" i="30"/>
  <c r="M47" i="30" s="1"/>
  <c r="K90" i="30" l="1"/>
  <c r="M90" i="30" l="1"/>
  <c r="K92" i="30"/>
  <c r="M92" i="30" s="1"/>
  <c r="D92" i="29" l="1"/>
  <c r="H70" i="29" l="1"/>
  <c r="F70" i="29"/>
  <c r="H63" i="29"/>
  <c r="F63" i="29"/>
  <c r="L63" i="29" s="1"/>
  <c r="H87" i="29"/>
  <c r="H89" i="29" s="1"/>
  <c r="F87" i="29"/>
  <c r="H85" i="29"/>
  <c r="F85" i="29"/>
  <c r="L85" i="29" s="1"/>
  <c r="H69" i="29"/>
  <c r="F69" i="29"/>
  <c r="F68" i="29"/>
  <c r="F62" i="29"/>
  <c r="H37" i="29"/>
  <c r="H38" i="29"/>
  <c r="F38" i="29"/>
  <c r="H62" i="29"/>
  <c r="L68" i="29"/>
  <c r="F37" i="29"/>
  <c r="F39" i="29" s="1"/>
  <c r="L38" i="29"/>
  <c r="K8" i="29"/>
  <c r="L8" i="29"/>
  <c r="K10" i="29"/>
  <c r="K20" i="29" s="1"/>
  <c r="K92" i="29" s="1"/>
  <c r="L9" i="29"/>
  <c r="G92" i="29"/>
  <c r="G90" i="29"/>
  <c r="I90" i="29"/>
  <c r="J90" i="29"/>
  <c r="K90" i="29"/>
  <c r="L77" i="29"/>
  <c r="L78" i="29"/>
  <c r="L79" i="29"/>
  <c r="L80" i="29"/>
  <c r="L81" i="29"/>
  <c r="L82" i="29"/>
  <c r="L83" i="29"/>
  <c r="L84" i="29"/>
  <c r="L86" i="29"/>
  <c r="L87" i="29"/>
  <c r="L88" i="29"/>
  <c r="L76" i="29"/>
  <c r="I89" i="29"/>
  <c r="J89" i="29"/>
  <c r="H84" i="29"/>
  <c r="F84" i="29"/>
  <c r="F89" i="29" s="1"/>
  <c r="L34" i="29"/>
  <c r="L35" i="29" s="1"/>
  <c r="K68" i="29"/>
  <c r="L50" i="29"/>
  <c r="L51" i="29"/>
  <c r="L52" i="29"/>
  <c r="L53" i="29"/>
  <c r="L54" i="29"/>
  <c r="L55" i="29"/>
  <c r="L56" i="29"/>
  <c r="L57" i="29"/>
  <c r="L58" i="29"/>
  <c r="L59" i="29"/>
  <c r="L60" i="29"/>
  <c r="L61" i="29"/>
  <c r="L62" i="29"/>
  <c r="L64" i="29"/>
  <c r="L65" i="29"/>
  <c r="L66" i="29"/>
  <c r="L67" i="29"/>
  <c r="L70" i="29"/>
  <c r="L71" i="29"/>
  <c r="L72" i="29"/>
  <c r="L73" i="29"/>
  <c r="L49" i="29"/>
  <c r="J74" i="29"/>
  <c r="H67" i="29"/>
  <c r="F57" i="29"/>
  <c r="F60" i="29"/>
  <c r="F67" i="29"/>
  <c r="L41" i="29"/>
  <c r="L47" i="29"/>
  <c r="L42" i="29"/>
  <c r="L43" i="29"/>
  <c r="L44" i="29"/>
  <c r="L45" i="29"/>
  <c r="L46" i="29"/>
  <c r="J47" i="29"/>
  <c r="H47" i="29"/>
  <c r="F44" i="29"/>
  <c r="F47" i="29"/>
  <c r="L37" i="29"/>
  <c r="K37" i="29"/>
  <c r="L31" i="29"/>
  <c r="L32" i="29"/>
  <c r="L33" i="29"/>
  <c r="L30" i="29"/>
  <c r="K30" i="29"/>
  <c r="H35" i="29"/>
  <c r="I35" i="29"/>
  <c r="J35" i="29"/>
  <c r="F35" i="29"/>
  <c r="H33" i="29"/>
  <c r="F33" i="29"/>
  <c r="L19" i="29"/>
  <c r="L18" i="29"/>
  <c r="K18" i="29"/>
  <c r="K19" i="29"/>
  <c r="F20" i="29"/>
  <c r="G20" i="29"/>
  <c r="H20" i="29"/>
  <c r="J20" i="29"/>
  <c r="J92" i="29" s="1"/>
  <c r="J19" i="29"/>
  <c r="H19" i="29"/>
  <c r="F19" i="29"/>
  <c r="E19" i="29"/>
  <c r="E20" i="29"/>
  <c r="L13" i="29"/>
  <c r="L14" i="29"/>
  <c r="L15" i="29"/>
  <c r="K13" i="29"/>
  <c r="K14" i="29"/>
  <c r="K15" i="29"/>
  <c r="L12" i="29"/>
  <c r="K12" i="29"/>
  <c r="J16" i="29"/>
  <c r="H16" i="29"/>
  <c r="F16" i="29"/>
  <c r="J10" i="29"/>
  <c r="H10" i="29"/>
  <c r="H8" i="28"/>
  <c r="F10" i="29"/>
  <c r="L24" i="29"/>
  <c r="L25" i="29" s="1"/>
  <c r="L26" i="29" s="1"/>
  <c r="D89" i="29"/>
  <c r="K88" i="29"/>
  <c r="K87" i="29"/>
  <c r="K86" i="29"/>
  <c r="K85" i="29"/>
  <c r="G84" i="29"/>
  <c r="G89" i="29" s="1"/>
  <c r="E84" i="29"/>
  <c r="E89" i="29" s="1"/>
  <c r="K83" i="29"/>
  <c r="K82" i="29"/>
  <c r="K81" i="29"/>
  <c r="K80" i="29"/>
  <c r="K79" i="29"/>
  <c r="K78" i="29"/>
  <c r="K77" i="29"/>
  <c r="K76" i="29"/>
  <c r="I74" i="29"/>
  <c r="D74" i="29"/>
  <c r="K73" i="29"/>
  <c r="K72" i="29"/>
  <c r="K71" i="29"/>
  <c r="K70" i="29"/>
  <c r="G69" i="29"/>
  <c r="E69" i="29"/>
  <c r="K69" i="29" s="1"/>
  <c r="E68" i="29"/>
  <c r="G67" i="29"/>
  <c r="E67" i="29"/>
  <c r="K66" i="29"/>
  <c r="K65" i="29"/>
  <c r="K64" i="29"/>
  <c r="G63" i="29"/>
  <c r="E63" i="29"/>
  <c r="K62" i="29"/>
  <c r="K61" i="29"/>
  <c r="E60" i="29"/>
  <c r="K60" i="29" s="1"/>
  <c r="K59" i="29"/>
  <c r="K58" i="29"/>
  <c r="E57" i="29"/>
  <c r="K57" i="29" s="1"/>
  <c r="K56" i="29"/>
  <c r="K55" i="29"/>
  <c r="K54" i="29"/>
  <c r="K53" i="29"/>
  <c r="K52" i="29"/>
  <c r="K51" i="29"/>
  <c r="K50" i="29"/>
  <c r="K49" i="29"/>
  <c r="I47" i="29"/>
  <c r="G47" i="29"/>
  <c r="D47" i="29"/>
  <c r="K46" i="29"/>
  <c r="K45" i="29"/>
  <c r="E44" i="29"/>
  <c r="K44" i="29" s="1"/>
  <c r="K43" i="29"/>
  <c r="K42" i="29"/>
  <c r="K41" i="29"/>
  <c r="I39" i="29"/>
  <c r="G39" i="29"/>
  <c r="E39" i="29"/>
  <c r="D39" i="29"/>
  <c r="K38" i="29"/>
  <c r="D35" i="29"/>
  <c r="K34" i="29"/>
  <c r="G33" i="29"/>
  <c r="G35" i="29" s="1"/>
  <c r="E33" i="29"/>
  <c r="E35" i="29" s="1"/>
  <c r="K32" i="29"/>
  <c r="K31" i="29"/>
  <c r="I25" i="29"/>
  <c r="I26" i="29" s="1"/>
  <c r="G25" i="29"/>
  <c r="G26" i="29" s="1"/>
  <c r="E25" i="29"/>
  <c r="E26" i="29" s="1"/>
  <c r="D25" i="29"/>
  <c r="D26" i="29" s="1"/>
  <c r="K24" i="29"/>
  <c r="K25" i="29" s="1"/>
  <c r="K26" i="29" s="1"/>
  <c r="I19" i="29"/>
  <c r="G19" i="29"/>
  <c r="D19" i="29"/>
  <c r="I16" i="29"/>
  <c r="G16" i="29"/>
  <c r="E16" i="29"/>
  <c r="D16" i="29"/>
  <c r="I10" i="29"/>
  <c r="I20" i="29" s="1"/>
  <c r="I92" i="29" s="1"/>
  <c r="G10" i="29"/>
  <c r="E10" i="29"/>
  <c r="D10" i="29"/>
  <c r="D20" i="29" s="1"/>
  <c r="K9" i="29"/>
  <c r="F74" i="29" l="1"/>
  <c r="F90" i="29" s="1"/>
  <c r="F92" i="29" s="1"/>
  <c r="L69" i="29"/>
  <c r="H74" i="29"/>
  <c r="L74" i="29"/>
  <c r="H39" i="29"/>
  <c r="L89" i="29"/>
  <c r="L39" i="29"/>
  <c r="L16" i="29"/>
  <c r="L10" i="29"/>
  <c r="G74" i="29"/>
  <c r="K67" i="29"/>
  <c r="E74" i="29"/>
  <c r="K16" i="29"/>
  <c r="K84" i="29"/>
  <c r="K89" i="29" s="1"/>
  <c r="E47" i="29"/>
  <c r="K39" i="29"/>
  <c r="K63" i="29"/>
  <c r="D90" i="29"/>
  <c r="K47" i="29"/>
  <c r="K33" i="29"/>
  <c r="K35" i="29" s="1"/>
  <c r="H90" i="29" l="1"/>
  <c r="H92" i="29" s="1"/>
  <c r="G93" i="29" s="1"/>
  <c r="L90" i="29"/>
  <c r="L20" i="29"/>
  <c r="K74" i="29"/>
  <c r="E90" i="29"/>
  <c r="E92" i="29" s="1"/>
  <c r="L92" i="29" l="1"/>
  <c r="G89" i="28"/>
  <c r="D89" i="28"/>
  <c r="H88" i="28"/>
  <c r="H87" i="28"/>
  <c r="H86" i="28"/>
  <c r="H85" i="28"/>
  <c r="F84" i="28"/>
  <c r="F89" i="28" s="1"/>
  <c r="E84" i="28"/>
  <c r="H84" i="28" s="1"/>
  <c r="H83" i="28"/>
  <c r="H82" i="28"/>
  <c r="H81" i="28"/>
  <c r="H80" i="28"/>
  <c r="H79" i="28"/>
  <c r="H78" i="28"/>
  <c r="H77" i="28"/>
  <c r="H76" i="28"/>
  <c r="G74" i="28"/>
  <c r="D74" i="28"/>
  <c r="H73" i="28"/>
  <c r="H72" i="28"/>
  <c r="H71" i="28"/>
  <c r="H70" i="28"/>
  <c r="F69" i="28"/>
  <c r="E69" i="28"/>
  <c r="E68" i="28"/>
  <c r="H68" i="28" s="1"/>
  <c r="F67" i="28"/>
  <c r="E67" i="28"/>
  <c r="H66" i="28"/>
  <c r="H65" i="28"/>
  <c r="H64" i="28"/>
  <c r="F63" i="28"/>
  <c r="E63" i="28"/>
  <c r="H63" i="28" s="1"/>
  <c r="H62" i="28"/>
  <c r="H61" i="28"/>
  <c r="E60" i="28"/>
  <c r="H60" i="28" s="1"/>
  <c r="H59" i="28"/>
  <c r="H58" i="28"/>
  <c r="E57" i="28"/>
  <c r="H57" i="28" s="1"/>
  <c r="H56" i="28"/>
  <c r="H55" i="28"/>
  <c r="H54" i="28"/>
  <c r="H53" i="28"/>
  <c r="H52" i="28"/>
  <c r="H51" i="28"/>
  <c r="H50" i="28"/>
  <c r="H49" i="28"/>
  <c r="G47" i="28"/>
  <c r="F47" i="28"/>
  <c r="D47" i="28"/>
  <c r="H46" i="28"/>
  <c r="H45" i="28"/>
  <c r="E44" i="28"/>
  <c r="E47" i="28" s="1"/>
  <c r="H43" i="28"/>
  <c r="H42" i="28"/>
  <c r="H41" i="28"/>
  <c r="G39" i="28"/>
  <c r="F39" i="28"/>
  <c r="E39" i="28"/>
  <c r="D39" i="28"/>
  <c r="H38" i="28"/>
  <c r="H37" i="28"/>
  <c r="G35" i="28"/>
  <c r="D35" i="28"/>
  <c r="H34" i="28"/>
  <c r="F33" i="28"/>
  <c r="E33" i="28"/>
  <c r="E35" i="28" s="1"/>
  <c r="H32" i="28"/>
  <c r="H31" i="28"/>
  <c r="H30" i="28"/>
  <c r="G25" i="28"/>
  <c r="G26" i="28" s="1"/>
  <c r="F25" i="28"/>
  <c r="F26" i="28" s="1"/>
  <c r="E25" i="28"/>
  <c r="E26" i="28" s="1"/>
  <c r="D25" i="28"/>
  <c r="D26" i="28" s="1"/>
  <c r="H24" i="28"/>
  <c r="H25" i="28" s="1"/>
  <c r="H26" i="28" s="1"/>
  <c r="G19" i="28"/>
  <c r="F19" i="28"/>
  <c r="E19" i="28"/>
  <c r="D19" i="28"/>
  <c r="H18" i="28"/>
  <c r="H19" i="28" s="1"/>
  <c r="G16" i="28"/>
  <c r="F16" i="28"/>
  <c r="E16" i="28"/>
  <c r="D16" i="28"/>
  <c r="H15" i="28"/>
  <c r="H14" i="28"/>
  <c r="H13" i="28"/>
  <c r="H12" i="28"/>
  <c r="G10" i="28"/>
  <c r="F10" i="28"/>
  <c r="E10" i="28"/>
  <c r="D10" i="28"/>
  <c r="H9" i="28"/>
  <c r="K91" i="27"/>
  <c r="J91" i="27"/>
  <c r="I91" i="27"/>
  <c r="H91" i="27"/>
  <c r="F91" i="27"/>
  <c r="E91" i="27"/>
  <c r="D91" i="27"/>
  <c r="D92" i="27" s="1"/>
  <c r="L90" i="27"/>
  <c r="K90" i="27"/>
  <c r="L89" i="27"/>
  <c r="K89" i="27"/>
  <c r="L88" i="27"/>
  <c r="K88" i="27"/>
  <c r="L87" i="27"/>
  <c r="K87" i="27"/>
  <c r="L86" i="27"/>
  <c r="K86" i="27"/>
  <c r="H86" i="27"/>
  <c r="G86" i="27"/>
  <c r="G91" i="27" s="1"/>
  <c r="F86" i="27"/>
  <c r="E86" i="27"/>
  <c r="L85" i="27"/>
  <c r="K85" i="27"/>
  <c r="L84" i="27"/>
  <c r="K84" i="27"/>
  <c r="L83" i="27"/>
  <c r="K83" i="27"/>
  <c r="L82" i="27"/>
  <c r="K82" i="27"/>
  <c r="L81" i="27"/>
  <c r="K81" i="27"/>
  <c r="L80" i="27"/>
  <c r="L91" i="27" s="1"/>
  <c r="K80" i="27"/>
  <c r="L79" i="27"/>
  <c r="K79" i="27"/>
  <c r="L78" i="27"/>
  <c r="K78" i="27"/>
  <c r="J76" i="27"/>
  <c r="J92" i="27" s="1"/>
  <c r="I76" i="27"/>
  <c r="D76" i="27"/>
  <c r="L75" i="27"/>
  <c r="K75" i="27"/>
  <c r="L74" i="27"/>
  <c r="K74" i="27"/>
  <c r="L73" i="27"/>
  <c r="K73" i="27"/>
  <c r="L72" i="27"/>
  <c r="K72" i="27"/>
  <c r="K71" i="27"/>
  <c r="H71" i="27"/>
  <c r="L71" i="27" s="1"/>
  <c r="G71" i="27"/>
  <c r="F71" i="27"/>
  <c r="E71" i="27"/>
  <c r="F70" i="27"/>
  <c r="L70" i="27" s="1"/>
  <c r="E70" i="27"/>
  <c r="K70" i="27" s="1"/>
  <c r="L69" i="27"/>
  <c r="H69" i="27"/>
  <c r="F69" i="27"/>
  <c r="E69" i="27"/>
  <c r="K69" i="27" s="1"/>
  <c r="L68" i="27"/>
  <c r="K68" i="27"/>
  <c r="L67" i="27"/>
  <c r="K67" i="27"/>
  <c r="G67" i="27"/>
  <c r="F67" i="27"/>
  <c r="E67" i="27"/>
  <c r="L66" i="27"/>
  <c r="K66" i="27"/>
  <c r="K65" i="27"/>
  <c r="H65" i="27"/>
  <c r="H76" i="27" s="1"/>
  <c r="G65" i="27"/>
  <c r="F65" i="27"/>
  <c r="E65" i="27"/>
  <c r="L64" i="27"/>
  <c r="K64" i="27"/>
  <c r="L63" i="27"/>
  <c r="K63" i="27"/>
  <c r="L62" i="27"/>
  <c r="K62" i="27"/>
  <c r="F62" i="27"/>
  <c r="E62" i="27"/>
  <c r="L61" i="27"/>
  <c r="G61" i="27"/>
  <c r="E61" i="27"/>
  <c r="K61" i="27" s="1"/>
  <c r="L60" i="27"/>
  <c r="K60" i="27"/>
  <c r="G59" i="27"/>
  <c r="G76" i="27" s="1"/>
  <c r="F59" i="27"/>
  <c r="L59" i="27" s="1"/>
  <c r="E59" i="27"/>
  <c r="K59" i="27" s="1"/>
  <c r="L58" i="27"/>
  <c r="K58" i="27"/>
  <c r="L57" i="27"/>
  <c r="K57" i="27"/>
  <c r="L56" i="27"/>
  <c r="K56" i="27"/>
  <c r="L55" i="27"/>
  <c r="K55" i="27"/>
  <c r="L54" i="27"/>
  <c r="K54" i="27"/>
  <c r="L53" i="27"/>
  <c r="K53" i="27"/>
  <c r="L52" i="27"/>
  <c r="K52" i="27"/>
  <c r="L51" i="27"/>
  <c r="K51" i="27"/>
  <c r="K76" i="27" s="1"/>
  <c r="J49" i="27"/>
  <c r="I49" i="27"/>
  <c r="H49" i="27"/>
  <c r="G49" i="27"/>
  <c r="D49" i="27"/>
  <c r="L48" i="27"/>
  <c r="K48" i="27"/>
  <c r="L47" i="27"/>
  <c r="E47" i="27"/>
  <c r="K47" i="27" s="1"/>
  <c r="F46" i="27"/>
  <c r="F49" i="27" s="1"/>
  <c r="E46" i="27"/>
  <c r="E49" i="27" s="1"/>
  <c r="L45" i="27"/>
  <c r="K45" i="27"/>
  <c r="L44" i="27"/>
  <c r="K44" i="27"/>
  <c r="L43" i="27"/>
  <c r="K43" i="27"/>
  <c r="L41" i="27"/>
  <c r="J41" i="27"/>
  <c r="H41" i="27"/>
  <c r="G41" i="27"/>
  <c r="F41" i="27"/>
  <c r="D41" i="27"/>
  <c r="L40" i="27"/>
  <c r="K40" i="27"/>
  <c r="L39" i="27"/>
  <c r="K39" i="27"/>
  <c r="L38" i="27"/>
  <c r="I38" i="27"/>
  <c r="I41" i="27" s="1"/>
  <c r="E38" i="27"/>
  <c r="K38" i="27" s="1"/>
  <c r="K41" i="27" s="1"/>
  <c r="J36" i="27"/>
  <c r="I36" i="27"/>
  <c r="E36" i="27"/>
  <c r="D36" i="27"/>
  <c r="L35" i="27"/>
  <c r="K35" i="27"/>
  <c r="H34" i="27"/>
  <c r="H36" i="27" s="1"/>
  <c r="G34" i="27"/>
  <c r="G36" i="27" s="1"/>
  <c r="F34" i="27"/>
  <c r="L34" i="27" s="1"/>
  <c r="L33" i="27"/>
  <c r="K33" i="27"/>
  <c r="L32" i="27"/>
  <c r="K32" i="27"/>
  <c r="L31" i="27"/>
  <c r="K31" i="27"/>
  <c r="L30" i="27"/>
  <c r="K30" i="27"/>
  <c r="J26" i="27"/>
  <c r="D26" i="27"/>
  <c r="J25" i="27"/>
  <c r="I25" i="27"/>
  <c r="I26" i="27" s="1"/>
  <c r="H25" i="27"/>
  <c r="H26" i="27" s="1"/>
  <c r="G25" i="27"/>
  <c r="G26" i="27" s="1"/>
  <c r="F25" i="27"/>
  <c r="F26" i="27" s="1"/>
  <c r="E25" i="27"/>
  <c r="E26" i="27" s="1"/>
  <c r="D25" i="27"/>
  <c r="L24" i="27"/>
  <c r="L25" i="27" s="1"/>
  <c r="L26" i="27" s="1"/>
  <c r="E24" i="27"/>
  <c r="K24" i="27" s="1"/>
  <c r="K25" i="27" s="1"/>
  <c r="K26" i="27" s="1"/>
  <c r="J19" i="27"/>
  <c r="I19" i="27"/>
  <c r="H19" i="27"/>
  <c r="G19" i="27"/>
  <c r="F19" i="27"/>
  <c r="E19" i="27"/>
  <c r="D19" i="27"/>
  <c r="L18" i="27"/>
  <c r="L19" i="27" s="1"/>
  <c r="K18" i="27"/>
  <c r="K19" i="27" s="1"/>
  <c r="J16" i="27"/>
  <c r="I16" i="27"/>
  <c r="H16" i="27"/>
  <c r="G16" i="27"/>
  <c r="F16" i="27"/>
  <c r="E16" i="27"/>
  <c r="E20" i="27" s="1"/>
  <c r="D16" i="27"/>
  <c r="L15" i="27"/>
  <c r="K15" i="27"/>
  <c r="L14" i="27"/>
  <c r="K14" i="27"/>
  <c r="L13" i="27"/>
  <c r="K13" i="27"/>
  <c r="L12" i="27"/>
  <c r="L16" i="27" s="1"/>
  <c r="K12" i="27"/>
  <c r="J10" i="27"/>
  <c r="I10" i="27"/>
  <c r="H10" i="27"/>
  <c r="G10" i="27"/>
  <c r="G20" i="27" s="1"/>
  <c r="F10" i="27"/>
  <c r="E10" i="27"/>
  <c r="D10" i="27"/>
  <c r="L9" i="27"/>
  <c r="K9" i="27"/>
  <c r="L8" i="27"/>
  <c r="K8" i="27"/>
  <c r="K10" i="27" s="1"/>
  <c r="I20" i="27" l="1"/>
  <c r="H20" i="27"/>
  <c r="D20" i="27"/>
  <c r="D94" i="27" s="1"/>
  <c r="L10" i="27"/>
  <c r="L20" i="27" s="1"/>
  <c r="K16" i="27"/>
  <c r="F20" i="27"/>
  <c r="J20" i="27"/>
  <c r="J94" i="27" s="1"/>
  <c r="H67" i="28"/>
  <c r="F74" i="28"/>
  <c r="D20" i="28"/>
  <c r="H16" i="28"/>
  <c r="E20" i="28"/>
  <c r="E89" i="28"/>
  <c r="H33" i="28"/>
  <c r="H35" i="28" s="1"/>
  <c r="H44" i="28"/>
  <c r="G20" i="28"/>
  <c r="G92" i="28" s="1"/>
  <c r="H69" i="28"/>
  <c r="H10" i="28"/>
  <c r="H74" i="28"/>
  <c r="H39" i="28"/>
  <c r="D90" i="28"/>
  <c r="D92" i="28" s="1"/>
  <c r="F20" i="28"/>
  <c r="F35" i="28"/>
  <c r="H47" i="28"/>
  <c r="G90" i="28"/>
  <c r="H89" i="28"/>
  <c r="E74" i="28"/>
  <c r="K20" i="27"/>
  <c r="I92" i="27"/>
  <c r="L76" i="27"/>
  <c r="L92" i="27" s="1"/>
  <c r="I94" i="27"/>
  <c r="H92" i="27"/>
  <c r="H94" i="27" s="1"/>
  <c r="G92" i="27"/>
  <c r="G94" i="27" s="1"/>
  <c r="L36" i="27"/>
  <c r="F36" i="27"/>
  <c r="E41" i="27"/>
  <c r="K46" i="27"/>
  <c r="K49" i="27" s="1"/>
  <c r="L65" i="27"/>
  <c r="K34" i="27"/>
  <c r="K36" i="27" s="1"/>
  <c r="K92" i="27" s="1"/>
  <c r="E76" i="27"/>
  <c r="E92" i="27" s="1"/>
  <c r="E94" i="27" s="1"/>
  <c r="F76" i="27"/>
  <c r="F92" i="27" s="1"/>
  <c r="F94" i="27" s="1"/>
  <c r="L46" i="27"/>
  <c r="L49" i="27" s="1"/>
  <c r="L94" i="27" l="1"/>
  <c r="F90" i="28"/>
  <c r="F92" i="28" s="1"/>
  <c r="E90" i="28"/>
  <c r="E92" i="28" s="1"/>
  <c r="H20" i="28"/>
  <c r="H90" i="28"/>
  <c r="K94" i="27"/>
  <c r="H92" i="28" l="1"/>
  <c r="N41" i="25" l="1"/>
  <c r="P36" i="25" l="1"/>
  <c r="O36" i="25"/>
  <c r="L38" i="25" l="1"/>
  <c r="G59" i="25"/>
  <c r="K59" i="25" s="1"/>
  <c r="F59" i="25"/>
  <c r="L59" i="25" s="1"/>
  <c r="E59" i="25"/>
  <c r="L40" i="25"/>
  <c r="K40" i="25"/>
  <c r="L39" i="25"/>
  <c r="K39" i="25"/>
  <c r="I38" i="25"/>
  <c r="K38" i="25" s="1"/>
  <c r="E38" i="25"/>
  <c r="G88" i="22" l="1"/>
  <c r="D26" i="22"/>
  <c r="D86" i="22"/>
  <c r="K88" i="25" l="1"/>
  <c r="L88" i="25"/>
  <c r="F25" i="25"/>
  <c r="F26" i="25" s="1"/>
  <c r="J36" i="25"/>
  <c r="I36" i="25"/>
  <c r="E36" i="25"/>
  <c r="H49" i="25"/>
  <c r="G49" i="25"/>
  <c r="D49" i="25"/>
  <c r="I76" i="25"/>
  <c r="D76" i="25"/>
  <c r="F69" i="24"/>
  <c r="L87" i="25" l="1"/>
  <c r="G67" i="25"/>
  <c r="E67" i="25"/>
  <c r="F67" i="25" s="1"/>
  <c r="I41" i="25"/>
  <c r="K87" i="25"/>
  <c r="L79" i="25"/>
  <c r="L80" i="25"/>
  <c r="L81" i="25"/>
  <c r="L82" i="25"/>
  <c r="L83" i="25"/>
  <c r="L84" i="25"/>
  <c r="L85" i="25"/>
  <c r="H86" i="25"/>
  <c r="F86" i="25"/>
  <c r="G86" i="25"/>
  <c r="E86" i="25"/>
  <c r="L78" i="25"/>
  <c r="L63" i="25"/>
  <c r="L52" i="25"/>
  <c r="L53" i="25"/>
  <c r="L54" i="25"/>
  <c r="L55" i="25"/>
  <c r="L56" i="25"/>
  <c r="L57" i="25"/>
  <c r="L58" i="25"/>
  <c r="L60" i="25"/>
  <c r="L61" i="25"/>
  <c r="L64" i="25"/>
  <c r="L66" i="25"/>
  <c r="L68" i="25"/>
  <c r="L72" i="25"/>
  <c r="L73" i="25"/>
  <c r="L74" i="25"/>
  <c r="L75" i="25"/>
  <c r="L51" i="25"/>
  <c r="H71" i="25"/>
  <c r="F71" i="25"/>
  <c r="E78" i="24"/>
  <c r="E70" i="25"/>
  <c r="K70" i="25" s="1"/>
  <c r="F70" i="25"/>
  <c r="L70" i="25" s="1"/>
  <c r="H65" i="25"/>
  <c r="H69" i="25"/>
  <c r="F69" i="25"/>
  <c r="E69" i="25"/>
  <c r="F65" i="25"/>
  <c r="F62" i="25"/>
  <c r="E62" i="25"/>
  <c r="K62" i="25" s="1"/>
  <c r="G61" i="25"/>
  <c r="E61" i="25"/>
  <c r="L48" i="25"/>
  <c r="L44" i="25"/>
  <c r="L45" i="25"/>
  <c r="L43" i="25"/>
  <c r="J49" i="25"/>
  <c r="F46" i="25"/>
  <c r="F47" i="25"/>
  <c r="L90" i="25"/>
  <c r="L24" i="25"/>
  <c r="L89" i="25"/>
  <c r="L18" i="25"/>
  <c r="L19" i="25" s="1"/>
  <c r="L13" i="25"/>
  <c r="L14" i="25"/>
  <c r="L15" i="25"/>
  <c r="L12" i="25"/>
  <c r="J10" i="25"/>
  <c r="L9" i="25"/>
  <c r="L8" i="25"/>
  <c r="L31" i="25"/>
  <c r="L32" i="25"/>
  <c r="L33" i="25"/>
  <c r="L35" i="25"/>
  <c r="L30" i="25"/>
  <c r="H34" i="25"/>
  <c r="H36" i="25" s="1"/>
  <c r="F41" i="25"/>
  <c r="G41" i="25"/>
  <c r="H41" i="25"/>
  <c r="J41" i="25"/>
  <c r="F34" i="25"/>
  <c r="F36" i="25" s="1"/>
  <c r="K8" i="25"/>
  <c r="H25" i="25"/>
  <c r="H26" i="25" s="1"/>
  <c r="I25" i="25"/>
  <c r="I26" i="25" s="1"/>
  <c r="J25" i="25"/>
  <c r="J26" i="25" s="1"/>
  <c r="K90" i="25"/>
  <c r="K89" i="25"/>
  <c r="H19" i="25"/>
  <c r="I19" i="25"/>
  <c r="J19" i="25"/>
  <c r="H16" i="25"/>
  <c r="H10" i="25"/>
  <c r="F10" i="25"/>
  <c r="F19" i="25"/>
  <c r="E24" i="25"/>
  <c r="E25" i="25" s="1"/>
  <c r="E26" i="25" s="1"/>
  <c r="F16" i="25"/>
  <c r="G16" i="25"/>
  <c r="I16" i="25"/>
  <c r="J16" i="25"/>
  <c r="K12" i="25"/>
  <c r="K85" i="25"/>
  <c r="K84" i="25"/>
  <c r="K83" i="25"/>
  <c r="K82" i="25"/>
  <c r="K81" i="25"/>
  <c r="K80" i="25"/>
  <c r="K79" i="25"/>
  <c r="K78" i="25"/>
  <c r="K75" i="25"/>
  <c r="K74" i="25"/>
  <c r="K73" i="25"/>
  <c r="K72" i="25"/>
  <c r="G71" i="25"/>
  <c r="E71" i="25"/>
  <c r="K68" i="25"/>
  <c r="K66" i="25"/>
  <c r="G65" i="25"/>
  <c r="E65" i="25"/>
  <c r="K64" i="25"/>
  <c r="K63" i="25"/>
  <c r="K60" i="25"/>
  <c r="K58" i="25"/>
  <c r="K57" i="25"/>
  <c r="K56" i="25"/>
  <c r="K55" i="25"/>
  <c r="K54" i="25"/>
  <c r="K53" i="25"/>
  <c r="K52" i="25"/>
  <c r="K51" i="25"/>
  <c r="I49" i="25"/>
  <c r="K48" i="25"/>
  <c r="E47" i="25"/>
  <c r="K47" i="25" s="1"/>
  <c r="E46" i="25"/>
  <c r="K45" i="25"/>
  <c r="K44" i="25"/>
  <c r="K43" i="25"/>
  <c r="D41" i="25"/>
  <c r="D36" i="25"/>
  <c r="K35" i="25"/>
  <c r="G34" i="25"/>
  <c r="G36" i="25" s="1"/>
  <c r="K33" i="25"/>
  <c r="K32" i="25"/>
  <c r="K31" i="25"/>
  <c r="K30" i="25"/>
  <c r="G25" i="25"/>
  <c r="G26" i="25" s="1"/>
  <c r="D25" i="25"/>
  <c r="D26" i="25" s="1"/>
  <c r="G19" i="25"/>
  <c r="E19" i="25"/>
  <c r="D19" i="25"/>
  <c r="K18" i="25"/>
  <c r="K19" i="25" s="1"/>
  <c r="E16" i="25"/>
  <c r="D16" i="25"/>
  <c r="K15" i="25"/>
  <c r="K14" i="25"/>
  <c r="K13" i="25"/>
  <c r="I10" i="25"/>
  <c r="G10" i="25"/>
  <c r="E10" i="25"/>
  <c r="D10" i="25"/>
  <c r="K9" i="25"/>
  <c r="E27" i="24"/>
  <c r="F28" i="24"/>
  <c r="C37" i="20"/>
  <c r="J23" i="24"/>
  <c r="F38" i="24"/>
  <c r="F78" i="24"/>
  <c r="F71" i="24"/>
  <c r="D90" i="24"/>
  <c r="D89" i="24"/>
  <c r="E89" i="24"/>
  <c r="F89" i="24"/>
  <c r="H89" i="24"/>
  <c r="H43" i="24"/>
  <c r="G78" i="24"/>
  <c r="E36" i="24"/>
  <c r="L25" i="25" l="1"/>
  <c r="L26" i="25" s="1"/>
  <c r="L69" i="25"/>
  <c r="H76" i="25"/>
  <c r="K46" i="25"/>
  <c r="K49" i="25" s="1"/>
  <c r="E49" i="25"/>
  <c r="F76" i="25"/>
  <c r="J76" i="25"/>
  <c r="G76" i="25"/>
  <c r="E76" i="25"/>
  <c r="L46" i="25"/>
  <c r="F49" i="25"/>
  <c r="K34" i="25"/>
  <c r="K36" i="25" s="1"/>
  <c r="L71" i="25"/>
  <c r="K24" i="25"/>
  <c r="K86" i="25"/>
  <c r="L10" i="25"/>
  <c r="L86" i="25"/>
  <c r="L91" i="25" s="1"/>
  <c r="K41" i="25"/>
  <c r="L65" i="25"/>
  <c r="L67" i="25"/>
  <c r="F90" i="24"/>
  <c r="F92" i="24" s="1"/>
  <c r="K67" i="25"/>
  <c r="O41" i="25"/>
  <c r="L62" i="25"/>
  <c r="L47" i="25"/>
  <c r="L16" i="25"/>
  <c r="L34" i="25"/>
  <c r="L36" i="25" s="1"/>
  <c r="L41" i="25"/>
  <c r="J20" i="25"/>
  <c r="G20" i="25"/>
  <c r="K10" i="25"/>
  <c r="K65" i="25"/>
  <c r="F20" i="25"/>
  <c r="K61" i="25"/>
  <c r="K16" i="25"/>
  <c r="E20" i="25"/>
  <c r="K71" i="25"/>
  <c r="D20" i="25"/>
  <c r="K69" i="25"/>
  <c r="H20" i="25"/>
  <c r="I20" i="25"/>
  <c r="E41" i="25"/>
  <c r="L76" i="25" l="1"/>
  <c r="K76" i="25"/>
  <c r="O76" i="25"/>
  <c r="L49" i="25"/>
  <c r="K25" i="25"/>
  <c r="K26" i="25" s="1"/>
  <c r="L20" i="25"/>
  <c r="K20" i="25"/>
  <c r="N76" i="25"/>
  <c r="N36" i="25"/>
  <c r="N26" i="25" l="1"/>
  <c r="P76" i="25"/>
  <c r="F88" i="24"/>
  <c r="E88" i="24"/>
  <c r="G89" i="24"/>
  <c r="H87" i="24"/>
  <c r="H86" i="24"/>
  <c r="H85" i="24"/>
  <c r="H84" i="24"/>
  <c r="H83" i="24"/>
  <c r="H82" i="24"/>
  <c r="H81" i="24"/>
  <c r="H80" i="24"/>
  <c r="D78" i="24"/>
  <c r="H77" i="24"/>
  <c r="H76" i="24"/>
  <c r="H75" i="24"/>
  <c r="H74" i="24"/>
  <c r="F73" i="24"/>
  <c r="E73" i="24"/>
  <c r="H73" i="24" s="1"/>
  <c r="E72" i="24"/>
  <c r="H72" i="24" s="1"/>
  <c r="E71" i="24"/>
  <c r="H71" i="24" s="1"/>
  <c r="H70" i="24"/>
  <c r="H69" i="24"/>
  <c r="H78" i="24" s="1"/>
  <c r="H68" i="24"/>
  <c r="H67" i="24"/>
  <c r="F67" i="24"/>
  <c r="E67" i="24"/>
  <c r="H66" i="24"/>
  <c r="H65" i="24"/>
  <c r="E64" i="24"/>
  <c r="H64" i="24" s="1"/>
  <c r="F63" i="24"/>
  <c r="E63" i="24"/>
  <c r="H62" i="24"/>
  <c r="F61" i="24"/>
  <c r="E61" i="24"/>
  <c r="H61" i="24" s="1"/>
  <c r="H60" i="24"/>
  <c r="H59" i="24"/>
  <c r="H58" i="24"/>
  <c r="H57" i="24"/>
  <c r="H56" i="24"/>
  <c r="H55" i="24"/>
  <c r="H54" i="24"/>
  <c r="H53" i="24"/>
  <c r="G51" i="24"/>
  <c r="F51" i="24"/>
  <c r="D51" i="24"/>
  <c r="H50" i="24"/>
  <c r="E49" i="24"/>
  <c r="H49" i="24" s="1"/>
  <c r="H48" i="24"/>
  <c r="H51" i="24" s="1"/>
  <c r="E48" i="24"/>
  <c r="E51" i="24" s="1"/>
  <c r="H47" i="24"/>
  <c r="H46" i="24"/>
  <c r="H45" i="24"/>
  <c r="F43" i="24"/>
  <c r="E43" i="24"/>
  <c r="D43" i="24"/>
  <c r="H42" i="24"/>
  <c r="H41" i="24"/>
  <c r="G40" i="24"/>
  <c r="G43" i="24" s="1"/>
  <c r="E40" i="24"/>
  <c r="H40" i="24" s="1"/>
  <c r="G38" i="24"/>
  <c r="E38" i="24"/>
  <c r="D38" i="24"/>
  <c r="H37" i="24"/>
  <c r="F36" i="24"/>
  <c r="H36" i="24"/>
  <c r="H35" i="24"/>
  <c r="H34" i="24"/>
  <c r="H33" i="24"/>
  <c r="E33" i="24"/>
  <c r="H32" i="24"/>
  <c r="G27" i="24"/>
  <c r="G28" i="24" s="1"/>
  <c r="F27" i="24"/>
  <c r="D27" i="24"/>
  <c r="D28" i="24" s="1"/>
  <c r="E26" i="24"/>
  <c r="H26" i="24" s="1"/>
  <c r="H27" i="24" s="1"/>
  <c r="H28" i="24" s="1"/>
  <c r="G20" i="24"/>
  <c r="G19" i="24"/>
  <c r="F19" i="24"/>
  <c r="E19" i="24"/>
  <c r="D19" i="24"/>
  <c r="H18" i="24"/>
  <c r="H19" i="24" s="1"/>
  <c r="G16" i="24"/>
  <c r="F16" i="24"/>
  <c r="E16" i="24"/>
  <c r="D16" i="24"/>
  <c r="H15" i="24"/>
  <c r="H14" i="24"/>
  <c r="H13" i="24"/>
  <c r="H12" i="24"/>
  <c r="H16" i="24" s="1"/>
  <c r="G10" i="24"/>
  <c r="F10" i="24"/>
  <c r="F20" i="24" s="1"/>
  <c r="E10" i="24"/>
  <c r="E20" i="24" s="1"/>
  <c r="D10" i="24"/>
  <c r="D20" i="24" s="1"/>
  <c r="H9" i="24"/>
  <c r="H8" i="24"/>
  <c r="H10" i="24" s="1"/>
  <c r="H20" i="24" s="1"/>
  <c r="H90" i="24" l="1"/>
  <c r="H92" i="24" s="1"/>
  <c r="H88" i="24"/>
  <c r="D92" i="24"/>
  <c r="H38" i="24"/>
  <c r="G90" i="24"/>
  <c r="G92" i="24" s="1"/>
  <c r="H63" i="24"/>
  <c r="E28" i="24"/>
  <c r="E90" i="24"/>
  <c r="E92" i="24" l="1"/>
  <c r="D88" i="22" l="1"/>
  <c r="C88" i="22"/>
  <c r="F85" i="22"/>
  <c r="E85" i="22"/>
  <c r="G84" i="22"/>
  <c r="G83" i="22"/>
  <c r="D85" i="22"/>
  <c r="C85" i="22"/>
  <c r="G81" i="22"/>
  <c r="G80" i="22"/>
  <c r="G79" i="22"/>
  <c r="G78" i="22"/>
  <c r="G77" i="22"/>
  <c r="G76" i="22"/>
  <c r="F74" i="22"/>
  <c r="C74" i="22"/>
  <c r="G73" i="22"/>
  <c r="G72" i="22"/>
  <c r="E71" i="22"/>
  <c r="D71" i="22"/>
  <c r="G71" i="22"/>
  <c r="G70" i="22"/>
  <c r="D69" i="22"/>
  <c r="G69" i="22"/>
  <c r="G68" i="22"/>
  <c r="G67" i="22"/>
  <c r="G66" i="22"/>
  <c r="E65" i="22"/>
  <c r="G65" i="22"/>
  <c r="D65" i="22"/>
  <c r="G64" i="22"/>
  <c r="G63" i="22"/>
  <c r="G62" i="22"/>
  <c r="E61" i="22"/>
  <c r="D61" i="22"/>
  <c r="G61" i="22"/>
  <c r="G60" i="22"/>
  <c r="G59" i="22"/>
  <c r="G58" i="22"/>
  <c r="G57" i="22"/>
  <c r="G56" i="22"/>
  <c r="G55" i="22"/>
  <c r="G54" i="22"/>
  <c r="G53" i="22"/>
  <c r="G52" i="22"/>
  <c r="G51" i="22"/>
  <c r="F49" i="22"/>
  <c r="E49" i="22"/>
  <c r="C49" i="22"/>
  <c r="G48" i="22"/>
  <c r="D47" i="22"/>
  <c r="G47" i="22"/>
  <c r="D46" i="22"/>
  <c r="G45" i="22"/>
  <c r="G44" i="22"/>
  <c r="G43" i="22"/>
  <c r="E41" i="22"/>
  <c r="C41" i="22"/>
  <c r="G40" i="22"/>
  <c r="G39" i="22"/>
  <c r="F38" i="22"/>
  <c r="F41" i="22"/>
  <c r="D38" i="22"/>
  <c r="D41" i="22"/>
  <c r="F36" i="22"/>
  <c r="C36" i="22"/>
  <c r="E34" i="22"/>
  <c r="E36" i="22"/>
  <c r="D36" i="22"/>
  <c r="G33" i="22"/>
  <c r="G32" i="22"/>
  <c r="G31" i="22"/>
  <c r="G30" i="22"/>
  <c r="F25" i="22"/>
  <c r="F26" i="22"/>
  <c r="E25" i="22"/>
  <c r="E26" i="22"/>
  <c r="D25" i="22"/>
  <c r="C25" i="22"/>
  <c r="C26" i="22"/>
  <c r="G24" i="22"/>
  <c r="G25" i="22"/>
  <c r="G26" i="22"/>
  <c r="F19" i="22"/>
  <c r="E19" i="22"/>
  <c r="D19" i="22"/>
  <c r="C19" i="22"/>
  <c r="G18" i="22"/>
  <c r="G19" i="22"/>
  <c r="F16" i="22"/>
  <c r="E16" i="22"/>
  <c r="D16" i="22"/>
  <c r="C16" i="22"/>
  <c r="G15" i="22"/>
  <c r="G14" i="22"/>
  <c r="G13" i="22"/>
  <c r="G12" i="22"/>
  <c r="F10" i="22"/>
  <c r="E10" i="22"/>
  <c r="D10" i="22"/>
  <c r="C10" i="22"/>
  <c r="G9" i="22"/>
  <c r="G8" i="22"/>
  <c r="E85" i="21"/>
  <c r="E86" i="21"/>
  <c r="D85" i="21"/>
  <c r="D86" i="21"/>
  <c r="C85" i="21"/>
  <c r="F84" i="21"/>
  <c r="C83" i="21"/>
  <c r="F83" i="21"/>
  <c r="C82" i="21"/>
  <c r="B82" i="21"/>
  <c r="B85" i="21"/>
  <c r="F81" i="21"/>
  <c r="F80" i="21"/>
  <c r="F79" i="21"/>
  <c r="F78" i="21"/>
  <c r="F77" i="21"/>
  <c r="F76" i="21"/>
  <c r="E74" i="21"/>
  <c r="D74" i="21"/>
  <c r="F73" i="21"/>
  <c r="F72" i="21"/>
  <c r="D71" i="21"/>
  <c r="C71" i="21"/>
  <c r="F71" i="21"/>
  <c r="F70" i="21"/>
  <c r="F69" i="21"/>
  <c r="C69" i="21"/>
  <c r="F68" i="21"/>
  <c r="F67" i="21"/>
  <c r="F66" i="21"/>
  <c r="D65" i="21"/>
  <c r="C65" i="21"/>
  <c r="F65" i="21"/>
  <c r="F64" i="21"/>
  <c r="F63" i="21"/>
  <c r="F62" i="21"/>
  <c r="D61" i="21"/>
  <c r="C61" i="21"/>
  <c r="C74" i="21"/>
  <c r="F60" i="21"/>
  <c r="F59" i="21"/>
  <c r="F58" i="21"/>
  <c r="F57" i="21"/>
  <c r="F56" i="21"/>
  <c r="F55" i="21"/>
  <c r="F54" i="21"/>
  <c r="F53" i="21"/>
  <c r="B52" i="21"/>
  <c r="B74" i="21"/>
  <c r="F51" i="21"/>
  <c r="E49" i="21"/>
  <c r="D49" i="21"/>
  <c r="C49" i="21"/>
  <c r="B49" i="21"/>
  <c r="F48" i="21"/>
  <c r="F47" i="21"/>
  <c r="C47" i="21"/>
  <c r="C46" i="21"/>
  <c r="F46" i="21"/>
  <c r="F45" i="21"/>
  <c r="F44" i="21"/>
  <c r="F43" i="21"/>
  <c r="E41" i="21"/>
  <c r="D41" i="21"/>
  <c r="B41" i="21"/>
  <c r="F40" i="21"/>
  <c r="F39" i="21"/>
  <c r="E38" i="21"/>
  <c r="C38" i="21"/>
  <c r="C41" i="21"/>
  <c r="E36" i="21"/>
  <c r="D36" i="21"/>
  <c r="C36" i="21"/>
  <c r="B35" i="21"/>
  <c r="B36" i="21"/>
  <c r="F34" i="21"/>
  <c r="D34" i="21"/>
  <c r="C34" i="21"/>
  <c r="F33" i="21"/>
  <c r="F32" i="21"/>
  <c r="F31" i="21"/>
  <c r="F30" i="21"/>
  <c r="F26" i="21"/>
  <c r="E26" i="21"/>
  <c r="F25" i="21"/>
  <c r="E25" i="21"/>
  <c r="D25" i="21"/>
  <c r="D26" i="21"/>
  <c r="C25" i="21"/>
  <c r="C26" i="21"/>
  <c r="B25" i="21"/>
  <c r="B26" i="21"/>
  <c r="F24" i="21"/>
  <c r="B20" i="21"/>
  <c r="F19" i="21"/>
  <c r="E19" i="21"/>
  <c r="D19" i="21"/>
  <c r="C19" i="21"/>
  <c r="B19" i="21"/>
  <c r="F18" i="21"/>
  <c r="E16" i="21"/>
  <c r="D16" i="21"/>
  <c r="C16" i="21"/>
  <c r="C20" i="21"/>
  <c r="B16" i="21"/>
  <c r="F15" i="21"/>
  <c r="F14" i="21"/>
  <c r="F13" i="21"/>
  <c r="F12" i="21"/>
  <c r="F16" i="21"/>
  <c r="F10" i="21"/>
  <c r="F20" i="21"/>
  <c r="E10" i="21"/>
  <c r="E20" i="21"/>
  <c r="D10" i="21"/>
  <c r="D20" i="21"/>
  <c r="C10" i="21"/>
  <c r="B10" i="21"/>
  <c r="F9" i="21"/>
  <c r="F8" i="21"/>
  <c r="F20" i="22"/>
  <c r="D20" i="22"/>
  <c r="E20" i="22"/>
  <c r="D49" i="22"/>
  <c r="C20" i="22"/>
  <c r="G16" i="22"/>
  <c r="E74" i="22"/>
  <c r="G74" i="22"/>
  <c r="C86" i="22"/>
  <c r="G10" i="22"/>
  <c r="E86" i="22"/>
  <c r="E88" i="22"/>
  <c r="F86" i="22"/>
  <c r="F88" i="22"/>
  <c r="G35" i="22"/>
  <c r="G38" i="22"/>
  <c r="G41" i="22"/>
  <c r="G46" i="22"/>
  <c r="G49" i="22"/>
  <c r="D74" i="22"/>
  <c r="G82" i="22"/>
  <c r="G85" i="22"/>
  <c r="G34" i="22"/>
  <c r="G36" i="22"/>
  <c r="F36" i="21"/>
  <c r="B86" i="21"/>
  <c r="F49" i="21"/>
  <c r="D88" i="21"/>
  <c r="E88" i="21"/>
  <c r="B88" i="21"/>
  <c r="C86" i="21"/>
  <c r="C88" i="21"/>
  <c r="F52" i="21"/>
  <c r="F35" i="21"/>
  <c r="F38" i="21"/>
  <c r="F41" i="21"/>
  <c r="F82" i="21"/>
  <c r="F85" i="21"/>
  <c r="F61" i="21"/>
  <c r="G20" i="22"/>
  <c r="G86" i="22"/>
  <c r="F74" i="21"/>
  <c r="F86" i="21"/>
  <c r="F88" i="21"/>
  <c r="E46" i="20"/>
  <c r="E43" i="20"/>
  <c r="C85" i="20"/>
  <c r="C46" i="20"/>
  <c r="D37" i="20"/>
  <c r="D43" i="20"/>
  <c r="C43" i="20"/>
  <c r="C95" i="20" s="1"/>
  <c r="C97" i="20" s="1"/>
  <c r="F40" i="20"/>
  <c r="F41" i="20"/>
  <c r="F42" i="20"/>
  <c r="C26" i="20"/>
  <c r="C25" i="20"/>
  <c r="C24" i="20"/>
  <c r="F46" i="20"/>
  <c r="F81" i="20"/>
  <c r="E82" i="20"/>
  <c r="C78" i="20"/>
  <c r="D76" i="20"/>
  <c r="C76" i="20"/>
  <c r="D71" i="20"/>
  <c r="C71" i="20"/>
  <c r="D67" i="20"/>
  <c r="D82" i="20"/>
  <c r="C67" i="20"/>
  <c r="C63" i="20"/>
  <c r="C82" i="20"/>
  <c r="E94" i="20"/>
  <c r="D94" i="20"/>
  <c r="F93" i="20"/>
  <c r="F92" i="20"/>
  <c r="F91" i="20"/>
  <c r="F90" i="20"/>
  <c r="F89" i="20"/>
  <c r="F88" i="20"/>
  <c r="F87" i="20"/>
  <c r="C86" i="20"/>
  <c r="B86" i="20"/>
  <c r="B94" i="20"/>
  <c r="F85" i="20"/>
  <c r="F84" i="20"/>
  <c r="F80" i="20"/>
  <c r="F79" i="20"/>
  <c r="F78" i="20"/>
  <c r="F77" i="20"/>
  <c r="F76" i="20"/>
  <c r="F75" i="20"/>
  <c r="F74" i="20"/>
  <c r="F73" i="20"/>
  <c r="F72" i="20"/>
  <c r="F71" i="20"/>
  <c r="F70" i="20"/>
  <c r="F69" i="20"/>
  <c r="F68" i="20"/>
  <c r="F67" i="20"/>
  <c r="F66" i="20"/>
  <c r="B65" i="20"/>
  <c r="B82" i="20"/>
  <c r="F64" i="20"/>
  <c r="F63" i="20"/>
  <c r="F62" i="20"/>
  <c r="F61" i="20"/>
  <c r="F60" i="20"/>
  <c r="F59" i="20"/>
  <c r="E57" i="20"/>
  <c r="D57" i="20"/>
  <c r="B57" i="20"/>
  <c r="F56" i="20"/>
  <c r="F55" i="20"/>
  <c r="F54" i="20"/>
  <c r="C53" i="20"/>
  <c r="F53" i="20"/>
  <c r="F52" i="20"/>
  <c r="C51" i="20"/>
  <c r="F51" i="20"/>
  <c r="F50" i="20"/>
  <c r="E48" i="20"/>
  <c r="D48" i="20"/>
  <c r="C48" i="20"/>
  <c r="B48" i="20"/>
  <c r="F47" i="20"/>
  <c r="F45" i="20"/>
  <c r="F39" i="20"/>
  <c r="F38" i="20"/>
  <c r="B38" i="20"/>
  <c r="B43" i="20"/>
  <c r="F37" i="20"/>
  <c r="E32" i="20"/>
  <c r="D32" i="20"/>
  <c r="C32" i="20"/>
  <c r="B32" i="20"/>
  <c r="F31" i="20"/>
  <c r="F30" i="20"/>
  <c r="F29" i="20"/>
  <c r="F32" i="20"/>
  <c r="E27" i="20"/>
  <c r="E33" i="20"/>
  <c r="D27" i="20"/>
  <c r="C27" i="20"/>
  <c r="B27" i="20"/>
  <c r="F26" i="20"/>
  <c r="F25" i="20"/>
  <c r="F24" i="20"/>
  <c r="E19" i="20"/>
  <c r="D19" i="20"/>
  <c r="C19" i="20"/>
  <c r="B19" i="20"/>
  <c r="F18" i="20"/>
  <c r="F19" i="20"/>
  <c r="E16" i="20"/>
  <c r="D16" i="20"/>
  <c r="C16" i="20"/>
  <c r="B16" i="20"/>
  <c r="F15" i="20"/>
  <c r="F14" i="20"/>
  <c r="F13" i="20"/>
  <c r="F12" i="20"/>
  <c r="E10" i="20"/>
  <c r="E20" i="20"/>
  <c r="D10" i="20"/>
  <c r="D20" i="20"/>
  <c r="C10" i="20"/>
  <c r="B10" i="20"/>
  <c r="F9" i="20"/>
  <c r="F8" i="20"/>
  <c r="F10" i="20"/>
  <c r="F43" i="20"/>
  <c r="F95" i="20" s="1"/>
  <c r="F97" i="20" s="1"/>
  <c r="B33" i="20"/>
  <c r="D33" i="20"/>
  <c r="C33" i="20"/>
  <c r="F27" i="20"/>
  <c r="F33" i="20"/>
  <c r="F16" i="20"/>
  <c r="F20" i="20"/>
  <c r="F57" i="20"/>
  <c r="C94" i="20"/>
  <c r="B20" i="20"/>
  <c r="C20" i="20"/>
  <c r="F48" i="20"/>
  <c r="E95" i="20"/>
  <c r="E97" i="20"/>
  <c r="D95" i="20"/>
  <c r="D97" i="20"/>
  <c r="B95" i="20"/>
  <c r="C57" i="20"/>
  <c r="F65" i="20"/>
  <c r="F82" i="20"/>
  <c r="F86" i="20"/>
  <c r="F94" i="20"/>
  <c r="E90" i="19"/>
  <c r="D90" i="19"/>
  <c r="F89" i="19"/>
  <c r="F88" i="19"/>
  <c r="F87" i="19"/>
  <c r="F86" i="19"/>
  <c r="F85" i="19"/>
  <c r="F84" i="19"/>
  <c r="F83" i="19"/>
  <c r="C82" i="19"/>
  <c r="B82" i="19"/>
  <c r="B90" i="19"/>
  <c r="C81" i="19"/>
  <c r="F80" i="19"/>
  <c r="E78" i="19"/>
  <c r="D78" i="19"/>
  <c r="C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B62" i="19"/>
  <c r="B78" i="19"/>
  <c r="F61" i="19"/>
  <c r="F60" i="19"/>
  <c r="F59" i="19"/>
  <c r="F58" i="19"/>
  <c r="F57" i="19"/>
  <c r="F56" i="19"/>
  <c r="E54" i="19"/>
  <c r="D54" i="19"/>
  <c r="B54" i="19"/>
  <c r="F53" i="19"/>
  <c r="F52" i="19"/>
  <c r="F51" i="19"/>
  <c r="C50" i="19"/>
  <c r="F50" i="19"/>
  <c r="F49" i="19"/>
  <c r="C48" i="19"/>
  <c r="F48" i="19"/>
  <c r="F47" i="19"/>
  <c r="E45" i="19"/>
  <c r="D45" i="19"/>
  <c r="C45" i="19"/>
  <c r="B45" i="19"/>
  <c r="F44" i="19"/>
  <c r="F43" i="19"/>
  <c r="F42" i="19"/>
  <c r="F45" i="19"/>
  <c r="E40" i="19"/>
  <c r="D40" i="19"/>
  <c r="F39" i="19"/>
  <c r="C38" i="19"/>
  <c r="B38" i="19"/>
  <c r="B40" i="19"/>
  <c r="F37" i="19"/>
  <c r="E32" i="19"/>
  <c r="D32" i="19"/>
  <c r="C32" i="19"/>
  <c r="B32" i="19"/>
  <c r="F31" i="19"/>
  <c r="F30" i="19"/>
  <c r="F29" i="19"/>
  <c r="F32" i="19"/>
  <c r="E27" i="19"/>
  <c r="D27" i="19"/>
  <c r="C27" i="19"/>
  <c r="C33" i="19"/>
  <c r="B27" i="19"/>
  <c r="B33" i="19"/>
  <c r="F26" i="19"/>
  <c r="F25" i="19"/>
  <c r="F24" i="19"/>
  <c r="F27" i="19"/>
  <c r="E19" i="19"/>
  <c r="D19" i="19"/>
  <c r="C19" i="19"/>
  <c r="B19" i="19"/>
  <c r="F18" i="19"/>
  <c r="F19" i="19"/>
  <c r="E16" i="19"/>
  <c r="D16" i="19"/>
  <c r="C16" i="19"/>
  <c r="B16" i="19"/>
  <c r="F15" i="19"/>
  <c r="F14" i="19"/>
  <c r="F13" i="19"/>
  <c r="F12" i="19"/>
  <c r="E10" i="19"/>
  <c r="D10" i="19"/>
  <c r="C10" i="19"/>
  <c r="B10" i="19"/>
  <c r="F9" i="19"/>
  <c r="F8" i="19"/>
  <c r="F10" i="19"/>
  <c r="D33" i="19"/>
  <c r="B91" i="19"/>
  <c r="D91" i="19"/>
  <c r="D20" i="19"/>
  <c r="B20" i="19"/>
  <c r="B93" i="19"/>
  <c r="F16" i="19"/>
  <c r="C54" i="19"/>
  <c r="E91" i="19"/>
  <c r="E33" i="19"/>
  <c r="C20" i="19"/>
  <c r="D93" i="19"/>
  <c r="F38" i="19"/>
  <c r="F40" i="19"/>
  <c r="E20" i="19"/>
  <c r="E93" i="19"/>
  <c r="C90" i="19"/>
  <c r="B97" i="20"/>
  <c r="F54" i="19"/>
  <c r="F33" i="19"/>
  <c r="F20" i="19"/>
  <c r="F82" i="19"/>
  <c r="C40" i="19"/>
  <c r="F81" i="19"/>
  <c r="F62" i="19"/>
  <c r="F78" i="19"/>
  <c r="E90" i="18"/>
  <c r="D90" i="18"/>
  <c r="F89" i="18"/>
  <c r="F88" i="18"/>
  <c r="F87" i="18"/>
  <c r="F86" i="18"/>
  <c r="F85" i="18"/>
  <c r="F84" i="18"/>
  <c r="F83" i="18"/>
  <c r="C82" i="18"/>
  <c r="B82" i="18"/>
  <c r="B90" i="18"/>
  <c r="C81" i="18"/>
  <c r="C90" i="18"/>
  <c r="F80" i="18"/>
  <c r="E78" i="18"/>
  <c r="D78" i="18"/>
  <c r="C78" i="18"/>
  <c r="F77" i="18"/>
  <c r="F76" i="18"/>
  <c r="F75" i="18"/>
  <c r="F74" i="18"/>
  <c r="F73" i="18"/>
  <c r="F72" i="18"/>
  <c r="F71" i="18"/>
  <c r="F70" i="18"/>
  <c r="F69" i="18"/>
  <c r="F68" i="18"/>
  <c r="F67" i="18"/>
  <c r="F66" i="18"/>
  <c r="F65" i="18"/>
  <c r="F64" i="18"/>
  <c r="F63" i="18"/>
  <c r="B62" i="18"/>
  <c r="B78" i="18"/>
  <c r="F61" i="18"/>
  <c r="F60" i="18"/>
  <c r="F59" i="18"/>
  <c r="F58" i="18"/>
  <c r="F57" i="18"/>
  <c r="F56" i="18"/>
  <c r="E54" i="18"/>
  <c r="D54" i="18"/>
  <c r="B54" i="18"/>
  <c r="F53" i="18"/>
  <c r="F52" i="18"/>
  <c r="F51" i="18"/>
  <c r="C50" i="18"/>
  <c r="F50" i="18"/>
  <c r="F49" i="18"/>
  <c r="C48" i="18"/>
  <c r="F47" i="18"/>
  <c r="E45" i="18"/>
  <c r="D45" i="18"/>
  <c r="C45" i="18"/>
  <c r="B45" i="18"/>
  <c r="F44" i="18"/>
  <c r="F43" i="18"/>
  <c r="F45" i="18"/>
  <c r="F42" i="18"/>
  <c r="E40" i="18"/>
  <c r="D40" i="18"/>
  <c r="F39" i="18"/>
  <c r="C38" i="18"/>
  <c r="C40" i="18"/>
  <c r="B38" i="18"/>
  <c r="B40" i="18"/>
  <c r="F37" i="18"/>
  <c r="E32" i="18"/>
  <c r="D32" i="18"/>
  <c r="C32" i="18"/>
  <c r="B32" i="18"/>
  <c r="F31" i="18"/>
  <c r="F30" i="18"/>
  <c r="F29" i="18"/>
  <c r="E27" i="18"/>
  <c r="D27" i="18"/>
  <c r="C27" i="18"/>
  <c r="B27" i="18"/>
  <c r="F26" i="18"/>
  <c r="F25" i="18"/>
  <c r="F24" i="18"/>
  <c r="E19" i="18"/>
  <c r="D19" i="18"/>
  <c r="C19" i="18"/>
  <c r="B19" i="18"/>
  <c r="F18" i="18"/>
  <c r="F19" i="18"/>
  <c r="E16" i="18"/>
  <c r="D16" i="18"/>
  <c r="C16" i="18"/>
  <c r="B16" i="18"/>
  <c r="F15" i="18"/>
  <c r="F14" i="18"/>
  <c r="F13" i="18"/>
  <c r="F12" i="18"/>
  <c r="F16" i="18"/>
  <c r="E10" i="18"/>
  <c r="D10" i="18"/>
  <c r="D20" i="18"/>
  <c r="C10" i="18"/>
  <c r="C20" i="18"/>
  <c r="B10" i="18"/>
  <c r="F9" i="18"/>
  <c r="F8" i="18"/>
  <c r="F10" i="18"/>
  <c r="B33" i="18"/>
  <c r="F62" i="18"/>
  <c r="F32" i="18"/>
  <c r="F27" i="18"/>
  <c r="F33" i="18"/>
  <c r="F78" i="18"/>
  <c r="C91" i="18"/>
  <c r="F20" i="18"/>
  <c r="D33" i="18"/>
  <c r="D93" i="18"/>
  <c r="E33" i="18"/>
  <c r="C54" i="18"/>
  <c r="D91" i="18"/>
  <c r="C33" i="18"/>
  <c r="B20" i="18"/>
  <c r="F40" i="18"/>
  <c r="F90" i="19"/>
  <c r="F91" i="19"/>
  <c r="F93" i="19"/>
  <c r="E91" i="18"/>
  <c r="E20" i="18"/>
  <c r="F38" i="18"/>
  <c r="C91" i="19"/>
  <c r="C93" i="19"/>
  <c r="C93" i="18"/>
  <c r="B91" i="18"/>
  <c r="F48" i="18"/>
  <c r="F54" i="18"/>
  <c r="F82" i="18"/>
  <c r="F81" i="18"/>
  <c r="F90" i="18"/>
  <c r="B93" i="18"/>
  <c r="F91" i="18"/>
  <c r="F93" i="18"/>
  <c r="E93" i="18"/>
  <c r="E90" i="17"/>
  <c r="D90" i="17"/>
  <c r="F89" i="17"/>
  <c r="F88" i="17"/>
  <c r="F87" i="17"/>
  <c r="F86" i="17"/>
  <c r="F85" i="17"/>
  <c r="F84" i="17"/>
  <c r="F83" i="17"/>
  <c r="C82" i="17"/>
  <c r="B82" i="17"/>
  <c r="B90" i="17"/>
  <c r="C81" i="17"/>
  <c r="C90" i="17"/>
  <c r="F80" i="17"/>
  <c r="E78" i="17"/>
  <c r="D78" i="17"/>
  <c r="C78" i="17"/>
  <c r="F77" i="17"/>
  <c r="F76" i="17"/>
  <c r="F75" i="17"/>
  <c r="F74" i="17"/>
  <c r="F73" i="17"/>
  <c r="F72" i="17"/>
  <c r="F71" i="17"/>
  <c r="F70" i="17"/>
  <c r="F69" i="17"/>
  <c r="F68" i="17"/>
  <c r="F67" i="17"/>
  <c r="F66" i="17"/>
  <c r="F65" i="17"/>
  <c r="F64" i="17"/>
  <c r="F63" i="17"/>
  <c r="B62" i="17"/>
  <c r="B78" i="17"/>
  <c r="F61" i="17"/>
  <c r="F60" i="17"/>
  <c r="F59" i="17"/>
  <c r="F58" i="17"/>
  <c r="F57" i="17"/>
  <c r="F56" i="17"/>
  <c r="E54" i="17"/>
  <c r="D54" i="17"/>
  <c r="B54" i="17"/>
  <c r="F53" i="17"/>
  <c r="F52" i="17"/>
  <c r="F51" i="17"/>
  <c r="C50" i="17"/>
  <c r="F50" i="17"/>
  <c r="F49" i="17"/>
  <c r="C48" i="17"/>
  <c r="F47" i="17"/>
  <c r="E45" i="17"/>
  <c r="D45" i="17"/>
  <c r="C45" i="17"/>
  <c r="B45" i="17"/>
  <c r="F44" i="17"/>
  <c r="F43" i="17"/>
  <c r="F42" i="17"/>
  <c r="E40" i="17"/>
  <c r="D40" i="17"/>
  <c r="F39" i="17"/>
  <c r="C38" i="17"/>
  <c r="C40" i="17"/>
  <c r="B38" i="17"/>
  <c r="F38" i="17"/>
  <c r="F37" i="17"/>
  <c r="E32" i="17"/>
  <c r="D32" i="17"/>
  <c r="C32" i="17"/>
  <c r="B32" i="17"/>
  <c r="F31" i="17"/>
  <c r="F30" i="17"/>
  <c r="F29" i="17"/>
  <c r="E27" i="17"/>
  <c r="D27" i="17"/>
  <c r="D33" i="17"/>
  <c r="C27" i="17"/>
  <c r="C33" i="17"/>
  <c r="B27" i="17"/>
  <c r="F26" i="17"/>
  <c r="F25" i="17"/>
  <c r="F24" i="17"/>
  <c r="F27" i="17"/>
  <c r="E19" i="17"/>
  <c r="D19" i="17"/>
  <c r="C19" i="17"/>
  <c r="B19" i="17"/>
  <c r="F18" i="17"/>
  <c r="F19" i="17"/>
  <c r="E16" i="17"/>
  <c r="D16" i="17"/>
  <c r="C16" i="17"/>
  <c r="B16" i="17"/>
  <c r="F15" i="17"/>
  <c r="F14" i="17"/>
  <c r="F13" i="17"/>
  <c r="F12" i="17"/>
  <c r="E10" i="17"/>
  <c r="E20" i="17"/>
  <c r="D10" i="17"/>
  <c r="C10" i="17"/>
  <c r="C20" i="17"/>
  <c r="B10" i="17"/>
  <c r="B20" i="17"/>
  <c r="F9" i="17"/>
  <c r="F8" i="17"/>
  <c r="C54" i="17"/>
  <c r="E33" i="17"/>
  <c r="F48" i="17"/>
  <c r="D91" i="17"/>
  <c r="D20" i="17"/>
  <c r="D93" i="17"/>
  <c r="F33" i="17"/>
  <c r="F16" i="17"/>
  <c r="B33" i="17"/>
  <c r="F82" i="17"/>
  <c r="F10" i="17"/>
  <c r="E91" i="17"/>
  <c r="E93" i="17"/>
  <c r="F32" i="17"/>
  <c r="F45" i="17"/>
  <c r="F54" i="17"/>
  <c r="C91" i="17"/>
  <c r="C93" i="17"/>
  <c r="F40" i="17"/>
  <c r="F81" i="17"/>
  <c r="B40" i="17"/>
  <c r="B91" i="17"/>
  <c r="F62" i="17"/>
  <c r="F78" i="17"/>
  <c r="B93" i="17"/>
  <c r="F90" i="17"/>
  <c r="F20" i="17"/>
  <c r="F91" i="17"/>
  <c r="F93" i="17"/>
  <c r="J48" i="16"/>
  <c r="E48" i="16"/>
  <c r="K48" i="16"/>
  <c r="I88" i="16"/>
  <c r="H88" i="16"/>
  <c r="G88" i="16"/>
  <c r="F88" i="16"/>
  <c r="D88" i="16"/>
  <c r="K87" i="16"/>
  <c r="J87" i="16"/>
  <c r="K86" i="16"/>
  <c r="J86" i="16"/>
  <c r="K85" i="16"/>
  <c r="J85" i="16"/>
  <c r="K84" i="16"/>
  <c r="J84" i="16"/>
  <c r="K83" i="16"/>
  <c r="J83" i="16"/>
  <c r="K82" i="16"/>
  <c r="J82" i="16"/>
  <c r="K81" i="16"/>
  <c r="B81" i="16"/>
  <c r="B88" i="16"/>
  <c r="J80" i="16"/>
  <c r="E80" i="16"/>
  <c r="C80" i="16"/>
  <c r="J79" i="16"/>
  <c r="E79" i="16"/>
  <c r="K79" i="16"/>
  <c r="K78" i="16"/>
  <c r="J78" i="16"/>
  <c r="I76" i="16"/>
  <c r="H76" i="16"/>
  <c r="G76" i="16"/>
  <c r="F76" i="16"/>
  <c r="E76" i="16"/>
  <c r="D76" i="16"/>
  <c r="B76" i="16"/>
  <c r="K75" i="16"/>
  <c r="J75" i="16"/>
  <c r="K74" i="16"/>
  <c r="J74" i="16"/>
  <c r="K73" i="16"/>
  <c r="J73" i="16"/>
  <c r="K72" i="16"/>
  <c r="J72" i="16"/>
  <c r="K71" i="16"/>
  <c r="J71" i="16"/>
  <c r="K70" i="16"/>
  <c r="J70" i="16"/>
  <c r="K69" i="16"/>
  <c r="J69" i="16"/>
  <c r="K68" i="16"/>
  <c r="J68" i="16"/>
  <c r="K67" i="16"/>
  <c r="J67" i="16"/>
  <c r="K66" i="16"/>
  <c r="J66" i="16"/>
  <c r="K65" i="16"/>
  <c r="J65" i="16"/>
  <c r="K64" i="16"/>
  <c r="J64" i="16"/>
  <c r="K63" i="16"/>
  <c r="J63" i="16"/>
  <c r="K62" i="16"/>
  <c r="J62" i="16"/>
  <c r="K61" i="16"/>
  <c r="J61" i="16"/>
  <c r="J60" i="16"/>
  <c r="C60" i="16"/>
  <c r="C76" i="16"/>
  <c r="K59" i="16"/>
  <c r="J59" i="16"/>
  <c r="K58" i="16"/>
  <c r="J58" i="16"/>
  <c r="K57" i="16"/>
  <c r="J57" i="16"/>
  <c r="K56" i="16"/>
  <c r="J56" i="16"/>
  <c r="K55" i="16"/>
  <c r="J55" i="16"/>
  <c r="K54" i="16"/>
  <c r="J54" i="16"/>
  <c r="I52" i="16"/>
  <c r="H52" i="16"/>
  <c r="G52" i="16"/>
  <c r="F52" i="16"/>
  <c r="D52" i="16"/>
  <c r="C52" i="16"/>
  <c r="B52" i="16"/>
  <c r="K51" i="16"/>
  <c r="J51" i="16"/>
  <c r="K50" i="16"/>
  <c r="J50" i="16"/>
  <c r="K49" i="16"/>
  <c r="J49" i="16"/>
  <c r="K47" i="16"/>
  <c r="J47" i="16"/>
  <c r="J46" i="16"/>
  <c r="E46" i="16"/>
  <c r="K46" i="16"/>
  <c r="K45" i="16"/>
  <c r="J45" i="16"/>
  <c r="I43" i="16"/>
  <c r="H43" i="16"/>
  <c r="G43" i="16"/>
  <c r="F43" i="16"/>
  <c r="E43" i="16"/>
  <c r="D43" i="16"/>
  <c r="C43" i="16"/>
  <c r="B43" i="16"/>
  <c r="K42" i="16"/>
  <c r="J42" i="16"/>
  <c r="K41" i="16"/>
  <c r="K43" i="16"/>
  <c r="J41" i="16"/>
  <c r="K40" i="16"/>
  <c r="J40" i="16"/>
  <c r="I38" i="16"/>
  <c r="H38" i="16"/>
  <c r="G38" i="16"/>
  <c r="F38" i="16"/>
  <c r="D38" i="16"/>
  <c r="B38" i="16"/>
  <c r="K37" i="16"/>
  <c r="J37" i="16"/>
  <c r="J36" i="16"/>
  <c r="E36" i="16"/>
  <c r="E38" i="16"/>
  <c r="C36" i="16"/>
  <c r="C38" i="16"/>
  <c r="K35" i="16"/>
  <c r="J35" i="16"/>
  <c r="I30" i="16"/>
  <c r="H30" i="16"/>
  <c r="G30" i="16"/>
  <c r="F30" i="16"/>
  <c r="E30" i="16"/>
  <c r="D30" i="16"/>
  <c r="C30" i="16"/>
  <c r="B30" i="16"/>
  <c r="K29" i="16"/>
  <c r="J29" i="16"/>
  <c r="K28" i="16"/>
  <c r="J28" i="16"/>
  <c r="K27" i="16"/>
  <c r="J27" i="16"/>
  <c r="I25" i="16"/>
  <c r="H25" i="16"/>
  <c r="H31" i="16"/>
  <c r="G25" i="16"/>
  <c r="F25" i="16"/>
  <c r="E25" i="16"/>
  <c r="D25" i="16"/>
  <c r="D31" i="16"/>
  <c r="C25" i="16"/>
  <c r="C31" i="16"/>
  <c r="B25" i="16"/>
  <c r="B31" i="16"/>
  <c r="K24" i="16"/>
  <c r="J24" i="16"/>
  <c r="K23" i="16"/>
  <c r="J23" i="16"/>
  <c r="K22" i="16"/>
  <c r="J22" i="16"/>
  <c r="I17" i="16"/>
  <c r="H17" i="16"/>
  <c r="G17" i="16"/>
  <c r="F17" i="16"/>
  <c r="E17" i="16"/>
  <c r="D17" i="16"/>
  <c r="C17" i="16"/>
  <c r="B17" i="16"/>
  <c r="K16" i="16"/>
  <c r="K17" i="16"/>
  <c r="J16" i="16"/>
  <c r="J17" i="16"/>
  <c r="I14" i="16"/>
  <c r="H14" i="16"/>
  <c r="G14" i="16"/>
  <c r="F14" i="16"/>
  <c r="E14" i="16"/>
  <c r="D14" i="16"/>
  <c r="C14" i="16"/>
  <c r="B14" i="16"/>
  <c r="K13" i="16"/>
  <c r="J13" i="16"/>
  <c r="K12" i="16"/>
  <c r="J12" i="16"/>
  <c r="K11" i="16"/>
  <c r="J11" i="16"/>
  <c r="K10" i="16"/>
  <c r="J10" i="16"/>
  <c r="I8" i="16"/>
  <c r="H8" i="16"/>
  <c r="H18" i="16"/>
  <c r="G8" i="16"/>
  <c r="G18" i="16"/>
  <c r="F8" i="16"/>
  <c r="F18" i="16"/>
  <c r="E8" i="16"/>
  <c r="D8" i="16"/>
  <c r="D18" i="16"/>
  <c r="C8" i="16"/>
  <c r="C18" i="16"/>
  <c r="B8" i="16"/>
  <c r="K7" i="16"/>
  <c r="J7" i="16"/>
  <c r="K6" i="16"/>
  <c r="K8" i="16"/>
  <c r="J6" i="16"/>
  <c r="J8" i="16"/>
  <c r="B18" i="16"/>
  <c r="J25" i="16"/>
  <c r="F31" i="16"/>
  <c r="E31" i="16"/>
  <c r="K25" i="16"/>
  <c r="G31" i="16"/>
  <c r="I31" i="16"/>
  <c r="J38" i="16"/>
  <c r="J14" i="16"/>
  <c r="J18" i="16"/>
  <c r="K14" i="16"/>
  <c r="K18" i="16"/>
  <c r="J30" i="16"/>
  <c r="J31" i="16"/>
  <c r="I89" i="16"/>
  <c r="B89" i="16"/>
  <c r="G89" i="16"/>
  <c r="E18" i="16"/>
  <c r="I18" i="16"/>
  <c r="I91" i="16"/>
  <c r="K30" i="16"/>
  <c r="K36" i="16"/>
  <c r="K38" i="16"/>
  <c r="J43" i="16"/>
  <c r="J52" i="16"/>
  <c r="F89" i="16"/>
  <c r="F91" i="16"/>
  <c r="K80" i="16"/>
  <c r="K88" i="16"/>
  <c r="H89" i="16"/>
  <c r="H91" i="16"/>
  <c r="G91" i="16"/>
  <c r="B91" i="16"/>
  <c r="K52" i="16"/>
  <c r="J76" i="16"/>
  <c r="D89" i="16"/>
  <c r="D91" i="16"/>
  <c r="K31" i="16"/>
  <c r="K76" i="16"/>
  <c r="C88" i="16"/>
  <c r="C89" i="16"/>
  <c r="C91" i="16"/>
  <c r="E52" i="16"/>
  <c r="J81" i="16"/>
  <c r="J88" i="16"/>
  <c r="K60" i="16"/>
  <c r="E88" i="16"/>
  <c r="K89" i="16"/>
  <c r="K91" i="16"/>
  <c r="J89" i="16"/>
  <c r="J91" i="16"/>
  <c r="E89" i="16"/>
  <c r="E91" i="16"/>
  <c r="E79" i="15"/>
  <c r="C60" i="15"/>
  <c r="I88" i="15"/>
  <c r="H88" i="15"/>
  <c r="G88" i="15"/>
  <c r="F88" i="15"/>
  <c r="D88" i="15"/>
  <c r="B88" i="15"/>
  <c r="K87" i="15"/>
  <c r="J87" i="15"/>
  <c r="K86" i="15"/>
  <c r="J86" i="15"/>
  <c r="K85" i="15"/>
  <c r="J85" i="15"/>
  <c r="K84" i="15"/>
  <c r="J84" i="15"/>
  <c r="K83" i="15"/>
  <c r="J83" i="15"/>
  <c r="K82" i="15"/>
  <c r="J82" i="15"/>
  <c r="K81" i="15"/>
  <c r="B81" i="15"/>
  <c r="J81" i="15"/>
  <c r="J80" i="15"/>
  <c r="E80" i="15"/>
  <c r="C80" i="15"/>
  <c r="C88" i="15"/>
  <c r="J79" i="15"/>
  <c r="K79" i="15"/>
  <c r="K78" i="15"/>
  <c r="J78" i="15"/>
  <c r="I76" i="15"/>
  <c r="H76" i="15"/>
  <c r="G76" i="15"/>
  <c r="F76" i="15"/>
  <c r="E76" i="15"/>
  <c r="D76" i="15"/>
  <c r="C76" i="15"/>
  <c r="B76" i="15"/>
  <c r="K75" i="15"/>
  <c r="J75" i="15"/>
  <c r="K74" i="15"/>
  <c r="J74" i="15"/>
  <c r="K73" i="15"/>
  <c r="J73" i="15"/>
  <c r="K72" i="15"/>
  <c r="J72" i="15"/>
  <c r="K71" i="15"/>
  <c r="J71" i="15"/>
  <c r="K70" i="15"/>
  <c r="J70" i="15"/>
  <c r="K69" i="15"/>
  <c r="J69" i="15"/>
  <c r="K68" i="15"/>
  <c r="J68" i="15"/>
  <c r="K67" i="15"/>
  <c r="J67" i="15"/>
  <c r="K66" i="15"/>
  <c r="J66" i="15"/>
  <c r="K65" i="15"/>
  <c r="J65" i="15"/>
  <c r="K64" i="15"/>
  <c r="J64" i="15"/>
  <c r="K63" i="15"/>
  <c r="J63" i="15"/>
  <c r="K62" i="15"/>
  <c r="J62" i="15"/>
  <c r="K61" i="15"/>
  <c r="J61" i="15"/>
  <c r="K60" i="15"/>
  <c r="J60" i="15"/>
  <c r="K59" i="15"/>
  <c r="J59" i="15"/>
  <c r="K58" i="15"/>
  <c r="J58" i="15"/>
  <c r="K57" i="15"/>
  <c r="J57" i="15"/>
  <c r="K56" i="15"/>
  <c r="J56" i="15"/>
  <c r="K55" i="15"/>
  <c r="J55" i="15"/>
  <c r="K54" i="15"/>
  <c r="J54" i="15"/>
  <c r="I52" i="15"/>
  <c r="H52" i="15"/>
  <c r="G52" i="15"/>
  <c r="F52" i="15"/>
  <c r="D52" i="15"/>
  <c r="C52" i="15"/>
  <c r="B52" i="15"/>
  <c r="K51" i="15"/>
  <c r="J51" i="15"/>
  <c r="K50" i="15"/>
  <c r="J50" i="15"/>
  <c r="K49" i="15"/>
  <c r="J49" i="15"/>
  <c r="J48" i="15"/>
  <c r="E48" i="15"/>
  <c r="K48" i="15"/>
  <c r="K47" i="15"/>
  <c r="J47" i="15"/>
  <c r="J46" i="15"/>
  <c r="E46" i="15"/>
  <c r="K46" i="15"/>
  <c r="K45" i="15"/>
  <c r="J45" i="15"/>
  <c r="I43" i="15"/>
  <c r="H43" i="15"/>
  <c r="G43" i="15"/>
  <c r="F43" i="15"/>
  <c r="E43" i="15"/>
  <c r="D43" i="15"/>
  <c r="C43" i="15"/>
  <c r="B43" i="15"/>
  <c r="K42" i="15"/>
  <c r="J42" i="15"/>
  <c r="K41" i="15"/>
  <c r="J41" i="15"/>
  <c r="K40" i="15"/>
  <c r="J40" i="15"/>
  <c r="I38" i="15"/>
  <c r="H38" i="15"/>
  <c r="G38" i="15"/>
  <c r="F38" i="15"/>
  <c r="D38" i="15"/>
  <c r="B38" i="15"/>
  <c r="K37" i="15"/>
  <c r="J37" i="15"/>
  <c r="J36" i="15"/>
  <c r="E36" i="15"/>
  <c r="E38" i="15"/>
  <c r="C36" i="15"/>
  <c r="C38" i="15"/>
  <c r="K35" i="15"/>
  <c r="J35" i="15"/>
  <c r="E31" i="15"/>
  <c r="I30" i="15"/>
  <c r="H30" i="15"/>
  <c r="G30" i="15"/>
  <c r="F30" i="15"/>
  <c r="E30" i="15"/>
  <c r="D30" i="15"/>
  <c r="C30" i="15"/>
  <c r="B30" i="15"/>
  <c r="B31" i="15"/>
  <c r="K29" i="15"/>
  <c r="J29" i="15"/>
  <c r="K28" i="15"/>
  <c r="J28" i="15"/>
  <c r="K27" i="15"/>
  <c r="J27" i="15"/>
  <c r="I25" i="15"/>
  <c r="I31" i="15"/>
  <c r="H25" i="15"/>
  <c r="H31" i="15"/>
  <c r="G25" i="15"/>
  <c r="G31" i="15"/>
  <c r="F25" i="15"/>
  <c r="F31" i="15"/>
  <c r="E25" i="15"/>
  <c r="D25" i="15"/>
  <c r="C25" i="15"/>
  <c r="B25" i="15"/>
  <c r="K24" i="15"/>
  <c r="J24" i="15"/>
  <c r="K23" i="15"/>
  <c r="J23" i="15"/>
  <c r="K22" i="15"/>
  <c r="J22" i="15"/>
  <c r="I17" i="15"/>
  <c r="H17" i="15"/>
  <c r="G17" i="15"/>
  <c r="F17" i="15"/>
  <c r="E17" i="15"/>
  <c r="D17" i="15"/>
  <c r="C17" i="15"/>
  <c r="B17" i="15"/>
  <c r="K16" i="15"/>
  <c r="K17" i="15"/>
  <c r="J16" i="15"/>
  <c r="J17" i="15"/>
  <c r="I14" i="15"/>
  <c r="H14" i="15"/>
  <c r="G14" i="15"/>
  <c r="F14" i="15"/>
  <c r="E14" i="15"/>
  <c r="D14" i="15"/>
  <c r="C14" i="15"/>
  <c r="B14" i="15"/>
  <c r="K13" i="15"/>
  <c r="J13" i="15"/>
  <c r="K12" i="15"/>
  <c r="J12" i="15"/>
  <c r="K11" i="15"/>
  <c r="J11" i="15"/>
  <c r="K10" i="15"/>
  <c r="J10" i="15"/>
  <c r="I8" i="15"/>
  <c r="I18" i="15"/>
  <c r="H8" i="15"/>
  <c r="H18" i="15"/>
  <c r="G8" i="15"/>
  <c r="F8" i="15"/>
  <c r="E8" i="15"/>
  <c r="E18" i="15"/>
  <c r="D8" i="15"/>
  <c r="D18" i="15"/>
  <c r="C8" i="15"/>
  <c r="B8" i="15"/>
  <c r="B18" i="15"/>
  <c r="K7" i="15"/>
  <c r="J7" i="15"/>
  <c r="K6" i="15"/>
  <c r="J6" i="15"/>
  <c r="D31" i="15"/>
  <c r="J52" i="15"/>
  <c r="C18" i="15"/>
  <c r="K25" i="15"/>
  <c r="K31" i="15"/>
  <c r="F89" i="15"/>
  <c r="G89" i="15"/>
  <c r="K80" i="15"/>
  <c r="K88" i="15"/>
  <c r="K14" i="15"/>
  <c r="J30" i="15"/>
  <c r="D89" i="15"/>
  <c r="K36" i="15"/>
  <c r="K38" i="15"/>
  <c r="C31" i="15"/>
  <c r="J43" i="15"/>
  <c r="J76" i="15"/>
  <c r="B89" i="15"/>
  <c r="B91" i="15"/>
  <c r="J88" i="15"/>
  <c r="J25" i="15"/>
  <c r="J31" i="15"/>
  <c r="J38" i="15"/>
  <c r="J14" i="15"/>
  <c r="J8" i="15"/>
  <c r="F18" i="15"/>
  <c r="F91" i="15"/>
  <c r="K30" i="15"/>
  <c r="H89" i="15"/>
  <c r="H91" i="15"/>
  <c r="K8" i="15"/>
  <c r="G18" i="15"/>
  <c r="K43" i="15"/>
  <c r="I89" i="15"/>
  <c r="I91" i="15"/>
  <c r="K76" i="15"/>
  <c r="C89" i="15"/>
  <c r="C91" i="15"/>
  <c r="K52" i="15"/>
  <c r="D91" i="15"/>
  <c r="E52" i="15"/>
  <c r="E88" i="15"/>
  <c r="E79" i="14"/>
  <c r="C79" i="14"/>
  <c r="E46" i="14"/>
  <c r="J89" i="15"/>
  <c r="J91" i="15"/>
  <c r="E89" i="15"/>
  <c r="E91" i="15"/>
  <c r="J18" i="15"/>
  <c r="G91" i="15"/>
  <c r="K18" i="15"/>
  <c r="K89" i="15"/>
  <c r="K91" i="15"/>
  <c r="I88" i="14"/>
  <c r="H88" i="14"/>
  <c r="H89" i="14"/>
  <c r="G88" i="14"/>
  <c r="F88" i="14"/>
  <c r="D88" i="14"/>
  <c r="K87" i="14"/>
  <c r="J87" i="14"/>
  <c r="K86" i="14"/>
  <c r="J86" i="14"/>
  <c r="K85" i="14"/>
  <c r="J85" i="14"/>
  <c r="K84" i="14"/>
  <c r="J84" i="14"/>
  <c r="K83" i="14"/>
  <c r="J83" i="14"/>
  <c r="K82" i="14"/>
  <c r="J82" i="14"/>
  <c r="K81" i="14"/>
  <c r="J81" i="14"/>
  <c r="B81" i="14"/>
  <c r="B88" i="14"/>
  <c r="J80" i="14"/>
  <c r="E80" i="14"/>
  <c r="C80" i="14"/>
  <c r="C88" i="14"/>
  <c r="J79" i="14"/>
  <c r="K79" i="14"/>
  <c r="K78" i="14"/>
  <c r="J78" i="14"/>
  <c r="I76" i="14"/>
  <c r="H76" i="14"/>
  <c r="G76" i="14"/>
  <c r="F76" i="14"/>
  <c r="E76" i="14"/>
  <c r="D76" i="14"/>
  <c r="B76" i="14"/>
  <c r="K75" i="14"/>
  <c r="J75" i="14"/>
  <c r="K74" i="14"/>
  <c r="J74" i="14"/>
  <c r="K73" i="14"/>
  <c r="J73" i="14"/>
  <c r="K72" i="14"/>
  <c r="J72" i="14"/>
  <c r="K71" i="14"/>
  <c r="J71" i="14"/>
  <c r="K70" i="14"/>
  <c r="J70" i="14"/>
  <c r="K69" i="14"/>
  <c r="J69" i="14"/>
  <c r="K68" i="14"/>
  <c r="J68" i="14"/>
  <c r="K67" i="14"/>
  <c r="J67" i="14"/>
  <c r="K66" i="14"/>
  <c r="J66" i="14"/>
  <c r="K65" i="14"/>
  <c r="J65" i="14"/>
  <c r="K64" i="14"/>
  <c r="J64" i="14"/>
  <c r="K63" i="14"/>
  <c r="J63" i="14"/>
  <c r="K62" i="14"/>
  <c r="J62" i="14"/>
  <c r="K61" i="14"/>
  <c r="J61" i="14"/>
  <c r="J60" i="14"/>
  <c r="C60" i="14"/>
  <c r="C76" i="14"/>
  <c r="K59" i="14"/>
  <c r="J59" i="14"/>
  <c r="K58" i="14"/>
  <c r="J58" i="14"/>
  <c r="K57" i="14"/>
  <c r="J57" i="14"/>
  <c r="K56" i="14"/>
  <c r="J56" i="14"/>
  <c r="K55" i="14"/>
  <c r="J55" i="14"/>
  <c r="K54" i="14"/>
  <c r="J54" i="14"/>
  <c r="I52" i="14"/>
  <c r="H52" i="14"/>
  <c r="G52" i="14"/>
  <c r="F52" i="14"/>
  <c r="D52" i="14"/>
  <c r="C52" i="14"/>
  <c r="B52" i="14"/>
  <c r="K51" i="14"/>
  <c r="J51" i="14"/>
  <c r="K50" i="14"/>
  <c r="J50" i="14"/>
  <c r="K49" i="14"/>
  <c r="J49" i="14"/>
  <c r="J48" i="14"/>
  <c r="E48" i="14"/>
  <c r="K48" i="14"/>
  <c r="K47" i="14"/>
  <c r="J47" i="14"/>
  <c r="J46" i="14"/>
  <c r="K46" i="14"/>
  <c r="K45" i="14"/>
  <c r="J45" i="14"/>
  <c r="I43" i="14"/>
  <c r="H43" i="14"/>
  <c r="G43" i="14"/>
  <c r="F43" i="14"/>
  <c r="E43" i="14"/>
  <c r="D43" i="14"/>
  <c r="C43" i="14"/>
  <c r="B43" i="14"/>
  <c r="K42" i="14"/>
  <c r="J42" i="14"/>
  <c r="K41" i="14"/>
  <c r="J41" i="14"/>
  <c r="K40" i="14"/>
  <c r="J40" i="14"/>
  <c r="J43" i="14"/>
  <c r="I38" i="14"/>
  <c r="H38" i="14"/>
  <c r="G38" i="14"/>
  <c r="F38" i="14"/>
  <c r="D38" i="14"/>
  <c r="B38" i="14"/>
  <c r="K37" i="14"/>
  <c r="J37" i="14"/>
  <c r="J36" i="14"/>
  <c r="E36" i="14"/>
  <c r="E38" i="14"/>
  <c r="C36" i="14"/>
  <c r="K36" i="14"/>
  <c r="K35" i="14"/>
  <c r="J35" i="14"/>
  <c r="I30" i="14"/>
  <c r="H30" i="14"/>
  <c r="G30" i="14"/>
  <c r="F30" i="14"/>
  <c r="E30" i="14"/>
  <c r="E31" i="14"/>
  <c r="D30" i="14"/>
  <c r="C30" i="14"/>
  <c r="B30" i="14"/>
  <c r="K29" i="14"/>
  <c r="J29" i="14"/>
  <c r="K28" i="14"/>
  <c r="J28" i="14"/>
  <c r="K27" i="14"/>
  <c r="J27" i="14"/>
  <c r="I25" i="14"/>
  <c r="H25" i="14"/>
  <c r="G25" i="14"/>
  <c r="G31" i="14"/>
  <c r="F25" i="14"/>
  <c r="E25" i="14"/>
  <c r="D25" i="14"/>
  <c r="D31" i="14"/>
  <c r="C25" i="14"/>
  <c r="B25" i="14"/>
  <c r="K24" i="14"/>
  <c r="J24" i="14"/>
  <c r="K23" i="14"/>
  <c r="J23" i="14"/>
  <c r="K22" i="14"/>
  <c r="J22" i="14"/>
  <c r="I17" i="14"/>
  <c r="H17" i="14"/>
  <c r="G17" i="14"/>
  <c r="F17" i="14"/>
  <c r="E17" i="14"/>
  <c r="D17" i="14"/>
  <c r="C17" i="14"/>
  <c r="B17" i="14"/>
  <c r="K16" i="14"/>
  <c r="K17" i="14"/>
  <c r="J16" i="14"/>
  <c r="J17" i="14"/>
  <c r="I14" i="14"/>
  <c r="H14" i="14"/>
  <c r="G14" i="14"/>
  <c r="F14" i="14"/>
  <c r="E14" i="14"/>
  <c r="D14" i="14"/>
  <c r="C14" i="14"/>
  <c r="B14" i="14"/>
  <c r="K13" i="14"/>
  <c r="J13" i="14"/>
  <c r="K12" i="14"/>
  <c r="J12" i="14"/>
  <c r="K11" i="14"/>
  <c r="J11" i="14"/>
  <c r="K10" i="14"/>
  <c r="J10" i="14"/>
  <c r="I8" i="14"/>
  <c r="H8" i="14"/>
  <c r="H18" i="14"/>
  <c r="G8" i="14"/>
  <c r="F8" i="14"/>
  <c r="E8" i="14"/>
  <c r="D8" i="14"/>
  <c r="C8" i="14"/>
  <c r="B8" i="14"/>
  <c r="B18" i="14"/>
  <c r="K7" i="14"/>
  <c r="J7" i="14"/>
  <c r="K6" i="14"/>
  <c r="J6" i="14"/>
  <c r="H91" i="14"/>
  <c r="H31" i="14"/>
  <c r="I31" i="14"/>
  <c r="C38" i="14"/>
  <c r="K43" i="14"/>
  <c r="D18" i="14"/>
  <c r="D91" i="14"/>
  <c r="E18" i="14"/>
  <c r="K14" i="14"/>
  <c r="F89" i="14"/>
  <c r="J25" i="14"/>
  <c r="K80" i="14"/>
  <c r="K88" i="14"/>
  <c r="C18" i="14"/>
  <c r="K30" i="14"/>
  <c r="D89" i="14"/>
  <c r="K38" i="14"/>
  <c r="J8" i="14"/>
  <c r="F18" i="14"/>
  <c r="F31" i="14"/>
  <c r="B89" i="14"/>
  <c r="I18" i="14"/>
  <c r="C31" i="14"/>
  <c r="K8" i="14"/>
  <c r="K18" i="14"/>
  <c r="G18" i="14"/>
  <c r="K25" i="14"/>
  <c r="J52" i="14"/>
  <c r="J88" i="14"/>
  <c r="G89" i="14"/>
  <c r="J76" i="14"/>
  <c r="J89" i="14"/>
  <c r="I89" i="14"/>
  <c r="J14" i="14"/>
  <c r="B31" i="14"/>
  <c r="B91" i="14"/>
  <c r="J30" i="14"/>
  <c r="J38" i="14"/>
  <c r="C89" i="14"/>
  <c r="J31" i="14"/>
  <c r="K52" i="14"/>
  <c r="K60" i="14"/>
  <c r="K76" i="14"/>
  <c r="E88" i="14"/>
  <c r="E52" i="14"/>
  <c r="F91" i="14"/>
  <c r="J18" i="14"/>
  <c r="I91" i="14"/>
  <c r="C91" i="14"/>
  <c r="J91" i="14"/>
  <c r="K31" i="14"/>
  <c r="G91" i="14"/>
  <c r="K89" i="14"/>
  <c r="K91" i="14"/>
  <c r="E89" i="14"/>
  <c r="E91" i="14"/>
  <c r="E80" i="12"/>
  <c r="D80" i="12"/>
  <c r="C80" i="12"/>
  <c r="F79" i="12"/>
  <c r="B78" i="12"/>
  <c r="F77" i="12"/>
  <c r="F76" i="12"/>
  <c r="F75" i="12"/>
  <c r="E73" i="12"/>
  <c r="D73" i="12"/>
  <c r="C73" i="12"/>
  <c r="B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E50" i="12"/>
  <c r="D50" i="12"/>
  <c r="C50" i="12"/>
  <c r="B50" i="12"/>
  <c r="F49" i="12"/>
  <c r="F48" i="12"/>
  <c r="F47" i="12"/>
  <c r="F46" i="12"/>
  <c r="E44" i="12"/>
  <c r="D44" i="12"/>
  <c r="C44" i="12"/>
  <c r="B44" i="12"/>
  <c r="F43" i="12"/>
  <c r="F42" i="12"/>
  <c r="F41" i="12"/>
  <c r="E39" i="12"/>
  <c r="D39" i="12"/>
  <c r="C39" i="12"/>
  <c r="B39" i="12"/>
  <c r="F38" i="12"/>
  <c r="F37" i="12"/>
  <c r="F36" i="12"/>
  <c r="E31" i="12"/>
  <c r="D31" i="12"/>
  <c r="C31" i="12"/>
  <c r="B31" i="12"/>
  <c r="F30" i="12"/>
  <c r="F29" i="12"/>
  <c r="F28" i="12"/>
  <c r="F31" i="12"/>
  <c r="E26" i="12"/>
  <c r="D26" i="12"/>
  <c r="D32" i="12"/>
  <c r="C26" i="12"/>
  <c r="C32" i="12"/>
  <c r="B26" i="12"/>
  <c r="F25" i="12"/>
  <c r="F24" i="12"/>
  <c r="F23" i="12"/>
  <c r="E18" i="12"/>
  <c r="D18" i="12"/>
  <c r="C18" i="12"/>
  <c r="B18" i="12"/>
  <c r="F17" i="12"/>
  <c r="F18" i="12"/>
  <c r="E15" i="12"/>
  <c r="D15" i="12"/>
  <c r="C15" i="12"/>
  <c r="B15" i="12"/>
  <c r="F14" i="12"/>
  <c r="F13" i="12"/>
  <c r="F12" i="12"/>
  <c r="F11" i="12"/>
  <c r="E9" i="12"/>
  <c r="D9" i="12"/>
  <c r="C9" i="12"/>
  <c r="B9" i="12"/>
  <c r="B19" i="12"/>
  <c r="F8" i="12"/>
  <c r="F7" i="12"/>
  <c r="E32" i="12"/>
  <c r="E19" i="12"/>
  <c r="F9" i="12"/>
  <c r="F44" i="12"/>
  <c r="C19" i="12"/>
  <c r="C83" i="12"/>
  <c r="F26" i="12"/>
  <c r="F32" i="12"/>
  <c r="D19" i="12"/>
  <c r="F15" i="12"/>
  <c r="B32" i="12"/>
  <c r="B83" i="12"/>
  <c r="F50" i="12"/>
  <c r="F73" i="12"/>
  <c r="F39" i="12"/>
  <c r="C81" i="12"/>
  <c r="E81" i="12"/>
  <c r="E83" i="12"/>
  <c r="B80" i="12"/>
  <c r="B81" i="12"/>
  <c r="F78" i="12"/>
  <c r="F80" i="12"/>
  <c r="F81" i="12"/>
  <c r="D81" i="12"/>
  <c r="D83" i="12"/>
  <c r="F19" i="12"/>
  <c r="F83" i="12"/>
  <c r="E79" i="11"/>
  <c r="D79" i="11"/>
  <c r="C79" i="11"/>
  <c r="B78" i="11"/>
  <c r="B79" i="11"/>
  <c r="F77" i="11"/>
  <c r="F76" i="11"/>
  <c r="F75" i="11"/>
  <c r="E73" i="11"/>
  <c r="D73" i="11"/>
  <c r="C73" i="11"/>
  <c r="B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E50" i="11"/>
  <c r="D50" i="11"/>
  <c r="C50" i="11"/>
  <c r="B50" i="11"/>
  <c r="F49" i="11"/>
  <c r="F48" i="11"/>
  <c r="F47" i="11"/>
  <c r="F46" i="11"/>
  <c r="E44" i="11"/>
  <c r="D44" i="11"/>
  <c r="C44" i="11"/>
  <c r="B44" i="11"/>
  <c r="F43" i="11"/>
  <c r="F42" i="11"/>
  <c r="F41" i="11"/>
  <c r="E39" i="11"/>
  <c r="D39" i="11"/>
  <c r="C39" i="11"/>
  <c r="B39" i="11"/>
  <c r="F38" i="11"/>
  <c r="F37" i="11"/>
  <c r="F36" i="11"/>
  <c r="E31" i="11"/>
  <c r="D31" i="11"/>
  <c r="C31" i="11"/>
  <c r="B31" i="11"/>
  <c r="F30" i="11"/>
  <c r="F29" i="11"/>
  <c r="F28" i="11"/>
  <c r="F31" i="11"/>
  <c r="E26" i="11"/>
  <c r="E32" i="11"/>
  <c r="D26" i="11"/>
  <c r="C26" i="11"/>
  <c r="B26" i="11"/>
  <c r="B32" i="11"/>
  <c r="F25" i="11"/>
  <c r="F24" i="11"/>
  <c r="F23" i="11"/>
  <c r="F26" i="11"/>
  <c r="E18" i="11"/>
  <c r="D18" i="11"/>
  <c r="C18" i="11"/>
  <c r="B18" i="11"/>
  <c r="F17" i="11"/>
  <c r="F18" i="11"/>
  <c r="E15" i="11"/>
  <c r="D15" i="11"/>
  <c r="C15" i="11"/>
  <c r="B15" i="11"/>
  <c r="F14" i="11"/>
  <c r="F13" i="11"/>
  <c r="F12" i="11"/>
  <c r="F11" i="11"/>
  <c r="E9" i="11"/>
  <c r="D9" i="11"/>
  <c r="C9" i="11"/>
  <c r="B9" i="11"/>
  <c r="B19" i="11"/>
  <c r="F8" i="11"/>
  <c r="F7" i="11"/>
  <c r="D19" i="11"/>
  <c r="E19" i="11"/>
  <c r="C32" i="11"/>
  <c r="F50" i="11"/>
  <c r="D32" i="11"/>
  <c r="F9" i="11"/>
  <c r="F39" i="11"/>
  <c r="F44" i="11"/>
  <c r="B80" i="11"/>
  <c r="B82" i="11"/>
  <c r="E80" i="11"/>
  <c r="E82" i="11"/>
  <c r="C19" i="11"/>
  <c r="F15" i="11"/>
  <c r="D80" i="11"/>
  <c r="D82" i="11"/>
  <c r="F73" i="11"/>
  <c r="C80" i="11"/>
  <c r="F32" i="11"/>
  <c r="F78" i="11"/>
  <c r="F79" i="11"/>
  <c r="C15" i="10"/>
  <c r="D15" i="10"/>
  <c r="E15" i="10"/>
  <c r="B15" i="10"/>
  <c r="F14" i="10"/>
  <c r="F13" i="10"/>
  <c r="F12" i="10"/>
  <c r="F11" i="10"/>
  <c r="F19" i="11"/>
  <c r="C82" i="11"/>
  <c r="F80" i="11"/>
  <c r="F82" i="11"/>
  <c r="F15" i="10"/>
  <c r="F38" i="10"/>
  <c r="C39" i="10"/>
  <c r="D39" i="10"/>
  <c r="E39" i="10"/>
  <c r="B39" i="10"/>
  <c r="F70" i="10"/>
  <c r="F71" i="10"/>
  <c r="F72" i="10"/>
  <c r="E73" i="10"/>
  <c r="D73" i="10"/>
  <c r="C73" i="10"/>
  <c r="B73" i="10"/>
  <c r="E79" i="10"/>
  <c r="D79" i="10"/>
  <c r="C79" i="10"/>
  <c r="B78" i="10"/>
  <c r="F78" i="10"/>
  <c r="F77" i="10"/>
  <c r="F76" i="10"/>
  <c r="F75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E50" i="10"/>
  <c r="D50" i="10"/>
  <c r="C50" i="10"/>
  <c r="B50" i="10"/>
  <c r="F49" i="10"/>
  <c r="F48" i="10"/>
  <c r="F47" i="10"/>
  <c r="F46" i="10"/>
  <c r="E44" i="10"/>
  <c r="D44" i="10"/>
  <c r="C44" i="10"/>
  <c r="B44" i="10"/>
  <c r="F43" i="10"/>
  <c r="F42" i="10"/>
  <c r="F41" i="10"/>
  <c r="F37" i="10"/>
  <c r="F36" i="10"/>
  <c r="E31" i="10"/>
  <c r="D31" i="10"/>
  <c r="C31" i="10"/>
  <c r="B31" i="10"/>
  <c r="F30" i="10"/>
  <c r="F29" i="10"/>
  <c r="F28" i="10"/>
  <c r="E26" i="10"/>
  <c r="D26" i="10"/>
  <c r="D32" i="10"/>
  <c r="C26" i="10"/>
  <c r="B26" i="10"/>
  <c r="F25" i="10"/>
  <c r="F24" i="10"/>
  <c r="F23" i="10"/>
  <c r="E18" i="10"/>
  <c r="D18" i="10"/>
  <c r="C18" i="10"/>
  <c r="B18" i="10"/>
  <c r="F17" i="10"/>
  <c r="F18" i="10"/>
  <c r="E9" i="10"/>
  <c r="E19" i="10"/>
  <c r="D9" i="10"/>
  <c r="D19" i="10"/>
  <c r="C9" i="10"/>
  <c r="B9" i="10"/>
  <c r="F8" i="10"/>
  <c r="F7" i="10"/>
  <c r="F9" i="10"/>
  <c r="C32" i="10"/>
  <c r="B32" i="10"/>
  <c r="E32" i="10"/>
  <c r="B19" i="10"/>
  <c r="F26" i="10"/>
  <c r="F39" i="10"/>
  <c r="F19" i="10"/>
  <c r="C19" i="10"/>
  <c r="F73" i="10"/>
  <c r="E80" i="10"/>
  <c r="E82" i="10"/>
  <c r="D80" i="10"/>
  <c r="D82" i="10"/>
  <c r="C80" i="10"/>
  <c r="F31" i="10"/>
  <c r="F32" i="10"/>
  <c r="F50" i="10"/>
  <c r="F44" i="10"/>
  <c r="F79" i="10"/>
  <c r="B79" i="10"/>
  <c r="B80" i="10"/>
  <c r="B82" i="10"/>
  <c r="F63" i="9"/>
  <c r="F62" i="9"/>
  <c r="F61" i="9"/>
  <c r="C64" i="9"/>
  <c r="D64" i="9"/>
  <c r="E64" i="9"/>
  <c r="B64" i="9"/>
  <c r="E70" i="9"/>
  <c r="D70" i="9"/>
  <c r="C70" i="9"/>
  <c r="B69" i="9"/>
  <c r="B70" i="9"/>
  <c r="F68" i="9"/>
  <c r="F67" i="9"/>
  <c r="F66" i="9"/>
  <c r="F60" i="9"/>
  <c r="F59" i="9"/>
  <c r="F58" i="9"/>
  <c r="F57" i="9"/>
  <c r="F56" i="9"/>
  <c r="F55" i="9"/>
  <c r="F54" i="9"/>
  <c r="F53" i="9"/>
  <c r="F52" i="9"/>
  <c r="F51" i="9"/>
  <c r="F50" i="9"/>
  <c r="F49" i="9"/>
  <c r="F48" i="9"/>
  <c r="F47" i="9"/>
  <c r="F46" i="9"/>
  <c r="E44" i="9"/>
  <c r="D44" i="9"/>
  <c r="C44" i="9"/>
  <c r="B44" i="9"/>
  <c r="F43" i="9"/>
  <c r="F42" i="9"/>
  <c r="F41" i="9"/>
  <c r="F40" i="9"/>
  <c r="F44" i="9"/>
  <c r="E38" i="9"/>
  <c r="D38" i="9"/>
  <c r="C38" i="9"/>
  <c r="B38" i="9"/>
  <c r="F37" i="9"/>
  <c r="F36" i="9"/>
  <c r="F35" i="9"/>
  <c r="F34" i="9"/>
  <c r="F38" i="9"/>
  <c r="E32" i="9"/>
  <c r="D32" i="9"/>
  <c r="C32" i="9"/>
  <c r="B32" i="9"/>
  <c r="F31" i="9"/>
  <c r="F30" i="9"/>
  <c r="E25" i="9"/>
  <c r="D25" i="9"/>
  <c r="C25" i="9"/>
  <c r="B25" i="9"/>
  <c r="F24" i="9"/>
  <c r="F23" i="9"/>
  <c r="F22" i="9"/>
  <c r="E20" i="9"/>
  <c r="D20" i="9"/>
  <c r="C20" i="9"/>
  <c r="B20" i="9"/>
  <c r="F19" i="9"/>
  <c r="F18" i="9"/>
  <c r="F17" i="9"/>
  <c r="E12" i="9"/>
  <c r="D12" i="9"/>
  <c r="C12" i="9"/>
  <c r="B12" i="9"/>
  <c r="F11" i="9"/>
  <c r="F12" i="9"/>
  <c r="E9" i="9"/>
  <c r="D9" i="9"/>
  <c r="D13" i="9"/>
  <c r="C9" i="9"/>
  <c r="B9" i="9"/>
  <c r="F8" i="9"/>
  <c r="F7" i="9"/>
  <c r="F9" i="9"/>
  <c r="E26" i="9"/>
  <c r="B13" i="9"/>
  <c r="D26" i="9"/>
  <c r="E13" i="9"/>
  <c r="C26" i="9"/>
  <c r="F13" i="9"/>
  <c r="B26" i="9"/>
  <c r="F25" i="9"/>
  <c r="F26" i="9"/>
  <c r="C82" i="10"/>
  <c r="C13" i="9"/>
  <c r="F20" i="9"/>
  <c r="F80" i="10"/>
  <c r="F82" i="10"/>
  <c r="F64" i="9"/>
  <c r="D71" i="9"/>
  <c r="D73" i="9"/>
  <c r="C71" i="9"/>
  <c r="C73" i="9"/>
  <c r="E71" i="9"/>
  <c r="E73" i="9"/>
  <c r="B71" i="9"/>
  <c r="F32" i="9"/>
  <c r="F69" i="9"/>
  <c r="F70" i="9"/>
  <c r="F19" i="8"/>
  <c r="E20" i="8"/>
  <c r="D20" i="8"/>
  <c r="C20" i="8"/>
  <c r="B20" i="8"/>
  <c r="C25" i="8"/>
  <c r="D25" i="8"/>
  <c r="E25" i="8"/>
  <c r="B25" i="8"/>
  <c r="F23" i="8"/>
  <c r="F24" i="8"/>
  <c r="F22" i="8"/>
  <c r="F18" i="8"/>
  <c r="F17" i="8"/>
  <c r="B61" i="8"/>
  <c r="C61" i="8"/>
  <c r="D61" i="8"/>
  <c r="E61" i="8"/>
  <c r="B73" i="9"/>
  <c r="F71" i="9"/>
  <c r="F73" i="9"/>
  <c r="F25" i="8"/>
  <c r="F20" i="8"/>
  <c r="C26" i="8"/>
  <c r="E26" i="8"/>
  <c r="D26" i="8"/>
  <c r="B26" i="8"/>
  <c r="F26" i="8"/>
  <c r="E67" i="8"/>
  <c r="D67" i="8"/>
  <c r="C67" i="8"/>
  <c r="B66" i="8"/>
  <c r="B67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E44" i="8"/>
  <c r="D44" i="8"/>
  <c r="C44" i="8"/>
  <c r="B44" i="8"/>
  <c r="F43" i="8"/>
  <c r="F42" i="8"/>
  <c r="F41" i="8"/>
  <c r="F40" i="8"/>
  <c r="E38" i="8"/>
  <c r="D38" i="8"/>
  <c r="C38" i="8"/>
  <c r="B38" i="8"/>
  <c r="F37" i="8"/>
  <c r="F36" i="8"/>
  <c r="F35" i="8"/>
  <c r="F34" i="8"/>
  <c r="E32" i="8"/>
  <c r="D32" i="8"/>
  <c r="C32" i="8"/>
  <c r="B32" i="8"/>
  <c r="F31" i="8"/>
  <c r="F30" i="8"/>
  <c r="E12" i="8"/>
  <c r="D12" i="8"/>
  <c r="C12" i="8"/>
  <c r="B12" i="8"/>
  <c r="F11" i="8"/>
  <c r="F12" i="8"/>
  <c r="E9" i="8"/>
  <c r="D9" i="8"/>
  <c r="C9" i="8"/>
  <c r="B9" i="8"/>
  <c r="F8" i="8"/>
  <c r="F7" i="8"/>
  <c r="F32" i="8"/>
  <c r="E13" i="8"/>
  <c r="F61" i="8"/>
  <c r="B13" i="8"/>
  <c r="E68" i="8"/>
  <c r="E70" i="8"/>
  <c r="F38" i="8"/>
  <c r="D68" i="8"/>
  <c r="C68" i="8"/>
  <c r="F9" i="8"/>
  <c r="F13" i="8"/>
  <c r="D13" i="8"/>
  <c r="C13" i="8"/>
  <c r="B68" i="8"/>
  <c r="B70" i="8"/>
  <c r="F44" i="8"/>
  <c r="F66" i="8"/>
  <c r="F67" i="8"/>
  <c r="F47" i="7"/>
  <c r="C48" i="7"/>
  <c r="D48" i="7"/>
  <c r="E48" i="7"/>
  <c r="B48" i="7"/>
  <c r="E54" i="7"/>
  <c r="D54" i="7"/>
  <c r="C54" i="7"/>
  <c r="B53" i="7"/>
  <c r="B54" i="7"/>
  <c r="F52" i="7"/>
  <c r="F51" i="7"/>
  <c r="F50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E31" i="7"/>
  <c r="D31" i="7"/>
  <c r="C31" i="7"/>
  <c r="B31" i="7"/>
  <c r="F30" i="7"/>
  <c r="F29" i="7"/>
  <c r="F28" i="7"/>
  <c r="F27" i="7"/>
  <c r="E25" i="7"/>
  <c r="D25" i="7"/>
  <c r="C25" i="7"/>
  <c r="B25" i="7"/>
  <c r="F24" i="7"/>
  <c r="F23" i="7"/>
  <c r="F22" i="7"/>
  <c r="F21" i="7"/>
  <c r="E19" i="7"/>
  <c r="D19" i="7"/>
  <c r="C19" i="7"/>
  <c r="B19" i="7"/>
  <c r="F18" i="7"/>
  <c r="F17" i="7"/>
  <c r="E12" i="7"/>
  <c r="D12" i="7"/>
  <c r="C12" i="7"/>
  <c r="B12" i="7"/>
  <c r="F11" i="7"/>
  <c r="F12" i="7"/>
  <c r="E9" i="7"/>
  <c r="D9" i="7"/>
  <c r="C9" i="7"/>
  <c r="C13" i="7"/>
  <c r="B9" i="7"/>
  <c r="B13" i="7"/>
  <c r="F8" i="7"/>
  <c r="F7" i="7"/>
  <c r="C70" i="8"/>
  <c r="F19" i="7"/>
  <c r="D70" i="8"/>
  <c r="F9" i="7"/>
  <c r="F13" i="7"/>
  <c r="F68" i="8"/>
  <c r="F70" i="8"/>
  <c r="F48" i="7"/>
  <c r="B55" i="7"/>
  <c r="B57" i="7"/>
  <c r="F25" i="7"/>
  <c r="F53" i="7"/>
  <c r="F54" i="7"/>
  <c r="E13" i="7"/>
  <c r="E55" i="7"/>
  <c r="E57" i="7"/>
  <c r="D13" i="7"/>
  <c r="F31" i="7"/>
  <c r="C55" i="7"/>
  <c r="C57" i="7"/>
  <c r="D55" i="7"/>
  <c r="D57" i="7"/>
  <c r="F55" i="7"/>
  <c r="F57" i="7"/>
  <c r="E54" i="6"/>
  <c r="D54" i="6"/>
  <c r="C54" i="6"/>
  <c r="B53" i="6"/>
  <c r="F53" i="6"/>
  <c r="F52" i="6"/>
  <c r="F51" i="6"/>
  <c r="F50" i="6"/>
  <c r="E48" i="6"/>
  <c r="D48" i="6"/>
  <c r="C48" i="6"/>
  <c r="B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E32" i="6"/>
  <c r="D32" i="6"/>
  <c r="C32" i="6"/>
  <c r="F31" i="6"/>
  <c r="B30" i="6"/>
  <c r="F30" i="6"/>
  <c r="F29" i="6"/>
  <c r="F28" i="6"/>
  <c r="E26" i="6"/>
  <c r="D26" i="6"/>
  <c r="C26" i="6"/>
  <c r="B26" i="6"/>
  <c r="F25" i="6"/>
  <c r="F24" i="6"/>
  <c r="F23" i="6"/>
  <c r="F22" i="6"/>
  <c r="F21" i="6"/>
  <c r="E19" i="6"/>
  <c r="D19" i="6"/>
  <c r="C19" i="6"/>
  <c r="B19" i="6"/>
  <c r="F18" i="6"/>
  <c r="F17" i="6"/>
  <c r="E12" i="6"/>
  <c r="D12" i="6"/>
  <c r="C12" i="6"/>
  <c r="B12" i="6"/>
  <c r="F11" i="6"/>
  <c r="F12" i="6"/>
  <c r="E9" i="6"/>
  <c r="D9" i="6"/>
  <c r="D13" i="6"/>
  <c r="C9" i="6"/>
  <c r="B9" i="6"/>
  <c r="F8" i="6"/>
  <c r="F7" i="6"/>
  <c r="E54" i="5"/>
  <c r="D54" i="5"/>
  <c r="C54" i="5"/>
  <c r="B53" i="5"/>
  <c r="F53" i="5"/>
  <c r="F52" i="5"/>
  <c r="F51" i="5"/>
  <c r="F50" i="5"/>
  <c r="E48" i="5"/>
  <c r="D48" i="5"/>
  <c r="C48" i="5"/>
  <c r="B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E32" i="5"/>
  <c r="D32" i="5"/>
  <c r="C32" i="5"/>
  <c r="F31" i="5"/>
  <c r="B32" i="5"/>
  <c r="F29" i="5"/>
  <c r="F28" i="5"/>
  <c r="E26" i="5"/>
  <c r="D26" i="5"/>
  <c r="C26" i="5"/>
  <c r="B26" i="5"/>
  <c r="F25" i="5"/>
  <c r="F24" i="5"/>
  <c r="F23" i="5"/>
  <c r="F22" i="5"/>
  <c r="F21" i="5"/>
  <c r="E19" i="5"/>
  <c r="D19" i="5"/>
  <c r="C19" i="5"/>
  <c r="B19" i="5"/>
  <c r="F18" i="5"/>
  <c r="F17" i="5"/>
  <c r="E12" i="5"/>
  <c r="D12" i="5"/>
  <c r="C12" i="5"/>
  <c r="B12" i="5"/>
  <c r="F11" i="5"/>
  <c r="F12" i="5"/>
  <c r="E9" i="5"/>
  <c r="D9" i="5"/>
  <c r="C9" i="5"/>
  <c r="B9" i="5"/>
  <c r="F8" i="5"/>
  <c r="F7" i="5"/>
  <c r="F9" i="5"/>
  <c r="E13" i="5"/>
  <c r="C13" i="6"/>
  <c r="B13" i="5"/>
  <c r="F19" i="6"/>
  <c r="B54" i="6"/>
  <c r="C13" i="5"/>
  <c r="D13" i="5"/>
  <c r="B13" i="6"/>
  <c r="F26" i="6"/>
  <c r="F48" i="5"/>
  <c r="F26" i="5"/>
  <c r="E55" i="5"/>
  <c r="E57" i="5"/>
  <c r="D55" i="5"/>
  <c r="F19" i="5"/>
  <c r="C55" i="5"/>
  <c r="C57" i="5"/>
  <c r="F48" i="6"/>
  <c r="E55" i="6"/>
  <c r="E13" i="6"/>
  <c r="E57" i="6"/>
  <c r="F9" i="6"/>
  <c r="F13" i="6"/>
  <c r="D55" i="6"/>
  <c r="D57" i="6"/>
  <c r="C55" i="6"/>
  <c r="C57" i="6"/>
  <c r="F54" i="6"/>
  <c r="F32" i="6"/>
  <c r="B32" i="6"/>
  <c r="B55" i="6"/>
  <c r="F54" i="5"/>
  <c r="F13" i="5"/>
  <c r="F30" i="5"/>
  <c r="F32" i="5"/>
  <c r="B54" i="5"/>
  <c r="B55" i="5"/>
  <c r="B57" i="5"/>
  <c r="B57" i="6"/>
  <c r="F55" i="6"/>
  <c r="F57" i="6"/>
  <c r="F62" i="6"/>
  <c r="D57" i="5"/>
  <c r="F55" i="5"/>
  <c r="F57" i="5"/>
  <c r="K91" i="25" l="1"/>
  <c r="K92" i="25" s="1"/>
  <c r="K94" i="25" s="1"/>
  <c r="L92" i="25"/>
  <c r="L94" i="25" s="1"/>
  <c r="E91" i="25"/>
  <c r="E92" i="25" s="1"/>
  <c r="E94" i="25" s="1"/>
  <c r="F91" i="25"/>
  <c r="F92" i="25" s="1"/>
  <c r="F94" i="25" s="1"/>
  <c r="G91" i="25"/>
  <c r="G92" i="25" s="1"/>
  <c r="G94" i="25" s="1"/>
  <c r="H91" i="25"/>
  <c r="D91" i="25"/>
  <c r="D92" i="25" s="1"/>
  <c r="D94" i="25" s="1"/>
  <c r="J91" i="25"/>
  <c r="J92" i="25" s="1"/>
  <c r="J94" i="25" s="1"/>
  <c r="I91" i="25"/>
  <c r="I92" i="25" s="1"/>
  <c r="I94" i="25" s="1"/>
  <c r="O91" i="25" l="1"/>
  <c r="H92" i="25"/>
  <c r="H94" i="25" s="1"/>
  <c r="N91" i="25"/>
  <c r="P91" i="25"/>
  <c r="L97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B7" authorId="0" shapeId="0" xr:uid="{173B1ABC-CEC3-4B3D-B0C6-BEC4C2A8C490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dolů; přesně 46.471,27</t>
        </r>
      </text>
    </comment>
    <comment ref="B41" authorId="0" shapeId="0" xr:uid="{E9DA6806-99EC-4BD4-B648-3A03E04ACFFD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nahoru; přesně 15.864,43</t>
        </r>
      </text>
    </comment>
    <comment ref="B42" authorId="0" shapeId="0" xr:uid="{46BC6B48-C248-44DA-946C-FA04C45E3482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dolů; přesně 52.961,03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E59" authorId="0" shapeId="0" xr:uid="{69B90BA4-70B3-4551-B5BA-82792E078EFF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označil jsem zeleně, protože už proběhlo v RK 28.3.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D92" authorId="0" shapeId="0" xr:uid="{C13F887C-03EA-43F4-8D3B-C8A8D6025FCB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součet navýšen o 0,45 - zřejmě pro potřebu zaokrouhlení při revizi 17.6…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D92" authorId="0" shapeId="0" xr:uid="{1375ECC9-F611-4FDC-A0A6-A1CBC0E49EAB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součet navýšen o 0,45 - zřejmě pro potřebu zaokrouhlení při revizi 17.6…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</authors>
  <commentList>
    <comment ref="J90" authorId="0" shapeId="0" xr:uid="{26A4C2A7-E220-4BE8-86B3-FD3D66EFEE0A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159974-27900+415 byl zůstatek úvěru na úsporách úvěru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B7" authorId="0" shapeId="0" xr:uid="{EBF778FD-2318-4587-99BD-CC46DDFF261A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dolů; přesně 46.471,27</t>
        </r>
      </text>
    </comment>
    <comment ref="B47" authorId="0" shapeId="0" xr:uid="{CC17BD44-AEE3-4D98-9F98-730AC3DD05F0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nahoru; přesně 15.864,43</t>
        </r>
      </text>
    </comment>
    <comment ref="B48" authorId="0" shapeId="0" xr:uid="{62418940-0470-4EAE-A9A4-593B1BEA8F6E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dolů; přesně 52.961,03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B7" authorId="0" shapeId="0" xr:uid="{DE1EF9DA-1D9A-4A32-B422-1DB9044BAE14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dolů; přesně 46.471,27</t>
        </r>
      </text>
    </comment>
    <comment ref="B47" authorId="0" shapeId="0" xr:uid="{45F71653-883D-4813-9854-098AEEA73AEC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nahoru; přesně 15.864,43</t>
        </r>
      </text>
    </comment>
    <comment ref="B48" authorId="0" shapeId="0" xr:uid="{658BA4F2-5ADA-46FD-BD11-B2A68B3C6916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zaokrouhleno dolů; přesně 52.961,03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</authors>
  <commentList>
    <comment ref="B6" authorId="0" shapeId="0" xr:uid="{02E24A4B-E3AA-40E5-BA29-CB30C771A6F7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 Ivona Kotulová</t>
        </r>
      </text>
    </comment>
    <comment ref="B46" authorId="0" shapeId="0" xr:uid="{45CE3485-2FDF-4A63-BB1A-A794EA7F3A59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ivona Kotulová</t>
        </r>
      </text>
    </comment>
    <comment ref="B47" authorId="0" shapeId="0" xr:uid="{3098BCBA-C9BA-4A0E-BEBD-1FC9B6665AAB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 Ivona Kotulová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</authors>
  <commentList>
    <comment ref="B6" authorId="0" shapeId="0" xr:uid="{7A1F24F7-3A33-440D-90DC-AB5F99E7675A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 Ivona Kotulová</t>
        </r>
      </text>
    </comment>
    <comment ref="B46" authorId="0" shapeId="0" xr:uid="{376F3F07-8B85-4B36-862A-2C80F13FDF70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ivona Kotulová</t>
        </r>
      </text>
    </comment>
    <comment ref="B47" authorId="0" shapeId="0" xr:uid="{EF4B30C9-C801-465D-9DF1-6910BBB34C58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 Ivona Kotulová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</authors>
  <commentList>
    <comment ref="B46" authorId="0" shapeId="0" xr:uid="{3460625B-A887-4ABC-BC4C-829A67E0825C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ivona Kotulová</t>
        </r>
      </text>
    </comment>
    <comment ref="B47" authorId="0" shapeId="0" xr:uid="{5B621B8F-FD30-4EEE-8D22-5DDA0057AECA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aktualizuje  Ivona Kotulová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C24" authorId="0" shapeId="0" xr:uid="{BE4D8509-0A8D-4432-B877-D715C1179027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zrušeno - dle IM</t>
        </r>
      </text>
    </comment>
    <comment ref="C25" authorId="0" shapeId="0" xr:uid="{A369E1F6-C17F-45B0-9F28-5D41E39C2408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zrušeno - dle IM</t>
        </r>
      </text>
    </comment>
    <comment ref="C26" authorId="0" shapeId="0" xr:uid="{25C1E59D-3849-488D-9F25-719E17FDABE9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zrušeno - dle IM</t>
        </r>
      </text>
    </comment>
    <comment ref="E46" authorId="0" shapeId="0" xr:uid="{38C861FB-C36A-4191-BA1D-2C88969154D6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snížení - srovnání úvěru na 3 mld. Kč</t>
        </r>
      </text>
    </comment>
    <comment ref="C73" authorId="0" shapeId="0" xr:uid="{AADD083E-F9FD-4113-896C-D3646C682B6A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v přípravě rozpočtu zaokrouhleno na celé tis. Kč dolů</t>
        </r>
      </text>
    </comment>
    <comment ref="C78" authorId="0" shapeId="0" xr:uid="{E37F4F2F-8D68-487F-83BE-FABDA07922F9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v přípravě rozpočtu zaokrouhleno na celé tis. Kč nahoru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Kubíková Renata</author>
    <author>Metelka Tomáš</author>
  </authors>
  <commentList>
    <comment ref="E40" authorId="0" shapeId="0" xr:uid="{FEA69683-1FC9-4046-89FE-613B76082258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posun 20 mil do roku 24</t>
        </r>
      </text>
    </comment>
    <comment ref="G40" authorId="0" shapeId="0" xr:uid="{9EF36302-BEF9-4EB8-81E7-31595202999A}">
      <text>
        <r>
          <rPr>
            <b/>
            <sz val="9"/>
            <color indexed="81"/>
            <rFont val="Tahoma"/>
            <family val="2"/>
            <charset val="238"/>
          </rPr>
          <t>Kubíková Renata:</t>
        </r>
        <r>
          <rPr>
            <sz val="9"/>
            <color indexed="81"/>
            <rFont val="Tahoma"/>
            <family val="2"/>
            <charset val="238"/>
          </rPr>
          <t xml:space="preserve">
přesun 20 mil z roku 22</t>
        </r>
      </text>
    </comment>
    <comment ref="E61" authorId="1" shapeId="0" xr:uid="{9B9F034F-8E1F-46C3-86E3-69DAB266036F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označil jsem zeleně, protože už proběhlo v RK 28.3.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Metelka Tomáš</author>
  </authors>
  <commentList>
    <comment ref="E59" authorId="0" shapeId="0" xr:uid="{33AFFE67-3C06-48DB-8783-13A91AD62F07}">
      <text>
        <r>
          <rPr>
            <b/>
            <sz val="9"/>
            <color indexed="81"/>
            <rFont val="Tahoma"/>
            <family val="2"/>
            <charset val="238"/>
          </rPr>
          <t>Metelka Tomáš:</t>
        </r>
        <r>
          <rPr>
            <sz val="9"/>
            <color indexed="81"/>
            <rFont val="Tahoma"/>
            <family val="2"/>
            <charset val="238"/>
          </rPr>
          <t xml:space="preserve">
označil jsem zeleně, protože už proběhlo v RK 28.3.</t>
        </r>
      </text>
    </comment>
  </commentList>
</comments>
</file>

<file path=xl/sharedStrings.xml><?xml version="1.0" encoding="utf-8"?>
<sst xmlns="http://schemas.openxmlformats.org/spreadsheetml/2006/main" count="3833" uniqueCount="332">
  <si>
    <t>PŘEHLED AKCÍ FINANCOVANÝCH Z ÚVĚRU ČESKÉ SPOŘITELNY, a.s. - aktuální stav</t>
  </si>
  <si>
    <t>v tis. Kč</t>
  </si>
  <si>
    <t>Název akce</t>
  </si>
  <si>
    <t>Financováno z úvěru ČS</t>
  </si>
  <si>
    <t>Celkem</t>
  </si>
  <si>
    <t>AKCE SPOLUFINANCOVANÉ Z EVROPSKÝCH FINANČNÍCH ZDROJŮ</t>
  </si>
  <si>
    <t>ODVĚTVÍ SOCIÁLNÍCH VĚCÍ:</t>
  </si>
  <si>
    <t>Rekonstrukce a výstavba Domova Březiny</t>
  </si>
  <si>
    <t>Zateplení a stavební úpravy správní budovy, pavilonu E a F Domova Březiny</t>
  </si>
  <si>
    <t>ODVĚTVÍ SOCIÁLNÍCH VĚCÍ CELKEM</t>
  </si>
  <si>
    <t>ODVĚTVÍ ÚZEMNÍHO PLÁNOVÁNÍ A STAVEBNÍHO ŘÁDU:</t>
  </si>
  <si>
    <t>Digitálně technická mapa Moravskoslezského kraje</t>
  </si>
  <si>
    <t>v mat. EP ZK 17.12.</t>
  </si>
  <si>
    <t>ODVĚTVÍ ÚZEMNÍHO PLÁNOVÁNÍ A STAVEBNÍHO ŘÁDU CELKEM</t>
  </si>
  <si>
    <t>CELKEM ZA AKCE SPOLUFINANCOVANÉ Z EVROPSKÝCH FINANČNÍCH ZDROJŮ</t>
  </si>
  <si>
    <t>REPRODUKCE MAJETKU KRAJE VYJMA AKCÍ SPOLUFINANCOVANÝCH Z EVROPSKÝCH FINANČNÍCH ZDROJŮ</t>
  </si>
  <si>
    <t>ODVĚTVÍ DOPRAVY:</t>
  </si>
  <si>
    <t>Letiště Leoše Janáčka Ostrava, výstavba odbavovací plochy APN S3</t>
  </si>
  <si>
    <t>Rekonstrukce vzletové a přistávací dráhy a navazujících provozních ploch Letiště Leoše Janáčka Ostrava - projektová dokumentace</t>
  </si>
  <si>
    <t>ODVĚTVÍ DOPRAVY CELKEM</t>
  </si>
  <si>
    <t>ODVĚTVÍ KULTURY:</t>
  </si>
  <si>
    <t>Novostavba Moravskoslezské vědecké knihovny (Moravskoslezská vědecká knihovna v Ostravě, příspěvková organizace)</t>
  </si>
  <si>
    <t>Přístavba Domu umění - Galerie 21. století (Galerie výtvarného umění v Ostravě, příspěvková organizace)</t>
  </si>
  <si>
    <t>Zámek Nová Horka - dobudování infrastruktury (Muzeum Novojičínska, příspěvková organizace)</t>
  </si>
  <si>
    <t>Zámek Bruntál - revitalizace objektu (Muzeum v Bruntále, příspěvková organizace)</t>
  </si>
  <si>
    <t>Novostavba objektu depozitáře (Muzeum v Bruntále, příspěvková organizace)</t>
  </si>
  <si>
    <t>je závazkováno</t>
  </si>
  <si>
    <t>ODVĚTVÍ KULTURY CELKEM</t>
  </si>
  <si>
    <t>Chráněné bydlení Hynaisova (Fontána, příspěvková organizace, Hlučín)</t>
  </si>
  <si>
    <t>Rekonstrukce budovy a spojovací chodby Máchova (Domov Duha, příspěvková organizace, Nový Jičín)</t>
  </si>
  <si>
    <t>Výstavba domova pro seniory a domova se zvláštním režimem Kopřivnice</t>
  </si>
  <si>
    <t>Nákup budov a pozemků v Opavě (Sírius, příspěvková organizace, Opava)</t>
  </si>
  <si>
    <t>ODVĚTVÍ ŠKOLSTVÍ:</t>
  </si>
  <si>
    <t>Rekonstrukce elektroinstalace (Mendelovo gymnázium, Opava, příspěvková organizace)</t>
  </si>
  <si>
    <t>Sportovní areál na ul. Komenského, Opava (Mendelovo gymnázium, Opava, příspěvková organizace)</t>
  </si>
  <si>
    <t>Rekonstrukce objektu na ul .B. Němcové, Opava (Střední odborné učiliště stavební, Opava, příspěvková organizace)</t>
  </si>
  <si>
    <t>Rekonstrukce objektů Polského gymnázia (Polské gymnázium - Polskie Gimnazjum im. Juliusza Słowackiego, Český Těšín, příspěvková organizace)</t>
  </si>
  <si>
    <t>Rekultivace vnitrobloku a zpevněné plochy (Polské gymnázium - Polskie Gimnazjum im. Juliusza Słowackiego, Český Těšín, příspěvková organizace)</t>
  </si>
  <si>
    <t>Rekonstrukce budovy na ulici Praskova čp. 411 v Opavě (Základní škola, Opava, Havlíčkova 1, příspěvková organizace)</t>
  </si>
  <si>
    <t>Demolice budov a výstavba sportoviště (Střední průmyslová škola a Obchodní akademie, Bruntál, příspěvková organizace)</t>
  </si>
  <si>
    <t>Rekonstrukce školní kuchyně a výdejny (Základní škola, Ostrava - Poruba, Čkalovova 942, příspěvková organizace)</t>
  </si>
  <si>
    <t>Stavební úpravy části školy pro potřeby Vzdělávacího a výcvikového střediska a umístění sídla Správy silnic MSK v Ostravě-Zábřeh (Střední škola stavební a dřevozpracující, Ostrava, příspěvková organizace)</t>
  </si>
  <si>
    <t>Vybudování dílen pro praktické vyučování (Střední odborná škola, Frýdek-Místek, příspěvková organizace)</t>
  </si>
  <si>
    <t>Modernizace Školního statku v Opavě (Školní statek, Opava, příspěvková organizace)</t>
  </si>
  <si>
    <t>Rekonstrukce elektroinstalace hlavní budovy školy (Slezské gymnázium, Opava, příspěvková organizace)</t>
  </si>
  <si>
    <t>Rekonstrukce objektu SŠ a domova mládeže (Střední škola společného stravování, Ostrava-Hrabůvka, příspěvková organizace)</t>
  </si>
  <si>
    <t>Rekonstrukce cvičné stávající kuchyně v prostorách Tyršova 34, Opava (Základní škola, Opava, Havlíčkova 1, příspěvková organizace)</t>
  </si>
  <si>
    <t>ODVĚTVÍ ŠKOLSTVÍ CELKEM</t>
  </si>
  <si>
    <t>ODVĚTVÍ ZDRAVOTNICTVÍ:</t>
  </si>
  <si>
    <t>Přístavba a nástavba rehabilitace (Nemocnice Třinec, příspěvková organizace)</t>
  </si>
  <si>
    <t>Pavilon L - stavební úpravy (Slezská nemocnice v Opavě, příspěvková organizace)</t>
  </si>
  <si>
    <t>Nemocnice Havířov - ČOV (Nemocnice s poliklinikou Havířov, příspěvková organizace)</t>
  </si>
  <si>
    <t>Rekonstrukce elektroinstalace Orlová (Nemocnice s poliklinikou Karviná-Ráj, příspěvková organizace)</t>
  </si>
  <si>
    <t>ODVĚTVÍ ZDRAVOTNICTVÍ CELKEM</t>
  </si>
  <si>
    <t>CELKEM ZA AKCE REPRODUKCE MAJETKU KRAJE VYJMA AKCÍ SPOLUFINANCOVANÝCH Z EVROPSKÝCH FINANČNÍCH ZDROJŮ</t>
  </si>
  <si>
    <t>CELKEM</t>
  </si>
  <si>
    <t>Pozn. Žlutě jsou označeny akce, které nebyly uvedeny v příloze k rozpočtu 2021, jelikož čerpání úvěru bylo plánováno v pozdějších letech.</t>
  </si>
  <si>
    <t>Modře je označena akce schválená v ZK 17.3.</t>
  </si>
  <si>
    <t>Zeleně jsou označeny akce přeplánované v RK 26.4.</t>
  </si>
  <si>
    <t>PŘEHLED AKCÍ FINANCOVANÝCH Z ÚVĚRU ČESKÉ SPOŘITELNY, a.s. - plán</t>
  </si>
  <si>
    <t>snížení použití úvěru</t>
  </si>
  <si>
    <t>nutno upravit závazek</t>
  </si>
  <si>
    <t>patří pod EP</t>
  </si>
  <si>
    <t>zvýšení použití úvěru + zrušit závazek</t>
  </si>
  <si>
    <t>nutno schválit závazek</t>
  </si>
  <si>
    <t>zrušit závazek</t>
  </si>
  <si>
    <t>Zeleně jsou podbarveny vyplývající z revize IM.</t>
  </si>
  <si>
    <t>Tmavě zeleně jsou podbarveny změny EP.</t>
  </si>
  <si>
    <t>Rekonstrukce objektu na ul. B. Němcové, Opava (Střední odborné učiliště stavební, Opava, příspěvková organizace)</t>
  </si>
  <si>
    <t>Využití objektu v Bílé (Vzdělávací a sportovní centrum, Bílá, příspěvková organizace)</t>
  </si>
  <si>
    <t>AKCE SPOLUFINANCOVANÉ Z EVROPSKÝCH FINANČNÍCH ZDROJŮ REALIZOVANÉ KRAJEM</t>
  </si>
  <si>
    <t>CELKEM ZA AKCE SPOLUFINANCOVANÉ Z EVROPSKÝCH FINANČNÍCH ZDROJŮ REALIZOVANÉ KRAJEM</t>
  </si>
  <si>
    <t>AKCE SPOLUFINANCOVANÉ Z EVROPSKÝCH FINANČNÍCH ZDROJŮ REALIZOVANÉ PŘÍSPĚVKOVÝMI ORGANIZACEMI KRAJE</t>
  </si>
  <si>
    <t>Snížení energetické náročnosti budov v areálu drobnochovu Školního statku Opava na ulici Statková využitím OZE</t>
  </si>
  <si>
    <t>Snížení energetické náročnosti budov Masarykové střední školy zemědělské a Vyšší odborné školy v Opavě využitím OZE a KVET</t>
  </si>
  <si>
    <t>Snížení energetické náročnosti budovy v hlavním areálu Školního statku Opava na ulici Englišova</t>
  </si>
  <si>
    <t>Snížení energetické náročnosti budov v areálu Slezské nemocnice v Opavě využitím OZE a KVET u hlavních budov - hlavní budova I</t>
  </si>
  <si>
    <t>Snížení energetické náročnosti budov v areálu Slezské nemocnice v Opavě využitím OZE a KVET u hlavních budov - hlavní budova II</t>
  </si>
  <si>
    <t>Snížení energetické náročnosti budov v areálu Slezské nemocnice v Opavě využitím OZE u vedlejších budov</t>
  </si>
  <si>
    <t>CELKEM ZA AKCE SPOLUFINANCOVANÉ Z EVROPSKÝCH FINANČNÍCH ZDROJŮ REALIZOVANÉ PŘÍSPĚVKOVÝMI ORGANIZACEMI KRAJE</t>
  </si>
  <si>
    <t>Rekonstrukce školního dvora (Matiční gymnázium, Ostrava, příspěvková organizace)</t>
  </si>
  <si>
    <t>Vybavení rekonstruovaných objektů Polského gymnázia (Polské gymnázium - Polskie Gimnazjum im. Juliusza Słowackiego, Český Těšín, příspěvková organizace)</t>
  </si>
  <si>
    <r>
      <t>Přístavba tělocvičny</t>
    </r>
    <r>
      <rPr>
        <sz val="8"/>
        <color rgb="FFFF0000"/>
        <rFont val="Tahoma"/>
        <family val="2"/>
        <charset val="238"/>
      </rPr>
      <t xml:space="preserve"> - projektová příprava</t>
    </r>
    <r>
      <rPr>
        <sz val="8"/>
        <color indexed="8"/>
        <rFont val="Tahoma"/>
        <family val="2"/>
        <charset val="238"/>
      </rPr>
      <t xml:space="preserve"> (Gymnázium, Třinec, příspěvková organizace)</t>
    </r>
  </si>
  <si>
    <t>Energetické úspory v ZŠ Čkalovova</t>
  </si>
  <si>
    <t>Energetické úspory v ZUŠ L. Janáčka Havířov</t>
  </si>
  <si>
    <t>Energetické úspory ve VOŠ zdravotnická Ostrava</t>
  </si>
  <si>
    <t>Energetické úspory v ZUŠ Klimkovice</t>
  </si>
  <si>
    <t>Rekonstrukce silnice III/47811, II/478 Ostrava, ulice Mitrovická (Správa silnic Moravskoslezského kraje, příspěvková organizace)</t>
  </si>
  <si>
    <t>Přístavba tělocvičny (Gymnázium, Třinec, příspěvková organizace)</t>
  </si>
  <si>
    <t>Stavební úpravy tělocvičny (Střední škola průmyslová, Krnov, příspěvková organiazce)</t>
  </si>
  <si>
    <t>Rekonstrukce střechy a zateplení fasády (Gymnázium Třinec, příspěvková organizace)</t>
  </si>
  <si>
    <t>Rekonstrukce střechy budov dílen (Střední průmyslová škola, Ostrava - Vítkovice, příspěvková organizace)</t>
  </si>
  <si>
    <t>Rekonstrukce vzletové a přistávací dráhy a navazujících provozních ploch Letiště Leoše Janáčka Ostrava</t>
  </si>
  <si>
    <t>za obě akce max. 47,5 mil. Kč, ale spíš méně</t>
  </si>
  <si>
    <t>Orj 14</t>
  </si>
  <si>
    <t>zatím není VZ, tam se nebude čerpat.</t>
  </si>
  <si>
    <t>VZ probíhá, ale je prodloužená. Uzavření smlouvy cca říjen/listopad 2021. Max 18 mil. Kč čerpání</t>
  </si>
  <si>
    <t>Pavilon F - stavební úpravy 1.NP pro rehabilitaci (Slezská nemocnice v Opavě, příspěvková organizace)</t>
  </si>
  <si>
    <t xml:space="preserve">PŘEHLED AKCÍ FINANCOVANÝCH Z ÚVĚRU ČESKÉ SPOŘITELNY, a. s. </t>
  </si>
  <si>
    <t>2021 změny</t>
  </si>
  <si>
    <t>2022 změny</t>
  </si>
  <si>
    <t>2023 změny</t>
  </si>
  <si>
    <t>2024 změny</t>
  </si>
  <si>
    <t>Celkem před změnou</t>
  </si>
  <si>
    <t>Celkem po změně</t>
  </si>
  <si>
    <t>Poznámky</t>
  </si>
  <si>
    <t>ok</t>
  </si>
  <si>
    <t>čekáme na vyjádření odboru kultury</t>
  </si>
  <si>
    <t>čerpáno  z vlastních, celý úvěr 9 mil. letos a 10 mil z roku 22 k dispozici</t>
  </si>
  <si>
    <t>ano mělo by se čerpat smlouva je podepsaná</t>
  </si>
  <si>
    <t xml:space="preserve">Nákup budovy a pozemků ve Skotnici (Domov NaNovo, příspěvková organizace) </t>
  </si>
  <si>
    <t>Stavební úpravy budovy na ul. Rybářská 27 (Domov Bílá Opava, příspěvková organizace)</t>
  </si>
  <si>
    <t>akce ukončena - přeúčtování (uhrazeno 6.329.883,47 Kč )</t>
  </si>
  <si>
    <t>Dům pro volnočasové aktivity seniorů se zahradním parterem (Domov Letokruhy, příspěvková organizace, Budišov nad Budišovkou)</t>
  </si>
  <si>
    <t>akce běží, zatím uhrazeno 1.613.573,82 Kč</t>
  </si>
  <si>
    <t>Ok bude se čerpat</t>
  </si>
  <si>
    <t>Ok zůstává využití pro domov  mládeže</t>
  </si>
  <si>
    <t>nebude se čerpat letos,realizace léto 2022</t>
  </si>
  <si>
    <t>vyhlášena VZ, srpen -smlouva, částečně vyčerpáme snad</t>
  </si>
  <si>
    <t>čerpáme, vícepráce cca 1,5 mil. Kč má jít z úvěru</t>
  </si>
  <si>
    <t>akce přesunuta  na rok 2022, technologie nelze dodat v létě 2021, měli by soutěžit letos POZOR</t>
  </si>
  <si>
    <t>není vyhlášena VZ,letos nevyčerpáme</t>
  </si>
  <si>
    <t>ok  bude čerpáno (období 9-12/2021)</t>
  </si>
  <si>
    <t>ukončeno - přeúčtování ve výši 9.780,76 (úspora 4.760,61 tis. Kč)</t>
  </si>
  <si>
    <t>ok běží</t>
  </si>
  <si>
    <t>k jednání se ŠMS, chybí 80 mil.. Bude řešeno až prosinec 2021 …v září necháme jak je</t>
  </si>
  <si>
    <t>vyhlášena VZ na PD</t>
  </si>
  <si>
    <t xml:space="preserve"> to je na vyhlášení VZ, nevyčerpáme </t>
  </si>
  <si>
    <r>
      <t xml:space="preserve">musíme navýšit na 77 mil., materiál do RK a </t>
    </r>
    <r>
      <rPr>
        <b/>
        <sz val="10"/>
        <color rgb="FFFF0000"/>
        <rFont val="Tahoma"/>
        <family val="2"/>
        <charset val="238"/>
      </rPr>
      <t>změnit manažera akce!!</t>
    </r>
  </si>
  <si>
    <t xml:space="preserve">vyhlásí PD, fakturace v lednu? </t>
  </si>
  <si>
    <t xml:space="preserve">chtějí 25 - vysoutěženo, mohou fakturovat </t>
  </si>
  <si>
    <t>Rekonstrukce prostor dílen (Střední průmyslová škola, Ostrava-Vítkovice, příspěvková organizace)</t>
  </si>
  <si>
    <t>akce ukončena - přeúčtování (ZU 7.949.672,10 Kč)</t>
  </si>
  <si>
    <t xml:space="preserve">Odvětví zdravotnictví </t>
  </si>
  <si>
    <t>navýšení o 63 mil. Kč</t>
  </si>
  <si>
    <t>pavilon L čeká na F, nevyčerpáme</t>
  </si>
  <si>
    <t>posunutí, realizace bude až r. 2022</t>
  </si>
  <si>
    <t>v roce 2022 3.500 tis. Kč z vlastních na PD</t>
  </si>
  <si>
    <t>realizace bude</t>
  </si>
  <si>
    <t>Výstavba operačních sálů a dospávacích pokojů (Nemocnice s poliklinikou Karviná-Ráj, příspěvková organizace)</t>
  </si>
  <si>
    <t>akce ukončena - přeúčtování (ZU 22.241.635,22)</t>
  </si>
  <si>
    <t>Pavilon H - stavební úpravy a přístavba (Slezská nemocnice v Opavě, příspěvková organizace)</t>
  </si>
  <si>
    <t>akce ukončena - přeúčtování (ZU 2.151.623,21 a 18.746.634,21 )</t>
  </si>
  <si>
    <t>Rekonstrukce hemodialýzy v budově S (Nemocnice ve Frýdku-Místku, příspěvková organizace)</t>
  </si>
  <si>
    <t>akce ukončena - přeúčtování (ZU 2.000.000 a 26.727.632,86 )</t>
  </si>
  <si>
    <t>Rekonstrukce podkroví (Odborný léčebný ústav Metylovice - Moravskoslezské sanatorium, příspěvková organizace)</t>
  </si>
  <si>
    <t>akce běží, zatím uhrazeno 10.130.129,69</t>
  </si>
  <si>
    <t>Domov sester - přístavba výtahu a stavební úpravy (Slezská nemocnice v Opavě, příspěvková organizace)</t>
  </si>
  <si>
    <t xml:space="preserve">ještě není uhrazena pozastávka, zatím uhrazeno 11.249.053,9 (firma se soudí o vícepráce) </t>
  </si>
  <si>
    <t>mil.Kč</t>
  </si>
  <si>
    <t>nákupy Krmelínská, Mostní</t>
  </si>
  <si>
    <t>z FSP</t>
  </si>
  <si>
    <t>v samostatném materiálu odd. maj</t>
  </si>
  <si>
    <t>výkupy R1 a R2</t>
  </si>
  <si>
    <t>upřesnit  částky a výhled</t>
  </si>
  <si>
    <t>výkupy R2</t>
  </si>
  <si>
    <r>
      <t xml:space="preserve">musíme navýšit , materiál do RK a </t>
    </r>
    <r>
      <rPr>
        <b/>
        <sz val="10"/>
        <color rgb="FFFF0000"/>
        <rFont val="Tahoma"/>
        <family val="2"/>
        <charset val="238"/>
      </rPr>
      <t>změnit manažera akce!!</t>
    </r>
  </si>
  <si>
    <t>změna</t>
  </si>
  <si>
    <t>Pozn.</t>
  </si>
  <si>
    <t>nutno zrušit profin, kofin</t>
  </si>
  <si>
    <r>
      <t>posunutí v letech, celkové výdaje se nemění;</t>
    </r>
    <r>
      <rPr>
        <sz val="10"/>
        <color rgb="FFFF0000"/>
        <rFont val="Calibri"/>
        <family val="2"/>
        <charset val="238"/>
        <scheme val="minor"/>
      </rPr>
      <t xml:space="preserve"> následně převod úvěru 122 mil. Kč na akce DSH</t>
    </r>
  </si>
  <si>
    <t>snížení po vysoutěžení</t>
  </si>
  <si>
    <t>Rekonstrukce mostů ev. č. 486-011, 012 Hukvaldy (Správa silnic Moravskoslezského kraje, příspěvková organizace, Ostrava)</t>
  </si>
  <si>
    <t>odbor DSH</t>
  </si>
  <si>
    <t>Rekonstrukce mostu ev. č. 478-008 Polanka nad Odrou (Správa silnic Moravskoslezského kraje, příspěvková organizace, Ostrava)</t>
  </si>
  <si>
    <t>Rekonstrukce mostu ev. č. 4804-2 Košatka (Správa silnic Moravskoslezského kraje, příspěvková organizace, Ostrava)</t>
  </si>
  <si>
    <r>
      <t xml:space="preserve">posunutí v letech a navýšení o 47 mil. Kč; </t>
    </r>
    <r>
      <rPr>
        <sz val="10"/>
        <color rgb="FFFF0000"/>
        <rFont val="Calibri"/>
        <family val="2"/>
        <charset val="238"/>
        <scheme val="minor"/>
      </rPr>
      <t>následně převod úvěru 30 mil. Kč na akce DSH</t>
    </r>
    <r>
      <rPr>
        <sz val="10"/>
        <color theme="1"/>
        <rFont val="Calibri"/>
        <family val="2"/>
        <charset val="238"/>
        <scheme val="minor"/>
      </rPr>
      <t xml:space="preserve"> a snížení kvůli srovnání úvěru na 3 mld.</t>
    </r>
  </si>
  <si>
    <t>odbor EP</t>
  </si>
  <si>
    <t>navýšení o 3,6 mil. Kč</t>
  </si>
  <si>
    <t>posunutí v letech, celkové výdaje se nemění</t>
  </si>
  <si>
    <t>posunutí v letech, oproti ZK 16.9. se celkové výdaje navýšily, částka sedí, nebude se již snižovat</t>
  </si>
  <si>
    <t>navýšení v r. 2023 o 4,5 mil. Kč</t>
  </si>
  <si>
    <t>Oprava izolačních vrstev střešního pláště (Střední škola prof. Zdeňka Matějčka, Ostrava-Poruba, příspěvková organizace)</t>
  </si>
  <si>
    <t>akce je v návrhu rozpočtu pro rok 2022, akce běží, proto navrhujeme financovat z úvěru</t>
  </si>
  <si>
    <t>převod úvěru 41 mil. Kč na akce DSH</t>
  </si>
  <si>
    <t>Nemocnice Havířov - ČOV (Nemocnice Havířov, příspěvková organizace)</t>
  </si>
  <si>
    <t>Výstavba operačních sálů a dospávacího pokoje (Nemocnice s poliklinikou Karviná-Ráj, příspěvková organizace)</t>
  </si>
  <si>
    <t>Tabulka č. 8</t>
  </si>
  <si>
    <t>Výdaje financované z úvěru ČS</t>
  </si>
  <si>
    <t>Snížení energetické náročnosti budov Slezské nemocnice v Opavě (Slezská nemocnice v Opavě, příspěvková organizace)</t>
  </si>
  <si>
    <t>Rekonstrukce silnice III/47811, II/478 Ostrava, ulice Mitrovická</t>
  </si>
  <si>
    <t>číslo akce</t>
  </si>
  <si>
    <t>3425</t>
  </si>
  <si>
    <t>3445</t>
  </si>
  <si>
    <t>3450</t>
  </si>
  <si>
    <t>3448</t>
  </si>
  <si>
    <t>3449</t>
  </si>
  <si>
    <t>3468</t>
  </si>
  <si>
    <t>7042</t>
  </si>
  <si>
    <t>4190</t>
  </si>
  <si>
    <t>4191</t>
  </si>
  <si>
    <t>4192</t>
  </si>
  <si>
    <t>4079</t>
  </si>
  <si>
    <t>4081</t>
  </si>
  <si>
    <t>5954</t>
  </si>
  <si>
    <t>5955</t>
  </si>
  <si>
    <t>5748</t>
  </si>
  <si>
    <t>5848</t>
  </si>
  <si>
    <t>4051</t>
  </si>
  <si>
    <t>5851</t>
  </si>
  <si>
    <t>5957</t>
  </si>
  <si>
    <t>4139</t>
  </si>
  <si>
    <t>5758</t>
  </si>
  <si>
    <t>5737</t>
  </si>
  <si>
    <t>4013</t>
  </si>
  <si>
    <t>5905</t>
  </si>
  <si>
    <t>5754</t>
  </si>
  <si>
    <t>5866</t>
  </si>
  <si>
    <t>Rekonstrukce cvičné kuchyně v prostorách Tyršova 34, Opava (Základní škola, Opava, Havlíčkova 1, příspěvková organizace)</t>
  </si>
  <si>
    <t>4028</t>
  </si>
  <si>
    <t>4036</t>
  </si>
  <si>
    <t>5914</t>
  </si>
  <si>
    <t>5947</t>
  </si>
  <si>
    <t>5879</t>
  </si>
  <si>
    <t>5884</t>
  </si>
  <si>
    <t>5867</t>
  </si>
  <si>
    <t>5750</t>
  </si>
  <si>
    <t>4105</t>
  </si>
  <si>
    <t>5730</t>
  </si>
  <si>
    <t>4002</t>
  </si>
  <si>
    <t>4012</t>
  </si>
  <si>
    <t>5456</t>
  </si>
  <si>
    <t>5971</t>
  </si>
  <si>
    <t>4027</t>
  </si>
  <si>
    <t>5681</t>
  </si>
  <si>
    <t>5834</t>
  </si>
  <si>
    <t>4004</t>
  </si>
  <si>
    <t>4007</t>
  </si>
  <si>
    <t>4301</t>
  </si>
  <si>
    <t>5988</t>
  </si>
  <si>
    <t>5594</t>
  </si>
  <si>
    <t>5984</t>
  </si>
  <si>
    <t>5921</t>
  </si>
  <si>
    <t>5765</t>
  </si>
  <si>
    <t>5761</t>
  </si>
  <si>
    <t>5690</t>
  </si>
  <si>
    <t>4496</t>
  </si>
  <si>
    <t xml:space="preserve"> </t>
  </si>
  <si>
    <t>Odbor</t>
  </si>
  <si>
    <t>EP</t>
  </si>
  <si>
    <t>Rekonstrukce dětského oddělení vč. DIP</t>
  </si>
  <si>
    <t>nově schválit v úvěru závazek</t>
  </si>
  <si>
    <t>Šatny pro zaměstnance v 1.PP budovy PCHO</t>
  </si>
  <si>
    <t>ZDR</t>
  </si>
  <si>
    <t>odbor ZDR bude místo toho schvalovat v úvěru 2 výše uvedené akce</t>
  </si>
  <si>
    <t>DSH</t>
  </si>
  <si>
    <r>
      <t xml:space="preserve">odbor DSH, SUSKA </t>
    </r>
    <r>
      <rPr>
        <sz val="10"/>
        <color rgb="FFFF0000"/>
        <rFont val="Calibri"/>
        <family val="2"/>
        <charset val="238"/>
        <scheme val="minor"/>
      </rPr>
      <t>posuneme v letech</t>
    </r>
  </si>
  <si>
    <t>IM</t>
  </si>
  <si>
    <t>Ok zůstane</t>
  </si>
  <si>
    <t xml:space="preserve"> úspora , použijeme na jiné akce </t>
  </si>
  <si>
    <r>
      <t xml:space="preserve">bude změna, </t>
    </r>
    <r>
      <rPr>
        <sz val="10"/>
        <color rgb="FFFF0000"/>
        <rFont val="Calibri"/>
        <family val="2"/>
        <charset val="238"/>
        <scheme val="minor"/>
      </rPr>
      <t>posuneme v letech</t>
    </r>
  </si>
  <si>
    <t>x</t>
  </si>
  <si>
    <t xml:space="preserve">EP v revizich, soutěží se stavba až na konci roku, rozvolnit </t>
  </si>
  <si>
    <t xml:space="preserve">EP v revizich, rozvolnit </t>
  </si>
  <si>
    <t>RK 28.3. - posunutí v letech, celkové výdaje se nemění</t>
  </si>
  <si>
    <t>Rozvolníme v letech úvěr v roce 2022 odečteme 4. mil. a v roce 23 navýšíme o 4 mil</t>
  </si>
  <si>
    <t>IM, ŠMS</t>
  </si>
  <si>
    <t>Letos smlouva o 1 mil méně přesunout úvěr ve výši 1 mil na jinou akci</t>
  </si>
  <si>
    <t>VZ -květen, nemáme výsledek soutěže, je to Podlimitní řízení, zatím na to nemůžeme sáhnout</t>
  </si>
  <si>
    <t>zjistit zda vyhlásit VZ</t>
  </si>
  <si>
    <t xml:space="preserve">pd vysoutěžena za méně úvěr posunout na stavbu do dalšího roku </t>
  </si>
  <si>
    <t xml:space="preserve">VZ v r. 2022 zrušena, navazuje na akci města. Akce přesunuta na r. 2023 a navýšení VZ (1.220 tis. Kč+ zrušení MT Legalu 96 tis. Kč) </t>
  </si>
  <si>
    <t>Úpravy venkovních ploch (Mateřská školka Klíček, Karviná-Hranice, Einsteinova 2849, příspěvková organizace)</t>
  </si>
  <si>
    <t>4096</t>
  </si>
  <si>
    <t xml:space="preserve">nově schválíme z úvěru </t>
  </si>
  <si>
    <t>Rekonstrukce venkovního sportovního areálu“ organizace Střední průmyslová škola, Ostrava-Vítkovice, příspěvková organizace</t>
  </si>
  <si>
    <t>4252</t>
  </si>
  <si>
    <t>posun v letech</t>
  </si>
  <si>
    <t>Přesun na jiné akce</t>
  </si>
  <si>
    <t>Celkem před revizí</t>
  </si>
  <si>
    <t>Celkem po revizi</t>
  </si>
  <si>
    <t>2022 po revizi</t>
  </si>
  <si>
    <t>2023 po revizi</t>
  </si>
  <si>
    <t>2024 po revizi</t>
  </si>
  <si>
    <t>odbor DSH, SUSKA návrh : schválit zjakozávazek z vlastních zdrojů MSK rozpočtu 2023 ve výši 60 mil Kč</t>
  </si>
  <si>
    <t>vyjmout ze zdroje úvěr a schválit závazek na 2024-25 z vlastních zdrojů kraje</t>
  </si>
  <si>
    <t>Rozvolníme v letech úvěr v roce 2022 odečteme 4. mil. a v roce 23 navýšíme o 4 mil a v roce 2024 bude potřeba navýšení</t>
  </si>
  <si>
    <t xml:space="preserve"> ŠMS</t>
  </si>
  <si>
    <t xml:space="preserve">Na základě informace z odboru ŠMS bude potřeba na vnitřní vybavení 6 500 tis. Kč </t>
  </si>
  <si>
    <t>navýšení úvěru o 30 mil.</t>
  </si>
  <si>
    <t>v roce 23  doplatek PD , vyjmeme ze zdroje úvěr a závazkujeme  z vlasních zdrojů MSK</t>
  </si>
  <si>
    <t>nově schválíme z úvěru  tato akce je schválena z vlastních zdrojů kraje</t>
  </si>
  <si>
    <t>Pavilon T - stavební úpravy a přístavba odd. onkologie -Sl nemocnice opava</t>
  </si>
  <si>
    <t>Výstavba nadzemních koridorů</t>
  </si>
  <si>
    <t>5482</t>
  </si>
  <si>
    <t>Pavilon T - stavební úpravy a přístavba odd. onkologie - (Slezská nemocnice v Opavě, příspěvková organizace)</t>
  </si>
  <si>
    <t>4372</t>
  </si>
  <si>
    <t>Výstavba nadzemních koridorů  (Slezská nemocnice v Opavě, příspěvková organizace)</t>
  </si>
  <si>
    <t>Rekonstrukce dětského oddělení vč. DIP  (Nemocnice ve Frýdku Místku, příspěvková organizace)</t>
  </si>
  <si>
    <t>4408</t>
  </si>
  <si>
    <t>Šatny pro zaměstnance v 1.PP budovy PCHO  ((Nemocnice ve Frýdku Místku, příspěvková organizace)</t>
  </si>
  <si>
    <t>4410</t>
  </si>
  <si>
    <t xml:space="preserve">2022             před revizí </t>
  </si>
  <si>
    <t>2022                po revizi</t>
  </si>
  <si>
    <t>2023            před revizí</t>
  </si>
  <si>
    <t>2023                po revizi</t>
  </si>
  <si>
    <t>2024             před revizí</t>
  </si>
  <si>
    <t>2024                  po revizi</t>
  </si>
  <si>
    <t>přesun z 22 do 23</t>
  </si>
  <si>
    <t>barva buňky = navrhovaná změna čerpání úvěru</t>
  </si>
  <si>
    <t>ukončeno</t>
  </si>
  <si>
    <t>Příloha č. 2</t>
  </si>
  <si>
    <t>Novostavba depozitáře Muzeum v Bruntále</t>
  </si>
  <si>
    <t>3555</t>
  </si>
  <si>
    <t>Rekonstrukce venkovního sportovního areálu (Střední průmyslová škola, Ostrava-Vítkovice, příspěvková organizace)</t>
  </si>
  <si>
    <t xml:space="preserve">úspora 268 637 Kč  vykázáno v prosinci přidat na pavilon L pozn. změnít v ZK </t>
  </si>
  <si>
    <t>Oprava krovů a střešního pláště budov školního statku (Školní statek, Opava, příspěvková organizace)</t>
  </si>
  <si>
    <t>4162</t>
  </si>
  <si>
    <t>Pavilon T - stavební úpravy a přístavba odd. onkologie (Slezská nemocnice v Opavě, příspěvková organizace)</t>
  </si>
  <si>
    <t>Výstavba nadzemních koridorů (Slezská nemocnice v Opavě, příspěvková organizace)</t>
  </si>
  <si>
    <t>Rekonstrukce dětského oddělení vč. DIP (Nemocnice ve Frýdku Místku, příspěvková organizace)</t>
  </si>
  <si>
    <t>Šatny pro zaměstnance v 1.PP budovy PCHO (Nemocnice ve Frýdku Místku, příspěvková organizace)</t>
  </si>
  <si>
    <t>Rekonstrukce JIP neoperačních oborů (Nemocnice ve Frýdku-Místku, příspěvková organizace )</t>
  </si>
  <si>
    <t>4485</t>
  </si>
  <si>
    <t xml:space="preserve">2023 před revizí </t>
  </si>
  <si>
    <t>revize</t>
  </si>
  <si>
    <t>2024 před revizí</t>
  </si>
  <si>
    <t>čerpání k 3.4/ v tis Kč</t>
  </si>
  <si>
    <t>Pajda -otevřené podlimitní řízení 10.5.podání nabídek, červenec zahájení (pokud bude SP)</t>
  </si>
  <si>
    <t>Pajda (schází na dodatek č. 7 a sanaci)</t>
  </si>
  <si>
    <t>Pajda</t>
  </si>
  <si>
    <t>Pajda (předpokládaná hodnota zakázky je 150 mil. Kč včetně DPH)</t>
  </si>
  <si>
    <t>finanční objem úvěru</t>
  </si>
  <si>
    <t xml:space="preserve">volné nepřidelené finance </t>
  </si>
  <si>
    <t>Adaptace budovy na spisovnu (Slezská nemocnice v Opavě, příspěvková organizace)</t>
  </si>
  <si>
    <r>
      <rPr>
        <b/>
        <sz val="8"/>
        <rFont val="Arial"/>
        <family val="2"/>
        <charset val="238"/>
      </rPr>
      <t>Pavilon O - Instalace systému výměny vzduchu</t>
    </r>
    <r>
      <rPr>
        <b/>
        <sz val="8"/>
        <color theme="1"/>
        <rFont val="Arial"/>
        <family val="2"/>
        <charset val="238"/>
      </rPr>
      <t xml:space="preserve"> (Slezská nemocnice v Opavě, příspěvková organizace)</t>
    </r>
  </si>
  <si>
    <r>
      <rPr>
        <b/>
        <sz val="8"/>
        <rFont val="Arial"/>
        <family val="2"/>
        <charset val="238"/>
      </rPr>
      <t>Pavilon W - stavební úpravy a přístavba</t>
    </r>
    <r>
      <rPr>
        <b/>
        <sz val="8"/>
        <color rgb="FFFF0000"/>
        <rFont val="Arial"/>
        <family val="2"/>
        <charset val="238"/>
      </rPr>
      <t xml:space="preserve"> </t>
    </r>
    <r>
      <rPr>
        <b/>
        <sz val="8"/>
        <color theme="1"/>
        <rFont val="Arial"/>
        <family val="2"/>
        <charset val="238"/>
      </rPr>
      <t xml:space="preserve"> (Slezská nemocnice v Opavě, příspěvková organizace) </t>
    </r>
  </si>
  <si>
    <t>Rozvoj a modernizace pracovišť navazujících na urgentní příjem Slezské nemocnice v Opavě (Slezská nemocnice v Opavě, příspěvková organizace)</t>
  </si>
  <si>
    <t>4490</t>
  </si>
  <si>
    <t>4491</t>
  </si>
  <si>
    <t>7056</t>
  </si>
  <si>
    <t>4492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</si>
</sst>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2"/>
      <name val="Tahoma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Tahoma"/>
      <family val="2"/>
      <charset val="238"/>
    </font>
    <font>
      <sz val="10"/>
      <color theme="1"/>
      <name val="Tahoma"/>
      <family val="2"/>
      <charset val="238"/>
    </font>
    <font>
      <b/>
      <sz val="8"/>
      <color theme="1"/>
      <name val="Tahoma"/>
      <family val="2"/>
      <charset val="238"/>
    </font>
    <font>
      <b/>
      <sz val="8"/>
      <color indexed="8"/>
      <name val="Tahoma"/>
      <family val="2"/>
      <charset val="238"/>
    </font>
    <font>
      <b/>
      <sz val="8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Tahoma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rgb="FF000000"/>
      <name val="Tahoma"/>
      <family val="2"/>
      <charset val="238"/>
    </font>
    <font>
      <sz val="8"/>
      <color indexed="8"/>
      <name val="Tahoma"/>
      <family val="2"/>
      <charset val="238"/>
    </font>
    <font>
      <sz val="8"/>
      <color rgb="FFFF0000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8"/>
      <color theme="0"/>
      <name val="Tahoma"/>
      <family val="2"/>
      <charset val="238"/>
    </font>
    <font>
      <b/>
      <sz val="10"/>
      <color rgb="FFFF0000"/>
      <name val="Tahoma"/>
      <family val="2"/>
      <charset val="238"/>
    </font>
    <font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trike/>
      <sz val="8"/>
      <name val="Tahoma"/>
      <family val="2"/>
      <charset val="238"/>
    </font>
    <font>
      <sz val="10"/>
      <color rgb="FFFF0000"/>
      <name val="Tahoma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>
      <alignment wrapText="1"/>
    </xf>
    <xf numFmtId="0" fontId="11" fillId="0" borderId="0"/>
    <xf numFmtId="0" fontId="24" fillId="0" borderId="0"/>
    <xf numFmtId="0" fontId="11" fillId="0" borderId="0"/>
    <xf numFmtId="0" fontId="24" fillId="0" borderId="0"/>
  </cellStyleXfs>
  <cellXfs count="391">
    <xf numFmtId="0" fontId="0" fillId="0" borderId="0" xfId="0"/>
    <xf numFmtId="0" fontId="4" fillId="0" borderId="0" xfId="1" applyFont="1" applyAlignment="1">
      <alignment vertical="center"/>
    </xf>
    <xf numFmtId="3" fontId="5" fillId="0" borderId="0" xfId="0" applyNumberFormat="1" applyFont="1"/>
    <xf numFmtId="3" fontId="6" fillId="0" borderId="0" xfId="0" applyNumberFormat="1" applyFont="1" applyAlignment="1">
      <alignment horizontal="right"/>
    </xf>
    <xf numFmtId="0" fontId="5" fillId="0" borderId="0" xfId="0" applyFont="1"/>
    <xf numFmtId="3" fontId="7" fillId="2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3" fontId="4" fillId="0" borderId="13" xfId="0" applyNumberFormat="1" applyFont="1" applyBorder="1" applyAlignment="1">
      <alignment vertical="center" wrapText="1"/>
    </xf>
    <xf numFmtId="3" fontId="4" fillId="2" borderId="15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3" fontId="7" fillId="2" borderId="13" xfId="1" applyNumberFormat="1" applyFont="1" applyFill="1" applyBorder="1" applyAlignment="1">
      <alignment horizontal="left" vertical="center" wrapText="1"/>
    </xf>
    <xf numFmtId="3" fontId="7" fillId="2" borderId="14" xfId="1" applyNumberFormat="1" applyFont="1" applyFill="1" applyBorder="1" applyAlignment="1">
      <alignment horizontal="right" vertical="center" wrapText="1"/>
    </xf>
    <xf numFmtId="3" fontId="7" fillId="2" borderId="1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3" fontId="7" fillId="2" borderId="16" xfId="1" applyNumberFormat="1" applyFont="1" applyFill="1" applyBorder="1" applyAlignment="1">
      <alignment horizontal="left" vertical="center" wrapText="1"/>
    </xf>
    <xf numFmtId="3" fontId="7" fillId="2" borderId="17" xfId="1" applyNumberFormat="1" applyFont="1" applyFill="1" applyBorder="1" applyAlignment="1">
      <alignment horizontal="right" vertical="center" wrapText="1"/>
    </xf>
    <xf numFmtId="3" fontId="7" fillId="2" borderId="18" xfId="1" applyNumberFormat="1" applyFont="1" applyFill="1" applyBorder="1" applyAlignment="1">
      <alignment horizontal="right" vertical="center" wrapText="1"/>
    </xf>
    <xf numFmtId="3" fontId="7" fillId="0" borderId="11" xfId="1" applyNumberFormat="1" applyFont="1" applyBorder="1" applyAlignment="1">
      <alignment horizontal="left" vertical="center" wrapText="1"/>
    </xf>
    <xf numFmtId="3" fontId="7" fillId="0" borderId="19" xfId="1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 wrapText="1"/>
    </xf>
    <xf numFmtId="3" fontId="17" fillId="0" borderId="14" xfId="1" applyNumberFormat="1" applyFont="1" applyBorder="1" applyAlignment="1">
      <alignment horizontal="right" vertical="center" wrapText="1"/>
    </xf>
    <xf numFmtId="3" fontId="17" fillId="0" borderId="13" xfId="1" applyNumberFormat="1" applyFont="1" applyBorder="1" applyAlignment="1">
      <alignment vertical="center" wrapText="1"/>
    </xf>
    <xf numFmtId="3" fontId="16" fillId="0" borderId="14" xfId="0" applyNumberFormat="1" applyFont="1" applyBorder="1" applyAlignment="1">
      <alignment horizontal="right" vertical="center" wrapText="1"/>
    </xf>
    <xf numFmtId="3" fontId="4" fillId="0" borderId="13" xfId="1" applyNumberFormat="1" applyFont="1" applyBorder="1" applyAlignment="1">
      <alignment vertical="center" wrapText="1"/>
    </xf>
    <xf numFmtId="3" fontId="4" fillId="0" borderId="14" xfId="1" applyNumberFormat="1" applyFont="1" applyBorder="1" applyAlignment="1">
      <alignment horizontal="right" vertical="center" wrapText="1"/>
    </xf>
    <xf numFmtId="4" fontId="5" fillId="0" borderId="0" xfId="0" applyNumberFormat="1" applyFont="1"/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vertical="center"/>
    </xf>
    <xf numFmtId="3" fontId="7" fillId="0" borderId="24" xfId="1" applyNumberFormat="1" applyFont="1" applyBorder="1" applyAlignment="1">
      <alignment horizontal="right" vertical="center" wrapText="1"/>
    </xf>
    <xf numFmtId="3" fontId="17" fillId="3" borderId="13" xfId="1" applyNumberFormat="1" applyFont="1" applyFill="1" applyBorder="1" applyAlignment="1">
      <alignment vertical="center" wrapText="1"/>
    </xf>
    <xf numFmtId="3" fontId="17" fillId="3" borderId="14" xfId="1" applyNumberFormat="1" applyFont="1" applyFill="1" applyBorder="1" applyAlignment="1">
      <alignment horizontal="right" vertical="center" wrapText="1"/>
    </xf>
    <xf numFmtId="0" fontId="5" fillId="4" borderId="0" xfId="0" applyFont="1" applyFill="1" applyAlignment="1">
      <alignment vertical="center"/>
    </xf>
    <xf numFmtId="3" fontId="4" fillId="3" borderId="13" xfId="0" applyNumberFormat="1" applyFont="1" applyFill="1" applyBorder="1" applyAlignment="1">
      <alignment vertical="center" wrapText="1"/>
    </xf>
    <xf numFmtId="3" fontId="4" fillId="3" borderId="14" xfId="0" applyNumberFormat="1" applyFont="1" applyFill="1" applyBorder="1" applyAlignment="1">
      <alignment vertical="center"/>
    </xf>
    <xf numFmtId="0" fontId="10" fillId="0" borderId="0" xfId="0" applyFont="1"/>
    <xf numFmtId="3" fontId="4" fillId="5" borderId="13" xfId="1" applyNumberFormat="1" applyFont="1" applyFill="1" applyBorder="1" applyAlignment="1">
      <alignment vertical="center" wrapText="1"/>
    </xf>
    <xf numFmtId="3" fontId="17" fillId="5" borderId="14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Alignment="1">
      <alignment horizontal="right" vertical="center" wrapText="1"/>
    </xf>
    <xf numFmtId="3" fontId="17" fillId="4" borderId="14" xfId="1" applyNumberFormat="1" applyFont="1" applyFill="1" applyBorder="1" applyAlignment="1">
      <alignment horizontal="right" vertical="center" wrapText="1"/>
    </xf>
    <xf numFmtId="3" fontId="4" fillId="4" borderId="15" xfId="0" applyNumberFormat="1" applyFont="1" applyFill="1" applyBorder="1" applyAlignment="1">
      <alignment vertical="center"/>
    </xf>
    <xf numFmtId="3" fontId="4" fillId="6" borderId="15" xfId="0" applyNumberFormat="1" applyFont="1" applyFill="1" applyBorder="1" applyAlignment="1">
      <alignment vertical="center"/>
    </xf>
    <xf numFmtId="3" fontId="17" fillId="6" borderId="14" xfId="1" applyNumberFormat="1" applyFont="1" applyFill="1" applyBorder="1" applyAlignment="1">
      <alignment horizontal="right" vertical="center" wrapText="1"/>
    </xf>
    <xf numFmtId="3" fontId="4" fillId="6" borderId="14" xfId="0" applyNumberFormat="1" applyFont="1" applyFill="1" applyBorder="1" applyAlignment="1">
      <alignment vertical="center"/>
    </xf>
    <xf numFmtId="3" fontId="17" fillId="7" borderId="14" xfId="1" applyNumberFormat="1" applyFont="1" applyFill="1" applyBorder="1" applyAlignment="1">
      <alignment horizontal="right" vertical="center" wrapText="1"/>
    </xf>
    <xf numFmtId="3" fontId="4" fillId="7" borderId="14" xfId="0" applyNumberFormat="1" applyFont="1" applyFill="1" applyBorder="1" applyAlignment="1">
      <alignment vertical="center"/>
    </xf>
    <xf numFmtId="3" fontId="16" fillId="7" borderId="14" xfId="0" applyNumberFormat="1" applyFont="1" applyFill="1" applyBorder="1" applyAlignment="1">
      <alignment horizontal="right" vertical="center" wrapText="1"/>
    </xf>
    <xf numFmtId="3" fontId="4" fillId="7" borderId="13" xfId="0" applyNumberFormat="1" applyFont="1" applyFill="1" applyBorder="1" applyAlignment="1">
      <alignment vertical="center" wrapText="1"/>
    </xf>
    <xf numFmtId="3" fontId="16" fillId="4" borderId="14" xfId="0" applyNumberFormat="1" applyFont="1" applyFill="1" applyBorder="1" applyAlignment="1">
      <alignment horizontal="right" vertical="center" wrapText="1"/>
    </xf>
    <xf numFmtId="3" fontId="17" fillId="4" borderId="13" xfId="1" applyNumberFormat="1" applyFont="1" applyFill="1" applyBorder="1" applyAlignment="1">
      <alignment vertical="center" wrapText="1"/>
    </xf>
    <xf numFmtId="3" fontId="4" fillId="4" borderId="14" xfId="1" applyNumberFormat="1" applyFont="1" applyFill="1" applyBorder="1" applyAlignment="1">
      <alignment horizontal="right" vertical="center" wrapText="1"/>
    </xf>
    <xf numFmtId="3" fontId="4" fillId="8" borderId="15" xfId="0" applyNumberFormat="1" applyFont="1" applyFill="1" applyBorder="1" applyAlignment="1">
      <alignment vertical="center"/>
    </xf>
    <xf numFmtId="3" fontId="4" fillId="4" borderId="14" xfId="0" applyNumberFormat="1" applyFont="1" applyFill="1" applyBorder="1" applyAlignment="1">
      <alignment vertical="center"/>
    </xf>
    <xf numFmtId="0" fontId="4" fillId="4" borderId="13" xfId="0" applyFont="1" applyFill="1" applyBorder="1" applyAlignment="1">
      <alignment vertical="center" wrapText="1"/>
    </xf>
    <xf numFmtId="3" fontId="4" fillId="4" borderId="13" xfId="0" applyNumberFormat="1" applyFont="1" applyFill="1" applyBorder="1" applyAlignment="1">
      <alignment vertical="center" wrapText="1"/>
    </xf>
    <xf numFmtId="3" fontId="4" fillId="3" borderId="14" xfId="1" applyNumberFormat="1" applyFont="1" applyFill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5" fillId="0" borderId="0" xfId="0" applyFont="1" applyAlignment="1">
      <alignment wrapText="1"/>
    </xf>
    <xf numFmtId="1" fontId="7" fillId="0" borderId="28" xfId="1" applyNumberFormat="1" applyFont="1" applyBorder="1" applyAlignment="1">
      <alignment horizontal="center" vertical="center" wrapText="1"/>
    </xf>
    <xf numFmtId="1" fontId="7" fillId="3" borderId="29" xfId="1" applyNumberFormat="1" applyFont="1" applyFill="1" applyBorder="1" applyAlignment="1">
      <alignment horizontal="center" vertical="center" wrapText="1"/>
    </xf>
    <xf numFmtId="3" fontId="7" fillId="2" borderId="28" xfId="1" applyNumberFormat="1" applyFont="1" applyFill="1" applyBorder="1" applyAlignment="1">
      <alignment horizontal="center" vertical="center" wrapText="1"/>
    </xf>
    <xf numFmtId="3" fontId="7" fillId="3" borderId="29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3" fontId="4" fillId="0" borderId="20" xfId="0" applyNumberFormat="1" applyFont="1" applyBorder="1" applyAlignment="1">
      <alignment vertical="center" wrapText="1"/>
    </xf>
    <xf numFmtId="3" fontId="4" fillId="9" borderId="31" xfId="0" applyNumberFormat="1" applyFont="1" applyFill="1" applyBorder="1" applyAlignment="1">
      <alignment horizontal="center" vertical="center" wrapText="1"/>
    </xf>
    <xf numFmtId="3" fontId="17" fillId="0" borderId="32" xfId="1" applyNumberFormat="1" applyFont="1" applyBorder="1" applyAlignment="1">
      <alignment horizontal="center" vertical="center" wrapText="1"/>
    </xf>
    <xf numFmtId="3" fontId="4" fillId="2" borderId="31" xfId="0" applyNumberFormat="1" applyFont="1" applyFill="1" applyBorder="1" applyAlignment="1">
      <alignment horizontal="center" vertical="center" wrapText="1"/>
    </xf>
    <xf numFmtId="3" fontId="17" fillId="3" borderId="33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3" fontId="4" fillId="0" borderId="34" xfId="0" applyNumberFormat="1" applyFont="1" applyBorder="1" applyAlignment="1">
      <alignment vertical="center" wrapText="1"/>
    </xf>
    <xf numFmtId="3" fontId="4" fillId="9" borderId="35" xfId="0" applyNumberFormat="1" applyFont="1" applyFill="1" applyBorder="1" applyAlignment="1">
      <alignment horizontal="center" vertical="center" wrapText="1"/>
    </xf>
    <xf numFmtId="3" fontId="17" fillId="0" borderId="36" xfId="1" applyNumberFormat="1" applyFont="1" applyBorder="1" applyAlignment="1">
      <alignment horizontal="center" vertical="center" wrapText="1"/>
    </xf>
    <xf numFmtId="3" fontId="4" fillId="2" borderId="37" xfId="0" applyNumberFormat="1" applyFont="1" applyFill="1" applyBorder="1" applyAlignment="1">
      <alignment horizontal="center" vertical="center" wrapText="1"/>
    </xf>
    <xf numFmtId="3" fontId="17" fillId="3" borderId="38" xfId="1" applyNumberFormat="1" applyFont="1" applyFill="1" applyBorder="1" applyAlignment="1">
      <alignment horizontal="center" vertical="center" wrapText="1"/>
    </xf>
    <xf numFmtId="3" fontId="7" fillId="2" borderId="39" xfId="1" applyNumberFormat="1" applyFont="1" applyFill="1" applyBorder="1" applyAlignment="1">
      <alignment horizontal="left" vertical="center" wrapText="1"/>
    </xf>
    <xf numFmtId="3" fontId="7" fillId="10" borderId="29" xfId="1" applyNumberFormat="1" applyFont="1" applyFill="1" applyBorder="1" applyAlignment="1">
      <alignment horizontal="center" vertical="center" wrapText="1"/>
    </xf>
    <xf numFmtId="3" fontId="7" fillId="11" borderId="29" xfId="1" applyNumberFormat="1" applyFont="1" applyFill="1" applyBorder="1" applyAlignment="1">
      <alignment horizontal="center" vertical="center" wrapText="1"/>
    </xf>
    <xf numFmtId="3" fontId="4" fillId="0" borderId="40" xfId="0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>
      <alignment horizontal="center" vertical="center" wrapText="1"/>
    </xf>
    <xf numFmtId="3" fontId="4" fillId="2" borderId="40" xfId="0" applyNumberFormat="1" applyFont="1" applyFill="1" applyBorder="1" applyAlignment="1">
      <alignment horizontal="center" vertical="center" wrapText="1"/>
    </xf>
    <xf numFmtId="3" fontId="17" fillId="3" borderId="41" xfId="1" applyNumberFormat="1" applyFont="1" applyFill="1" applyBorder="1" applyAlignment="1">
      <alignment horizontal="center" vertical="center" wrapText="1"/>
    </xf>
    <xf numFmtId="3" fontId="4" fillId="0" borderId="42" xfId="0" applyNumberFormat="1" applyFont="1" applyBorder="1" applyAlignment="1">
      <alignment horizontal="center" vertical="center" wrapText="1"/>
    </xf>
    <xf numFmtId="3" fontId="17" fillId="0" borderId="43" xfId="1" applyNumberFormat="1" applyFont="1" applyBorder="1" applyAlignment="1">
      <alignment horizontal="center" vertical="center" wrapText="1"/>
    </xf>
    <xf numFmtId="3" fontId="4" fillId="2" borderId="42" xfId="0" applyNumberFormat="1" applyFont="1" applyFill="1" applyBorder="1" applyAlignment="1">
      <alignment horizontal="center" vertical="center" wrapText="1"/>
    </xf>
    <xf numFmtId="3" fontId="17" fillId="3" borderId="43" xfId="1" applyNumberFormat="1" applyFont="1" applyFill="1" applyBorder="1" applyAlignment="1">
      <alignment horizontal="center" vertical="center" wrapText="1"/>
    </xf>
    <xf numFmtId="3" fontId="4" fillId="9" borderId="44" xfId="0" applyNumberFormat="1" applyFont="1" applyFill="1" applyBorder="1" applyAlignment="1">
      <alignment horizontal="center" vertical="center" wrapText="1"/>
    </xf>
    <xf numFmtId="3" fontId="17" fillId="0" borderId="45" xfId="1" applyNumberFormat="1" applyFont="1" applyBorder="1" applyAlignment="1">
      <alignment horizontal="center" vertical="center" wrapText="1"/>
    </xf>
    <xf numFmtId="3" fontId="4" fillId="2" borderId="44" xfId="0" applyNumberFormat="1" applyFont="1" applyFill="1" applyBorder="1" applyAlignment="1">
      <alignment horizontal="center" vertical="center" wrapText="1"/>
    </xf>
    <xf numFmtId="3" fontId="17" fillId="3" borderId="45" xfId="1" applyNumberFormat="1" applyFont="1" applyFill="1" applyBorder="1" applyAlignment="1">
      <alignment horizontal="center" vertical="center" wrapText="1"/>
    </xf>
    <xf numFmtId="3" fontId="7" fillId="2" borderId="46" xfId="1" applyNumberFormat="1" applyFont="1" applyFill="1" applyBorder="1" applyAlignment="1">
      <alignment horizontal="left" vertical="center" wrapText="1"/>
    </xf>
    <xf numFmtId="3" fontId="7" fillId="2" borderId="47" xfId="1" applyNumberFormat="1" applyFont="1" applyFill="1" applyBorder="1" applyAlignment="1">
      <alignment horizontal="center" vertical="center" wrapText="1"/>
    </xf>
    <xf numFmtId="3" fontId="7" fillId="11" borderId="48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Alignment="1">
      <alignment horizontal="center" vertical="center" wrapText="1"/>
    </xf>
    <xf numFmtId="3" fontId="7" fillId="0" borderId="24" xfId="1" applyNumberFormat="1" applyFont="1" applyBorder="1" applyAlignment="1">
      <alignment horizontal="center" vertical="center" wrapText="1"/>
    </xf>
    <xf numFmtId="3" fontId="17" fillId="3" borderId="49" xfId="1" applyNumberFormat="1" applyFont="1" applyFill="1" applyBorder="1" applyAlignment="1">
      <alignment horizontal="center" vertical="center" wrapText="1"/>
    </xf>
    <xf numFmtId="3" fontId="21" fillId="13" borderId="42" xfId="0" applyNumberFormat="1" applyFont="1" applyFill="1" applyBorder="1" applyAlignment="1">
      <alignment horizontal="center" vertical="center" wrapText="1"/>
    </xf>
    <xf numFmtId="3" fontId="4" fillId="0" borderId="50" xfId="0" applyNumberFormat="1" applyFont="1" applyBorder="1" applyAlignment="1">
      <alignment vertical="center" wrapText="1"/>
    </xf>
    <xf numFmtId="3" fontId="4" fillId="0" borderId="11" xfId="0" applyNumberFormat="1" applyFont="1" applyBorder="1" applyAlignment="1">
      <alignment vertical="center" wrapText="1"/>
    </xf>
    <xf numFmtId="3" fontId="4" fillId="9" borderId="20" xfId="0" applyNumberFormat="1" applyFont="1" applyFill="1" applyBorder="1" applyAlignment="1">
      <alignment horizontal="center" vertical="center" wrapText="1"/>
    </xf>
    <xf numFmtId="3" fontId="17" fillId="0" borderId="22" xfId="1" applyNumberFormat="1" applyFont="1" applyBorder="1" applyAlignment="1">
      <alignment horizontal="center" vertical="center" wrapText="1"/>
    </xf>
    <xf numFmtId="3" fontId="4" fillId="0" borderId="51" xfId="0" applyNumberFormat="1" applyFont="1" applyBorder="1" applyAlignment="1">
      <alignment horizontal="center" vertical="center" wrapText="1"/>
    </xf>
    <xf numFmtId="3" fontId="17" fillId="0" borderId="49" xfId="1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vertical="center"/>
    </xf>
    <xf numFmtId="3" fontId="4" fillId="14" borderId="20" xfId="0" applyNumberFormat="1" applyFont="1" applyFill="1" applyBorder="1" applyAlignment="1">
      <alignment vertical="center" wrapText="1"/>
    </xf>
    <xf numFmtId="0" fontId="5" fillId="9" borderId="0" xfId="0" applyFont="1" applyFill="1" applyAlignment="1">
      <alignment vertical="center" wrapText="1"/>
    </xf>
    <xf numFmtId="0" fontId="5" fillId="8" borderId="0" xfId="0" applyFont="1" applyFill="1" applyAlignment="1">
      <alignment vertical="center" wrapText="1"/>
    </xf>
    <xf numFmtId="3" fontId="4" fillId="14" borderId="50" xfId="0" applyNumberFormat="1" applyFont="1" applyFill="1" applyBorder="1" applyAlignment="1">
      <alignment vertical="center" wrapText="1"/>
    </xf>
    <xf numFmtId="3" fontId="4" fillId="9" borderId="42" xfId="0" applyNumberFormat="1" applyFont="1" applyFill="1" applyBorder="1" applyAlignment="1">
      <alignment horizontal="center" vertical="center" wrapText="1"/>
    </xf>
    <xf numFmtId="3" fontId="4" fillId="14" borderId="11" xfId="0" applyNumberFormat="1" applyFont="1" applyFill="1" applyBorder="1" applyAlignment="1">
      <alignment vertical="center" wrapText="1"/>
    </xf>
    <xf numFmtId="3" fontId="4" fillId="2" borderId="51" xfId="0" applyNumberFormat="1" applyFont="1" applyFill="1" applyBorder="1" applyAlignment="1">
      <alignment horizontal="center" vertical="center" wrapText="1"/>
    </xf>
    <xf numFmtId="3" fontId="4" fillId="9" borderId="51" xfId="0" applyNumberFormat="1" applyFont="1" applyFill="1" applyBorder="1" applyAlignment="1">
      <alignment horizontal="center" vertical="center" wrapText="1"/>
    </xf>
    <xf numFmtId="3" fontId="4" fillId="9" borderId="5" xfId="0" applyNumberFormat="1" applyFont="1" applyFill="1" applyBorder="1" applyAlignment="1">
      <alignment horizontal="center" vertical="center" wrapText="1"/>
    </xf>
    <xf numFmtId="3" fontId="17" fillId="0" borderId="52" xfId="1" applyNumberFormat="1" applyFont="1" applyBorder="1" applyAlignment="1">
      <alignment horizontal="center" vertical="center" wrapText="1"/>
    </xf>
    <xf numFmtId="3" fontId="4" fillId="9" borderId="53" xfId="0" applyNumberFormat="1" applyFont="1" applyFill="1" applyBorder="1" applyAlignment="1">
      <alignment horizontal="center" vertical="center" wrapText="1"/>
    </xf>
    <xf numFmtId="3" fontId="17" fillId="0" borderId="54" xfId="1" applyNumberFormat="1" applyFont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 wrapText="1"/>
    </xf>
    <xf numFmtId="3" fontId="17" fillId="3" borderId="54" xfId="1" applyNumberFormat="1" applyFont="1" applyFill="1" applyBorder="1" applyAlignment="1">
      <alignment horizontal="center" vertical="center" wrapText="1"/>
    </xf>
    <xf numFmtId="3" fontId="7" fillId="9" borderId="19" xfId="1" applyNumberFormat="1" applyFont="1" applyFill="1" applyBorder="1" applyAlignment="1">
      <alignment horizontal="center" vertical="center" wrapText="1"/>
    </xf>
    <xf numFmtId="4" fontId="5" fillId="0" borderId="0" xfId="0" applyNumberFormat="1" applyFont="1" applyAlignment="1">
      <alignment horizontal="center"/>
    </xf>
    <xf numFmtId="3" fontId="4" fillId="15" borderId="20" xfId="0" applyNumberFormat="1" applyFont="1" applyFill="1" applyBorder="1" applyAlignment="1">
      <alignment vertical="center" wrapText="1"/>
    </xf>
    <xf numFmtId="3" fontId="4" fillId="15" borderId="34" xfId="0" applyNumberFormat="1" applyFont="1" applyFill="1" applyBorder="1" applyAlignment="1">
      <alignment vertical="center" wrapText="1"/>
    </xf>
    <xf numFmtId="3" fontId="4" fillId="3" borderId="20" xfId="0" applyNumberFormat="1" applyFont="1" applyFill="1" applyBorder="1" applyAlignment="1">
      <alignment vertical="center" wrapText="1"/>
    </xf>
    <xf numFmtId="3" fontId="17" fillId="16" borderId="14" xfId="1" applyNumberFormat="1" applyFont="1" applyFill="1" applyBorder="1" applyAlignment="1">
      <alignment horizontal="right" vertical="center" wrapText="1"/>
    </xf>
    <xf numFmtId="3" fontId="5" fillId="0" borderId="0" xfId="0" applyNumberFormat="1" applyFont="1" applyAlignment="1">
      <alignment horizontal="center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3" fontId="7" fillId="8" borderId="18" xfId="1" applyNumberFormat="1" applyFont="1" applyFill="1" applyBorder="1" applyAlignment="1">
      <alignment horizontal="right" vertical="center" wrapText="1"/>
    </xf>
    <xf numFmtId="3" fontId="16" fillId="3" borderId="14" xfId="0" applyNumberFormat="1" applyFont="1" applyFill="1" applyBorder="1" applyAlignment="1">
      <alignment horizontal="right" vertical="center" wrapText="1"/>
    </xf>
    <xf numFmtId="4" fontId="17" fillId="3" borderId="14" xfId="1" applyNumberFormat="1" applyFont="1" applyFill="1" applyBorder="1" applyAlignment="1">
      <alignment horizontal="right" vertical="center" wrapText="1"/>
    </xf>
    <xf numFmtId="3" fontId="17" fillId="18" borderId="14" xfId="1" applyNumberFormat="1" applyFont="1" applyFill="1" applyBorder="1" applyAlignment="1">
      <alignment horizontal="right" vertical="center" wrapText="1"/>
    </xf>
    <xf numFmtId="3" fontId="4" fillId="18" borderId="13" xfId="0" applyNumberFormat="1" applyFont="1" applyFill="1" applyBorder="1" applyAlignment="1">
      <alignment vertical="center" wrapText="1"/>
    </xf>
    <xf numFmtId="4" fontId="17" fillId="0" borderId="14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3" fontId="4" fillId="17" borderId="14" xfId="0" applyNumberFormat="1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3" fontId="17" fillId="17" borderId="14" xfId="1" applyNumberFormat="1" applyFont="1" applyFill="1" applyBorder="1" applyAlignment="1">
      <alignment horizontal="right" vertical="center" wrapText="1"/>
    </xf>
    <xf numFmtId="0" fontId="5" fillId="0" borderId="0" xfId="3" applyFont="1"/>
    <xf numFmtId="3" fontId="5" fillId="0" borderId="0" xfId="3" applyNumberFormat="1" applyFont="1" applyAlignment="1">
      <alignment horizontal="center"/>
    </xf>
    <xf numFmtId="4" fontId="5" fillId="0" borderId="0" xfId="3" applyNumberFormat="1" applyFont="1" applyAlignment="1">
      <alignment horizontal="center"/>
    </xf>
    <xf numFmtId="3" fontId="5" fillId="0" borderId="0" xfId="3" applyNumberFormat="1" applyFont="1"/>
    <xf numFmtId="3" fontId="6" fillId="0" borderId="0" xfId="3" applyNumberFormat="1" applyFont="1" applyAlignment="1">
      <alignment horizontal="right"/>
    </xf>
    <xf numFmtId="0" fontId="7" fillId="0" borderId="58" xfId="1" applyFont="1" applyBorder="1" applyAlignment="1">
      <alignment horizontal="center" vertical="center" wrapText="1"/>
    </xf>
    <xf numFmtId="0" fontId="13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3" fontId="4" fillId="0" borderId="13" xfId="3" applyNumberFormat="1" applyFont="1" applyBorder="1" applyAlignment="1">
      <alignment vertical="center" wrapText="1"/>
    </xf>
    <xf numFmtId="3" fontId="4" fillId="0" borderId="14" xfId="3" applyNumberFormat="1" applyFont="1" applyBorder="1" applyAlignment="1">
      <alignment vertical="center"/>
    </xf>
    <xf numFmtId="3" fontId="4" fillId="2" borderId="15" xfId="3" applyNumberFormat="1" applyFont="1" applyFill="1" applyBorder="1" applyAlignment="1">
      <alignment vertical="center"/>
    </xf>
    <xf numFmtId="0" fontId="15" fillId="0" borderId="0" xfId="3" applyFont="1" applyAlignment="1">
      <alignment vertical="center"/>
    </xf>
    <xf numFmtId="3" fontId="16" fillId="0" borderId="14" xfId="3" applyNumberFormat="1" applyFont="1" applyBorder="1" applyAlignment="1">
      <alignment horizontal="right" vertical="center" wrapText="1"/>
    </xf>
    <xf numFmtId="49" fontId="5" fillId="0" borderId="0" xfId="3" applyNumberFormat="1" applyFont="1"/>
    <xf numFmtId="49" fontId="7" fillId="0" borderId="26" xfId="1" applyNumberFormat="1" applyFont="1" applyBorder="1" applyAlignment="1">
      <alignment horizontal="center" vertical="center" wrapText="1"/>
    </xf>
    <xf numFmtId="49" fontId="10" fillId="0" borderId="60" xfId="3" applyNumberFormat="1" applyFont="1" applyBorder="1" applyAlignment="1">
      <alignment horizontal="center" vertical="center" wrapText="1"/>
    </xf>
    <xf numFmtId="49" fontId="4" fillId="0" borderId="61" xfId="3" applyNumberFormat="1" applyFont="1" applyBorder="1" applyAlignment="1">
      <alignment vertical="center" wrapText="1"/>
    </xf>
    <xf numFmtId="49" fontId="7" fillId="2" borderId="61" xfId="1" applyNumberFormat="1" applyFont="1" applyFill="1" applyBorder="1" applyAlignment="1">
      <alignment horizontal="left" vertical="center" wrapText="1"/>
    </xf>
    <xf numFmtId="49" fontId="7" fillId="2" borderId="62" xfId="1" applyNumberFormat="1" applyFont="1" applyFill="1" applyBorder="1" applyAlignment="1">
      <alignment horizontal="left" vertical="center" wrapText="1"/>
    </xf>
    <xf numFmtId="49" fontId="7" fillId="0" borderId="0" xfId="1" applyNumberFormat="1" applyFont="1" applyAlignment="1">
      <alignment horizontal="left" vertical="center" wrapText="1"/>
    </xf>
    <xf numFmtId="49" fontId="17" fillId="0" borderId="61" xfId="1" applyNumberFormat="1" applyFont="1" applyBorder="1" applyAlignment="1">
      <alignment vertical="center" wrapText="1"/>
    </xf>
    <xf numFmtId="49" fontId="4" fillId="0" borderId="61" xfId="1" applyNumberFormat="1" applyFont="1" applyBorder="1" applyAlignment="1">
      <alignment vertical="center" wrapText="1"/>
    </xf>
    <xf numFmtId="3" fontId="4" fillId="3" borderId="14" xfId="3" applyNumberFormat="1" applyFont="1" applyFill="1" applyBorder="1" applyAlignment="1">
      <alignment vertical="center"/>
    </xf>
    <xf numFmtId="49" fontId="5" fillId="0" borderId="0" xfId="3" applyNumberFormat="1" applyFont="1" applyAlignment="1">
      <alignment horizontal="center"/>
    </xf>
    <xf numFmtId="49" fontId="4" fillId="0" borderId="61" xfId="3" applyNumberFormat="1" applyFont="1" applyBorder="1" applyAlignment="1">
      <alignment horizontal="center" vertical="center" wrapText="1"/>
    </xf>
    <xf numFmtId="49" fontId="7" fillId="2" borderId="61" xfId="1" applyNumberFormat="1" applyFont="1" applyFill="1" applyBorder="1" applyAlignment="1">
      <alignment horizontal="center" vertical="center" wrapText="1"/>
    </xf>
    <xf numFmtId="49" fontId="7" fillId="2" borderId="62" xfId="1" applyNumberFormat="1" applyFont="1" applyFill="1" applyBorder="1" applyAlignment="1">
      <alignment horizontal="center" vertical="center" wrapText="1"/>
    </xf>
    <xf numFmtId="49" fontId="7" fillId="0" borderId="0" xfId="1" applyNumberFormat="1" applyFont="1" applyAlignment="1">
      <alignment horizontal="center" vertical="center" wrapText="1"/>
    </xf>
    <xf numFmtId="49" fontId="4" fillId="0" borderId="61" xfId="1" applyNumberFormat="1" applyFont="1" applyBorder="1" applyAlignment="1">
      <alignment horizontal="center" vertical="center" wrapText="1"/>
    </xf>
    <xf numFmtId="3" fontId="5" fillId="0" borderId="0" xfId="3" applyNumberFormat="1" applyFont="1" applyAlignment="1">
      <alignment vertical="center"/>
    </xf>
    <xf numFmtId="3" fontId="18" fillId="0" borderId="13" xfId="3" applyNumberFormat="1" applyFont="1" applyBorder="1" applyAlignment="1">
      <alignment vertical="center" wrapText="1"/>
    </xf>
    <xf numFmtId="3" fontId="26" fillId="0" borderId="13" xfId="3" applyNumberFormat="1" applyFont="1" applyBorder="1" applyAlignment="1">
      <alignment vertical="center" wrapText="1"/>
    </xf>
    <xf numFmtId="3" fontId="17" fillId="9" borderId="14" xfId="1" applyNumberFormat="1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5" fillId="9" borderId="0" xfId="3" applyFont="1" applyFill="1" applyAlignment="1">
      <alignment vertical="center"/>
    </xf>
    <xf numFmtId="3" fontId="18" fillId="0" borderId="13" xfId="1" applyNumberFormat="1" applyFont="1" applyBorder="1" applyAlignment="1">
      <alignment vertical="center" wrapText="1"/>
    </xf>
    <xf numFmtId="0" fontId="27" fillId="0" borderId="0" xfId="3" applyFont="1" applyAlignment="1">
      <alignment vertical="center"/>
    </xf>
    <xf numFmtId="3" fontId="27" fillId="0" borderId="0" xfId="3" applyNumberFormat="1" applyFont="1"/>
    <xf numFmtId="3" fontId="17" fillId="19" borderId="14" xfId="1" applyNumberFormat="1" applyFont="1" applyFill="1" applyBorder="1" applyAlignment="1">
      <alignment horizontal="right" vertical="center" wrapText="1"/>
    </xf>
    <xf numFmtId="3" fontId="15" fillId="0" borderId="0" xfId="3" applyNumberFormat="1" applyFont="1" applyAlignment="1">
      <alignment vertical="center"/>
    </xf>
    <xf numFmtId="3" fontId="6" fillId="0" borderId="26" xfId="3" applyNumberFormat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3" fontId="4" fillId="0" borderId="63" xfId="3" applyNumberFormat="1" applyFont="1" applyBorder="1" applyAlignment="1">
      <alignment vertical="center"/>
    </xf>
    <xf numFmtId="3" fontId="17" fillId="0" borderId="63" xfId="1" applyNumberFormat="1" applyFont="1" applyBorder="1" applyAlignment="1">
      <alignment horizontal="right" vertical="center" wrapText="1"/>
    </xf>
    <xf numFmtId="0" fontId="7" fillId="20" borderId="58" xfId="1" applyFont="1" applyFill="1" applyBorder="1" applyAlignment="1">
      <alignment horizontal="center" vertical="center" wrapText="1"/>
    </xf>
    <xf numFmtId="0" fontId="7" fillId="20" borderId="6" xfId="1" applyFont="1" applyFill="1" applyBorder="1" applyAlignment="1">
      <alignment horizontal="center" vertical="center" wrapText="1"/>
    </xf>
    <xf numFmtId="3" fontId="4" fillId="20" borderId="14" xfId="3" applyNumberFormat="1" applyFont="1" applyFill="1" applyBorder="1" applyAlignment="1">
      <alignment vertical="center"/>
    </xf>
    <xf numFmtId="3" fontId="17" fillId="20" borderId="14" xfId="1" applyNumberFormat="1" applyFont="1" applyFill="1" applyBorder="1" applyAlignment="1">
      <alignment horizontal="right" vertical="center" wrapText="1"/>
    </xf>
    <xf numFmtId="3" fontId="13" fillId="0" borderId="0" xfId="3" applyNumberFormat="1" applyFont="1" applyAlignment="1">
      <alignment vertical="center"/>
    </xf>
    <xf numFmtId="3" fontId="4" fillId="19" borderId="14" xfId="3" applyNumberFormat="1" applyFont="1" applyFill="1" applyBorder="1" applyAlignment="1">
      <alignment vertical="center"/>
    </xf>
    <xf numFmtId="3" fontId="16" fillId="19" borderId="14" xfId="3" applyNumberFormat="1" applyFont="1" applyFill="1" applyBorder="1" applyAlignment="1">
      <alignment horizontal="right" vertical="center" wrapText="1"/>
    </xf>
    <xf numFmtId="3" fontId="16" fillId="9" borderId="14" xfId="3" applyNumberFormat="1" applyFont="1" applyFill="1" applyBorder="1" applyAlignment="1">
      <alignment horizontal="right" vertical="center" wrapText="1"/>
    </xf>
    <xf numFmtId="3" fontId="4" fillId="9" borderId="14" xfId="1" applyNumberFormat="1" applyFont="1" applyFill="1" applyBorder="1" applyAlignment="1">
      <alignment horizontal="right" vertical="center" wrapText="1"/>
    </xf>
    <xf numFmtId="3" fontId="4" fillId="19" borderId="14" xfId="1" applyNumberFormat="1" applyFont="1" applyFill="1" applyBorder="1" applyAlignment="1">
      <alignment horizontal="right" vertical="center" wrapText="1"/>
    </xf>
    <xf numFmtId="3" fontId="18" fillId="9" borderId="14" xfId="1" applyNumberFormat="1" applyFont="1" applyFill="1" applyBorder="1" applyAlignment="1">
      <alignment horizontal="right" vertical="center" wrapText="1"/>
    </xf>
    <xf numFmtId="49" fontId="4" fillId="9" borderId="61" xfId="1" applyNumberFormat="1" applyFont="1" applyFill="1" applyBorder="1" applyAlignment="1">
      <alignment vertical="center" wrapText="1"/>
    </xf>
    <xf numFmtId="3" fontId="8" fillId="2" borderId="18" xfId="1" applyNumberFormat="1" applyFont="1" applyFill="1" applyBorder="1" applyAlignment="1">
      <alignment horizontal="right" vertical="center" wrapText="1"/>
    </xf>
    <xf numFmtId="0" fontId="15" fillId="9" borderId="0" xfId="3" applyFont="1" applyFill="1" applyAlignment="1">
      <alignment vertical="center"/>
    </xf>
    <xf numFmtId="4" fontId="7" fillId="2" borderId="18" xfId="1" applyNumberFormat="1" applyFont="1" applyFill="1" applyBorder="1" applyAlignment="1">
      <alignment horizontal="right" vertical="center" wrapText="1"/>
    </xf>
    <xf numFmtId="4" fontId="7" fillId="2" borderId="17" xfId="1" applyNumberFormat="1" applyFont="1" applyFill="1" applyBorder="1" applyAlignment="1">
      <alignment horizontal="right" vertical="center" wrapText="1"/>
    </xf>
    <xf numFmtId="3" fontId="4" fillId="4" borderId="13" xfId="3" applyNumberFormat="1" applyFont="1" applyFill="1" applyBorder="1" applyAlignment="1">
      <alignment vertical="center" wrapText="1"/>
    </xf>
    <xf numFmtId="3" fontId="4" fillId="9" borderId="13" xfId="3" applyNumberFormat="1" applyFont="1" applyFill="1" applyBorder="1" applyAlignment="1">
      <alignment vertical="center" wrapText="1"/>
    </xf>
    <xf numFmtId="3" fontId="7" fillId="2" borderId="63" xfId="1" applyNumberFormat="1" applyFont="1" applyFill="1" applyBorder="1" applyAlignment="1">
      <alignment horizontal="right" vertical="center" wrapText="1"/>
    </xf>
    <xf numFmtId="3" fontId="7" fillId="2" borderId="65" xfId="1" applyNumberFormat="1" applyFont="1" applyFill="1" applyBorder="1" applyAlignment="1">
      <alignment horizontal="right" vertical="center" wrapText="1"/>
    </xf>
    <xf numFmtId="3" fontId="17" fillId="21" borderId="14" xfId="1" applyNumberFormat="1" applyFont="1" applyFill="1" applyBorder="1" applyAlignment="1">
      <alignment horizontal="right" vertical="center" wrapText="1"/>
    </xf>
    <xf numFmtId="3" fontId="4" fillId="21" borderId="14" xfId="1" applyNumberFormat="1" applyFont="1" applyFill="1" applyBorder="1" applyAlignment="1">
      <alignment horizontal="right" vertical="center" wrapText="1"/>
    </xf>
    <xf numFmtId="3" fontId="16" fillId="21" borderId="14" xfId="3" applyNumberFormat="1" applyFont="1" applyFill="1" applyBorder="1" applyAlignment="1">
      <alignment horizontal="right" vertical="center" wrapText="1"/>
    </xf>
    <xf numFmtId="3" fontId="4" fillId="21" borderId="14" xfId="3" applyNumberFormat="1" applyFont="1" applyFill="1" applyBorder="1" applyAlignment="1">
      <alignment vertical="center"/>
    </xf>
    <xf numFmtId="0" fontId="5" fillId="21" borderId="0" xfId="3" applyFont="1" applyFill="1"/>
    <xf numFmtId="0" fontId="7" fillId="0" borderId="66" xfId="1" applyFont="1" applyBorder="1" applyAlignment="1">
      <alignment horizontal="center" vertical="center" wrapText="1"/>
    </xf>
    <xf numFmtId="0" fontId="7" fillId="0" borderId="67" xfId="1" applyFont="1" applyBorder="1" applyAlignment="1">
      <alignment horizontal="center" vertical="center" wrapText="1"/>
    </xf>
    <xf numFmtId="0" fontId="7" fillId="7" borderId="60" xfId="1" applyFont="1" applyFill="1" applyBorder="1" applyAlignment="1">
      <alignment horizontal="center" vertical="center" wrapText="1"/>
    </xf>
    <xf numFmtId="0" fontId="7" fillId="7" borderId="64" xfId="1" applyFont="1" applyFill="1" applyBorder="1" applyAlignment="1">
      <alignment horizontal="center" vertical="center" wrapText="1"/>
    </xf>
    <xf numFmtId="3" fontId="4" fillId="2" borderId="72" xfId="3" applyNumberFormat="1" applyFont="1" applyFill="1" applyBorder="1" applyAlignment="1">
      <alignment vertical="center"/>
    </xf>
    <xf numFmtId="0" fontId="5" fillId="0" borderId="12" xfId="3" applyFont="1" applyBorder="1" applyAlignment="1">
      <alignment vertical="center"/>
    </xf>
    <xf numFmtId="0" fontId="13" fillId="0" borderId="12" xfId="3" applyFont="1" applyBorder="1" applyAlignment="1">
      <alignment vertical="center"/>
    </xf>
    <xf numFmtId="0" fontId="7" fillId="0" borderId="64" xfId="1" applyFont="1" applyBorder="1" applyAlignment="1">
      <alignment horizontal="center" vertical="center" wrapText="1"/>
    </xf>
    <xf numFmtId="3" fontId="4" fillId="9" borderId="14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 wrapText="1"/>
    </xf>
    <xf numFmtId="3" fontId="17" fillId="3" borderId="63" xfId="1" applyNumberFormat="1" applyFont="1" applyFill="1" applyBorder="1" applyAlignment="1">
      <alignment horizontal="right" vertical="center" wrapText="1"/>
    </xf>
    <xf numFmtId="3" fontId="4" fillId="3" borderId="63" xfId="3" applyNumberFormat="1" applyFont="1" applyFill="1" applyBorder="1" applyAlignment="1">
      <alignment vertical="center"/>
    </xf>
    <xf numFmtId="3" fontId="17" fillId="8" borderId="14" xfId="1" applyNumberFormat="1" applyFont="1" applyFill="1" applyBorder="1" applyAlignment="1">
      <alignment horizontal="right" vertical="center" wrapText="1"/>
    </xf>
    <xf numFmtId="3" fontId="4" fillId="8" borderId="14" xfId="1" applyNumberFormat="1" applyFont="1" applyFill="1" applyBorder="1" applyAlignment="1">
      <alignment horizontal="right" vertical="center" wrapText="1"/>
    </xf>
    <xf numFmtId="3" fontId="4" fillId="8" borderId="14" xfId="3" applyNumberFormat="1" applyFont="1" applyFill="1" applyBorder="1" applyAlignment="1">
      <alignment vertical="center"/>
    </xf>
    <xf numFmtId="3" fontId="16" fillId="8" borderId="14" xfId="3" applyNumberFormat="1" applyFont="1" applyFill="1" applyBorder="1" applyAlignment="1">
      <alignment horizontal="right" vertical="center" wrapText="1"/>
    </xf>
    <xf numFmtId="0" fontId="5" fillId="0" borderId="0" xfId="5" applyFont="1"/>
    <xf numFmtId="49" fontId="5" fillId="0" borderId="0" xfId="5" applyNumberFormat="1" applyFont="1"/>
    <xf numFmtId="49" fontId="5" fillId="0" borderId="0" xfId="5" applyNumberFormat="1" applyFont="1" applyAlignment="1">
      <alignment horizontal="center"/>
    </xf>
    <xf numFmtId="3" fontId="5" fillId="0" borderId="0" xfId="5" applyNumberFormat="1" applyFont="1" applyAlignment="1">
      <alignment horizontal="center"/>
    </xf>
    <xf numFmtId="3" fontId="5" fillId="0" borderId="0" xfId="5" applyNumberFormat="1" applyFont="1"/>
    <xf numFmtId="3" fontId="6" fillId="0" borderId="0" xfId="5" applyNumberFormat="1" applyFont="1" applyAlignment="1">
      <alignment horizontal="right"/>
    </xf>
    <xf numFmtId="49" fontId="10" fillId="0" borderId="60" xfId="5" applyNumberFormat="1" applyFont="1" applyBorder="1" applyAlignment="1">
      <alignment horizontal="center" vertical="center" wrapText="1"/>
    </xf>
    <xf numFmtId="0" fontId="13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3" fontId="4" fillId="0" borderId="13" xfId="5" applyNumberFormat="1" applyFont="1" applyBorder="1" applyAlignment="1">
      <alignment vertical="center" wrapText="1"/>
    </xf>
    <xf numFmtId="49" fontId="4" fillId="0" borderId="61" xfId="5" applyNumberFormat="1" applyFont="1" applyBorder="1" applyAlignment="1">
      <alignment vertical="center" wrapText="1"/>
    </xf>
    <xf numFmtId="49" fontId="4" fillId="0" borderId="61" xfId="5" applyNumberFormat="1" applyFont="1" applyBorder="1" applyAlignment="1">
      <alignment horizontal="center" vertical="center" wrapText="1"/>
    </xf>
    <xf numFmtId="3" fontId="4" fillId="0" borderId="14" xfId="5" applyNumberFormat="1" applyFont="1" applyBorder="1" applyAlignment="1">
      <alignment vertical="center"/>
    </xf>
    <xf numFmtId="3" fontId="4" fillId="2" borderId="15" xfId="5" applyNumberFormat="1" applyFont="1" applyFill="1" applyBorder="1" applyAlignment="1">
      <alignment vertical="center"/>
    </xf>
    <xf numFmtId="0" fontId="15" fillId="0" borderId="0" xfId="5" applyFont="1" applyAlignment="1">
      <alignment vertical="center"/>
    </xf>
    <xf numFmtId="3" fontId="15" fillId="0" borderId="0" xfId="5" applyNumberFormat="1" applyFont="1" applyAlignment="1">
      <alignment vertical="center"/>
    </xf>
    <xf numFmtId="3" fontId="4" fillId="9" borderId="13" xfId="5" applyNumberFormat="1" applyFont="1" applyFill="1" applyBorder="1" applyAlignment="1">
      <alignment vertical="center" wrapText="1"/>
    </xf>
    <xf numFmtId="3" fontId="4" fillId="0" borderId="63" xfId="5" applyNumberFormat="1" applyFont="1" applyBorder="1" applyAlignment="1">
      <alignment vertical="center"/>
    </xf>
    <xf numFmtId="3" fontId="13" fillId="0" borderId="0" xfId="5" applyNumberFormat="1" applyFont="1" applyAlignment="1">
      <alignment vertical="center"/>
    </xf>
    <xf numFmtId="3" fontId="5" fillId="0" borderId="0" xfId="5" applyNumberFormat="1" applyFont="1" applyAlignment="1">
      <alignment vertical="center"/>
    </xf>
    <xf numFmtId="3" fontId="16" fillId="0" borderId="14" xfId="5" applyNumberFormat="1" applyFont="1" applyBorder="1" applyAlignment="1">
      <alignment horizontal="right" vertical="center" wrapText="1"/>
    </xf>
    <xf numFmtId="3" fontId="16" fillId="9" borderId="14" xfId="5" applyNumberFormat="1" applyFont="1" applyFill="1" applyBorder="1" applyAlignment="1">
      <alignment horizontal="right" vertical="center" wrapText="1"/>
    </xf>
    <xf numFmtId="3" fontId="7" fillId="9" borderId="24" xfId="1" applyNumberFormat="1" applyFont="1" applyFill="1" applyBorder="1" applyAlignment="1">
      <alignment horizontal="center" vertical="center" wrapText="1"/>
    </xf>
    <xf numFmtId="3" fontId="5" fillId="3" borderId="0" xfId="5" applyNumberFormat="1" applyFont="1" applyFill="1" applyAlignment="1">
      <alignment horizontal="center"/>
    </xf>
    <xf numFmtId="3" fontId="5" fillId="3" borderId="0" xfId="5" applyNumberFormat="1" applyFont="1" applyFill="1"/>
    <xf numFmtId="0" fontId="7" fillId="3" borderId="6" xfId="1" applyFont="1" applyFill="1" applyBorder="1" applyAlignment="1">
      <alignment horizontal="center" vertical="center" wrapText="1"/>
    </xf>
    <xf numFmtId="3" fontId="4" fillId="3" borderId="14" xfId="5" applyNumberFormat="1" applyFont="1" applyFill="1" applyBorder="1" applyAlignment="1">
      <alignment vertical="center"/>
    </xf>
    <xf numFmtId="3" fontId="7" fillId="3" borderId="14" xfId="1" applyNumberFormat="1" applyFont="1" applyFill="1" applyBorder="1" applyAlignment="1">
      <alignment horizontal="right" vertical="center" wrapText="1"/>
    </xf>
    <xf numFmtId="3" fontId="7" fillId="3" borderId="17" xfId="1" applyNumberFormat="1" applyFont="1" applyFill="1" applyBorder="1" applyAlignment="1">
      <alignment horizontal="right" vertical="center" wrapText="1"/>
    </xf>
    <xf numFmtId="3" fontId="7" fillId="3" borderId="0" xfId="1" applyNumberFormat="1" applyFont="1" applyFill="1" applyAlignment="1">
      <alignment horizontal="center" vertical="center" wrapText="1"/>
    </xf>
    <xf numFmtId="3" fontId="16" fillId="3" borderId="14" xfId="5" applyNumberFormat="1" applyFont="1" applyFill="1" applyBorder="1" applyAlignment="1">
      <alignment horizontal="right" vertical="center" wrapText="1"/>
    </xf>
    <xf numFmtId="4" fontId="15" fillId="0" borderId="0" xfId="5" applyNumberFormat="1" applyFont="1" applyAlignment="1">
      <alignment vertical="center"/>
    </xf>
    <xf numFmtId="4" fontId="15" fillId="0" borderId="0" xfId="5" applyNumberFormat="1" applyFont="1" applyAlignment="1">
      <alignment horizontal="right" vertical="center"/>
    </xf>
    <xf numFmtId="4" fontId="5" fillId="0" borderId="0" xfId="5" applyNumberFormat="1" applyFont="1"/>
    <xf numFmtId="3" fontId="5" fillId="9" borderId="0" xfId="5" applyNumberFormat="1" applyFont="1" applyFill="1" applyAlignment="1">
      <alignment horizontal="center"/>
    </xf>
    <xf numFmtId="3" fontId="5" fillId="9" borderId="0" xfId="5" applyNumberFormat="1" applyFont="1" applyFill="1"/>
    <xf numFmtId="3" fontId="4" fillId="9" borderId="14" xfId="5" applyNumberFormat="1" applyFont="1" applyFill="1" applyBorder="1" applyAlignment="1">
      <alignment vertical="center"/>
    </xf>
    <xf numFmtId="3" fontId="4" fillId="9" borderId="63" xfId="5" applyNumberFormat="1" applyFont="1" applyFill="1" applyBorder="1" applyAlignment="1">
      <alignment vertical="center"/>
    </xf>
    <xf numFmtId="3" fontId="17" fillId="9" borderId="63" xfId="1" applyNumberFormat="1" applyFont="1" applyFill="1" applyBorder="1" applyAlignment="1">
      <alignment horizontal="right" vertical="center" wrapText="1"/>
    </xf>
    <xf numFmtId="3" fontId="4" fillId="0" borderId="63" xfId="1" applyNumberFormat="1" applyFont="1" applyBorder="1" applyAlignment="1">
      <alignment horizontal="right" vertical="center" wrapText="1"/>
    </xf>
    <xf numFmtId="3" fontId="4" fillId="2" borderId="63" xfId="5" applyNumberFormat="1" applyFont="1" applyFill="1" applyBorder="1" applyAlignment="1">
      <alignment vertical="center"/>
    </xf>
    <xf numFmtId="3" fontId="7" fillId="2" borderId="75" xfId="1" applyNumberFormat="1" applyFont="1" applyFill="1" applyBorder="1" applyAlignment="1">
      <alignment horizontal="left" vertical="center" wrapText="1"/>
    </xf>
    <xf numFmtId="49" fontId="7" fillId="2" borderId="76" xfId="1" applyNumberFormat="1" applyFont="1" applyFill="1" applyBorder="1" applyAlignment="1">
      <alignment horizontal="left" vertical="center" wrapText="1"/>
    </xf>
    <xf numFmtId="49" fontId="7" fillId="2" borderId="76" xfId="1" applyNumberFormat="1" applyFont="1" applyFill="1" applyBorder="1" applyAlignment="1">
      <alignment horizontal="center" vertical="center" wrapText="1"/>
    </xf>
    <xf numFmtId="3" fontId="7" fillId="2" borderId="77" xfId="1" applyNumberFormat="1" applyFont="1" applyFill="1" applyBorder="1" applyAlignment="1">
      <alignment horizontal="right" vertical="center" wrapText="1"/>
    </xf>
    <xf numFmtId="3" fontId="7" fillId="2" borderId="78" xfId="1" applyNumberFormat="1" applyFont="1" applyFill="1" applyBorder="1" applyAlignment="1">
      <alignment horizontal="right" vertical="center" wrapText="1"/>
    </xf>
    <xf numFmtId="3" fontId="4" fillId="2" borderId="78" xfId="5" applyNumberFormat="1" applyFont="1" applyFill="1" applyBorder="1" applyAlignment="1">
      <alignment vertical="center"/>
    </xf>
    <xf numFmtId="0" fontId="27" fillId="0" borderId="0" xfId="5" applyFont="1"/>
    <xf numFmtId="0" fontId="18" fillId="0" borderId="0" xfId="1" applyFont="1" applyAlignment="1">
      <alignment vertical="center"/>
    </xf>
    <xf numFmtId="0" fontId="22" fillId="0" borderId="0" xfId="5" applyFont="1" applyAlignment="1">
      <alignment vertical="center"/>
    </xf>
    <xf numFmtId="0" fontId="27" fillId="0" borderId="0" xfId="5" applyFont="1" applyAlignment="1">
      <alignment vertical="center"/>
    </xf>
    <xf numFmtId="3" fontId="23" fillId="0" borderId="0" xfId="5" applyNumberFormat="1" applyFont="1" applyAlignment="1">
      <alignment vertical="center"/>
    </xf>
    <xf numFmtId="3" fontId="22" fillId="0" borderId="0" xfId="5" applyNumberFormat="1" applyFont="1" applyAlignment="1">
      <alignment vertical="center"/>
    </xf>
    <xf numFmtId="0" fontId="23" fillId="0" borderId="0" xfId="5" applyFont="1" applyAlignment="1">
      <alignment vertical="center"/>
    </xf>
    <xf numFmtId="3" fontId="18" fillId="0" borderId="63" xfId="1" applyNumberFormat="1" applyFont="1" applyBorder="1" applyAlignment="1">
      <alignment horizontal="right" vertical="center" wrapText="1"/>
    </xf>
    <xf numFmtId="3" fontId="18" fillId="9" borderId="63" xfId="1" applyNumberFormat="1" applyFont="1" applyFill="1" applyBorder="1" applyAlignment="1">
      <alignment horizontal="right" vertical="center" wrapText="1"/>
    </xf>
    <xf numFmtId="3" fontId="5" fillId="0" borderId="79" xfId="5" applyNumberFormat="1" applyFont="1" applyBorder="1" applyAlignment="1">
      <alignment horizontal="center" wrapText="1"/>
    </xf>
    <xf numFmtId="3" fontId="27" fillId="0" borderId="0" xfId="5" applyNumberFormat="1" applyFont="1" applyAlignment="1">
      <alignment vertical="center"/>
    </xf>
    <xf numFmtId="3" fontId="4" fillId="9" borderId="13" xfId="1" applyNumberFormat="1" applyFont="1" applyFill="1" applyBorder="1" applyAlignment="1">
      <alignment vertical="center" wrapText="1"/>
    </xf>
    <xf numFmtId="3" fontId="4" fillId="2" borderId="82" xfId="5" applyNumberFormat="1" applyFont="1" applyFill="1" applyBorder="1" applyAlignment="1">
      <alignment vertical="center"/>
    </xf>
    <xf numFmtId="3" fontId="7" fillId="9" borderId="0" xfId="1" applyNumberFormat="1" applyFont="1" applyFill="1" applyAlignment="1">
      <alignment horizontal="center" vertical="center" wrapText="1"/>
    </xf>
    <xf numFmtId="0" fontId="30" fillId="9" borderId="13" xfId="0" applyFont="1" applyFill="1" applyBorder="1" applyAlignment="1">
      <alignment horizontal="left" vertical="center" wrapText="1"/>
    </xf>
    <xf numFmtId="3" fontId="7" fillId="2" borderId="82" xfId="1" applyNumberFormat="1" applyFont="1" applyFill="1" applyBorder="1" applyAlignment="1">
      <alignment horizontal="right" vertical="center" wrapText="1"/>
    </xf>
    <xf numFmtId="3" fontId="7" fillId="0" borderId="12" xfId="1" applyNumberFormat="1" applyFont="1" applyBorder="1" applyAlignment="1">
      <alignment horizontal="center" vertical="center" wrapText="1"/>
    </xf>
    <xf numFmtId="0" fontId="28" fillId="9" borderId="13" xfId="0" applyFont="1" applyFill="1" applyBorder="1" applyAlignment="1">
      <alignment horizontal="left" vertical="center" wrapText="1"/>
    </xf>
    <xf numFmtId="49" fontId="10" fillId="0" borderId="76" xfId="5" applyNumberFormat="1" applyFont="1" applyBorder="1" applyAlignment="1">
      <alignment horizontal="center" vertical="center" wrapText="1"/>
    </xf>
    <xf numFmtId="49" fontId="10" fillId="0" borderId="77" xfId="5" applyNumberFormat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 wrapText="1"/>
    </xf>
    <xf numFmtId="0" fontId="7" fillId="9" borderId="77" xfId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3" fontId="6" fillId="0" borderId="2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8" fillId="2" borderId="9" xfId="1" applyNumberFormat="1" applyFont="1" applyFill="1" applyBorder="1" applyAlignment="1">
      <alignment horizontal="center" vertical="center" wrapText="1"/>
    </xf>
    <xf numFmtId="3" fontId="12" fillId="2" borderId="2" xfId="2" applyNumberFormat="1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vertical="center"/>
    </xf>
    <xf numFmtId="3" fontId="9" fillId="2" borderId="10" xfId="0" applyNumberFormat="1" applyFont="1" applyFill="1" applyBorder="1" applyAlignment="1">
      <alignment vertical="center"/>
    </xf>
    <xf numFmtId="3" fontId="6" fillId="0" borderId="11" xfId="0" applyNumberFormat="1" applyFont="1" applyBorder="1" applyAlignment="1">
      <alignment horizontal="left" vertical="center" wrapText="1"/>
    </xf>
    <xf numFmtId="3" fontId="14" fillId="0" borderId="0" xfId="0" applyNumberFormat="1" applyFont="1" applyAlignment="1">
      <alignment horizontal="left" vertical="center" wrapText="1"/>
    </xf>
    <xf numFmtId="3" fontId="14" fillId="0" borderId="12" xfId="0" applyNumberFormat="1" applyFont="1" applyBorder="1" applyAlignment="1">
      <alignment horizontal="left" vertical="center" wrapText="1"/>
    </xf>
    <xf numFmtId="3" fontId="6" fillId="0" borderId="20" xfId="0" applyNumberFormat="1" applyFont="1" applyBorder="1" applyAlignment="1">
      <alignment horizontal="left" vertical="center" wrapText="1"/>
    </xf>
    <xf numFmtId="3" fontId="6" fillId="0" borderId="21" xfId="0" applyNumberFormat="1" applyFont="1" applyBorder="1" applyAlignment="1">
      <alignment horizontal="left" vertical="center" wrapText="1"/>
    </xf>
    <xf numFmtId="3" fontId="6" fillId="0" borderId="22" xfId="0" applyNumberFormat="1" applyFont="1" applyBorder="1" applyAlignment="1">
      <alignment horizontal="left" vertical="center" wrapText="1"/>
    </xf>
    <xf numFmtId="3" fontId="6" fillId="0" borderId="30" xfId="0" applyNumberFormat="1" applyFont="1" applyBorder="1" applyAlignment="1">
      <alignment horizontal="left" wrapText="1"/>
    </xf>
    <xf numFmtId="3" fontId="14" fillId="0" borderId="30" xfId="0" applyNumberFormat="1" applyFont="1" applyBorder="1" applyAlignment="1">
      <alignment horizontal="left" wrapText="1"/>
    </xf>
    <xf numFmtId="3" fontId="2" fillId="0" borderId="0" xfId="0" applyNumberFormat="1" applyFont="1" applyAlignment="1">
      <alignment horizontal="center" vertical="center" wrapText="1"/>
    </xf>
    <xf numFmtId="3" fontId="6" fillId="0" borderId="25" xfId="0" applyNumberFormat="1" applyFont="1" applyBorder="1" applyAlignment="1">
      <alignment horizontal="center" vertical="center" wrapText="1"/>
    </xf>
    <xf numFmtId="3" fontId="6" fillId="0" borderId="26" xfId="0" applyNumberFormat="1" applyFont="1" applyBorder="1" applyAlignment="1">
      <alignment horizontal="center" vertical="center" wrapText="1"/>
    </xf>
    <xf numFmtId="3" fontId="6" fillId="0" borderId="27" xfId="0" applyNumberFormat="1" applyFont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vertical="center" wrapText="1"/>
    </xf>
    <xf numFmtId="3" fontId="9" fillId="2" borderId="23" xfId="0" applyNumberFormat="1" applyFont="1" applyFill="1" applyBorder="1" applyAlignment="1">
      <alignment vertical="center" wrapText="1"/>
    </xf>
    <xf numFmtId="3" fontId="9" fillId="2" borderId="10" xfId="0" applyNumberFormat="1" applyFont="1" applyFill="1" applyBorder="1" applyAlignment="1">
      <alignment vertical="center" wrapText="1"/>
    </xf>
    <xf numFmtId="3" fontId="8" fillId="12" borderId="9" xfId="1" applyNumberFormat="1" applyFont="1" applyFill="1" applyBorder="1" applyAlignment="1">
      <alignment horizontal="center" vertical="center" wrapText="1"/>
    </xf>
    <xf numFmtId="3" fontId="12" fillId="12" borderId="2" xfId="2" applyNumberFormat="1" applyFont="1" applyFill="1" applyBorder="1" applyAlignment="1">
      <alignment horizontal="center" vertical="center" wrapText="1"/>
    </xf>
    <xf numFmtId="3" fontId="9" fillId="12" borderId="2" xfId="0" applyNumberFormat="1" applyFont="1" applyFill="1" applyBorder="1" applyAlignment="1">
      <alignment vertical="center" wrapText="1"/>
    </xf>
    <xf numFmtId="3" fontId="9" fillId="12" borderId="23" xfId="0" applyNumberFormat="1" applyFont="1" applyFill="1" applyBorder="1" applyAlignment="1">
      <alignment vertical="center" wrapText="1"/>
    </xf>
    <xf numFmtId="3" fontId="9" fillId="12" borderId="10" xfId="0" applyNumberFormat="1" applyFont="1" applyFill="1" applyBorder="1" applyAlignment="1">
      <alignment vertical="center" wrapText="1"/>
    </xf>
    <xf numFmtId="3" fontId="7" fillId="15" borderId="1" xfId="1" applyNumberFormat="1" applyFont="1" applyFill="1" applyBorder="1" applyAlignment="1">
      <alignment horizontal="center" vertical="center" wrapText="1"/>
    </xf>
    <xf numFmtId="3" fontId="10" fillId="15" borderId="5" xfId="0" applyNumberFormat="1" applyFont="1" applyFill="1" applyBorder="1" applyAlignment="1">
      <alignment horizontal="center" vertical="center" wrapText="1"/>
    </xf>
    <xf numFmtId="3" fontId="6" fillId="0" borderId="34" xfId="0" applyNumberFormat="1" applyFont="1" applyBorder="1" applyAlignment="1">
      <alignment horizontal="left" vertical="center" wrapText="1"/>
    </xf>
    <xf numFmtId="3" fontId="14" fillId="0" borderId="30" xfId="0" applyNumberFormat="1" applyFont="1" applyBorder="1" applyAlignment="1">
      <alignment horizontal="left" vertical="center" wrapText="1"/>
    </xf>
    <xf numFmtId="3" fontId="14" fillId="0" borderId="55" xfId="0" applyNumberFormat="1" applyFont="1" applyBorder="1" applyAlignment="1">
      <alignment horizontal="left" vertical="center" wrapText="1"/>
    </xf>
    <xf numFmtId="3" fontId="6" fillId="0" borderId="34" xfId="0" applyNumberFormat="1" applyFont="1" applyBorder="1" applyAlignment="1">
      <alignment horizontal="left" wrapText="1"/>
    </xf>
    <xf numFmtId="3" fontId="14" fillId="0" borderId="55" xfId="0" applyNumberFormat="1" applyFont="1" applyBorder="1" applyAlignment="1">
      <alignment horizontal="left" wrapText="1"/>
    </xf>
    <xf numFmtId="3" fontId="6" fillId="0" borderId="20" xfId="3" applyNumberFormat="1" applyFont="1" applyBorder="1" applyAlignment="1">
      <alignment horizontal="left" vertical="center" wrapText="1"/>
    </xf>
    <xf numFmtId="3" fontId="6" fillId="0" borderId="21" xfId="3" applyNumberFormat="1" applyFont="1" applyBorder="1" applyAlignment="1">
      <alignment horizontal="left" vertical="center" wrapText="1"/>
    </xf>
    <xf numFmtId="3" fontId="6" fillId="0" borderId="22" xfId="3" applyNumberFormat="1" applyFont="1" applyBorder="1" applyAlignment="1">
      <alignment horizontal="left" vertical="center" wrapText="1"/>
    </xf>
    <xf numFmtId="3" fontId="6" fillId="0" borderId="34" xfId="3" applyNumberFormat="1" applyFont="1" applyBorder="1" applyAlignment="1">
      <alignment horizontal="left" vertical="center" wrapText="1"/>
    </xf>
    <xf numFmtId="3" fontId="14" fillId="0" borderId="30" xfId="3" applyNumberFormat="1" applyFont="1" applyBorder="1" applyAlignment="1">
      <alignment horizontal="left" vertical="center" wrapText="1"/>
    </xf>
    <xf numFmtId="3" fontId="14" fillId="0" borderId="55" xfId="3" applyNumberFormat="1" applyFont="1" applyBorder="1" applyAlignment="1">
      <alignment horizontal="left" vertical="center" wrapText="1"/>
    </xf>
    <xf numFmtId="3" fontId="6" fillId="0" borderId="11" xfId="3" applyNumberFormat="1" applyFont="1" applyBorder="1" applyAlignment="1">
      <alignment horizontal="left" vertical="center" wrapText="1"/>
    </xf>
    <xf numFmtId="3" fontId="14" fillId="0" borderId="0" xfId="3" applyNumberFormat="1" applyFont="1" applyAlignment="1">
      <alignment horizontal="left" vertical="center" wrapText="1"/>
    </xf>
    <xf numFmtId="3" fontId="14" fillId="0" borderId="12" xfId="3" applyNumberFormat="1" applyFont="1" applyBorder="1" applyAlignment="1">
      <alignment horizontal="left" vertical="center" wrapText="1"/>
    </xf>
    <xf numFmtId="3" fontId="12" fillId="2" borderId="2" xfId="4" applyNumberFormat="1" applyFont="1" applyFill="1" applyBorder="1" applyAlignment="1">
      <alignment horizontal="center" vertical="center" wrapText="1"/>
    </xf>
    <xf numFmtId="3" fontId="9" fillId="2" borderId="23" xfId="3" applyNumberFormat="1" applyFont="1" applyFill="1" applyBorder="1" applyAlignment="1">
      <alignment vertical="center" wrapText="1"/>
    </xf>
    <xf numFmtId="3" fontId="9" fillId="2" borderId="10" xfId="3" applyNumberFormat="1" applyFont="1" applyFill="1" applyBorder="1" applyAlignment="1">
      <alignment vertical="center" wrapText="1"/>
    </xf>
    <xf numFmtId="3" fontId="9" fillId="2" borderId="2" xfId="3" applyNumberFormat="1" applyFont="1" applyFill="1" applyBorder="1" applyAlignment="1">
      <alignment vertical="center"/>
    </xf>
    <xf numFmtId="3" fontId="9" fillId="2" borderId="10" xfId="3" applyNumberFormat="1" applyFont="1" applyFill="1" applyBorder="1" applyAlignment="1">
      <alignment vertical="center"/>
    </xf>
    <xf numFmtId="3" fontId="1" fillId="0" borderId="0" xfId="3" applyNumberFormat="1" applyFont="1" applyAlignment="1">
      <alignment horizontal="center" vertical="center" wrapText="1"/>
    </xf>
    <xf numFmtId="3" fontId="2" fillId="0" borderId="0" xfId="3" applyNumberFormat="1" applyFont="1" applyAlignment="1">
      <alignment horizontal="center" vertical="center" wrapText="1"/>
    </xf>
    <xf numFmtId="3" fontId="10" fillId="0" borderId="5" xfId="3" applyNumberFormat="1" applyFont="1" applyBorder="1" applyAlignment="1">
      <alignment horizontal="center" vertical="center" wrapText="1"/>
    </xf>
    <xf numFmtId="3" fontId="6" fillId="0" borderId="23" xfId="3" applyNumberFormat="1" applyFont="1" applyBorder="1" applyAlignment="1">
      <alignment horizontal="center" vertical="center" wrapText="1"/>
    </xf>
    <xf numFmtId="3" fontId="6" fillId="0" borderId="3" xfId="3" applyNumberFormat="1" applyFont="1" applyBorder="1" applyAlignment="1">
      <alignment horizontal="center" vertical="center" wrapText="1"/>
    </xf>
    <xf numFmtId="3" fontId="6" fillId="0" borderId="56" xfId="3" applyNumberFormat="1" applyFont="1" applyBorder="1" applyAlignment="1">
      <alignment horizontal="center" vertical="center" wrapText="1"/>
    </xf>
    <xf numFmtId="3" fontId="7" fillId="2" borderId="57" xfId="1" applyNumberFormat="1" applyFont="1" applyFill="1" applyBorder="1" applyAlignment="1">
      <alignment horizontal="center" vertical="center" wrapText="1"/>
    </xf>
    <xf numFmtId="3" fontId="7" fillId="2" borderId="59" xfId="1" applyNumberFormat="1" applyFont="1" applyFill="1" applyBorder="1" applyAlignment="1">
      <alignment horizontal="center" vertical="center" wrapText="1"/>
    </xf>
    <xf numFmtId="3" fontId="6" fillId="0" borderId="30" xfId="3" applyNumberFormat="1" applyFont="1" applyBorder="1" applyAlignment="1">
      <alignment horizontal="left" vertical="center" wrapText="1"/>
    </xf>
    <xf numFmtId="3" fontId="6" fillId="0" borderId="0" xfId="3" applyNumberFormat="1" applyFont="1" applyAlignment="1">
      <alignment horizontal="left" vertical="center" wrapText="1"/>
    </xf>
    <xf numFmtId="3" fontId="8" fillId="2" borderId="56" xfId="1" applyNumberFormat="1" applyFont="1" applyFill="1" applyBorder="1" applyAlignment="1">
      <alignment horizontal="center" vertical="center" wrapText="1"/>
    </xf>
    <xf numFmtId="3" fontId="12" fillId="2" borderId="23" xfId="4" applyNumberFormat="1" applyFont="1" applyFill="1" applyBorder="1" applyAlignment="1">
      <alignment horizontal="center" vertical="center" wrapText="1"/>
    </xf>
    <xf numFmtId="3" fontId="9" fillId="2" borderId="23" xfId="3" applyNumberFormat="1" applyFont="1" applyFill="1" applyBorder="1" applyAlignment="1">
      <alignment vertical="center"/>
    </xf>
    <xf numFmtId="3" fontId="8" fillId="2" borderId="69" xfId="1" applyNumberFormat="1" applyFont="1" applyFill="1" applyBorder="1" applyAlignment="1">
      <alignment horizontal="center" vertical="center" wrapText="1"/>
    </xf>
    <xf numFmtId="3" fontId="8" fillId="2" borderId="70" xfId="1" applyNumberFormat="1" applyFont="1" applyFill="1" applyBorder="1" applyAlignment="1">
      <alignment horizontal="center" vertical="center" wrapText="1"/>
    </xf>
    <xf numFmtId="3" fontId="12" fillId="2" borderId="71" xfId="4" applyNumberFormat="1" applyFont="1" applyFill="1" applyBorder="1" applyAlignment="1">
      <alignment horizontal="center" vertical="center" wrapText="1"/>
    </xf>
    <xf numFmtId="3" fontId="12" fillId="2" borderId="68" xfId="4" applyNumberFormat="1" applyFont="1" applyFill="1" applyBorder="1" applyAlignment="1">
      <alignment horizontal="center" vertical="center" wrapText="1"/>
    </xf>
    <xf numFmtId="3" fontId="9" fillId="2" borderId="68" xfId="3" applyNumberFormat="1" applyFont="1" applyFill="1" applyBorder="1" applyAlignment="1">
      <alignment vertical="center" wrapText="1"/>
    </xf>
    <xf numFmtId="3" fontId="9" fillId="2" borderId="72" xfId="3" applyNumberFormat="1" applyFont="1" applyFill="1" applyBorder="1" applyAlignment="1">
      <alignment vertical="center" wrapText="1"/>
    </xf>
    <xf numFmtId="3" fontId="5" fillId="0" borderId="46" xfId="3" applyNumberFormat="1" applyFont="1" applyBorder="1" applyAlignment="1">
      <alignment horizontal="center" vertical="center"/>
    </xf>
    <xf numFmtId="3" fontId="5" fillId="0" borderId="24" xfId="3" applyNumberFormat="1" applyFont="1" applyBorder="1" applyAlignment="1">
      <alignment horizontal="center" vertical="center"/>
    </xf>
    <xf numFmtId="3" fontId="5" fillId="0" borderId="26" xfId="3" applyNumberFormat="1" applyFont="1" applyBorder="1" applyAlignment="1">
      <alignment horizontal="center" wrapText="1"/>
    </xf>
    <xf numFmtId="3" fontId="5" fillId="0" borderId="27" xfId="3" applyNumberFormat="1" applyFont="1" applyBorder="1" applyAlignment="1">
      <alignment horizontal="center" wrapText="1"/>
    </xf>
    <xf numFmtId="3" fontId="8" fillId="2" borderId="73" xfId="1" applyNumberFormat="1" applyFont="1" applyFill="1" applyBorder="1" applyAlignment="1">
      <alignment horizontal="center" vertical="center" wrapText="1"/>
    </xf>
    <xf numFmtId="3" fontId="8" fillId="2" borderId="3" xfId="1" applyNumberFormat="1" applyFont="1" applyFill="1" applyBorder="1" applyAlignment="1">
      <alignment horizontal="center" vertical="center" wrapText="1"/>
    </xf>
    <xf numFmtId="3" fontId="8" fillId="2" borderId="4" xfId="1" applyNumberFormat="1" applyFont="1" applyFill="1" applyBorder="1" applyAlignment="1">
      <alignment horizontal="center" vertical="center" wrapText="1"/>
    </xf>
    <xf numFmtId="3" fontId="6" fillId="0" borderId="20" xfId="5" applyNumberFormat="1" applyFont="1" applyBorder="1" applyAlignment="1">
      <alignment horizontal="left" vertical="center" wrapText="1"/>
    </xf>
    <xf numFmtId="3" fontId="6" fillId="0" borderId="21" xfId="5" applyNumberFormat="1" applyFont="1" applyBorder="1" applyAlignment="1">
      <alignment horizontal="left" vertical="center" wrapText="1"/>
    </xf>
    <xf numFmtId="3" fontId="6" fillId="0" borderId="22" xfId="5" applyNumberFormat="1" applyFont="1" applyBorder="1" applyAlignment="1">
      <alignment horizontal="left" vertical="center" wrapText="1"/>
    </xf>
    <xf numFmtId="3" fontId="1" fillId="0" borderId="0" xfId="5" applyNumberFormat="1" applyFont="1" applyAlignment="1">
      <alignment horizontal="center" vertical="center" wrapText="1"/>
    </xf>
    <xf numFmtId="3" fontId="10" fillId="0" borderId="5" xfId="5" applyNumberFormat="1" applyFont="1" applyBorder="1" applyAlignment="1">
      <alignment horizontal="center" vertical="center" wrapText="1"/>
    </xf>
    <xf numFmtId="3" fontId="6" fillId="0" borderId="23" xfId="5" applyNumberFormat="1" applyFont="1" applyBorder="1" applyAlignment="1">
      <alignment horizontal="center" vertical="center" wrapText="1"/>
    </xf>
    <xf numFmtId="3" fontId="6" fillId="0" borderId="3" xfId="5" applyNumberFormat="1" applyFont="1" applyBorder="1" applyAlignment="1">
      <alignment horizontal="center" vertical="center" wrapText="1"/>
    </xf>
    <xf numFmtId="3" fontId="6" fillId="0" borderId="56" xfId="5" applyNumberFormat="1" applyFont="1" applyBorder="1" applyAlignment="1">
      <alignment horizontal="center" vertical="center" wrapText="1"/>
    </xf>
    <xf numFmtId="3" fontId="7" fillId="2" borderId="19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Border="1" applyAlignment="1">
      <alignment horizontal="center" vertical="center" wrapText="1"/>
    </xf>
    <xf numFmtId="3" fontId="10" fillId="0" borderId="75" xfId="5" applyNumberFormat="1" applyFont="1" applyBorder="1" applyAlignment="1">
      <alignment horizontal="center" vertical="center" wrapText="1"/>
    </xf>
    <xf numFmtId="3" fontId="7" fillId="2" borderId="25" xfId="1" applyNumberFormat="1" applyFont="1" applyFill="1" applyBorder="1" applyAlignment="1">
      <alignment horizontal="center" vertical="center" wrapText="1"/>
    </xf>
    <xf numFmtId="3" fontId="7" fillId="2" borderId="83" xfId="1" applyNumberFormat="1" applyFont="1" applyFill="1" applyBorder="1" applyAlignment="1">
      <alignment horizontal="center" vertical="center" wrapText="1"/>
    </xf>
    <xf numFmtId="3" fontId="6" fillId="0" borderId="25" xfId="5" applyNumberFormat="1" applyFont="1" applyBorder="1" applyAlignment="1">
      <alignment horizontal="center" vertical="center" wrapText="1"/>
    </xf>
    <xf numFmtId="3" fontId="6" fillId="0" borderId="26" xfId="5" applyNumberFormat="1" applyFont="1" applyBorder="1" applyAlignment="1">
      <alignment horizontal="center" vertical="center" wrapText="1"/>
    </xf>
    <xf numFmtId="3" fontId="6" fillId="0" borderId="74" xfId="5" applyNumberFormat="1" applyFont="1" applyBorder="1" applyAlignment="1">
      <alignment horizontal="center" vertical="center" wrapText="1"/>
    </xf>
    <xf numFmtId="3" fontId="5" fillId="0" borderId="26" xfId="5" applyNumberFormat="1" applyFont="1" applyBorder="1" applyAlignment="1">
      <alignment horizontal="center"/>
    </xf>
    <xf numFmtId="3" fontId="5" fillId="0" borderId="80" xfId="5" applyNumberFormat="1" applyFont="1" applyBorder="1" applyAlignment="1">
      <alignment horizontal="center" vertical="center"/>
    </xf>
    <xf numFmtId="3" fontId="5" fillId="0" borderId="81" xfId="5" applyNumberFormat="1" applyFont="1" applyBorder="1" applyAlignment="1">
      <alignment horizontal="center" vertical="center"/>
    </xf>
  </cellXfs>
  <cellStyles count="6">
    <cellStyle name="Normální" xfId="0" builtinId="0"/>
    <cellStyle name="Normální 11" xfId="3" xr:uid="{D9EAD43A-DDB1-481F-B70F-6498166047AA}"/>
    <cellStyle name="Normální 11 2" xfId="5" xr:uid="{F5D6512D-CB6F-4FDA-97F6-43102EFA4CD6}"/>
    <cellStyle name="Normální 2 2" xfId="1" xr:uid="{2FD7E0ED-A6F3-4323-BD8D-0DE1FB05DE6C}"/>
    <cellStyle name="Normální 3 2" xfId="2" xr:uid="{1546D617-F3ED-4C02-B632-C84EE5B4B4B2}"/>
    <cellStyle name="Normální 3 2 2" xfId="4" xr:uid="{CD781F6E-A9C3-40C0-97AA-FF3CC59E685D}"/>
  </cellStyles>
  <dxfs count="1254"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00B050"/>
          </stop>
        </gradient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N2\USNiUCheckin$\Users\stankova2598\AppData\Local\Microsoft\Windows\INetCache\Content.Outlook\P53HJRV8\ORJ14_P&#345;ehled%20projekt&#367;%202014-2020_n&#225;vrh%202020_nov&#25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ýdaje dle STAVU"/>
      <sheetName val="Výdaje podle odvětví"/>
      <sheetName val="Příjmy podle odvětví"/>
      <sheetName val="ZÁLOHOVÉ PROJEKTY"/>
      <sheetName val="rozhodnutí"/>
      <sheetName val="rekapitulace"/>
      <sheetName val="Projekty P.O."/>
      <sheetName val="Udržitelnost podle odvětví"/>
      <sheetName val="List1"/>
      <sheetName val="neinvestiční projekty"/>
      <sheetName val="usnesení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58906-AF4F-481D-A206-830E262E1EF2}">
  <sheetPr>
    <tabColor rgb="FF92D050"/>
    <pageSetUpPr fitToPage="1"/>
  </sheetPr>
  <dimension ref="A1:G62"/>
  <sheetViews>
    <sheetView view="pageBreakPreview" topLeftCell="A2" zoomScaleNormal="100" zoomScaleSheetLayoutView="100" workbookViewId="0">
      <pane ySplit="3" topLeftCell="A41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7" s="1" customFormat="1" ht="23.25" customHeight="1" x14ac:dyDescent="0.25">
      <c r="A1" s="294" t="s">
        <v>0</v>
      </c>
      <c r="B1" s="295"/>
      <c r="C1" s="295"/>
      <c r="D1" s="295"/>
      <c r="E1" s="295"/>
      <c r="F1" s="295"/>
    </row>
    <row r="2" spans="1:7" ht="13.5" thickBot="1" x14ac:dyDescent="0.25">
      <c r="A2" s="2"/>
      <c r="B2" s="2"/>
      <c r="C2" s="2"/>
      <c r="D2" s="2"/>
      <c r="E2" s="2"/>
      <c r="F2" s="3" t="s">
        <v>1</v>
      </c>
    </row>
    <row r="3" spans="1:7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7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7" s="6" customFormat="1" ht="21" customHeight="1" x14ac:dyDescent="0.25">
      <c r="A5" s="301" t="s">
        <v>5</v>
      </c>
      <c r="B5" s="302"/>
      <c r="C5" s="302"/>
      <c r="D5" s="302"/>
      <c r="E5" s="303"/>
      <c r="F5" s="304"/>
    </row>
    <row r="6" spans="1:7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7" s="9" customFormat="1" ht="15" customHeight="1" x14ac:dyDescent="0.25">
      <c r="A7" s="7" t="s">
        <v>7</v>
      </c>
      <c r="B7" s="28">
        <v>74216</v>
      </c>
      <c r="C7" s="28">
        <v>45300</v>
      </c>
      <c r="D7" s="28">
        <v>61744</v>
      </c>
      <c r="E7" s="28">
        <v>0</v>
      </c>
      <c r="F7" s="8">
        <f>SUM(B7:E7)</f>
        <v>181260</v>
      </c>
    </row>
    <row r="8" spans="1:7" s="9" customFormat="1" ht="21" x14ac:dyDescent="0.25">
      <c r="A8" s="7" t="s">
        <v>8</v>
      </c>
      <c r="B8" s="28">
        <v>35734</v>
      </c>
      <c r="C8" s="28">
        <v>25770</v>
      </c>
      <c r="D8" s="28">
        <v>0</v>
      </c>
      <c r="E8" s="28">
        <v>0</v>
      </c>
      <c r="F8" s="8">
        <f>SUM(B8:E8)</f>
        <v>61504</v>
      </c>
    </row>
    <row r="9" spans="1:7" s="6" customFormat="1" ht="15" customHeight="1" x14ac:dyDescent="0.25">
      <c r="A9" s="10" t="s">
        <v>9</v>
      </c>
      <c r="B9" s="11">
        <f t="shared" ref="B9:F9" si="0">SUM(B7:B8)</f>
        <v>109950</v>
      </c>
      <c r="C9" s="11">
        <f t="shared" si="0"/>
        <v>71070</v>
      </c>
      <c r="D9" s="11">
        <f t="shared" si="0"/>
        <v>61744</v>
      </c>
      <c r="E9" s="11">
        <f t="shared" si="0"/>
        <v>0</v>
      </c>
      <c r="F9" s="12">
        <f t="shared" si="0"/>
        <v>242764</v>
      </c>
    </row>
    <row r="10" spans="1:7" s="13" customFormat="1" ht="18" customHeight="1" x14ac:dyDescent="0.25">
      <c r="A10" s="305" t="s">
        <v>10</v>
      </c>
      <c r="B10" s="306"/>
      <c r="C10" s="306"/>
      <c r="D10" s="306"/>
      <c r="E10" s="306"/>
      <c r="F10" s="307"/>
    </row>
    <row r="11" spans="1:7" s="9" customFormat="1" ht="15" customHeight="1" x14ac:dyDescent="0.25">
      <c r="A11" s="33" t="s">
        <v>11</v>
      </c>
      <c r="B11" s="34">
        <v>0</v>
      </c>
      <c r="C11" s="34">
        <v>15000</v>
      </c>
      <c r="D11" s="34">
        <v>20915</v>
      </c>
      <c r="E11" s="34">
        <v>0</v>
      </c>
      <c r="F11" s="8">
        <f>SUM(B11:E11)</f>
        <v>35915</v>
      </c>
      <c r="G11" s="9" t="s">
        <v>12</v>
      </c>
    </row>
    <row r="12" spans="1:7" s="6" customFormat="1" ht="15" customHeight="1" thickBot="1" x14ac:dyDescent="0.3">
      <c r="A12" s="10" t="s">
        <v>13</v>
      </c>
      <c r="B12" s="11">
        <f t="shared" ref="B12:F12" si="1">SUM(B11:B11)</f>
        <v>0</v>
      </c>
      <c r="C12" s="11">
        <f t="shared" si="1"/>
        <v>15000</v>
      </c>
      <c r="D12" s="11">
        <f t="shared" si="1"/>
        <v>20915</v>
      </c>
      <c r="E12" s="11">
        <f t="shared" si="1"/>
        <v>0</v>
      </c>
      <c r="F12" s="12">
        <f t="shared" si="1"/>
        <v>35915</v>
      </c>
    </row>
    <row r="13" spans="1:7" s="6" customFormat="1" ht="25.5" customHeight="1" thickBot="1" x14ac:dyDescent="0.3">
      <c r="A13" s="14" t="s">
        <v>14</v>
      </c>
      <c r="B13" s="15">
        <f t="shared" ref="B13:F13" si="2">B9+B12</f>
        <v>109950</v>
      </c>
      <c r="C13" s="15">
        <f t="shared" si="2"/>
        <v>86070</v>
      </c>
      <c r="D13" s="15">
        <f t="shared" si="2"/>
        <v>82659</v>
      </c>
      <c r="E13" s="15">
        <f t="shared" si="2"/>
        <v>0</v>
      </c>
      <c r="F13" s="16">
        <f t="shared" si="2"/>
        <v>278679</v>
      </c>
    </row>
    <row r="14" spans="1:7" s="6" customFormat="1" ht="24" customHeight="1" thickBot="1" x14ac:dyDescent="0.3">
      <c r="A14" s="17"/>
      <c r="B14" s="38"/>
      <c r="C14" s="38"/>
      <c r="D14" s="38"/>
      <c r="E14" s="38"/>
      <c r="F14" s="29"/>
    </row>
    <row r="15" spans="1:7" s="6" customFormat="1" ht="21" customHeight="1" x14ac:dyDescent="0.25">
      <c r="A15" s="301" t="s">
        <v>15</v>
      </c>
      <c r="B15" s="302"/>
      <c r="C15" s="302"/>
      <c r="D15" s="302"/>
      <c r="E15" s="303"/>
      <c r="F15" s="304"/>
    </row>
    <row r="16" spans="1:7" ht="18" customHeight="1" x14ac:dyDescent="0.2">
      <c r="A16" s="305" t="s">
        <v>16</v>
      </c>
      <c r="B16" s="306"/>
      <c r="C16" s="306"/>
      <c r="D16" s="306"/>
      <c r="E16" s="306"/>
      <c r="F16" s="307"/>
    </row>
    <row r="17" spans="1:7" s="13" customFormat="1" ht="15" customHeight="1" x14ac:dyDescent="0.25">
      <c r="A17" s="19" t="s">
        <v>17</v>
      </c>
      <c r="B17" s="20">
        <v>1800</v>
      </c>
      <c r="C17" s="20">
        <v>130000</v>
      </c>
      <c r="D17" s="20">
        <v>0</v>
      </c>
      <c r="E17" s="20">
        <v>0</v>
      </c>
      <c r="F17" s="8">
        <f t="shared" ref="F17:F18" si="3">SUM(B17:E17)</f>
        <v>131800</v>
      </c>
      <c r="G17" s="32"/>
    </row>
    <row r="18" spans="1:7" s="13" customFormat="1" ht="24" customHeight="1" x14ac:dyDescent="0.25">
      <c r="A18" s="19" t="s">
        <v>18</v>
      </c>
      <c r="B18" s="20">
        <v>50000</v>
      </c>
      <c r="C18" s="20">
        <v>76000</v>
      </c>
      <c r="D18" s="20">
        <v>0</v>
      </c>
      <c r="E18" s="20">
        <v>0</v>
      </c>
      <c r="F18" s="8">
        <f t="shared" si="3"/>
        <v>126000</v>
      </c>
      <c r="G18" s="32"/>
    </row>
    <row r="19" spans="1:7" s="6" customFormat="1" ht="15" customHeight="1" x14ac:dyDescent="0.25">
      <c r="A19" s="10" t="s">
        <v>19</v>
      </c>
      <c r="B19" s="11">
        <f t="shared" ref="B19:F19" si="4">SUM(B17:B18)</f>
        <v>51800</v>
      </c>
      <c r="C19" s="11">
        <f t="shared" si="4"/>
        <v>206000</v>
      </c>
      <c r="D19" s="11">
        <f t="shared" si="4"/>
        <v>0</v>
      </c>
      <c r="E19" s="11">
        <f t="shared" si="4"/>
        <v>0</v>
      </c>
      <c r="F19" s="12">
        <f t="shared" si="4"/>
        <v>257800</v>
      </c>
    </row>
    <row r="20" spans="1:7" s="13" customFormat="1" ht="18" customHeight="1" x14ac:dyDescent="0.25">
      <c r="A20" s="308" t="s">
        <v>20</v>
      </c>
      <c r="B20" s="309"/>
      <c r="C20" s="309"/>
      <c r="D20" s="309"/>
      <c r="E20" s="309"/>
      <c r="F20" s="310"/>
    </row>
    <row r="21" spans="1:7" s="13" customFormat="1" ht="24" customHeight="1" x14ac:dyDescent="0.25">
      <c r="A21" s="21" t="s">
        <v>21</v>
      </c>
      <c r="B21" s="22">
        <v>17174</v>
      </c>
      <c r="C21" s="22">
        <v>50000</v>
      </c>
      <c r="D21" s="22">
        <v>50000</v>
      </c>
      <c r="E21" s="22">
        <v>382334</v>
      </c>
      <c r="F21" s="8">
        <f t="shared" ref="F21:F25" si="5">SUM(B21:E21)</f>
        <v>499508</v>
      </c>
      <c r="G21" s="32"/>
    </row>
    <row r="22" spans="1:7" s="13" customFormat="1" ht="24" customHeight="1" x14ac:dyDescent="0.25">
      <c r="A22" s="21" t="s">
        <v>22</v>
      </c>
      <c r="B22" s="20">
        <v>2760</v>
      </c>
      <c r="C22" s="20">
        <v>9940</v>
      </c>
      <c r="D22" s="20">
        <v>60448</v>
      </c>
      <c r="E22" s="20">
        <v>220000</v>
      </c>
      <c r="F22" s="8">
        <f t="shared" si="5"/>
        <v>293148</v>
      </c>
      <c r="G22" s="32"/>
    </row>
    <row r="23" spans="1:7" s="13" customFormat="1" ht="24" customHeight="1" x14ac:dyDescent="0.25">
      <c r="A23" s="21" t="s">
        <v>23</v>
      </c>
      <c r="B23" s="20">
        <v>35215</v>
      </c>
      <c r="C23" s="20">
        <v>0</v>
      </c>
      <c r="D23" s="20">
        <v>0</v>
      </c>
      <c r="E23" s="20">
        <v>0</v>
      </c>
      <c r="F23" s="8">
        <f t="shared" si="5"/>
        <v>35215</v>
      </c>
    </row>
    <row r="24" spans="1:7" s="13" customFormat="1" ht="24" customHeight="1" x14ac:dyDescent="0.25">
      <c r="A24" s="21" t="s">
        <v>24</v>
      </c>
      <c r="B24" s="20">
        <v>45000</v>
      </c>
      <c r="C24" s="20">
        <v>50000</v>
      </c>
      <c r="D24" s="20">
        <v>0</v>
      </c>
      <c r="E24" s="20">
        <v>0</v>
      </c>
      <c r="F24" s="8">
        <f t="shared" si="5"/>
        <v>95000</v>
      </c>
      <c r="G24" s="32"/>
    </row>
    <row r="25" spans="1:7" s="13" customFormat="1" ht="24" customHeight="1" x14ac:dyDescent="0.25">
      <c r="A25" s="30" t="s">
        <v>25</v>
      </c>
      <c r="B25" s="31">
        <v>0</v>
      </c>
      <c r="C25" s="31">
        <v>0</v>
      </c>
      <c r="D25" s="31">
        <v>30000</v>
      </c>
      <c r="E25" s="31">
        <v>65000</v>
      </c>
      <c r="F25" s="8">
        <f t="shared" si="5"/>
        <v>95000</v>
      </c>
      <c r="G25" s="32" t="s">
        <v>26</v>
      </c>
    </row>
    <row r="26" spans="1:7" s="6" customFormat="1" ht="15" customHeight="1" x14ac:dyDescent="0.25">
      <c r="A26" s="10" t="s">
        <v>27</v>
      </c>
      <c r="B26" s="11">
        <f t="shared" ref="B26:E26" si="6">SUM(B21:B25)</f>
        <v>100149</v>
      </c>
      <c r="C26" s="11">
        <f t="shared" si="6"/>
        <v>109940</v>
      </c>
      <c r="D26" s="11">
        <f t="shared" si="6"/>
        <v>140448</v>
      </c>
      <c r="E26" s="11">
        <f t="shared" si="6"/>
        <v>667334</v>
      </c>
      <c r="F26" s="12">
        <f>SUM(F21:F25)</f>
        <v>1017871</v>
      </c>
    </row>
    <row r="27" spans="1:7" s="13" customFormat="1" ht="18" customHeight="1" x14ac:dyDescent="0.25">
      <c r="A27" s="308" t="s">
        <v>6</v>
      </c>
      <c r="B27" s="309"/>
      <c r="C27" s="309"/>
      <c r="D27" s="309"/>
      <c r="E27" s="309"/>
      <c r="F27" s="310"/>
    </row>
    <row r="28" spans="1:7" s="13" customFormat="1" ht="15" customHeight="1" x14ac:dyDescent="0.25">
      <c r="A28" s="21" t="s">
        <v>28</v>
      </c>
      <c r="B28" s="22">
        <v>10000</v>
      </c>
      <c r="C28" s="22">
        <v>0</v>
      </c>
      <c r="D28" s="22">
        <v>0</v>
      </c>
      <c r="E28" s="22">
        <v>0</v>
      </c>
      <c r="F28" s="8">
        <f t="shared" ref="F28:F31" si="7">SUM(B28:E28)</f>
        <v>10000</v>
      </c>
    </row>
    <row r="29" spans="1:7" s="13" customFormat="1" ht="24" customHeight="1" x14ac:dyDescent="0.25">
      <c r="A29" s="19" t="s">
        <v>29</v>
      </c>
      <c r="B29" s="20">
        <v>30452</v>
      </c>
      <c r="C29" s="20">
        <v>62206</v>
      </c>
      <c r="D29" s="20">
        <v>25698</v>
      </c>
      <c r="E29" s="20">
        <v>0</v>
      </c>
      <c r="F29" s="8">
        <f t="shared" si="7"/>
        <v>118356</v>
      </c>
      <c r="G29" s="32"/>
    </row>
    <row r="30" spans="1:7" s="13" customFormat="1" ht="15" customHeight="1" x14ac:dyDescent="0.25">
      <c r="A30" s="23" t="s">
        <v>30</v>
      </c>
      <c r="B30" s="20">
        <f>60500+68500</f>
        <v>129000</v>
      </c>
      <c r="C30" s="20">
        <v>166000</v>
      </c>
      <c r="D30" s="20">
        <v>0</v>
      </c>
      <c r="E30" s="20">
        <v>0</v>
      </c>
      <c r="F30" s="8">
        <f t="shared" si="7"/>
        <v>295000</v>
      </c>
      <c r="G30" s="32"/>
    </row>
    <row r="31" spans="1:7" s="13" customFormat="1" ht="24" customHeight="1" x14ac:dyDescent="0.25">
      <c r="A31" s="36" t="s">
        <v>31</v>
      </c>
      <c r="B31" s="37">
        <v>7800</v>
      </c>
      <c r="C31" s="37">
        <v>5700</v>
      </c>
      <c r="D31" s="37">
        <v>0</v>
      </c>
      <c r="E31" s="37">
        <v>0</v>
      </c>
      <c r="F31" s="8">
        <f t="shared" si="7"/>
        <v>13500</v>
      </c>
      <c r="G31" s="32"/>
    </row>
    <row r="32" spans="1:7" s="6" customFormat="1" ht="15" customHeight="1" x14ac:dyDescent="0.25">
      <c r="A32" s="10" t="s">
        <v>9</v>
      </c>
      <c r="B32" s="11">
        <f t="shared" ref="B32:F32" si="8">SUM(B28:B31)</f>
        <v>177252</v>
      </c>
      <c r="C32" s="11">
        <f t="shared" si="8"/>
        <v>233906</v>
      </c>
      <c r="D32" s="11">
        <f t="shared" si="8"/>
        <v>25698</v>
      </c>
      <c r="E32" s="11">
        <f t="shared" si="8"/>
        <v>0</v>
      </c>
      <c r="F32" s="12">
        <f t="shared" si="8"/>
        <v>436856</v>
      </c>
    </row>
    <row r="33" spans="1:7" s="13" customFormat="1" ht="18" customHeight="1" x14ac:dyDescent="0.25">
      <c r="A33" s="308" t="s">
        <v>32</v>
      </c>
      <c r="B33" s="309"/>
      <c r="C33" s="309"/>
      <c r="D33" s="309"/>
      <c r="E33" s="309"/>
      <c r="F33" s="310"/>
    </row>
    <row r="34" spans="1:7" s="13" customFormat="1" ht="24" customHeight="1" x14ac:dyDescent="0.25">
      <c r="A34" s="21" t="s">
        <v>33</v>
      </c>
      <c r="B34" s="20">
        <v>15000</v>
      </c>
      <c r="C34" s="20">
        <v>15000</v>
      </c>
      <c r="D34" s="20">
        <v>0</v>
      </c>
      <c r="E34" s="20">
        <v>0</v>
      </c>
      <c r="F34" s="8">
        <f t="shared" ref="F34:F47" si="9">SUM(B34:E34)</f>
        <v>30000</v>
      </c>
      <c r="G34" s="32"/>
    </row>
    <row r="35" spans="1:7" s="13" customFormat="1" ht="24" customHeight="1" x14ac:dyDescent="0.25">
      <c r="A35" s="21" t="s">
        <v>34</v>
      </c>
      <c r="B35" s="20">
        <v>5500</v>
      </c>
      <c r="C35" s="20">
        <v>25000</v>
      </c>
      <c r="D35" s="20">
        <v>0</v>
      </c>
      <c r="E35" s="20">
        <v>0</v>
      </c>
      <c r="F35" s="8">
        <f t="shared" si="9"/>
        <v>30500</v>
      </c>
      <c r="G35" s="32"/>
    </row>
    <row r="36" spans="1:7" s="13" customFormat="1" ht="24" customHeight="1" x14ac:dyDescent="0.25">
      <c r="A36" s="21" t="s">
        <v>35</v>
      </c>
      <c r="B36" s="20">
        <v>52090</v>
      </c>
      <c r="C36" s="20">
        <v>0</v>
      </c>
      <c r="D36" s="20">
        <v>0</v>
      </c>
      <c r="E36" s="20">
        <v>0</v>
      </c>
      <c r="F36" s="8">
        <f t="shared" si="9"/>
        <v>52090</v>
      </c>
    </row>
    <row r="37" spans="1:7" s="13" customFormat="1" ht="31.5" x14ac:dyDescent="0.25">
      <c r="A37" s="21" t="s">
        <v>36</v>
      </c>
      <c r="B37" s="44">
        <v>31098</v>
      </c>
      <c r="C37" s="44">
        <v>19500</v>
      </c>
      <c r="D37" s="44">
        <v>0</v>
      </c>
      <c r="E37" s="20">
        <v>0</v>
      </c>
      <c r="F37" s="8">
        <f t="shared" si="9"/>
        <v>50598</v>
      </c>
      <c r="G37" s="32"/>
    </row>
    <row r="38" spans="1:7" s="13" customFormat="1" ht="31.5" x14ac:dyDescent="0.25">
      <c r="A38" s="21" t="s">
        <v>37</v>
      </c>
      <c r="B38" s="20">
        <v>5500</v>
      </c>
      <c r="C38" s="20">
        <v>0</v>
      </c>
      <c r="D38" s="20">
        <v>0</v>
      </c>
      <c r="E38" s="20">
        <v>0</v>
      </c>
      <c r="F38" s="8">
        <f t="shared" si="9"/>
        <v>5500</v>
      </c>
    </row>
    <row r="39" spans="1:7" s="13" customFormat="1" ht="24" customHeight="1" x14ac:dyDescent="0.25">
      <c r="A39" s="21" t="s">
        <v>38</v>
      </c>
      <c r="B39" s="20">
        <v>62571</v>
      </c>
      <c r="C39" s="20">
        <v>113428</v>
      </c>
      <c r="D39" s="20">
        <v>0</v>
      </c>
      <c r="E39" s="20">
        <v>0</v>
      </c>
      <c r="F39" s="8">
        <f t="shared" si="9"/>
        <v>175999</v>
      </c>
      <c r="G39" s="32"/>
    </row>
    <row r="40" spans="1:7" s="13" customFormat="1" ht="24" customHeight="1" x14ac:dyDescent="0.25">
      <c r="A40" s="21" t="s">
        <v>39</v>
      </c>
      <c r="B40" s="20">
        <v>51000</v>
      </c>
      <c r="C40" s="20">
        <v>0</v>
      </c>
      <c r="D40" s="20">
        <v>0</v>
      </c>
      <c r="E40" s="20">
        <v>0</v>
      </c>
      <c r="F40" s="8">
        <f t="shared" si="9"/>
        <v>51000</v>
      </c>
    </row>
    <row r="41" spans="1:7" s="13" customFormat="1" ht="24" customHeight="1" x14ac:dyDescent="0.25">
      <c r="A41" s="21" t="s">
        <v>40</v>
      </c>
      <c r="B41" s="20">
        <v>15000</v>
      </c>
      <c r="C41" s="20">
        <v>0</v>
      </c>
      <c r="D41" s="20">
        <v>0</v>
      </c>
      <c r="E41" s="20">
        <v>0</v>
      </c>
      <c r="F41" s="8">
        <f t="shared" si="9"/>
        <v>15000</v>
      </c>
    </row>
    <row r="42" spans="1:7" s="13" customFormat="1" ht="34.5" customHeight="1" x14ac:dyDescent="0.25">
      <c r="A42" s="21" t="s">
        <v>41</v>
      </c>
      <c r="B42" s="20">
        <v>38000</v>
      </c>
      <c r="C42" s="20">
        <v>0</v>
      </c>
      <c r="D42" s="20">
        <v>0</v>
      </c>
      <c r="E42" s="20">
        <v>0</v>
      </c>
      <c r="F42" s="8">
        <f t="shared" si="9"/>
        <v>38000</v>
      </c>
    </row>
    <row r="43" spans="1:7" s="13" customFormat="1" ht="24" customHeight="1" x14ac:dyDescent="0.25">
      <c r="A43" s="21" t="s">
        <v>42</v>
      </c>
      <c r="B43" s="20">
        <v>22700</v>
      </c>
      <c r="C43" s="20">
        <v>500</v>
      </c>
      <c r="D43" s="20">
        <v>0</v>
      </c>
      <c r="E43" s="20">
        <v>0</v>
      </c>
      <c r="F43" s="8">
        <f t="shared" si="9"/>
        <v>23200</v>
      </c>
      <c r="G43" s="32"/>
    </row>
    <row r="44" spans="1:7" s="13" customFormat="1" ht="24" customHeight="1" x14ac:dyDescent="0.25">
      <c r="A44" s="21" t="s">
        <v>43</v>
      </c>
      <c r="B44" s="20">
        <v>30200</v>
      </c>
      <c r="C44" s="20">
        <v>0</v>
      </c>
      <c r="D44" s="20">
        <v>0</v>
      </c>
      <c r="E44" s="20">
        <v>0</v>
      </c>
      <c r="F44" s="8">
        <f t="shared" si="9"/>
        <v>30200</v>
      </c>
    </row>
    <row r="45" spans="1:7" s="13" customFormat="1" ht="24" customHeight="1" x14ac:dyDescent="0.25">
      <c r="A45" s="21" t="s">
        <v>44</v>
      </c>
      <c r="B45" s="44">
        <v>40000</v>
      </c>
      <c r="C45" s="44">
        <v>0</v>
      </c>
      <c r="D45" s="20">
        <v>0</v>
      </c>
      <c r="E45" s="20">
        <v>0</v>
      </c>
      <c r="F45" s="8">
        <f t="shared" si="9"/>
        <v>40000</v>
      </c>
      <c r="G45" s="32"/>
    </row>
    <row r="46" spans="1:7" s="13" customFormat="1" ht="24" customHeight="1" x14ac:dyDescent="0.25">
      <c r="A46" s="23" t="s">
        <v>45</v>
      </c>
      <c r="B46" s="20">
        <v>30000</v>
      </c>
      <c r="C46" s="20">
        <v>21139</v>
      </c>
      <c r="D46" s="20">
        <v>0</v>
      </c>
      <c r="E46" s="20">
        <v>0</v>
      </c>
      <c r="F46" s="8">
        <f t="shared" si="9"/>
        <v>51139</v>
      </c>
      <c r="G46" s="32"/>
    </row>
    <row r="47" spans="1:7" s="13" customFormat="1" ht="24" customHeight="1" x14ac:dyDescent="0.25">
      <c r="A47" s="21" t="s">
        <v>46</v>
      </c>
      <c r="B47" s="20">
        <v>6200</v>
      </c>
      <c r="C47" s="20">
        <v>0</v>
      </c>
      <c r="D47" s="20">
        <v>0</v>
      </c>
      <c r="E47" s="20">
        <v>0</v>
      </c>
      <c r="F47" s="8">
        <f t="shared" si="9"/>
        <v>6200</v>
      </c>
    </row>
    <row r="48" spans="1:7" s="6" customFormat="1" ht="15" customHeight="1" x14ac:dyDescent="0.25">
      <c r="A48" s="10" t="s">
        <v>47</v>
      </c>
      <c r="B48" s="11">
        <f t="shared" ref="B48:F48" si="10">SUM(B34:B47)</f>
        <v>404859</v>
      </c>
      <c r="C48" s="11">
        <f t="shared" si="10"/>
        <v>194567</v>
      </c>
      <c r="D48" s="11">
        <f t="shared" si="10"/>
        <v>0</v>
      </c>
      <c r="E48" s="11">
        <f t="shared" si="10"/>
        <v>0</v>
      </c>
      <c r="F48" s="12">
        <f t="shared" si="10"/>
        <v>599426</v>
      </c>
    </row>
    <row r="49" spans="1:7" s="13" customFormat="1" ht="18" customHeight="1" x14ac:dyDescent="0.25">
      <c r="A49" s="308" t="s">
        <v>48</v>
      </c>
      <c r="B49" s="309"/>
      <c r="C49" s="309"/>
      <c r="D49" s="309"/>
      <c r="E49" s="309"/>
      <c r="F49" s="310"/>
    </row>
    <row r="50" spans="1:7" s="13" customFormat="1" ht="24" customHeight="1" x14ac:dyDescent="0.25">
      <c r="A50" s="21" t="s">
        <v>49</v>
      </c>
      <c r="B50" s="24">
        <v>41000</v>
      </c>
      <c r="C50" s="24">
        <v>0</v>
      </c>
      <c r="D50" s="24">
        <v>0</v>
      </c>
      <c r="E50" s="24">
        <v>0</v>
      </c>
      <c r="F50" s="8">
        <f t="shared" ref="F50:F53" si="11">SUM(B50:E50)</f>
        <v>41000</v>
      </c>
    </row>
    <row r="51" spans="1:7" s="13" customFormat="1" ht="24" customHeight="1" x14ac:dyDescent="0.25">
      <c r="A51" s="21" t="s">
        <v>50</v>
      </c>
      <c r="B51" s="20">
        <v>115000</v>
      </c>
      <c r="C51" s="20">
        <v>69416</v>
      </c>
      <c r="D51" s="20">
        <v>0</v>
      </c>
      <c r="E51" s="20">
        <v>0</v>
      </c>
      <c r="F51" s="8">
        <f t="shared" si="11"/>
        <v>184416</v>
      </c>
      <c r="G51" s="32"/>
    </row>
    <row r="52" spans="1:7" s="13" customFormat="1" ht="24" customHeight="1" x14ac:dyDescent="0.25">
      <c r="A52" s="21" t="s">
        <v>51</v>
      </c>
      <c r="B52" s="20">
        <v>3500</v>
      </c>
      <c r="C52" s="20">
        <v>15500</v>
      </c>
      <c r="D52" s="20">
        <v>0</v>
      </c>
      <c r="E52" s="20">
        <v>0</v>
      </c>
      <c r="F52" s="8">
        <f t="shared" si="11"/>
        <v>19000</v>
      </c>
      <c r="G52" s="32"/>
    </row>
    <row r="53" spans="1:7" s="13" customFormat="1" ht="24" customHeight="1" x14ac:dyDescent="0.25">
      <c r="A53" s="21" t="s">
        <v>52</v>
      </c>
      <c r="B53" s="20">
        <f>1000+2500</f>
        <v>3500</v>
      </c>
      <c r="C53" s="20">
        <v>30000</v>
      </c>
      <c r="D53" s="20">
        <v>0</v>
      </c>
      <c r="E53" s="20">
        <v>0</v>
      </c>
      <c r="F53" s="8">
        <f t="shared" si="11"/>
        <v>33500</v>
      </c>
      <c r="G53" s="32"/>
    </row>
    <row r="54" spans="1:7" s="6" customFormat="1" ht="15" customHeight="1" thickBot="1" x14ac:dyDescent="0.3">
      <c r="A54" s="10" t="s">
        <v>53</v>
      </c>
      <c r="B54" s="11">
        <f t="shared" ref="B54:F54" si="12">SUM(B50:B53)</f>
        <v>163000</v>
      </c>
      <c r="C54" s="11">
        <f t="shared" si="12"/>
        <v>114916</v>
      </c>
      <c r="D54" s="11">
        <f t="shared" si="12"/>
        <v>0</v>
      </c>
      <c r="E54" s="11">
        <f t="shared" si="12"/>
        <v>0</v>
      </c>
      <c r="F54" s="12">
        <f t="shared" si="12"/>
        <v>277916</v>
      </c>
    </row>
    <row r="55" spans="1:7" s="6" customFormat="1" ht="25.5" customHeight="1" thickBot="1" x14ac:dyDescent="0.3">
      <c r="A55" s="14" t="s">
        <v>54</v>
      </c>
      <c r="B55" s="15">
        <f>B54+B48+B32+B26+B19</f>
        <v>897060</v>
      </c>
      <c r="C55" s="15">
        <f>C54+C48+C32+C26+C19</f>
        <v>859329</v>
      </c>
      <c r="D55" s="15">
        <f>D54+D48+D32+D26+D19</f>
        <v>166146</v>
      </c>
      <c r="E55" s="15">
        <f>E54+E48+E32+E26+E19</f>
        <v>667334</v>
      </c>
      <c r="F55" s="16">
        <f>F54+F48+F32+F26+F19</f>
        <v>2589869</v>
      </c>
    </row>
    <row r="56" spans="1:7" s="6" customFormat="1" ht="13.5" thickBot="1" x14ac:dyDescent="0.3">
      <c r="A56" s="17"/>
      <c r="B56" s="38"/>
      <c r="C56" s="38"/>
      <c r="D56" s="38"/>
      <c r="E56" s="38"/>
      <c r="F56" s="18"/>
    </row>
    <row r="57" spans="1:7" s="6" customFormat="1" ht="21" customHeight="1" thickBot="1" x14ac:dyDescent="0.3">
      <c r="A57" s="14" t="s">
        <v>55</v>
      </c>
      <c r="B57" s="15">
        <f>SUM(B13,B55)</f>
        <v>1007010</v>
      </c>
      <c r="C57" s="15">
        <f t="shared" ref="C57:F57" si="13">SUM(C13,C55)</f>
        <v>945399</v>
      </c>
      <c r="D57" s="15">
        <f t="shared" si="13"/>
        <v>248805</v>
      </c>
      <c r="E57" s="15">
        <f t="shared" si="13"/>
        <v>667334</v>
      </c>
      <c r="F57" s="16">
        <f t="shared" si="13"/>
        <v>2868548</v>
      </c>
    </row>
    <row r="59" spans="1:7" x14ac:dyDescent="0.2">
      <c r="A59" s="35" t="s">
        <v>56</v>
      </c>
    </row>
    <row r="60" spans="1:7" x14ac:dyDescent="0.2">
      <c r="A60" s="35" t="s">
        <v>57</v>
      </c>
    </row>
    <row r="61" spans="1:7" x14ac:dyDescent="0.2">
      <c r="A61" s="35" t="s">
        <v>58</v>
      </c>
    </row>
    <row r="62" spans="1:7" x14ac:dyDescent="0.2">
      <c r="F62" s="2">
        <f>3000000-F57</f>
        <v>131452</v>
      </c>
    </row>
  </sheetData>
  <mergeCells count="12">
    <mergeCell ref="A49:F49"/>
    <mergeCell ref="A10:F10"/>
    <mergeCell ref="A15:F15"/>
    <mergeCell ref="A16:F16"/>
    <mergeCell ref="A20:F20"/>
    <mergeCell ref="A27:F27"/>
    <mergeCell ref="A33:F33"/>
    <mergeCell ref="A1:F1"/>
    <mergeCell ref="A3:A4"/>
    <mergeCell ref="B3:F3"/>
    <mergeCell ref="A5:F5"/>
    <mergeCell ref="A6:F6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Footer>&amp;C&amp;"Tahoma,Obyčejné"&amp;10&amp;P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A7A36-9396-4646-8D4A-7CE8C437EA12}">
  <sheetPr>
    <pageSetUpPr fitToPage="1"/>
  </sheetPr>
  <dimension ref="A1:N98"/>
  <sheetViews>
    <sheetView zoomScale="87" zoomScaleNormal="87" zoomScaleSheetLayoutView="100" workbookViewId="0">
      <pane ySplit="3" topLeftCell="A7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9" width="12.7109375" style="120" customWidth="1"/>
    <col min="10" max="10" width="15.7109375" style="120" customWidth="1"/>
    <col min="11" max="11" width="14.140625" style="120" customWidth="1"/>
    <col min="12" max="12" width="67.5703125" style="4" hidden="1" customWidth="1"/>
    <col min="13" max="13" width="9.140625" style="4"/>
    <col min="14" max="14" width="12.5703125" style="4" bestFit="1" customWidth="1"/>
    <col min="15" max="16384" width="9.140625" style="4"/>
  </cols>
  <sheetData>
    <row r="1" spans="1:12" s="1" customFormat="1" ht="23.25" customHeight="1" thickBot="1" x14ac:dyDescent="0.3">
      <c r="A1" s="294" t="s">
        <v>98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56"/>
    </row>
    <row r="2" spans="1:12" ht="24.6" customHeight="1" thickBot="1" x14ac:dyDescent="0.25">
      <c r="A2" s="325" t="s">
        <v>2</v>
      </c>
      <c r="B2" s="314" t="s">
        <v>3</v>
      </c>
      <c r="C2" s="315"/>
      <c r="D2" s="299"/>
      <c r="E2" s="299"/>
      <c r="F2" s="299"/>
      <c r="G2" s="299"/>
      <c r="H2" s="299"/>
      <c r="I2" s="299"/>
      <c r="J2" s="315"/>
      <c r="K2" s="316"/>
      <c r="L2" s="57"/>
    </row>
    <row r="3" spans="1:12" ht="24.6" customHeight="1" thickBot="1" x14ac:dyDescent="0.25">
      <c r="A3" s="326"/>
      <c r="B3" s="58">
        <v>2021</v>
      </c>
      <c r="C3" s="59" t="s">
        <v>99</v>
      </c>
      <c r="D3" s="58">
        <v>2022</v>
      </c>
      <c r="E3" s="59" t="s">
        <v>100</v>
      </c>
      <c r="F3" s="58">
        <v>2023</v>
      </c>
      <c r="G3" s="59" t="s">
        <v>101</v>
      </c>
      <c r="H3" s="58">
        <v>2024</v>
      </c>
      <c r="I3" s="59" t="s">
        <v>102</v>
      </c>
      <c r="J3" s="60" t="s">
        <v>103</v>
      </c>
      <c r="K3" s="61" t="s">
        <v>104</v>
      </c>
      <c r="L3" s="62" t="s">
        <v>105</v>
      </c>
    </row>
    <row r="4" spans="1:12" s="6" customFormat="1" ht="21" customHeight="1" x14ac:dyDescent="0.25">
      <c r="A4" s="301" t="s">
        <v>70</v>
      </c>
      <c r="B4" s="302"/>
      <c r="C4" s="302"/>
      <c r="D4" s="302"/>
      <c r="E4" s="302"/>
      <c r="F4" s="302"/>
      <c r="G4" s="302"/>
      <c r="H4" s="317"/>
      <c r="I4" s="318"/>
      <c r="J4" s="318"/>
      <c r="K4" s="319"/>
      <c r="L4" s="63"/>
    </row>
    <row r="5" spans="1:12" s="13" customFormat="1" ht="27" customHeight="1" thickBot="1" x14ac:dyDescent="0.25">
      <c r="A5" s="311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64"/>
    </row>
    <row r="6" spans="1:12" s="9" customFormat="1" ht="15" customHeight="1" x14ac:dyDescent="0.25">
      <c r="A6" s="121" t="s">
        <v>7</v>
      </c>
      <c r="B6" s="66">
        <v>46471</v>
      </c>
      <c r="C6" s="67">
        <v>28791</v>
      </c>
      <c r="D6" s="66">
        <v>66735</v>
      </c>
      <c r="E6" s="67">
        <v>68375</v>
      </c>
      <c r="F6" s="66">
        <v>64910</v>
      </c>
      <c r="G6" s="67">
        <v>60950</v>
      </c>
      <c r="H6" s="66">
        <v>0</v>
      </c>
      <c r="I6" s="67">
        <v>0</v>
      </c>
      <c r="J6" s="68">
        <f>B6+D6+F6+H6</f>
        <v>178116</v>
      </c>
      <c r="K6" s="69">
        <f>C6+E6+G6+I6</f>
        <v>158116</v>
      </c>
      <c r="L6" s="70"/>
    </row>
    <row r="7" spans="1:12" s="9" customFormat="1" ht="24" customHeight="1" thickBot="1" x14ac:dyDescent="0.3">
      <c r="A7" s="122" t="s">
        <v>8</v>
      </c>
      <c r="B7" s="72">
        <v>7525</v>
      </c>
      <c r="C7" s="73">
        <v>7525</v>
      </c>
      <c r="D7" s="72">
        <v>19984</v>
      </c>
      <c r="E7" s="73">
        <v>22984</v>
      </c>
      <c r="F7" s="72">
        <v>33995</v>
      </c>
      <c r="G7" s="73">
        <v>19995</v>
      </c>
      <c r="H7" s="72">
        <v>0</v>
      </c>
      <c r="I7" s="73">
        <v>0</v>
      </c>
      <c r="J7" s="74">
        <f>B7+D7+F7+H7</f>
        <v>61504</v>
      </c>
      <c r="K7" s="75">
        <f>C7+E7+G7+I7</f>
        <v>50504</v>
      </c>
      <c r="L7" s="70"/>
    </row>
    <row r="8" spans="1:12" s="6" customFormat="1" ht="15" customHeight="1" thickBot="1" x14ac:dyDescent="0.3">
      <c r="A8" s="76" t="s">
        <v>9</v>
      </c>
      <c r="B8" s="60">
        <f t="shared" ref="B8:I8" si="0">SUM(B6:B7)</f>
        <v>53996</v>
      </c>
      <c r="C8" s="77">
        <f t="shared" si="0"/>
        <v>36316</v>
      </c>
      <c r="D8" s="60">
        <f t="shared" si="0"/>
        <v>86719</v>
      </c>
      <c r="E8" s="77">
        <f t="shared" si="0"/>
        <v>91359</v>
      </c>
      <c r="F8" s="60">
        <f t="shared" si="0"/>
        <v>98905</v>
      </c>
      <c r="G8" s="77">
        <f t="shared" si="0"/>
        <v>80945</v>
      </c>
      <c r="H8" s="60">
        <f t="shared" si="0"/>
        <v>0</v>
      </c>
      <c r="I8" s="77">
        <f t="shared" si="0"/>
        <v>0</v>
      </c>
      <c r="J8" s="60">
        <f>SUM(J6:J7)</f>
        <v>239620</v>
      </c>
      <c r="K8" s="78">
        <f>SUM(K6:K7)</f>
        <v>208620</v>
      </c>
      <c r="L8" s="63"/>
    </row>
    <row r="9" spans="1:12" s="13" customFormat="1" ht="15" customHeight="1" thickBot="1" x14ac:dyDescent="0.25">
      <c r="A9" s="311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64"/>
    </row>
    <row r="10" spans="1:12" s="9" customFormat="1" ht="15" customHeight="1" x14ac:dyDescent="0.25">
      <c r="A10" s="121" t="s">
        <v>83</v>
      </c>
      <c r="B10" s="79">
        <v>0</v>
      </c>
      <c r="C10" s="80">
        <v>0</v>
      </c>
      <c r="D10" s="79">
        <v>26810</v>
      </c>
      <c r="E10" s="80">
        <v>26810</v>
      </c>
      <c r="F10" s="79">
        <v>0</v>
      </c>
      <c r="G10" s="80">
        <v>0</v>
      </c>
      <c r="H10" s="79">
        <v>0</v>
      </c>
      <c r="I10" s="80">
        <v>0</v>
      </c>
      <c r="J10" s="81">
        <f>B10+D10+F10+H10</f>
        <v>26810</v>
      </c>
      <c r="K10" s="82">
        <f>C10+E10+G10+I10</f>
        <v>26810</v>
      </c>
      <c r="L10" s="70"/>
    </row>
    <row r="11" spans="1:12" s="9" customFormat="1" ht="15" customHeight="1" x14ac:dyDescent="0.25">
      <c r="A11" s="122" t="s">
        <v>84</v>
      </c>
      <c r="B11" s="83">
        <v>0</v>
      </c>
      <c r="C11" s="84">
        <v>0</v>
      </c>
      <c r="D11" s="83">
        <v>19097</v>
      </c>
      <c r="E11" s="84">
        <v>19097</v>
      </c>
      <c r="F11" s="83">
        <v>0</v>
      </c>
      <c r="G11" s="84">
        <v>0</v>
      </c>
      <c r="H11" s="83">
        <v>0</v>
      </c>
      <c r="I11" s="84">
        <v>0</v>
      </c>
      <c r="J11" s="85">
        <f>B11+D11+F11+H11</f>
        <v>19097</v>
      </c>
      <c r="K11" s="86">
        <f t="shared" ref="K11:K13" si="1">C11+E11+G11+I11</f>
        <v>19097</v>
      </c>
      <c r="L11" s="70"/>
    </row>
    <row r="12" spans="1:12" s="9" customFormat="1" ht="15" customHeight="1" x14ac:dyDescent="0.25">
      <c r="A12" s="121" t="s">
        <v>85</v>
      </c>
      <c r="B12" s="83">
        <v>0</v>
      </c>
      <c r="C12" s="84">
        <v>0</v>
      </c>
      <c r="D12" s="83">
        <v>38128</v>
      </c>
      <c r="E12" s="84">
        <v>50842</v>
      </c>
      <c r="F12" s="83">
        <v>0</v>
      </c>
      <c r="G12" s="84">
        <v>0</v>
      </c>
      <c r="H12" s="83">
        <v>0</v>
      </c>
      <c r="I12" s="84">
        <v>0</v>
      </c>
      <c r="J12" s="85">
        <f>B12+D12+F12+H12</f>
        <v>38128</v>
      </c>
      <c r="K12" s="86">
        <f t="shared" si="1"/>
        <v>50842</v>
      </c>
      <c r="L12" s="70"/>
    </row>
    <row r="13" spans="1:12" s="9" customFormat="1" ht="15" customHeight="1" thickBot="1" x14ac:dyDescent="0.3">
      <c r="A13" s="122" t="s">
        <v>86</v>
      </c>
      <c r="B13" s="87">
        <v>0</v>
      </c>
      <c r="C13" s="88">
        <v>0</v>
      </c>
      <c r="D13" s="87">
        <v>10963</v>
      </c>
      <c r="E13" s="88">
        <v>10963</v>
      </c>
      <c r="F13" s="87">
        <v>0</v>
      </c>
      <c r="G13" s="88">
        <v>0</v>
      </c>
      <c r="H13" s="87">
        <v>0</v>
      </c>
      <c r="I13" s="88">
        <v>0</v>
      </c>
      <c r="J13" s="89">
        <f>B13+D13+F13+H13</f>
        <v>10963</v>
      </c>
      <c r="K13" s="90">
        <f t="shared" si="1"/>
        <v>10963</v>
      </c>
      <c r="L13" s="70"/>
    </row>
    <row r="14" spans="1:12" s="6" customFormat="1" ht="15" customHeight="1" thickBot="1" x14ac:dyDescent="0.3">
      <c r="A14" s="76" t="s">
        <v>47</v>
      </c>
      <c r="B14" s="60">
        <f>SUM(B10:B13)</f>
        <v>0</v>
      </c>
      <c r="C14" s="77">
        <f t="shared" ref="C14:K14" si="2">SUM(C10:C13)</f>
        <v>0</v>
      </c>
      <c r="D14" s="60">
        <f t="shared" si="2"/>
        <v>94998</v>
      </c>
      <c r="E14" s="77">
        <f t="shared" si="2"/>
        <v>107712</v>
      </c>
      <c r="F14" s="60">
        <f t="shared" si="2"/>
        <v>0</v>
      </c>
      <c r="G14" s="77">
        <f t="shared" si="2"/>
        <v>0</v>
      </c>
      <c r="H14" s="60">
        <f t="shared" si="2"/>
        <v>0</v>
      </c>
      <c r="I14" s="77">
        <f t="shared" si="2"/>
        <v>0</v>
      </c>
      <c r="J14" s="60">
        <f t="shared" si="2"/>
        <v>94998</v>
      </c>
      <c r="K14" s="78">
        <f t="shared" si="2"/>
        <v>107712</v>
      </c>
      <c r="L14" s="63"/>
    </row>
    <row r="15" spans="1:12" s="13" customFormat="1" ht="15.75" customHeight="1" thickBot="1" x14ac:dyDescent="0.25">
      <c r="A15" s="311" t="s">
        <v>10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64"/>
    </row>
    <row r="16" spans="1:12" s="9" customFormat="1" ht="15" customHeight="1" thickBot="1" x14ac:dyDescent="0.3">
      <c r="A16" s="121" t="s">
        <v>11</v>
      </c>
      <c r="B16" s="79">
        <v>0</v>
      </c>
      <c r="C16" s="80">
        <v>0</v>
      </c>
      <c r="D16" s="79">
        <v>7543</v>
      </c>
      <c r="E16" s="80">
        <v>8443</v>
      </c>
      <c r="F16" s="79">
        <v>28670</v>
      </c>
      <c r="G16" s="80">
        <v>27770</v>
      </c>
      <c r="H16" s="79">
        <v>0</v>
      </c>
      <c r="I16" s="80">
        <v>0</v>
      </c>
      <c r="J16" s="81">
        <f>B16+D16+F16</f>
        <v>36213</v>
      </c>
      <c r="K16" s="82">
        <f>C16+E16+G16+I16</f>
        <v>36213</v>
      </c>
      <c r="L16" s="70"/>
    </row>
    <row r="17" spans="1:12" s="6" customFormat="1" ht="24.75" customHeight="1" thickBot="1" x14ac:dyDescent="0.3">
      <c r="A17" s="76" t="s">
        <v>13</v>
      </c>
      <c r="B17" s="60">
        <f t="shared" ref="B17:K17" si="3">SUM(B16:B16)</f>
        <v>0</v>
      </c>
      <c r="C17" s="77">
        <f t="shared" si="3"/>
        <v>0</v>
      </c>
      <c r="D17" s="60">
        <f t="shared" si="3"/>
        <v>7543</v>
      </c>
      <c r="E17" s="77">
        <f t="shared" si="3"/>
        <v>8443</v>
      </c>
      <c r="F17" s="60">
        <f t="shared" si="3"/>
        <v>28670</v>
      </c>
      <c r="G17" s="77">
        <f t="shared" si="3"/>
        <v>27770</v>
      </c>
      <c r="H17" s="60">
        <f t="shared" si="3"/>
        <v>0</v>
      </c>
      <c r="I17" s="77">
        <f t="shared" si="3"/>
        <v>0</v>
      </c>
      <c r="J17" s="60">
        <f t="shared" si="3"/>
        <v>36213</v>
      </c>
      <c r="K17" s="77">
        <f t="shared" si="3"/>
        <v>36213</v>
      </c>
      <c r="L17" s="63"/>
    </row>
    <row r="18" spans="1:12" s="6" customFormat="1" ht="25.5" customHeight="1" thickBot="1" x14ac:dyDescent="0.3">
      <c r="A18" s="91" t="s">
        <v>71</v>
      </c>
      <c r="B18" s="92">
        <f>B8+B14+B17</f>
        <v>53996</v>
      </c>
      <c r="C18" s="93">
        <f t="shared" ref="C18:K18" si="4">C8+C14+C17</f>
        <v>36316</v>
      </c>
      <c r="D18" s="92">
        <f t="shared" si="4"/>
        <v>189260</v>
      </c>
      <c r="E18" s="93">
        <f t="shared" si="4"/>
        <v>207514</v>
      </c>
      <c r="F18" s="92">
        <f t="shared" si="4"/>
        <v>127575</v>
      </c>
      <c r="G18" s="93">
        <f t="shared" si="4"/>
        <v>108715</v>
      </c>
      <c r="H18" s="92">
        <f t="shared" si="4"/>
        <v>0</v>
      </c>
      <c r="I18" s="93">
        <f t="shared" si="4"/>
        <v>0</v>
      </c>
      <c r="J18" s="92">
        <f t="shared" si="4"/>
        <v>370831</v>
      </c>
      <c r="K18" s="93">
        <f t="shared" si="4"/>
        <v>352545</v>
      </c>
      <c r="L18" s="63"/>
    </row>
    <row r="19" spans="1:12" s="6" customFormat="1" ht="12" customHeight="1" thickBot="1" x14ac:dyDescent="0.3">
      <c r="A19" s="17"/>
      <c r="B19" s="94"/>
      <c r="C19" s="94"/>
      <c r="D19" s="94"/>
      <c r="E19" s="94"/>
      <c r="F19" s="94"/>
      <c r="G19" s="94"/>
      <c r="H19" s="94"/>
      <c r="I19" s="94"/>
      <c r="J19" s="94"/>
      <c r="K19" s="95"/>
      <c r="L19" s="63"/>
    </row>
    <row r="20" spans="1:12" s="6" customFormat="1" ht="21" customHeight="1" x14ac:dyDescent="0.25">
      <c r="A20" s="301" t="s">
        <v>72</v>
      </c>
      <c r="B20" s="302"/>
      <c r="C20" s="302"/>
      <c r="D20" s="302"/>
      <c r="E20" s="302"/>
      <c r="F20" s="302"/>
      <c r="G20" s="302"/>
      <c r="H20" s="317"/>
      <c r="I20" s="318"/>
      <c r="J20" s="318"/>
      <c r="K20" s="319"/>
      <c r="L20" s="63"/>
    </row>
    <row r="21" spans="1:12" s="13" customFormat="1" ht="18" customHeight="1" thickBot="1" x14ac:dyDescent="0.25">
      <c r="A21" s="311" t="s">
        <v>32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64"/>
    </row>
    <row r="22" spans="1:12" s="9" customFormat="1" ht="26.25" customHeight="1" x14ac:dyDescent="0.25">
      <c r="A22" s="65" t="s">
        <v>73</v>
      </c>
      <c r="B22" s="79">
        <v>0</v>
      </c>
      <c r="C22" s="80">
        <v>0</v>
      </c>
      <c r="D22" s="79">
        <v>2898</v>
      </c>
      <c r="E22" s="80">
        <v>2898</v>
      </c>
      <c r="F22" s="79">
        <v>0</v>
      </c>
      <c r="G22" s="80">
        <v>0</v>
      </c>
      <c r="H22" s="79">
        <v>0</v>
      </c>
      <c r="I22" s="80">
        <v>0</v>
      </c>
      <c r="J22" s="81">
        <f>B22+D22+F22+H22</f>
        <v>2898</v>
      </c>
      <c r="K22" s="82">
        <f>C22+E22+G22+I22</f>
        <v>2898</v>
      </c>
      <c r="L22" s="70"/>
    </row>
    <row r="23" spans="1:12" s="9" customFormat="1" ht="26.25" customHeight="1" x14ac:dyDescent="0.25">
      <c r="A23" s="65" t="s">
        <v>74</v>
      </c>
      <c r="B23" s="83">
        <v>0</v>
      </c>
      <c r="C23" s="84">
        <v>0</v>
      </c>
      <c r="D23" s="83">
        <v>19624</v>
      </c>
      <c r="E23" s="84">
        <v>19624</v>
      </c>
      <c r="F23" s="83">
        <v>0</v>
      </c>
      <c r="G23" s="84">
        <v>0</v>
      </c>
      <c r="H23" s="83">
        <v>0</v>
      </c>
      <c r="I23" s="84">
        <v>0</v>
      </c>
      <c r="J23" s="85">
        <f>B23+D23+F23+H23</f>
        <v>19624</v>
      </c>
      <c r="K23" s="86">
        <f t="shared" ref="K23:K24" si="5">C23+E23+G23+I23</f>
        <v>19624</v>
      </c>
      <c r="L23" s="70"/>
    </row>
    <row r="24" spans="1:12" s="9" customFormat="1" ht="26.25" customHeight="1" thickBot="1" x14ac:dyDescent="0.3">
      <c r="A24" s="71" t="s">
        <v>75</v>
      </c>
      <c r="B24" s="87">
        <v>0</v>
      </c>
      <c r="C24" s="88">
        <v>0</v>
      </c>
      <c r="D24" s="87">
        <v>7371</v>
      </c>
      <c r="E24" s="88">
        <v>7371</v>
      </c>
      <c r="F24" s="87">
        <v>0</v>
      </c>
      <c r="G24" s="88">
        <v>0</v>
      </c>
      <c r="H24" s="87">
        <v>0</v>
      </c>
      <c r="I24" s="88">
        <v>0</v>
      </c>
      <c r="J24" s="89">
        <f>B24+D24+F24+H24</f>
        <v>7371</v>
      </c>
      <c r="K24" s="90">
        <f t="shared" si="5"/>
        <v>7371</v>
      </c>
      <c r="L24" s="70"/>
    </row>
    <row r="25" spans="1:12" s="6" customFormat="1" ht="18.75" customHeight="1" thickBot="1" x14ac:dyDescent="0.3">
      <c r="A25" s="76" t="s">
        <v>47</v>
      </c>
      <c r="B25" s="60">
        <f>SUM(B22:B24)</f>
        <v>0</v>
      </c>
      <c r="C25" s="77">
        <f t="shared" ref="C25:I25" si="6">SUM(C22:C24)</f>
        <v>0</v>
      </c>
      <c r="D25" s="60">
        <f t="shared" si="6"/>
        <v>29893</v>
      </c>
      <c r="E25" s="77">
        <f t="shared" si="6"/>
        <v>29893</v>
      </c>
      <c r="F25" s="60">
        <f t="shared" si="6"/>
        <v>0</v>
      </c>
      <c r="G25" s="77">
        <f t="shared" si="6"/>
        <v>0</v>
      </c>
      <c r="H25" s="60">
        <f t="shared" si="6"/>
        <v>0</v>
      </c>
      <c r="I25" s="77">
        <f t="shared" si="6"/>
        <v>0</v>
      </c>
      <c r="J25" s="60">
        <f>SUM(J22:J24)</f>
        <v>29893</v>
      </c>
      <c r="K25" s="78">
        <f>SUM(K22:K24)</f>
        <v>29893</v>
      </c>
      <c r="L25" s="63"/>
    </row>
    <row r="26" spans="1:12" s="13" customFormat="1" ht="15.75" customHeight="1" thickBot="1" x14ac:dyDescent="0.25">
      <c r="A26" s="311" t="s">
        <v>48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64"/>
    </row>
    <row r="27" spans="1:12" s="9" customFormat="1" ht="26.25" customHeight="1" x14ac:dyDescent="0.25">
      <c r="A27" s="65" t="s">
        <v>76</v>
      </c>
      <c r="B27" s="79">
        <v>0</v>
      </c>
      <c r="C27" s="80">
        <v>0</v>
      </c>
      <c r="D27" s="79">
        <v>18821</v>
      </c>
      <c r="E27" s="80">
        <v>18821</v>
      </c>
      <c r="F27" s="79">
        <v>0</v>
      </c>
      <c r="G27" s="80">
        <v>0</v>
      </c>
      <c r="H27" s="79">
        <v>0</v>
      </c>
      <c r="I27" s="80">
        <v>0</v>
      </c>
      <c r="J27" s="81">
        <f>B27+D27+F27+H27</f>
        <v>18821</v>
      </c>
      <c r="K27" s="82">
        <f>C27+E27+G27+I27</f>
        <v>18821</v>
      </c>
      <c r="L27" s="70"/>
    </row>
    <row r="28" spans="1:12" s="9" customFormat="1" ht="26.25" customHeight="1" x14ac:dyDescent="0.25">
      <c r="A28" s="65" t="s">
        <v>77</v>
      </c>
      <c r="B28" s="83">
        <v>0</v>
      </c>
      <c r="C28" s="84">
        <v>0</v>
      </c>
      <c r="D28" s="83">
        <v>14319</v>
      </c>
      <c r="E28" s="84">
        <v>14319</v>
      </c>
      <c r="F28" s="83">
        <v>0</v>
      </c>
      <c r="G28" s="84">
        <v>0</v>
      </c>
      <c r="H28" s="83">
        <v>0</v>
      </c>
      <c r="I28" s="84">
        <v>0</v>
      </c>
      <c r="J28" s="85">
        <f>B28+D28+F28+H28</f>
        <v>14319</v>
      </c>
      <c r="K28" s="86">
        <f t="shared" ref="K28:K29" si="7">C28+E28+G28+I28</f>
        <v>14319</v>
      </c>
      <c r="L28" s="70"/>
    </row>
    <row r="29" spans="1:12" s="9" customFormat="1" ht="26.25" customHeight="1" thickBot="1" x14ac:dyDescent="0.3">
      <c r="A29" s="71" t="s">
        <v>78</v>
      </c>
      <c r="B29" s="87">
        <v>0</v>
      </c>
      <c r="C29" s="88">
        <v>0</v>
      </c>
      <c r="D29" s="87">
        <v>7079</v>
      </c>
      <c r="E29" s="88">
        <v>7079</v>
      </c>
      <c r="F29" s="87">
        <v>0</v>
      </c>
      <c r="G29" s="88">
        <v>0</v>
      </c>
      <c r="H29" s="87">
        <v>0</v>
      </c>
      <c r="I29" s="88">
        <v>0</v>
      </c>
      <c r="J29" s="89">
        <f>B29+D29+F29+H29</f>
        <v>7079</v>
      </c>
      <c r="K29" s="90">
        <f t="shared" si="7"/>
        <v>7079</v>
      </c>
      <c r="L29" s="70"/>
    </row>
    <row r="30" spans="1:12" s="6" customFormat="1" ht="18.75" customHeight="1" thickBot="1" x14ac:dyDescent="0.3">
      <c r="A30" s="76" t="s">
        <v>53</v>
      </c>
      <c r="B30" s="60">
        <f>SUM(B27:B29)</f>
        <v>0</v>
      </c>
      <c r="C30" s="77">
        <f t="shared" ref="C30:I30" si="8">SUM(C27:C29)</f>
        <v>0</v>
      </c>
      <c r="D30" s="60">
        <f t="shared" si="8"/>
        <v>40219</v>
      </c>
      <c r="E30" s="77">
        <f t="shared" si="8"/>
        <v>40219</v>
      </c>
      <c r="F30" s="60">
        <f t="shared" si="8"/>
        <v>0</v>
      </c>
      <c r="G30" s="77">
        <f t="shared" si="8"/>
        <v>0</v>
      </c>
      <c r="H30" s="60">
        <f t="shared" si="8"/>
        <v>0</v>
      </c>
      <c r="I30" s="77">
        <f t="shared" si="8"/>
        <v>0</v>
      </c>
      <c r="J30" s="60">
        <f>SUM(J27:J29)</f>
        <v>40219</v>
      </c>
      <c r="K30" s="78">
        <f>SUM(K27:K29)</f>
        <v>40219</v>
      </c>
      <c r="L30" s="63"/>
    </row>
    <row r="31" spans="1:12" s="6" customFormat="1" ht="36" customHeight="1" thickBot="1" x14ac:dyDescent="0.3">
      <c r="A31" s="91" t="s">
        <v>79</v>
      </c>
      <c r="B31" s="92">
        <f t="shared" ref="B31:K31" si="9">B25+B30</f>
        <v>0</v>
      </c>
      <c r="C31" s="93">
        <f t="shared" si="9"/>
        <v>0</v>
      </c>
      <c r="D31" s="92">
        <f t="shared" si="9"/>
        <v>70112</v>
      </c>
      <c r="E31" s="93">
        <f t="shared" si="9"/>
        <v>70112</v>
      </c>
      <c r="F31" s="92">
        <f t="shared" si="9"/>
        <v>0</v>
      </c>
      <c r="G31" s="93">
        <f t="shared" si="9"/>
        <v>0</v>
      </c>
      <c r="H31" s="92">
        <f t="shared" si="9"/>
        <v>0</v>
      </c>
      <c r="I31" s="93">
        <f t="shared" si="9"/>
        <v>0</v>
      </c>
      <c r="J31" s="92">
        <f t="shared" si="9"/>
        <v>70112</v>
      </c>
      <c r="K31" s="93">
        <f t="shared" si="9"/>
        <v>70112</v>
      </c>
      <c r="L31" s="63"/>
    </row>
    <row r="32" spans="1:12" s="6" customFormat="1" ht="12" customHeight="1" thickBot="1" x14ac:dyDescent="0.3">
      <c r="A32" s="17"/>
      <c r="B32" s="94"/>
      <c r="C32" s="94"/>
      <c r="D32" s="94"/>
      <c r="E32" s="94"/>
      <c r="F32" s="94"/>
      <c r="G32" s="94"/>
      <c r="H32" s="94"/>
      <c r="I32" s="94"/>
      <c r="J32" s="94"/>
      <c r="K32" s="95"/>
      <c r="L32" s="63"/>
    </row>
    <row r="33" spans="1:12" s="6" customFormat="1" ht="21" customHeight="1" x14ac:dyDescent="0.25">
      <c r="A33" s="320" t="s">
        <v>15</v>
      </c>
      <c r="B33" s="321"/>
      <c r="C33" s="321"/>
      <c r="D33" s="321"/>
      <c r="E33" s="321"/>
      <c r="F33" s="321"/>
      <c r="G33" s="321"/>
      <c r="H33" s="322"/>
      <c r="I33" s="323"/>
      <c r="J33" s="323"/>
      <c r="K33" s="324"/>
      <c r="L33" s="63"/>
    </row>
    <row r="34" spans="1:12" s="13" customFormat="1" ht="18" customHeight="1" thickBot="1" x14ac:dyDescent="0.25">
      <c r="A34" s="311" t="s">
        <v>16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64"/>
    </row>
    <row r="35" spans="1:12" s="9" customFormat="1" ht="26.25" customHeight="1" x14ac:dyDescent="0.25">
      <c r="A35" s="65" t="s">
        <v>17</v>
      </c>
      <c r="B35" s="79">
        <v>807</v>
      </c>
      <c r="C35" s="80">
        <v>807</v>
      </c>
      <c r="D35" s="79">
        <v>130993</v>
      </c>
      <c r="E35" s="80">
        <v>130993</v>
      </c>
      <c r="F35" s="79">
        <v>277178</v>
      </c>
      <c r="G35" s="80">
        <v>277178</v>
      </c>
      <c r="H35" s="79">
        <v>0</v>
      </c>
      <c r="I35" s="80">
        <v>0</v>
      </c>
      <c r="J35" s="81">
        <f t="shared" ref="J35:K37" si="10">B35+D35+F35+H35</f>
        <v>408978</v>
      </c>
      <c r="K35" s="82">
        <f t="shared" si="10"/>
        <v>408978</v>
      </c>
      <c r="L35" s="70"/>
    </row>
    <row r="36" spans="1:12" s="9" customFormat="1" ht="26.25" customHeight="1" x14ac:dyDescent="0.25">
      <c r="A36" s="65" t="s">
        <v>92</v>
      </c>
      <c r="B36" s="83">
        <v>27298</v>
      </c>
      <c r="C36" s="84">
        <f>27298-9000</f>
        <v>18298</v>
      </c>
      <c r="D36" s="83">
        <v>29993</v>
      </c>
      <c r="E36" s="84">
        <f>29993+9000</f>
        <v>38993</v>
      </c>
      <c r="F36" s="83">
        <v>64999</v>
      </c>
      <c r="G36" s="84">
        <v>64999</v>
      </c>
      <c r="H36" s="83">
        <v>3710</v>
      </c>
      <c r="I36" s="84">
        <v>3710</v>
      </c>
      <c r="J36" s="85">
        <f t="shared" si="10"/>
        <v>126000</v>
      </c>
      <c r="K36" s="86">
        <f t="shared" si="10"/>
        <v>126000</v>
      </c>
      <c r="L36" s="70"/>
    </row>
    <row r="37" spans="1:12" s="9" customFormat="1" ht="26.25" customHeight="1" thickBot="1" x14ac:dyDescent="0.3">
      <c r="A37" s="71" t="s">
        <v>87</v>
      </c>
      <c r="B37" s="87">
        <v>0</v>
      </c>
      <c r="C37" s="88">
        <v>0</v>
      </c>
      <c r="D37" s="87">
        <v>0</v>
      </c>
      <c r="E37" s="88">
        <v>0</v>
      </c>
      <c r="F37" s="87">
        <v>75300</v>
      </c>
      <c r="G37" s="88">
        <v>75300</v>
      </c>
      <c r="H37" s="87">
        <v>0</v>
      </c>
      <c r="I37" s="88">
        <v>0</v>
      </c>
      <c r="J37" s="89">
        <f t="shared" si="10"/>
        <v>75300</v>
      </c>
      <c r="K37" s="96">
        <f t="shared" si="10"/>
        <v>75300</v>
      </c>
      <c r="L37" s="70"/>
    </row>
    <row r="38" spans="1:12" s="6" customFormat="1" ht="18.75" customHeight="1" thickBot="1" x14ac:dyDescent="0.3">
      <c r="A38" s="76" t="s">
        <v>19</v>
      </c>
      <c r="B38" s="60">
        <f>SUM(B35:B37)</f>
        <v>28105</v>
      </c>
      <c r="C38" s="77">
        <f>SUM(C35:C37)</f>
        <v>19105</v>
      </c>
      <c r="D38" s="60">
        <f t="shared" ref="D38:I38" si="11">SUM(D35:D37)</f>
        <v>160986</v>
      </c>
      <c r="E38" s="77">
        <f t="shared" si="11"/>
        <v>169986</v>
      </c>
      <c r="F38" s="60">
        <f t="shared" si="11"/>
        <v>417477</v>
      </c>
      <c r="G38" s="77">
        <f t="shared" si="11"/>
        <v>417477</v>
      </c>
      <c r="H38" s="60">
        <f t="shared" si="11"/>
        <v>3710</v>
      </c>
      <c r="I38" s="77">
        <f t="shared" si="11"/>
        <v>3710</v>
      </c>
      <c r="J38" s="60">
        <f>SUM(J35:J37)</f>
        <v>610278</v>
      </c>
      <c r="K38" s="78">
        <f>SUM(K35:K37)</f>
        <v>610278</v>
      </c>
      <c r="L38" s="63"/>
    </row>
    <row r="39" spans="1:12" s="13" customFormat="1" ht="14.25" customHeight="1" thickBot="1" x14ac:dyDescent="0.25">
      <c r="A39" s="311" t="s">
        <v>20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64"/>
    </row>
    <row r="40" spans="1:12" s="9" customFormat="1" ht="26.25" customHeight="1" x14ac:dyDescent="0.25">
      <c r="A40" s="65" t="s">
        <v>23</v>
      </c>
      <c r="B40" s="79">
        <v>615</v>
      </c>
      <c r="C40" s="80">
        <v>615</v>
      </c>
      <c r="D40" s="79">
        <v>40400</v>
      </c>
      <c r="E40" s="80">
        <v>40400</v>
      </c>
      <c r="F40" s="79">
        <v>10000</v>
      </c>
      <c r="G40" s="80">
        <v>10000</v>
      </c>
      <c r="H40" s="79">
        <v>0</v>
      </c>
      <c r="I40" s="80">
        <v>0</v>
      </c>
      <c r="J40" s="81">
        <f>B40+D40+F40+H40</f>
        <v>51015</v>
      </c>
      <c r="K40" s="82">
        <f>SUM(C40+E40+G40+I40)</f>
        <v>51015</v>
      </c>
      <c r="L40" s="70" t="s">
        <v>106</v>
      </c>
    </row>
    <row r="41" spans="1:12" s="9" customFormat="1" ht="26.25" customHeight="1" x14ac:dyDescent="0.25">
      <c r="A41" s="65" t="s">
        <v>24</v>
      </c>
      <c r="B41" s="97">
        <v>25000</v>
      </c>
      <c r="C41" s="84">
        <v>375.1</v>
      </c>
      <c r="D41" s="83">
        <v>70000</v>
      </c>
      <c r="E41" s="84">
        <v>50000</v>
      </c>
      <c r="F41" s="83">
        <v>0</v>
      </c>
      <c r="G41" s="84">
        <v>44624.9</v>
      </c>
      <c r="H41" s="83">
        <v>0</v>
      </c>
      <c r="I41" s="84">
        <v>0</v>
      </c>
      <c r="J41" s="85">
        <f>B41+D41+F41+H41</f>
        <v>95000</v>
      </c>
      <c r="K41" s="86">
        <f>SUM(C41+E41+G41+I41)</f>
        <v>95000</v>
      </c>
      <c r="L41" s="70" t="s">
        <v>107</v>
      </c>
    </row>
    <row r="42" spans="1:12" s="9" customFormat="1" ht="26.25" customHeight="1" thickBot="1" x14ac:dyDescent="0.3">
      <c r="A42" s="71" t="s">
        <v>25</v>
      </c>
      <c r="B42" s="87">
        <v>0</v>
      </c>
      <c r="C42" s="88">
        <v>0</v>
      </c>
      <c r="D42" s="87">
        <v>0</v>
      </c>
      <c r="E42" s="88">
        <v>0</v>
      </c>
      <c r="F42" s="87">
        <v>30000</v>
      </c>
      <c r="G42" s="88">
        <v>30000</v>
      </c>
      <c r="H42" s="87">
        <v>65000</v>
      </c>
      <c r="I42" s="88">
        <v>65000</v>
      </c>
      <c r="J42" s="89">
        <f>B42+D42+F42+H42</f>
        <v>95000</v>
      </c>
      <c r="K42" s="96">
        <f>SUM(C42+E42+G42+I42)</f>
        <v>95000</v>
      </c>
      <c r="L42" s="70"/>
    </row>
    <row r="43" spans="1:12" s="6" customFormat="1" ht="18.75" customHeight="1" thickBot="1" x14ac:dyDescent="0.3">
      <c r="A43" s="76" t="s">
        <v>27</v>
      </c>
      <c r="B43" s="60">
        <f t="shared" ref="B43:K43" si="12">SUM(B40:B42)</f>
        <v>25615</v>
      </c>
      <c r="C43" s="77">
        <f t="shared" si="12"/>
        <v>990.1</v>
      </c>
      <c r="D43" s="60">
        <f t="shared" si="12"/>
        <v>110400</v>
      </c>
      <c r="E43" s="77">
        <f t="shared" si="12"/>
        <v>90400</v>
      </c>
      <c r="F43" s="60">
        <f t="shared" si="12"/>
        <v>40000</v>
      </c>
      <c r="G43" s="77">
        <f t="shared" si="12"/>
        <v>84624.9</v>
      </c>
      <c r="H43" s="60">
        <f t="shared" si="12"/>
        <v>65000</v>
      </c>
      <c r="I43" s="77">
        <f t="shared" si="12"/>
        <v>65000</v>
      </c>
      <c r="J43" s="60">
        <f t="shared" si="12"/>
        <v>241015</v>
      </c>
      <c r="K43" s="78">
        <f t="shared" si="12"/>
        <v>241015</v>
      </c>
      <c r="L43" s="63"/>
    </row>
    <row r="44" spans="1:12" s="13" customFormat="1" ht="19.5" customHeight="1" thickBot="1" x14ac:dyDescent="0.25">
      <c r="A44" s="311" t="s">
        <v>6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64"/>
    </row>
    <row r="45" spans="1:12" s="9" customFormat="1" ht="26.25" customHeight="1" x14ac:dyDescent="0.25">
      <c r="A45" s="65" t="s">
        <v>28</v>
      </c>
      <c r="B45" s="79">
        <v>9000</v>
      </c>
      <c r="C45" s="80">
        <v>0</v>
      </c>
      <c r="D45" s="79">
        <v>10000</v>
      </c>
      <c r="E45" s="80">
        <v>0</v>
      </c>
      <c r="F45" s="79">
        <v>0</v>
      </c>
      <c r="G45" s="80">
        <v>0</v>
      </c>
      <c r="H45" s="79">
        <v>0</v>
      </c>
      <c r="I45" s="80">
        <v>0</v>
      </c>
      <c r="J45" s="81">
        <f t="shared" ref="J45:K48" si="13">B45+D45+F45+H45</f>
        <v>19000</v>
      </c>
      <c r="K45" s="82">
        <f t="shared" si="13"/>
        <v>0</v>
      </c>
      <c r="L45" s="70" t="s">
        <v>108</v>
      </c>
    </row>
    <row r="46" spans="1:12" s="9" customFormat="1" ht="26.25" customHeight="1" x14ac:dyDescent="0.25">
      <c r="A46" s="121" t="s">
        <v>29</v>
      </c>
      <c r="B46" s="83">
        <v>15865</v>
      </c>
      <c r="C46" s="84">
        <v>0</v>
      </c>
      <c r="D46" s="83">
        <v>82731</v>
      </c>
      <c r="E46" s="84">
        <f>82731+15000</f>
        <v>97731</v>
      </c>
      <c r="F46" s="83">
        <v>19761</v>
      </c>
      <c r="G46" s="84">
        <v>19761</v>
      </c>
      <c r="H46" s="83">
        <v>0</v>
      </c>
      <c r="I46" s="84">
        <v>0</v>
      </c>
      <c r="J46" s="85">
        <f t="shared" si="13"/>
        <v>118357</v>
      </c>
      <c r="K46" s="86">
        <f t="shared" si="13"/>
        <v>117492</v>
      </c>
      <c r="L46" s="70"/>
    </row>
    <row r="47" spans="1:12" s="9" customFormat="1" ht="26.25" customHeight="1" x14ac:dyDescent="0.25">
      <c r="A47" s="121" t="s">
        <v>30</v>
      </c>
      <c r="B47" s="83">
        <v>52961</v>
      </c>
      <c r="C47" s="84">
        <v>17961</v>
      </c>
      <c r="D47" s="83">
        <v>130000</v>
      </c>
      <c r="E47" s="84">
        <v>165000</v>
      </c>
      <c r="F47" s="83">
        <v>112039</v>
      </c>
      <c r="G47" s="84">
        <v>112039</v>
      </c>
      <c r="H47" s="83">
        <v>0</v>
      </c>
      <c r="I47" s="84">
        <v>0</v>
      </c>
      <c r="J47" s="85">
        <f t="shared" si="13"/>
        <v>295000</v>
      </c>
      <c r="K47" s="86">
        <f t="shared" si="13"/>
        <v>295000</v>
      </c>
      <c r="L47" s="70"/>
    </row>
    <row r="48" spans="1:12" s="9" customFormat="1" ht="26.25" customHeight="1" x14ac:dyDescent="0.25">
      <c r="A48" s="98" t="s">
        <v>31</v>
      </c>
      <c r="B48" s="83">
        <v>7800</v>
      </c>
      <c r="C48" s="84">
        <v>10700</v>
      </c>
      <c r="D48" s="83">
        <v>5700</v>
      </c>
      <c r="E48" s="84">
        <f>5700-2900</f>
        <v>2800</v>
      </c>
      <c r="F48" s="83">
        <v>0</v>
      </c>
      <c r="G48" s="84">
        <v>0</v>
      </c>
      <c r="H48" s="83">
        <v>0</v>
      </c>
      <c r="I48" s="84">
        <v>0</v>
      </c>
      <c r="J48" s="85">
        <f t="shared" si="13"/>
        <v>13500</v>
      </c>
      <c r="K48" s="86">
        <f t="shared" si="13"/>
        <v>13500</v>
      </c>
      <c r="L48" s="70" t="s">
        <v>109</v>
      </c>
    </row>
    <row r="49" spans="1:14" s="9" customFormat="1" ht="26.25" customHeight="1" x14ac:dyDescent="0.25">
      <c r="A49" s="99" t="s">
        <v>110</v>
      </c>
      <c r="B49" s="100">
        <v>0</v>
      </c>
      <c r="C49" s="101">
        <v>11814</v>
      </c>
      <c r="D49" s="83">
        <v>0</v>
      </c>
      <c r="E49" s="84">
        <v>0</v>
      </c>
      <c r="F49" s="83">
        <v>0</v>
      </c>
      <c r="G49" s="84">
        <v>0</v>
      </c>
      <c r="H49" s="83">
        <v>0</v>
      </c>
      <c r="I49" s="84">
        <v>0</v>
      </c>
      <c r="J49" s="85">
        <f>B49+D49+F49+H49</f>
        <v>0</v>
      </c>
      <c r="K49" s="86">
        <f>C49+E49+G49+I49</f>
        <v>11814</v>
      </c>
      <c r="L49" s="70"/>
    </row>
    <row r="50" spans="1:14" s="9" customFormat="1" ht="26.25" customHeight="1" x14ac:dyDescent="0.25">
      <c r="A50" s="98" t="s">
        <v>111</v>
      </c>
      <c r="B50" s="102">
        <v>0</v>
      </c>
      <c r="C50" s="103">
        <v>6329.89</v>
      </c>
      <c r="D50" s="83">
        <v>0</v>
      </c>
      <c r="E50" s="84">
        <v>0</v>
      </c>
      <c r="F50" s="83">
        <v>0</v>
      </c>
      <c r="G50" s="84">
        <v>0</v>
      </c>
      <c r="H50" s="83">
        <v>0</v>
      </c>
      <c r="I50" s="84">
        <v>0</v>
      </c>
      <c r="J50" s="85">
        <f t="shared" ref="J50:K51" si="14">B50+D50+F50+H50</f>
        <v>0</v>
      </c>
      <c r="K50" s="86">
        <f t="shared" si="14"/>
        <v>6329.89</v>
      </c>
      <c r="L50" s="70" t="s">
        <v>112</v>
      </c>
    </row>
    <row r="51" spans="1:14" s="9" customFormat="1" ht="26.25" customHeight="1" thickBot="1" x14ac:dyDescent="0.3">
      <c r="A51" s="98" t="s">
        <v>113</v>
      </c>
      <c r="B51" s="83">
        <v>0</v>
      </c>
      <c r="C51" s="84">
        <v>13185.7</v>
      </c>
      <c r="D51" s="83">
        <v>0</v>
      </c>
      <c r="E51" s="84">
        <v>0</v>
      </c>
      <c r="F51" s="83">
        <v>0</v>
      </c>
      <c r="G51" s="84">
        <v>0</v>
      </c>
      <c r="H51" s="83">
        <v>0</v>
      </c>
      <c r="I51" s="84">
        <v>0</v>
      </c>
      <c r="J51" s="85">
        <f t="shared" si="14"/>
        <v>0</v>
      </c>
      <c r="K51" s="86">
        <f t="shared" si="14"/>
        <v>13185.7</v>
      </c>
      <c r="L51" s="70" t="s">
        <v>114</v>
      </c>
    </row>
    <row r="52" spans="1:14" s="6" customFormat="1" ht="18.75" customHeight="1" thickBot="1" x14ac:dyDescent="0.3">
      <c r="A52" s="76" t="s">
        <v>9</v>
      </c>
      <c r="B52" s="60">
        <f t="shared" ref="B52:J52" si="15">SUM(B45:B51)</f>
        <v>85626</v>
      </c>
      <c r="C52" s="60">
        <f t="shared" si="15"/>
        <v>59990.59</v>
      </c>
      <c r="D52" s="60">
        <f t="shared" si="15"/>
        <v>228431</v>
      </c>
      <c r="E52" s="60">
        <f t="shared" si="15"/>
        <v>265531</v>
      </c>
      <c r="F52" s="60">
        <f t="shared" si="15"/>
        <v>131800</v>
      </c>
      <c r="G52" s="60">
        <f t="shared" si="15"/>
        <v>131800</v>
      </c>
      <c r="H52" s="60">
        <f t="shared" si="15"/>
        <v>0</v>
      </c>
      <c r="I52" s="60">
        <f t="shared" si="15"/>
        <v>0</v>
      </c>
      <c r="J52" s="60">
        <f t="shared" si="15"/>
        <v>445857</v>
      </c>
      <c r="K52" s="78">
        <f>SUM(K45:K51)</f>
        <v>457321.59</v>
      </c>
      <c r="L52" s="63"/>
      <c r="N52" s="104"/>
    </row>
    <row r="53" spans="1:14" s="13" customFormat="1" ht="13.5" customHeight="1" thickBot="1" x14ac:dyDescent="0.25">
      <c r="A53" s="311" t="s">
        <v>32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  <c r="L53" s="64"/>
    </row>
    <row r="54" spans="1:14" s="13" customFormat="1" ht="24" customHeight="1" x14ac:dyDescent="0.25">
      <c r="A54" s="65" t="s">
        <v>33</v>
      </c>
      <c r="B54" s="79">
        <v>45000</v>
      </c>
      <c r="C54" s="80">
        <v>45000</v>
      </c>
      <c r="D54" s="79">
        <v>0</v>
      </c>
      <c r="E54" s="80">
        <v>0</v>
      </c>
      <c r="F54" s="79">
        <v>0</v>
      </c>
      <c r="G54" s="80">
        <v>0</v>
      </c>
      <c r="H54" s="79">
        <v>0</v>
      </c>
      <c r="I54" s="80">
        <v>0</v>
      </c>
      <c r="J54" s="81">
        <f>B54+D54+F54+H54</f>
        <v>45000</v>
      </c>
      <c r="K54" s="82">
        <f>C54+E54+G54+I54</f>
        <v>45000</v>
      </c>
      <c r="L54" s="106" t="s">
        <v>115</v>
      </c>
    </row>
    <row r="55" spans="1:14" s="13" customFormat="1" ht="24" customHeight="1" x14ac:dyDescent="0.25">
      <c r="A55" s="65" t="s">
        <v>34</v>
      </c>
      <c r="B55" s="83">
        <v>0</v>
      </c>
      <c r="C55" s="84">
        <v>0</v>
      </c>
      <c r="D55" s="83">
        <v>5500</v>
      </c>
      <c r="E55" s="84">
        <v>5500</v>
      </c>
      <c r="F55" s="83">
        <v>25000</v>
      </c>
      <c r="G55" s="84">
        <v>25000</v>
      </c>
      <c r="H55" s="83">
        <v>0</v>
      </c>
      <c r="I55" s="84">
        <v>0</v>
      </c>
      <c r="J55" s="85">
        <f t="shared" ref="J55:K75" si="16">B55+D55+F55+H55</f>
        <v>30500</v>
      </c>
      <c r="K55" s="86">
        <f>C55+E55+G55+I55</f>
        <v>30500</v>
      </c>
      <c r="L55" s="64"/>
    </row>
    <row r="56" spans="1:14" s="13" customFormat="1" ht="24" customHeight="1" x14ac:dyDescent="0.25">
      <c r="A56" s="65" t="s">
        <v>68</v>
      </c>
      <c r="B56" s="97">
        <v>2090</v>
      </c>
      <c r="C56" s="84">
        <v>0</v>
      </c>
      <c r="D56" s="83">
        <v>0</v>
      </c>
      <c r="E56" s="84">
        <v>2090</v>
      </c>
      <c r="F56" s="83">
        <v>26000</v>
      </c>
      <c r="G56" s="84">
        <v>26000</v>
      </c>
      <c r="H56" s="83">
        <v>27610</v>
      </c>
      <c r="I56" s="84">
        <v>27610</v>
      </c>
      <c r="J56" s="85">
        <f t="shared" si="16"/>
        <v>55700</v>
      </c>
      <c r="K56" s="86">
        <f t="shared" si="16"/>
        <v>55700</v>
      </c>
      <c r="L56" s="106" t="s">
        <v>116</v>
      </c>
    </row>
    <row r="57" spans="1:14" s="13" customFormat="1" ht="31.5" x14ac:dyDescent="0.25">
      <c r="A57" s="65" t="s">
        <v>36</v>
      </c>
      <c r="B57" s="83">
        <v>31098</v>
      </c>
      <c r="C57" s="84">
        <v>31098</v>
      </c>
      <c r="D57" s="83">
        <v>19500</v>
      </c>
      <c r="E57" s="84">
        <v>19500</v>
      </c>
      <c r="F57" s="83">
        <v>0</v>
      </c>
      <c r="G57" s="84">
        <v>0</v>
      </c>
      <c r="H57" s="83">
        <v>0</v>
      </c>
      <c r="I57" s="84">
        <v>0</v>
      </c>
      <c r="J57" s="85">
        <f t="shared" si="16"/>
        <v>50598</v>
      </c>
      <c r="K57" s="86">
        <f t="shared" si="16"/>
        <v>50598</v>
      </c>
      <c r="L57" s="64" t="s">
        <v>106</v>
      </c>
    </row>
    <row r="58" spans="1:14" s="13" customFormat="1" ht="31.5" x14ac:dyDescent="0.25">
      <c r="A58" s="65" t="s">
        <v>37</v>
      </c>
      <c r="B58" s="83">
        <v>5500</v>
      </c>
      <c r="C58" s="84">
        <v>0</v>
      </c>
      <c r="D58" s="83">
        <v>0</v>
      </c>
      <c r="E58" s="84">
        <v>5500</v>
      </c>
      <c r="F58" s="83">
        <v>0</v>
      </c>
      <c r="G58" s="84">
        <v>0</v>
      </c>
      <c r="H58" s="83">
        <v>0</v>
      </c>
      <c r="I58" s="84">
        <v>0</v>
      </c>
      <c r="J58" s="85">
        <f>B58+D58+F58+H58</f>
        <v>5500</v>
      </c>
      <c r="K58" s="86">
        <f>C58+E58+G58+I58</f>
        <v>5500</v>
      </c>
      <c r="L58" s="64" t="s">
        <v>117</v>
      </c>
    </row>
    <row r="59" spans="1:14" s="13" customFormat="1" ht="24" customHeight="1" x14ac:dyDescent="0.25">
      <c r="A59" s="65" t="s">
        <v>38</v>
      </c>
      <c r="B59" s="83">
        <v>20571</v>
      </c>
      <c r="C59" s="84">
        <v>10571</v>
      </c>
      <c r="D59" s="83">
        <v>113428</v>
      </c>
      <c r="E59" s="84">
        <v>113428</v>
      </c>
      <c r="F59" s="83">
        <v>42000</v>
      </c>
      <c r="G59" s="84">
        <v>52000</v>
      </c>
      <c r="H59" s="83">
        <v>0</v>
      </c>
      <c r="I59" s="84">
        <v>0</v>
      </c>
      <c r="J59" s="85">
        <f t="shared" si="16"/>
        <v>175999</v>
      </c>
      <c r="K59" s="86">
        <f t="shared" si="16"/>
        <v>175999</v>
      </c>
      <c r="L59" s="64" t="s">
        <v>118</v>
      </c>
    </row>
    <row r="60" spans="1:14" s="13" customFormat="1" ht="24" customHeight="1" x14ac:dyDescent="0.25">
      <c r="A60" s="123" t="s">
        <v>39</v>
      </c>
      <c r="B60" s="83">
        <v>51000</v>
      </c>
      <c r="C60" s="84">
        <f>51000+2656</f>
        <v>53656</v>
      </c>
      <c r="D60" s="83">
        <v>0</v>
      </c>
      <c r="E60" s="84">
        <v>0</v>
      </c>
      <c r="F60" s="83">
        <v>0</v>
      </c>
      <c r="G60" s="84">
        <v>0</v>
      </c>
      <c r="H60" s="83">
        <v>0</v>
      </c>
      <c r="I60" s="84">
        <v>0</v>
      </c>
      <c r="J60" s="85">
        <f t="shared" si="16"/>
        <v>51000</v>
      </c>
      <c r="K60" s="86">
        <f t="shared" si="16"/>
        <v>53656</v>
      </c>
      <c r="L60" s="64" t="s">
        <v>119</v>
      </c>
    </row>
    <row r="61" spans="1:14" s="13" customFormat="1" ht="24" customHeight="1" x14ac:dyDescent="0.25">
      <c r="A61" s="65" t="s">
        <v>40</v>
      </c>
      <c r="B61" s="83">
        <v>3300</v>
      </c>
      <c r="C61" s="84">
        <v>0</v>
      </c>
      <c r="D61" s="83">
        <v>0</v>
      </c>
      <c r="E61" s="84">
        <v>25000</v>
      </c>
      <c r="F61" s="83">
        <v>0</v>
      </c>
      <c r="G61" s="84">
        <v>0</v>
      </c>
      <c r="H61" s="83">
        <v>0</v>
      </c>
      <c r="I61" s="84">
        <v>0</v>
      </c>
      <c r="J61" s="85">
        <f t="shared" si="16"/>
        <v>3300</v>
      </c>
      <c r="K61" s="86">
        <f>C61+E61+G61+I61</f>
        <v>25000</v>
      </c>
      <c r="L61" s="64" t="s">
        <v>120</v>
      </c>
    </row>
    <row r="62" spans="1:14" s="13" customFormat="1" ht="34.5" customHeight="1" x14ac:dyDescent="0.25">
      <c r="A62" s="65" t="s">
        <v>41</v>
      </c>
      <c r="B62" s="83">
        <v>10000</v>
      </c>
      <c r="C62" s="84">
        <v>0</v>
      </c>
      <c r="D62" s="83">
        <v>28000</v>
      </c>
      <c r="E62" s="84">
        <v>20250</v>
      </c>
      <c r="F62" s="83">
        <v>0</v>
      </c>
      <c r="G62" s="84">
        <v>17750</v>
      </c>
      <c r="H62" s="83">
        <v>0</v>
      </c>
      <c r="I62" s="84">
        <v>0</v>
      </c>
      <c r="J62" s="85">
        <f t="shared" si="16"/>
        <v>38000</v>
      </c>
      <c r="K62" s="86">
        <f t="shared" si="16"/>
        <v>38000</v>
      </c>
      <c r="L62" s="64" t="s">
        <v>121</v>
      </c>
    </row>
    <row r="63" spans="1:14" s="13" customFormat="1" ht="24" customHeight="1" x14ac:dyDescent="0.25">
      <c r="A63" s="65" t="s">
        <v>42</v>
      </c>
      <c r="B63" s="83">
        <v>27200</v>
      </c>
      <c r="C63" s="84">
        <v>57200</v>
      </c>
      <c r="D63" s="83">
        <v>500</v>
      </c>
      <c r="E63" s="84">
        <v>500</v>
      </c>
      <c r="F63" s="83">
        <v>0</v>
      </c>
      <c r="G63" s="84">
        <v>0</v>
      </c>
      <c r="H63" s="83">
        <v>0</v>
      </c>
      <c r="I63" s="84">
        <v>0</v>
      </c>
      <c r="J63" s="85">
        <f t="shared" si="16"/>
        <v>27700</v>
      </c>
      <c r="K63" s="86">
        <f t="shared" si="16"/>
        <v>57700</v>
      </c>
      <c r="L63" s="64" t="s">
        <v>122</v>
      </c>
    </row>
    <row r="64" spans="1:14" s="13" customFormat="1" ht="24" customHeight="1" x14ac:dyDescent="0.25">
      <c r="A64" s="65" t="s">
        <v>43</v>
      </c>
      <c r="B64" s="83">
        <v>25700</v>
      </c>
      <c r="C64" s="84">
        <v>30678.01</v>
      </c>
      <c r="D64" s="83">
        <v>0</v>
      </c>
      <c r="E64" s="84">
        <v>0</v>
      </c>
      <c r="F64" s="83">
        <v>0</v>
      </c>
      <c r="G64" s="84">
        <v>0</v>
      </c>
      <c r="H64" s="83">
        <v>0</v>
      </c>
      <c r="I64" s="84">
        <v>0</v>
      </c>
      <c r="J64" s="85">
        <f t="shared" si="16"/>
        <v>25700</v>
      </c>
      <c r="K64" s="86">
        <f t="shared" si="16"/>
        <v>30678.01</v>
      </c>
      <c r="L64" s="64" t="s">
        <v>123</v>
      </c>
    </row>
    <row r="65" spans="1:14" s="13" customFormat="1" ht="24" customHeight="1" x14ac:dyDescent="0.25">
      <c r="A65" s="65" t="s">
        <v>44</v>
      </c>
      <c r="B65" s="83">
        <v>40000</v>
      </c>
      <c r="C65" s="84">
        <v>40000</v>
      </c>
      <c r="D65" s="83">
        <v>0</v>
      </c>
      <c r="E65" s="84">
        <v>0</v>
      </c>
      <c r="F65" s="83">
        <v>0</v>
      </c>
      <c r="G65" s="84">
        <v>0</v>
      </c>
      <c r="H65" s="83">
        <v>0</v>
      </c>
      <c r="I65" s="84">
        <v>0</v>
      </c>
      <c r="J65" s="85">
        <f t="shared" si="16"/>
        <v>40000</v>
      </c>
      <c r="K65" s="86">
        <f t="shared" si="16"/>
        <v>40000</v>
      </c>
      <c r="L65" s="64" t="s">
        <v>124</v>
      </c>
    </row>
    <row r="66" spans="1:14" s="13" customFormat="1" ht="24" customHeight="1" x14ac:dyDescent="0.25">
      <c r="A66" s="65" t="s">
        <v>45</v>
      </c>
      <c r="B66" s="83">
        <v>500</v>
      </c>
      <c r="C66" s="84">
        <v>500</v>
      </c>
      <c r="D66" s="83">
        <v>50639</v>
      </c>
      <c r="E66" s="84">
        <v>25639</v>
      </c>
      <c r="F66" s="83">
        <v>0</v>
      </c>
      <c r="G66" s="84">
        <v>25000</v>
      </c>
      <c r="H66" s="83">
        <v>0</v>
      </c>
      <c r="I66" s="84">
        <v>0</v>
      </c>
      <c r="J66" s="85">
        <f t="shared" si="16"/>
        <v>51139</v>
      </c>
      <c r="K66" s="86">
        <f t="shared" si="16"/>
        <v>51139</v>
      </c>
      <c r="L66" s="107" t="s">
        <v>125</v>
      </c>
    </row>
    <row r="67" spans="1:14" s="13" customFormat="1" ht="24" customHeight="1" x14ac:dyDescent="0.25">
      <c r="A67" s="65" t="s">
        <v>46</v>
      </c>
      <c r="B67" s="83">
        <v>6200</v>
      </c>
      <c r="C67" s="84">
        <v>6200</v>
      </c>
      <c r="D67" s="83">
        <v>0</v>
      </c>
      <c r="E67" s="84">
        <v>0</v>
      </c>
      <c r="F67" s="83">
        <v>0</v>
      </c>
      <c r="G67" s="84">
        <v>0</v>
      </c>
      <c r="H67" s="83">
        <v>0</v>
      </c>
      <c r="I67" s="84">
        <v>0</v>
      </c>
      <c r="J67" s="85">
        <f t="shared" si="16"/>
        <v>6200</v>
      </c>
      <c r="K67" s="86">
        <f t="shared" si="16"/>
        <v>6200</v>
      </c>
      <c r="L67" s="64" t="s">
        <v>124</v>
      </c>
    </row>
    <row r="68" spans="1:14" s="13" customFormat="1" ht="24" customHeight="1" x14ac:dyDescent="0.25">
      <c r="A68" s="65" t="s">
        <v>69</v>
      </c>
      <c r="B68" s="83">
        <v>11064.91</v>
      </c>
      <c r="C68" s="84">
        <v>28.6</v>
      </c>
      <c r="D68" s="83">
        <v>0</v>
      </c>
      <c r="E68" s="84">
        <v>11036.31</v>
      </c>
      <c r="F68" s="83">
        <v>100000</v>
      </c>
      <c r="G68" s="84">
        <v>0</v>
      </c>
      <c r="H68" s="83">
        <v>100000</v>
      </c>
      <c r="I68" s="84">
        <v>0</v>
      </c>
      <c r="J68" s="85">
        <f t="shared" si="16"/>
        <v>211064.91</v>
      </c>
      <c r="K68" s="86">
        <f>C68+E68+G68+I68</f>
        <v>11064.91</v>
      </c>
      <c r="L68" s="64" t="s">
        <v>126</v>
      </c>
    </row>
    <row r="69" spans="1:14" s="13" customFormat="1" ht="24" customHeight="1" x14ac:dyDescent="0.25">
      <c r="A69" s="65" t="s">
        <v>80</v>
      </c>
      <c r="B69" s="83">
        <v>1500</v>
      </c>
      <c r="C69" s="84">
        <v>350</v>
      </c>
      <c r="D69" s="83">
        <v>12850</v>
      </c>
      <c r="E69" s="84">
        <v>14000</v>
      </c>
      <c r="F69" s="83">
        <v>0</v>
      </c>
      <c r="G69" s="84">
        <v>0</v>
      </c>
      <c r="H69" s="83">
        <v>0</v>
      </c>
      <c r="I69" s="84">
        <v>0</v>
      </c>
      <c r="J69" s="85">
        <f t="shared" si="16"/>
        <v>14350</v>
      </c>
      <c r="K69" s="86">
        <f>C69+E69+G69+I69</f>
        <v>14350</v>
      </c>
      <c r="L69" s="64" t="s">
        <v>127</v>
      </c>
    </row>
    <row r="70" spans="1:14" s="13" customFormat="1" ht="34.5" customHeight="1" x14ac:dyDescent="0.25">
      <c r="A70" s="65" t="s">
        <v>81</v>
      </c>
      <c r="B70" s="83">
        <v>0</v>
      </c>
      <c r="C70" s="84">
        <v>0</v>
      </c>
      <c r="D70" s="83">
        <v>11420</v>
      </c>
      <c r="E70" s="84">
        <v>11420</v>
      </c>
      <c r="F70" s="83">
        <v>0</v>
      </c>
      <c r="G70" s="84">
        <v>0</v>
      </c>
      <c r="H70" s="83">
        <v>0</v>
      </c>
      <c r="I70" s="84">
        <v>0</v>
      </c>
      <c r="J70" s="85">
        <f t="shared" si="16"/>
        <v>11420</v>
      </c>
      <c r="K70" s="86">
        <f t="shared" si="16"/>
        <v>11420</v>
      </c>
      <c r="L70" s="64"/>
    </row>
    <row r="71" spans="1:14" s="13" customFormat="1" ht="15" customHeight="1" x14ac:dyDescent="0.25">
      <c r="A71" s="65" t="s">
        <v>88</v>
      </c>
      <c r="B71" s="83">
        <v>0</v>
      </c>
      <c r="C71" s="84">
        <v>0</v>
      </c>
      <c r="D71" s="83">
        <v>60500</v>
      </c>
      <c r="E71" s="84">
        <v>50000</v>
      </c>
      <c r="F71" s="83">
        <v>0</v>
      </c>
      <c r="G71" s="84">
        <v>20500</v>
      </c>
      <c r="H71" s="83">
        <v>0</v>
      </c>
      <c r="I71" s="84">
        <v>0</v>
      </c>
      <c r="J71" s="85">
        <f t="shared" si="16"/>
        <v>60500</v>
      </c>
      <c r="K71" s="86">
        <f t="shared" si="16"/>
        <v>70500</v>
      </c>
      <c r="L71" s="64" t="s">
        <v>156</v>
      </c>
    </row>
    <row r="72" spans="1:14" s="13" customFormat="1" ht="24" customHeight="1" x14ac:dyDescent="0.25">
      <c r="A72" s="65" t="s">
        <v>89</v>
      </c>
      <c r="B72" s="83">
        <v>9120</v>
      </c>
      <c r="C72" s="84">
        <v>9120</v>
      </c>
      <c r="D72" s="83">
        <v>0</v>
      </c>
      <c r="E72" s="84">
        <v>0</v>
      </c>
      <c r="F72" s="83">
        <v>0</v>
      </c>
      <c r="G72" s="84">
        <v>0</v>
      </c>
      <c r="H72" s="83">
        <v>0</v>
      </c>
      <c r="I72" s="84">
        <v>0</v>
      </c>
      <c r="J72" s="85">
        <f t="shared" si="16"/>
        <v>9120</v>
      </c>
      <c r="K72" s="86">
        <f t="shared" si="16"/>
        <v>9120</v>
      </c>
      <c r="L72" s="64" t="s">
        <v>124</v>
      </c>
    </row>
    <row r="73" spans="1:14" s="13" customFormat="1" ht="24" customHeight="1" x14ac:dyDescent="0.25">
      <c r="A73" s="65" t="s">
        <v>90</v>
      </c>
      <c r="B73" s="83">
        <v>1500</v>
      </c>
      <c r="C73" s="84">
        <v>127.05</v>
      </c>
      <c r="D73" s="83">
        <v>20000</v>
      </c>
      <c r="E73" s="84">
        <v>21372.95</v>
      </c>
      <c r="F73" s="83">
        <v>0</v>
      </c>
      <c r="G73" s="84">
        <v>0</v>
      </c>
      <c r="H73" s="83">
        <v>0</v>
      </c>
      <c r="I73" s="84">
        <v>0</v>
      </c>
      <c r="J73" s="85">
        <f t="shared" si="16"/>
        <v>21500</v>
      </c>
      <c r="K73" s="86">
        <f t="shared" si="16"/>
        <v>21500</v>
      </c>
      <c r="L73" s="64" t="s">
        <v>129</v>
      </c>
    </row>
    <row r="74" spans="1:14" s="13" customFormat="1" ht="24" customHeight="1" x14ac:dyDescent="0.25">
      <c r="A74" s="98" t="s">
        <v>91</v>
      </c>
      <c r="B74" s="109">
        <v>23000</v>
      </c>
      <c r="C74" s="84">
        <v>23000</v>
      </c>
      <c r="D74" s="109">
        <v>0</v>
      </c>
      <c r="E74" s="84">
        <v>2000</v>
      </c>
      <c r="F74" s="109">
        <v>0</v>
      </c>
      <c r="G74" s="84">
        <v>0</v>
      </c>
      <c r="H74" s="109">
        <v>0</v>
      </c>
      <c r="I74" s="84">
        <v>0</v>
      </c>
      <c r="J74" s="85">
        <f t="shared" si="16"/>
        <v>23000</v>
      </c>
      <c r="K74" s="86">
        <f t="shared" si="16"/>
        <v>25000</v>
      </c>
      <c r="L74" s="64" t="s">
        <v>130</v>
      </c>
    </row>
    <row r="75" spans="1:14" s="13" customFormat="1" ht="24" customHeight="1" thickBot="1" x14ac:dyDescent="0.3">
      <c r="A75" s="99" t="s">
        <v>131</v>
      </c>
      <c r="B75" s="102">
        <v>0</v>
      </c>
      <c r="C75" s="103">
        <v>7949.67</v>
      </c>
      <c r="D75" s="102">
        <v>0</v>
      </c>
      <c r="E75" s="103">
        <v>0</v>
      </c>
      <c r="F75" s="102">
        <v>0</v>
      </c>
      <c r="G75" s="103">
        <v>0</v>
      </c>
      <c r="H75" s="102">
        <v>0</v>
      </c>
      <c r="I75" s="103">
        <v>0</v>
      </c>
      <c r="J75" s="111">
        <f t="shared" si="16"/>
        <v>0</v>
      </c>
      <c r="K75" s="96">
        <f t="shared" si="16"/>
        <v>7949.67</v>
      </c>
      <c r="L75" s="64" t="s">
        <v>132</v>
      </c>
    </row>
    <row r="76" spans="1:14" s="6" customFormat="1" ht="15" customHeight="1" thickBot="1" x14ac:dyDescent="0.3">
      <c r="A76" s="76" t="s">
        <v>47</v>
      </c>
      <c r="B76" s="60">
        <f t="shared" ref="B76:J76" si="17">SUM(B54:B75)</f>
        <v>314343.90999999997</v>
      </c>
      <c r="C76" s="77">
        <f t="shared" si="17"/>
        <v>315478.32999999996</v>
      </c>
      <c r="D76" s="60">
        <f t="shared" si="17"/>
        <v>322337</v>
      </c>
      <c r="E76" s="77">
        <f t="shared" si="17"/>
        <v>327236.26</v>
      </c>
      <c r="F76" s="60">
        <f t="shared" si="17"/>
        <v>193000</v>
      </c>
      <c r="G76" s="77">
        <f t="shared" si="17"/>
        <v>166250</v>
      </c>
      <c r="H76" s="60">
        <f t="shared" si="17"/>
        <v>127610</v>
      </c>
      <c r="I76" s="77">
        <f t="shared" si="17"/>
        <v>27610</v>
      </c>
      <c r="J76" s="60">
        <f t="shared" si="17"/>
        <v>957290.91</v>
      </c>
      <c r="K76" s="78">
        <f>SUM(K54:K75)</f>
        <v>836574.59000000008</v>
      </c>
      <c r="L76" s="63"/>
      <c r="N76" s="104"/>
    </row>
    <row r="77" spans="1:14" s="13" customFormat="1" ht="15.75" customHeight="1" thickBot="1" x14ac:dyDescent="0.25">
      <c r="A77" s="311" t="s">
        <v>133</v>
      </c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64"/>
    </row>
    <row r="78" spans="1:14" s="13" customFormat="1" ht="24" customHeight="1" x14ac:dyDescent="0.25">
      <c r="A78" s="65" t="s">
        <v>49</v>
      </c>
      <c r="B78" s="79">
        <v>41000</v>
      </c>
      <c r="C78" s="80">
        <v>10000</v>
      </c>
      <c r="D78" s="79">
        <v>0</v>
      </c>
      <c r="E78" s="80">
        <v>50000</v>
      </c>
      <c r="F78" s="79">
        <v>0</v>
      </c>
      <c r="G78" s="80">
        <v>45000</v>
      </c>
      <c r="H78" s="79">
        <v>0</v>
      </c>
      <c r="I78" s="80">
        <v>0</v>
      </c>
      <c r="J78" s="81">
        <f>B78+D78+F78+H78</f>
        <v>41000</v>
      </c>
      <c r="K78" s="82">
        <f>C78+E78+G78+I78</f>
        <v>105000</v>
      </c>
      <c r="L78" s="64" t="s">
        <v>134</v>
      </c>
    </row>
    <row r="79" spans="1:14" s="13" customFormat="1" ht="24" customHeight="1" x14ac:dyDescent="0.25">
      <c r="A79" s="65" t="s">
        <v>50</v>
      </c>
      <c r="B79" s="83">
        <v>15000</v>
      </c>
      <c r="C79" s="84">
        <v>234</v>
      </c>
      <c r="D79" s="83">
        <v>119416</v>
      </c>
      <c r="E79" s="84">
        <f>119416+15000-234</f>
        <v>134182</v>
      </c>
      <c r="F79" s="83">
        <v>50000</v>
      </c>
      <c r="G79" s="84">
        <v>50000</v>
      </c>
      <c r="H79" s="83">
        <v>0</v>
      </c>
      <c r="I79" s="84">
        <v>0</v>
      </c>
      <c r="J79" s="85">
        <f t="shared" ref="J79:K86" si="18">B79+D79+F79+H79</f>
        <v>184416</v>
      </c>
      <c r="K79" s="86">
        <f t="shared" si="18"/>
        <v>184416</v>
      </c>
      <c r="L79" s="64" t="s">
        <v>135</v>
      </c>
    </row>
    <row r="80" spans="1:14" s="13" customFormat="1" ht="24" customHeight="1" x14ac:dyDescent="0.25">
      <c r="A80" s="65" t="s">
        <v>51</v>
      </c>
      <c r="B80" s="83">
        <v>2000</v>
      </c>
      <c r="C80" s="84">
        <f>2000-900</f>
        <v>1100</v>
      </c>
      <c r="D80" s="83">
        <v>22000</v>
      </c>
      <c r="E80" s="84">
        <f>22000+900</f>
        <v>22900</v>
      </c>
      <c r="F80" s="83">
        <v>0</v>
      </c>
      <c r="G80" s="84">
        <v>0</v>
      </c>
      <c r="H80" s="83">
        <v>0</v>
      </c>
      <c r="I80" s="84">
        <v>0</v>
      </c>
      <c r="J80" s="85">
        <f t="shared" si="18"/>
        <v>24000</v>
      </c>
      <c r="K80" s="86">
        <f t="shared" si="18"/>
        <v>24000</v>
      </c>
      <c r="L80" s="64" t="s">
        <v>136</v>
      </c>
    </row>
    <row r="81" spans="1:14" s="13" customFormat="1" ht="24" customHeight="1" x14ac:dyDescent="0.25">
      <c r="A81" s="65" t="s">
        <v>52</v>
      </c>
      <c r="B81" s="83">
        <f>1000+2500</f>
        <v>3500</v>
      </c>
      <c r="C81" s="84">
        <v>0</v>
      </c>
      <c r="D81" s="83">
        <v>30000</v>
      </c>
      <c r="E81" s="84">
        <v>0</v>
      </c>
      <c r="F81" s="83">
        <v>0</v>
      </c>
      <c r="G81" s="84">
        <v>0</v>
      </c>
      <c r="H81" s="83">
        <v>0</v>
      </c>
      <c r="I81" s="84">
        <v>0</v>
      </c>
      <c r="J81" s="85">
        <f t="shared" si="18"/>
        <v>33500</v>
      </c>
      <c r="K81" s="86">
        <f t="shared" si="18"/>
        <v>0</v>
      </c>
      <c r="L81" s="64" t="s">
        <v>137</v>
      </c>
    </row>
    <row r="82" spans="1:14" s="13" customFormat="1" ht="24" customHeight="1" x14ac:dyDescent="0.25">
      <c r="A82" s="71" t="s">
        <v>97</v>
      </c>
      <c r="B82" s="109">
        <v>21700</v>
      </c>
      <c r="C82" s="84">
        <v>21700</v>
      </c>
      <c r="D82" s="109">
        <v>0</v>
      </c>
      <c r="E82" s="84">
        <v>0</v>
      </c>
      <c r="F82" s="109">
        <v>0</v>
      </c>
      <c r="G82" s="84">
        <v>0</v>
      </c>
      <c r="H82" s="109">
        <v>0</v>
      </c>
      <c r="I82" s="84">
        <v>0</v>
      </c>
      <c r="J82" s="85">
        <f t="shared" si="18"/>
        <v>21700</v>
      </c>
      <c r="K82" s="86">
        <f t="shared" si="18"/>
        <v>21700</v>
      </c>
      <c r="L82" s="64" t="s">
        <v>138</v>
      </c>
    </row>
    <row r="83" spans="1:14" s="13" customFormat="1" ht="24" customHeight="1" x14ac:dyDescent="0.25">
      <c r="A83" s="71" t="s">
        <v>139</v>
      </c>
      <c r="B83" s="112">
        <v>0</v>
      </c>
      <c r="C83" s="103">
        <v>22241.64</v>
      </c>
      <c r="D83" s="112">
        <v>0</v>
      </c>
      <c r="E83" s="103">
        <v>0</v>
      </c>
      <c r="F83" s="112">
        <v>0</v>
      </c>
      <c r="G83" s="103">
        <v>0</v>
      </c>
      <c r="H83" s="112">
        <v>0</v>
      </c>
      <c r="I83" s="103">
        <v>0</v>
      </c>
      <c r="J83" s="111">
        <f t="shared" si="18"/>
        <v>0</v>
      </c>
      <c r="K83" s="96">
        <f t="shared" si="18"/>
        <v>22241.64</v>
      </c>
      <c r="L83" s="64" t="s">
        <v>140</v>
      </c>
    </row>
    <row r="84" spans="1:14" s="13" customFormat="1" ht="24" customHeight="1" x14ac:dyDescent="0.25">
      <c r="A84" s="71" t="s">
        <v>141</v>
      </c>
      <c r="B84" s="109">
        <v>0</v>
      </c>
      <c r="C84" s="84">
        <v>20898.27</v>
      </c>
      <c r="D84" s="109">
        <v>0</v>
      </c>
      <c r="E84" s="84">
        <v>0</v>
      </c>
      <c r="F84" s="109">
        <v>0</v>
      </c>
      <c r="G84" s="84">
        <v>0</v>
      </c>
      <c r="H84" s="109">
        <v>0</v>
      </c>
      <c r="I84" s="84">
        <v>0</v>
      </c>
      <c r="J84" s="85">
        <f t="shared" si="18"/>
        <v>0</v>
      </c>
      <c r="K84" s="86">
        <f t="shared" si="18"/>
        <v>20898.27</v>
      </c>
      <c r="L84" s="64" t="s">
        <v>142</v>
      </c>
    </row>
    <row r="85" spans="1:14" s="13" customFormat="1" ht="24" customHeight="1" x14ac:dyDescent="0.25">
      <c r="A85" s="71" t="s">
        <v>143</v>
      </c>
      <c r="B85" s="109">
        <v>0</v>
      </c>
      <c r="C85" s="84">
        <v>28727.64</v>
      </c>
      <c r="D85" s="109">
        <v>0</v>
      </c>
      <c r="E85" s="84">
        <v>0</v>
      </c>
      <c r="F85" s="109">
        <v>0</v>
      </c>
      <c r="G85" s="84">
        <v>0</v>
      </c>
      <c r="H85" s="109">
        <v>0</v>
      </c>
      <c r="I85" s="84">
        <v>0</v>
      </c>
      <c r="J85" s="85">
        <f t="shared" si="18"/>
        <v>0</v>
      </c>
      <c r="K85" s="86">
        <f t="shared" si="18"/>
        <v>28727.64</v>
      </c>
      <c r="L85" s="64" t="s">
        <v>144</v>
      </c>
    </row>
    <row r="86" spans="1:14" s="13" customFormat="1" ht="24" customHeight="1" x14ac:dyDescent="0.25">
      <c r="A86" s="98" t="s">
        <v>145</v>
      </c>
      <c r="B86" s="109">
        <v>0</v>
      </c>
      <c r="C86" s="84">
        <v>11437.7</v>
      </c>
      <c r="D86" s="109">
        <v>0</v>
      </c>
      <c r="E86" s="84">
        <v>0</v>
      </c>
      <c r="F86" s="109">
        <v>0</v>
      </c>
      <c r="G86" s="84">
        <v>0</v>
      </c>
      <c r="H86" s="109">
        <v>0</v>
      </c>
      <c r="I86" s="84">
        <v>0</v>
      </c>
      <c r="J86" s="85">
        <f t="shared" si="18"/>
        <v>0</v>
      </c>
      <c r="K86" s="86">
        <f t="shared" si="18"/>
        <v>11437.7</v>
      </c>
      <c r="L86" s="64" t="s">
        <v>146</v>
      </c>
    </row>
    <row r="87" spans="1:14" s="13" customFormat="1" ht="24" customHeight="1" thickBot="1" x14ac:dyDescent="0.3">
      <c r="A87" s="99" t="s">
        <v>147</v>
      </c>
      <c r="B87" s="113">
        <v>0</v>
      </c>
      <c r="C87" s="114">
        <v>11567.78</v>
      </c>
      <c r="D87" s="115">
        <v>0</v>
      </c>
      <c r="E87" s="116">
        <v>0</v>
      </c>
      <c r="F87" s="115">
        <v>0</v>
      </c>
      <c r="G87" s="116">
        <v>0</v>
      </c>
      <c r="H87" s="115">
        <v>0</v>
      </c>
      <c r="I87" s="116">
        <v>0</v>
      </c>
      <c r="J87" s="117">
        <f>B87+D87+F87+H87</f>
        <v>0</v>
      </c>
      <c r="K87" s="118">
        <f>C87+E87+G87+I87</f>
        <v>11567.78</v>
      </c>
      <c r="L87" s="64" t="s">
        <v>148</v>
      </c>
    </row>
    <row r="88" spans="1:14" s="6" customFormat="1" ht="15" customHeight="1" thickBot="1" x14ac:dyDescent="0.3">
      <c r="A88" s="76" t="s">
        <v>53</v>
      </c>
      <c r="B88" s="60">
        <f t="shared" ref="B88:J88" si="19">SUM(B78:B87)</f>
        <v>83200</v>
      </c>
      <c r="C88" s="60">
        <f t="shared" si="19"/>
        <v>127907.03</v>
      </c>
      <c r="D88" s="60">
        <f t="shared" si="19"/>
        <v>171416</v>
      </c>
      <c r="E88" s="60">
        <f t="shared" si="19"/>
        <v>207082</v>
      </c>
      <c r="F88" s="60">
        <f t="shared" si="19"/>
        <v>50000</v>
      </c>
      <c r="G88" s="60">
        <f t="shared" si="19"/>
        <v>95000</v>
      </c>
      <c r="H88" s="60">
        <f t="shared" si="19"/>
        <v>0</v>
      </c>
      <c r="I88" s="60">
        <f t="shared" si="19"/>
        <v>0</v>
      </c>
      <c r="J88" s="60">
        <f t="shared" si="19"/>
        <v>304616</v>
      </c>
      <c r="K88" s="60">
        <f>SUM(K78:K87)</f>
        <v>429989.03000000009</v>
      </c>
      <c r="L88" s="63"/>
      <c r="N88" s="104"/>
    </row>
    <row r="89" spans="1:14" s="6" customFormat="1" ht="36" customHeight="1" thickBot="1" x14ac:dyDescent="0.3">
      <c r="A89" s="91" t="s">
        <v>54</v>
      </c>
      <c r="B89" s="92">
        <f t="shared" ref="B89:J89" si="20">B88+B76+B52+B43+B38</f>
        <v>536889.90999999992</v>
      </c>
      <c r="C89" s="93">
        <f t="shared" si="20"/>
        <v>523471.04999999993</v>
      </c>
      <c r="D89" s="92">
        <f t="shared" si="20"/>
        <v>993570</v>
      </c>
      <c r="E89" s="93">
        <f t="shared" si="20"/>
        <v>1060235.26</v>
      </c>
      <c r="F89" s="92">
        <f t="shared" si="20"/>
        <v>832277</v>
      </c>
      <c r="G89" s="93">
        <f t="shared" si="20"/>
        <v>895151.9</v>
      </c>
      <c r="H89" s="92">
        <f t="shared" si="20"/>
        <v>196320</v>
      </c>
      <c r="I89" s="93">
        <f t="shared" si="20"/>
        <v>96320</v>
      </c>
      <c r="J89" s="92">
        <f t="shared" si="20"/>
        <v>2559056.91</v>
      </c>
      <c r="K89" s="93">
        <f>K88+K76+K52+K43+K38</f>
        <v>2575178.21</v>
      </c>
      <c r="L89" s="63"/>
    </row>
    <row r="90" spans="1:14" s="6" customFormat="1" ht="13.5" thickBot="1" x14ac:dyDescent="0.3">
      <c r="A90" s="17"/>
      <c r="B90" s="94"/>
      <c r="C90" s="94"/>
      <c r="D90" s="94"/>
      <c r="E90" s="94"/>
      <c r="F90" s="94"/>
      <c r="G90" s="94"/>
      <c r="H90" s="94"/>
      <c r="I90" s="94"/>
      <c r="J90" s="94"/>
      <c r="K90" s="119"/>
      <c r="L90" s="63"/>
    </row>
    <row r="91" spans="1:14" s="6" customFormat="1" ht="36" customHeight="1" thickBot="1" x14ac:dyDescent="0.3">
      <c r="A91" s="91" t="s">
        <v>55</v>
      </c>
      <c r="B91" s="92">
        <f t="shared" ref="B91:J91" si="21">SUM(B18,B31,B89)</f>
        <v>590885.90999999992</v>
      </c>
      <c r="C91" s="93">
        <f t="shared" si="21"/>
        <v>559787.04999999993</v>
      </c>
      <c r="D91" s="92">
        <f t="shared" si="21"/>
        <v>1252942</v>
      </c>
      <c r="E91" s="93">
        <f t="shared" si="21"/>
        <v>1337861.26</v>
      </c>
      <c r="F91" s="92">
        <f t="shared" si="21"/>
        <v>959852</v>
      </c>
      <c r="G91" s="93">
        <f t="shared" si="21"/>
        <v>1003866.9</v>
      </c>
      <c r="H91" s="92">
        <f t="shared" si="21"/>
        <v>196320</v>
      </c>
      <c r="I91" s="93">
        <f t="shared" si="21"/>
        <v>96320</v>
      </c>
      <c r="J91" s="92">
        <f t="shared" si="21"/>
        <v>2999999.91</v>
      </c>
      <c r="K91" s="93">
        <f>SUM(K18,K31,K89)</f>
        <v>2997835.21</v>
      </c>
      <c r="L91" s="63"/>
    </row>
    <row r="93" spans="1:14" x14ac:dyDescent="0.2">
      <c r="B93" s="120" t="s">
        <v>149</v>
      </c>
    </row>
    <row r="94" spans="1:14" x14ac:dyDescent="0.2">
      <c r="A94" s="4" t="s">
        <v>150</v>
      </c>
      <c r="B94" s="120">
        <v>47290</v>
      </c>
      <c r="C94" s="120" t="s">
        <v>151</v>
      </c>
    </row>
    <row r="95" spans="1:14" x14ac:dyDescent="0.2">
      <c r="A95" s="4" t="s">
        <v>152</v>
      </c>
    </row>
    <row r="97" spans="1:4" x14ac:dyDescent="0.2">
      <c r="A97" s="4" t="s">
        <v>153</v>
      </c>
      <c r="B97" s="120">
        <v>30000</v>
      </c>
      <c r="D97" s="120" t="s">
        <v>154</v>
      </c>
    </row>
    <row r="98" spans="1:4" x14ac:dyDescent="0.2">
      <c r="A98" s="4" t="s">
        <v>155</v>
      </c>
      <c r="B98" s="120">
        <v>53000</v>
      </c>
      <c r="D98" s="120" t="s">
        <v>154</v>
      </c>
    </row>
  </sheetData>
  <autoFilter ref="A2:K91" xr:uid="{B48BC799-6257-4D0A-BAEA-055D98162FC7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6">
    <mergeCell ref="A39:K39"/>
    <mergeCell ref="A44:K44"/>
    <mergeCell ref="A53:K53"/>
    <mergeCell ref="A77:K77"/>
    <mergeCell ref="A15:K15"/>
    <mergeCell ref="A20:K20"/>
    <mergeCell ref="A21:K21"/>
    <mergeCell ref="A26:K26"/>
    <mergeCell ref="A33:K33"/>
    <mergeCell ref="A34:K34"/>
    <mergeCell ref="A9:K9"/>
    <mergeCell ref="A1:K1"/>
    <mergeCell ref="A2:A3"/>
    <mergeCell ref="B2:K2"/>
    <mergeCell ref="A4:K4"/>
    <mergeCell ref="A5:K5"/>
  </mergeCells>
  <conditionalFormatting sqref="C6:C8">
    <cfRule type="cellIs" dxfId="1195" priority="191" operator="lessThan">
      <formula>B6</formula>
    </cfRule>
    <cfRule type="cellIs" dxfId="1194" priority="192" operator="greaterThan">
      <formula>B6</formula>
    </cfRule>
  </conditionalFormatting>
  <conditionalFormatting sqref="C10:C14">
    <cfRule type="cellIs" dxfId="1193" priority="171" operator="lessThan">
      <formula>B10</formula>
    </cfRule>
    <cfRule type="cellIs" dxfId="1192" priority="172" operator="greaterThan">
      <formula>B10</formula>
    </cfRule>
  </conditionalFormatting>
  <conditionalFormatting sqref="C16:C17">
    <cfRule type="cellIs" dxfId="1191" priority="163" operator="lessThan">
      <formula>B16</formula>
    </cfRule>
    <cfRule type="cellIs" dxfId="1190" priority="164" operator="greaterThan">
      <formula>B16</formula>
    </cfRule>
  </conditionalFormatting>
  <conditionalFormatting sqref="C22:C25">
    <cfRule type="cellIs" dxfId="1189" priority="141" operator="lessThan">
      <formula>B22</formula>
    </cfRule>
    <cfRule type="cellIs" dxfId="1188" priority="142" operator="greaterThan">
      <formula>B22</formula>
    </cfRule>
  </conditionalFormatting>
  <conditionalFormatting sqref="C27:C30">
    <cfRule type="cellIs" dxfId="1187" priority="129" operator="lessThan">
      <formula>B27</formula>
    </cfRule>
    <cfRule type="cellIs" dxfId="1186" priority="130" operator="greaterThan">
      <formula>B27</formula>
    </cfRule>
  </conditionalFormatting>
  <conditionalFormatting sqref="C35:C38">
    <cfRule type="cellIs" dxfId="1185" priority="109" operator="lessThan">
      <formula>B35</formula>
    </cfRule>
    <cfRule type="cellIs" dxfId="1184" priority="110" operator="greaterThan">
      <formula>B35</formula>
    </cfRule>
  </conditionalFormatting>
  <conditionalFormatting sqref="C40:C43">
    <cfRule type="cellIs" dxfId="1183" priority="89" operator="lessThan">
      <formula>B40</formula>
    </cfRule>
    <cfRule type="cellIs" dxfId="1182" priority="90" operator="greaterThan">
      <formula>B40</formula>
    </cfRule>
  </conditionalFormatting>
  <conditionalFormatting sqref="C45:C51">
    <cfRule type="cellIs" dxfId="1181" priority="11" operator="lessThan">
      <formula>B45</formula>
    </cfRule>
    <cfRule type="cellIs" dxfId="1180" priority="12" operator="greaterThan">
      <formula>B45</formula>
    </cfRule>
  </conditionalFormatting>
  <conditionalFormatting sqref="C54:C76">
    <cfRule type="cellIs" dxfId="1179" priority="15" operator="lessThan">
      <formula>B54</formula>
    </cfRule>
    <cfRule type="cellIs" dxfId="1178" priority="16" operator="greaterThan">
      <formula>B54</formula>
    </cfRule>
  </conditionalFormatting>
  <conditionalFormatting sqref="C78:C87">
    <cfRule type="cellIs" dxfId="1177" priority="23" operator="lessThan">
      <formula>B78</formula>
    </cfRule>
    <cfRule type="cellIs" dxfId="1176" priority="24" operator="greaterThan">
      <formula>B78</formula>
    </cfRule>
  </conditionalFormatting>
  <conditionalFormatting sqref="E6:E8">
    <cfRule type="cellIs" dxfId="1175" priority="189" operator="lessThan">
      <formula>D6</formula>
    </cfRule>
    <cfRule type="cellIs" dxfId="1174" priority="190" operator="greaterThan">
      <formula>D6</formula>
    </cfRule>
  </conditionalFormatting>
  <conditionalFormatting sqref="E10:E14 G10:G14 I10:I14 K10:K14">
    <cfRule type="cellIs" dxfId="1173" priority="167" operator="lessThan">
      <formula>D10</formula>
    </cfRule>
    <cfRule type="cellIs" dxfId="1172" priority="168" operator="greaterThan">
      <formula>D10</formula>
    </cfRule>
  </conditionalFormatting>
  <conditionalFormatting sqref="E16:E17 G16:G17 I16:I17 K16:K17">
    <cfRule type="cellIs" dxfId="1171" priority="159" operator="lessThan">
      <formula>D16</formula>
    </cfRule>
    <cfRule type="cellIs" dxfId="1170" priority="160" operator="greaterThan">
      <formula>D16</formula>
    </cfRule>
  </conditionalFormatting>
  <conditionalFormatting sqref="E22:E25 G22:G25 I22:I25 K22:K25">
    <cfRule type="cellIs" dxfId="1169" priority="139" operator="lessThan">
      <formula>D22</formula>
    </cfRule>
    <cfRule type="cellIs" dxfId="1168" priority="140" operator="greaterThan">
      <formula>D22</formula>
    </cfRule>
  </conditionalFormatting>
  <conditionalFormatting sqref="E27:E30 G27:G30 I27:I30 K27:K30">
    <cfRule type="cellIs" dxfId="1167" priority="119" operator="lessThan">
      <formula>D27</formula>
    </cfRule>
    <cfRule type="cellIs" dxfId="1166" priority="120" operator="greaterThan">
      <formula>D27</formula>
    </cfRule>
  </conditionalFormatting>
  <conditionalFormatting sqref="E35:E38 G35:G38 I35:I38">
    <cfRule type="cellIs" dxfId="1165" priority="99" operator="lessThan">
      <formula>D35</formula>
    </cfRule>
    <cfRule type="cellIs" dxfId="1164" priority="100" operator="greaterThan">
      <formula>D35</formula>
    </cfRule>
  </conditionalFormatting>
  <conditionalFormatting sqref="E40:E43 G40:G43 I40:I43">
    <cfRule type="cellIs" dxfId="1163" priority="79" operator="lessThan">
      <formula>D40</formula>
    </cfRule>
    <cfRule type="cellIs" dxfId="1162" priority="80" operator="greaterThan">
      <formula>D40</formula>
    </cfRule>
  </conditionalFormatting>
  <conditionalFormatting sqref="E45:E51">
    <cfRule type="cellIs" dxfId="1161" priority="7" operator="lessThan">
      <formula>D45</formula>
    </cfRule>
    <cfRule type="cellIs" dxfId="1160" priority="8" operator="greaterThan">
      <formula>D45</formula>
    </cfRule>
  </conditionalFormatting>
  <conditionalFormatting sqref="E54:E76 G54:G76 I54:I76 K54:K76">
    <cfRule type="cellIs" dxfId="1159" priority="13" operator="lessThan">
      <formula>D54</formula>
    </cfRule>
    <cfRule type="cellIs" dxfId="1158" priority="14" operator="greaterThan">
      <formula>D54</formula>
    </cfRule>
  </conditionalFormatting>
  <conditionalFormatting sqref="E78:E87 G78:G87 I78:I87">
    <cfRule type="cellIs" dxfId="1157" priority="21" operator="lessThan">
      <formula>D78</formula>
    </cfRule>
    <cfRule type="cellIs" dxfId="1156" priority="22" operator="greaterThan">
      <formula>D78</formula>
    </cfRule>
  </conditionalFormatting>
  <conditionalFormatting sqref="G6:G8">
    <cfRule type="cellIs" dxfId="1155" priority="187" operator="lessThan">
      <formula>F6</formula>
    </cfRule>
    <cfRule type="cellIs" dxfId="1154" priority="188" operator="greaterThan">
      <formula>F6</formula>
    </cfRule>
  </conditionalFormatting>
  <conditionalFormatting sqref="G45:G51">
    <cfRule type="cellIs" dxfId="1153" priority="5" operator="lessThan">
      <formula>F45</formula>
    </cfRule>
    <cfRule type="cellIs" dxfId="1152" priority="6" operator="greaterThan">
      <formula>F45</formula>
    </cfRule>
  </conditionalFormatting>
  <conditionalFormatting sqref="I6:I8">
    <cfRule type="cellIs" dxfId="1151" priority="185" operator="lessThan">
      <formula>H6</formula>
    </cfRule>
    <cfRule type="cellIs" dxfId="1150" priority="186" operator="greaterThan">
      <formula>H6</formula>
    </cfRule>
  </conditionalFormatting>
  <conditionalFormatting sqref="I45:I51">
    <cfRule type="cellIs" dxfId="1149" priority="3" operator="lessThan">
      <formula>H45</formula>
    </cfRule>
    <cfRule type="cellIs" dxfId="1148" priority="4" operator="greaterThan">
      <formula>H45</formula>
    </cfRule>
  </conditionalFormatting>
  <conditionalFormatting sqref="K6:K8">
    <cfRule type="cellIs" dxfId="1147" priority="183" operator="lessThan">
      <formula>J6</formula>
    </cfRule>
    <cfRule type="cellIs" dxfId="1146" priority="184" operator="greaterThan">
      <formula>J6</formula>
    </cfRule>
  </conditionalFormatting>
  <conditionalFormatting sqref="K35:K38">
    <cfRule type="cellIs" dxfId="1145" priority="101" operator="lessThan">
      <formula>J35</formula>
    </cfRule>
    <cfRule type="cellIs" dxfId="1144" priority="102" operator="greaterThan">
      <formula>J35</formula>
    </cfRule>
  </conditionalFormatting>
  <conditionalFormatting sqref="K40:K43">
    <cfRule type="cellIs" dxfId="1143" priority="81" operator="lessThan">
      <formula>J40</formula>
    </cfRule>
    <cfRule type="cellIs" dxfId="1142" priority="82" operator="greaterThan">
      <formula>J40</formula>
    </cfRule>
  </conditionalFormatting>
  <conditionalFormatting sqref="K45:K52">
    <cfRule type="cellIs" dxfId="1141" priority="1" operator="lessThan">
      <formula>J45</formula>
    </cfRule>
    <cfRule type="cellIs" dxfId="1140" priority="2" operator="greaterThan">
      <formula>J45</formula>
    </cfRule>
  </conditionalFormatting>
  <conditionalFormatting sqref="K78:K87">
    <cfRule type="cellIs" dxfId="1139" priority="25" operator="lessThan">
      <formula>J78</formula>
    </cfRule>
    <cfRule type="cellIs" dxfId="1138" priority="26" operator="greaterThan">
      <formula>J78</formula>
    </cfRule>
  </conditionalFormatting>
  <pageMargins left="0.23622047244094491" right="0.23622047244094491" top="0" bottom="0" header="0.31496062992125984" footer="0.31496062992125984"/>
  <pageSetup paperSize="8" firstPageNumber="8" fitToHeight="0" orientation="landscape" r:id="rId1"/>
  <headerFooter>
    <oddHeader>&amp;LPříloha č. 3</oddHeader>
    <oddFooter>&amp;C&amp;"Tahoma,Obyčejné"&amp;10&amp;P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D6B2C-2CE8-42FA-AE20-87C6D78498E0}">
  <sheetPr>
    <pageSetUpPr fitToPage="1"/>
  </sheetPr>
  <dimension ref="A1:M91"/>
  <sheetViews>
    <sheetView zoomScale="87" zoomScaleNormal="87" zoomScaleSheetLayoutView="100" workbookViewId="0">
      <pane ySplit="3" topLeftCell="A7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9" width="12.7109375" style="120" customWidth="1"/>
    <col min="10" max="10" width="15.7109375" style="120" customWidth="1"/>
    <col min="11" max="11" width="14.140625" style="120" customWidth="1"/>
    <col min="12" max="12" width="9.140625" style="4"/>
    <col min="13" max="13" width="12.5703125" style="4" bestFit="1" customWidth="1"/>
    <col min="14" max="16384" width="9.140625" style="4"/>
  </cols>
  <sheetData>
    <row r="1" spans="1:12" s="1" customFormat="1" ht="23.25" customHeight="1" thickBot="1" x14ac:dyDescent="0.3">
      <c r="A1" s="294" t="s">
        <v>98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2" ht="24.6" customHeight="1" thickBot="1" x14ac:dyDescent="0.25">
      <c r="A2" s="296" t="s">
        <v>2</v>
      </c>
      <c r="B2" s="314" t="s">
        <v>3</v>
      </c>
      <c r="C2" s="315"/>
      <c r="D2" s="299"/>
      <c r="E2" s="299"/>
      <c r="F2" s="299"/>
      <c r="G2" s="299"/>
      <c r="H2" s="299"/>
      <c r="I2" s="299"/>
      <c r="J2" s="315"/>
      <c r="K2" s="316"/>
    </row>
    <row r="3" spans="1:12" ht="24.6" customHeight="1" thickBot="1" x14ac:dyDescent="0.25">
      <c r="A3" s="297"/>
      <c r="B3" s="58">
        <v>2021</v>
      </c>
      <c r="C3" s="59" t="s">
        <v>99</v>
      </c>
      <c r="D3" s="58">
        <v>2022</v>
      </c>
      <c r="E3" s="59" t="s">
        <v>100</v>
      </c>
      <c r="F3" s="58">
        <v>2023</v>
      </c>
      <c r="G3" s="59" t="s">
        <v>101</v>
      </c>
      <c r="H3" s="58">
        <v>2024</v>
      </c>
      <c r="I3" s="59" t="s">
        <v>102</v>
      </c>
      <c r="J3" s="60" t="s">
        <v>103</v>
      </c>
      <c r="K3" s="61" t="s">
        <v>104</v>
      </c>
    </row>
    <row r="4" spans="1:12" s="6" customFormat="1" ht="21" customHeight="1" x14ac:dyDescent="0.25">
      <c r="A4" s="301" t="s">
        <v>70</v>
      </c>
      <c r="B4" s="302"/>
      <c r="C4" s="302"/>
      <c r="D4" s="302"/>
      <c r="E4" s="302"/>
      <c r="F4" s="302"/>
      <c r="G4" s="302"/>
      <c r="H4" s="317"/>
      <c r="I4" s="318"/>
      <c r="J4" s="318"/>
      <c r="K4" s="319"/>
    </row>
    <row r="5" spans="1:12" s="13" customFormat="1" ht="27" customHeight="1" thickBot="1" x14ac:dyDescent="0.25">
      <c r="A5" s="311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</row>
    <row r="6" spans="1:12" s="9" customFormat="1" ht="15" customHeight="1" x14ac:dyDescent="0.25">
      <c r="A6" s="65" t="s">
        <v>7</v>
      </c>
      <c r="B6" s="66">
        <v>46471</v>
      </c>
      <c r="C6" s="67">
        <v>28791</v>
      </c>
      <c r="D6" s="66">
        <v>66735</v>
      </c>
      <c r="E6" s="67">
        <v>68375</v>
      </c>
      <c r="F6" s="66">
        <v>64910</v>
      </c>
      <c r="G6" s="67">
        <v>60950</v>
      </c>
      <c r="H6" s="66">
        <v>0</v>
      </c>
      <c r="I6" s="67">
        <v>0</v>
      </c>
      <c r="J6" s="68">
        <f>B6+D6+F6+H6</f>
        <v>178116</v>
      </c>
      <c r="K6" s="69">
        <f>C6+E6+G6+I6</f>
        <v>158116</v>
      </c>
    </row>
    <row r="7" spans="1:12" s="9" customFormat="1" ht="24" customHeight="1" thickBot="1" x14ac:dyDescent="0.3">
      <c r="A7" s="71" t="s">
        <v>8</v>
      </c>
      <c r="B7" s="72">
        <v>7525</v>
      </c>
      <c r="C7" s="73">
        <v>7525</v>
      </c>
      <c r="D7" s="72">
        <v>19984</v>
      </c>
      <c r="E7" s="73">
        <v>22984</v>
      </c>
      <c r="F7" s="72">
        <v>33995</v>
      </c>
      <c r="G7" s="73">
        <v>19995</v>
      </c>
      <c r="H7" s="72">
        <v>0</v>
      </c>
      <c r="I7" s="73">
        <v>0</v>
      </c>
      <c r="J7" s="74">
        <f>B7+D7+F7+H7</f>
        <v>61504</v>
      </c>
      <c r="K7" s="75">
        <f>C7+E7+G7+I7</f>
        <v>50504</v>
      </c>
    </row>
    <row r="8" spans="1:12" s="6" customFormat="1" ht="15" customHeight="1" thickBot="1" x14ac:dyDescent="0.3">
      <c r="A8" s="76" t="s">
        <v>9</v>
      </c>
      <c r="B8" s="60">
        <f t="shared" ref="B8:I8" si="0">SUM(B6:B7)</f>
        <v>53996</v>
      </c>
      <c r="C8" s="77">
        <f t="shared" si="0"/>
        <v>36316</v>
      </c>
      <c r="D8" s="60">
        <f t="shared" si="0"/>
        <v>86719</v>
      </c>
      <c r="E8" s="77">
        <f t="shared" si="0"/>
        <v>91359</v>
      </c>
      <c r="F8" s="60">
        <f t="shared" si="0"/>
        <v>98905</v>
      </c>
      <c r="G8" s="77">
        <f t="shared" si="0"/>
        <v>80945</v>
      </c>
      <c r="H8" s="60">
        <f t="shared" si="0"/>
        <v>0</v>
      </c>
      <c r="I8" s="77">
        <f t="shared" si="0"/>
        <v>0</v>
      </c>
      <c r="J8" s="60">
        <f>SUM(J6:J7)</f>
        <v>239620</v>
      </c>
      <c r="K8" s="78">
        <f>SUM(K6:K7)</f>
        <v>208620</v>
      </c>
    </row>
    <row r="9" spans="1:12" s="13" customFormat="1" ht="15" customHeight="1" thickBot="1" x14ac:dyDescent="0.25">
      <c r="A9" s="311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</row>
    <row r="10" spans="1:12" s="9" customFormat="1" ht="15" customHeight="1" x14ac:dyDescent="0.25">
      <c r="A10" s="65" t="s">
        <v>83</v>
      </c>
      <c r="B10" s="79">
        <v>0</v>
      </c>
      <c r="C10" s="80">
        <v>0</v>
      </c>
      <c r="D10" s="79">
        <v>26810</v>
      </c>
      <c r="E10" s="80">
        <v>26810</v>
      </c>
      <c r="F10" s="79">
        <v>0</v>
      </c>
      <c r="G10" s="80">
        <v>0</v>
      </c>
      <c r="H10" s="79">
        <v>0</v>
      </c>
      <c r="I10" s="80">
        <v>0</v>
      </c>
      <c r="J10" s="81">
        <f>B10+D10+F10+H10</f>
        <v>26810</v>
      </c>
      <c r="K10" s="82">
        <f>C10+E10+G10+I10</f>
        <v>26810</v>
      </c>
    </row>
    <row r="11" spans="1:12" s="9" customFormat="1" ht="15" customHeight="1" x14ac:dyDescent="0.25">
      <c r="A11" s="71" t="s">
        <v>84</v>
      </c>
      <c r="B11" s="83">
        <v>0</v>
      </c>
      <c r="C11" s="84">
        <v>0</v>
      </c>
      <c r="D11" s="83">
        <v>19097</v>
      </c>
      <c r="E11" s="84">
        <v>21262</v>
      </c>
      <c r="F11" s="83">
        <v>0</v>
      </c>
      <c r="G11" s="84">
        <v>0</v>
      </c>
      <c r="H11" s="83">
        <v>0</v>
      </c>
      <c r="I11" s="84">
        <v>0</v>
      </c>
      <c r="J11" s="85">
        <f>B11+D11+F11+H11</f>
        <v>19097</v>
      </c>
      <c r="K11" s="86">
        <f t="shared" ref="K11:K13" si="1">C11+E11+G11+I11</f>
        <v>21262</v>
      </c>
      <c r="L11" s="9" t="s">
        <v>157</v>
      </c>
    </row>
    <row r="12" spans="1:12" s="9" customFormat="1" ht="15" customHeight="1" x14ac:dyDescent="0.25">
      <c r="A12" s="65" t="s">
        <v>85</v>
      </c>
      <c r="B12" s="83">
        <v>0</v>
      </c>
      <c r="C12" s="84">
        <v>0</v>
      </c>
      <c r="D12" s="83">
        <v>38128</v>
      </c>
      <c r="E12" s="84">
        <v>50842</v>
      </c>
      <c r="F12" s="83">
        <v>0</v>
      </c>
      <c r="G12" s="84">
        <v>0</v>
      </c>
      <c r="H12" s="83">
        <v>0</v>
      </c>
      <c r="I12" s="84">
        <v>0</v>
      </c>
      <c r="J12" s="85">
        <f>B12+D12+F12+H12</f>
        <v>38128</v>
      </c>
      <c r="K12" s="86">
        <f t="shared" si="1"/>
        <v>50842</v>
      </c>
    </row>
    <row r="13" spans="1:12" s="9" customFormat="1" ht="15" customHeight="1" thickBot="1" x14ac:dyDescent="0.3">
      <c r="A13" s="71" t="s">
        <v>86</v>
      </c>
      <c r="B13" s="87">
        <v>0</v>
      </c>
      <c r="C13" s="88">
        <v>0</v>
      </c>
      <c r="D13" s="87">
        <v>10963</v>
      </c>
      <c r="E13" s="88">
        <v>10963</v>
      </c>
      <c r="F13" s="87">
        <v>0</v>
      </c>
      <c r="G13" s="88">
        <v>0</v>
      </c>
      <c r="H13" s="87">
        <v>0</v>
      </c>
      <c r="I13" s="88">
        <v>0</v>
      </c>
      <c r="J13" s="89">
        <f>B13+D13+F13+H13</f>
        <v>10963</v>
      </c>
      <c r="K13" s="90">
        <f t="shared" si="1"/>
        <v>10963</v>
      </c>
    </row>
    <row r="14" spans="1:12" s="6" customFormat="1" ht="15" customHeight="1" thickBot="1" x14ac:dyDescent="0.3">
      <c r="A14" s="76" t="s">
        <v>47</v>
      </c>
      <c r="B14" s="60">
        <f>SUM(B10:B13)</f>
        <v>0</v>
      </c>
      <c r="C14" s="77">
        <f t="shared" ref="C14:K14" si="2">SUM(C10:C13)</f>
        <v>0</v>
      </c>
      <c r="D14" s="60">
        <f t="shared" si="2"/>
        <v>94998</v>
      </c>
      <c r="E14" s="77">
        <f t="shared" si="2"/>
        <v>109877</v>
      </c>
      <c r="F14" s="60">
        <f t="shared" si="2"/>
        <v>0</v>
      </c>
      <c r="G14" s="77">
        <f t="shared" si="2"/>
        <v>0</v>
      </c>
      <c r="H14" s="60">
        <f t="shared" si="2"/>
        <v>0</v>
      </c>
      <c r="I14" s="77">
        <f t="shared" si="2"/>
        <v>0</v>
      </c>
      <c r="J14" s="60">
        <f t="shared" si="2"/>
        <v>94998</v>
      </c>
      <c r="K14" s="78">
        <f t="shared" si="2"/>
        <v>109877</v>
      </c>
    </row>
    <row r="15" spans="1:12" s="13" customFormat="1" ht="15.75" customHeight="1" thickBot="1" x14ac:dyDescent="0.25">
      <c r="A15" s="311" t="s">
        <v>10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</row>
    <row r="16" spans="1:12" s="9" customFormat="1" ht="15" customHeight="1" thickBot="1" x14ac:dyDescent="0.3">
      <c r="A16" s="65" t="s">
        <v>11</v>
      </c>
      <c r="B16" s="79">
        <v>0</v>
      </c>
      <c r="C16" s="80">
        <v>0</v>
      </c>
      <c r="D16" s="79">
        <v>7543</v>
      </c>
      <c r="E16" s="80">
        <v>8443</v>
      </c>
      <c r="F16" s="79">
        <v>28670</v>
      </c>
      <c r="G16" s="80">
        <v>27770</v>
      </c>
      <c r="H16" s="79">
        <v>0</v>
      </c>
      <c r="I16" s="80">
        <v>0</v>
      </c>
      <c r="J16" s="81">
        <f>B16+D16+F16</f>
        <v>36213</v>
      </c>
      <c r="K16" s="82">
        <f>C16+E16+G16+I16</f>
        <v>36213</v>
      </c>
    </row>
    <row r="17" spans="1:11" s="6" customFormat="1" ht="24.75" customHeight="1" thickBot="1" x14ac:dyDescent="0.3">
      <c r="A17" s="76" t="s">
        <v>13</v>
      </c>
      <c r="B17" s="60">
        <f t="shared" ref="B17:K17" si="3">SUM(B16:B16)</f>
        <v>0</v>
      </c>
      <c r="C17" s="77">
        <f t="shared" si="3"/>
        <v>0</v>
      </c>
      <c r="D17" s="60">
        <f t="shared" si="3"/>
        <v>7543</v>
      </c>
      <c r="E17" s="77">
        <f t="shared" si="3"/>
        <v>8443</v>
      </c>
      <c r="F17" s="60">
        <f t="shared" si="3"/>
        <v>28670</v>
      </c>
      <c r="G17" s="77">
        <f t="shared" si="3"/>
        <v>27770</v>
      </c>
      <c r="H17" s="60">
        <f t="shared" si="3"/>
        <v>0</v>
      </c>
      <c r="I17" s="77">
        <f t="shared" si="3"/>
        <v>0</v>
      </c>
      <c r="J17" s="60">
        <f t="shared" si="3"/>
        <v>36213</v>
      </c>
      <c r="K17" s="77">
        <f t="shared" si="3"/>
        <v>36213</v>
      </c>
    </row>
    <row r="18" spans="1:11" s="6" customFormat="1" ht="25.5" customHeight="1" thickBot="1" x14ac:dyDescent="0.3">
      <c r="A18" s="91" t="s">
        <v>71</v>
      </c>
      <c r="B18" s="92">
        <f>B8+B14+B17</f>
        <v>53996</v>
      </c>
      <c r="C18" s="93">
        <f t="shared" ref="C18:K18" si="4">C8+C14+C17</f>
        <v>36316</v>
      </c>
      <c r="D18" s="92">
        <f t="shared" si="4"/>
        <v>189260</v>
      </c>
      <c r="E18" s="93">
        <f t="shared" si="4"/>
        <v>209679</v>
      </c>
      <c r="F18" s="92">
        <f t="shared" si="4"/>
        <v>127575</v>
      </c>
      <c r="G18" s="93">
        <f t="shared" si="4"/>
        <v>108715</v>
      </c>
      <c r="H18" s="92">
        <f t="shared" si="4"/>
        <v>0</v>
      </c>
      <c r="I18" s="93">
        <f t="shared" si="4"/>
        <v>0</v>
      </c>
      <c r="J18" s="92">
        <f t="shared" si="4"/>
        <v>370831</v>
      </c>
      <c r="K18" s="93">
        <f t="shared" si="4"/>
        <v>354710</v>
      </c>
    </row>
    <row r="19" spans="1:11" s="6" customFormat="1" ht="12" customHeight="1" thickBot="1" x14ac:dyDescent="0.3">
      <c r="A19" s="17"/>
      <c r="B19" s="94"/>
      <c r="C19" s="94"/>
      <c r="D19" s="94"/>
      <c r="E19" s="94"/>
      <c r="F19" s="94"/>
      <c r="G19" s="94"/>
      <c r="H19" s="94"/>
      <c r="I19" s="94"/>
      <c r="J19" s="94"/>
      <c r="K19" s="95"/>
    </row>
    <row r="20" spans="1:11" s="6" customFormat="1" ht="21" customHeight="1" x14ac:dyDescent="0.25">
      <c r="A20" s="301" t="s">
        <v>72</v>
      </c>
      <c r="B20" s="302"/>
      <c r="C20" s="302"/>
      <c r="D20" s="302"/>
      <c r="E20" s="302"/>
      <c r="F20" s="302"/>
      <c r="G20" s="302"/>
      <c r="H20" s="317"/>
      <c r="I20" s="318"/>
      <c r="J20" s="318"/>
      <c r="K20" s="319"/>
    </row>
    <row r="21" spans="1:11" s="13" customFormat="1" ht="18" customHeight="1" thickBot="1" x14ac:dyDescent="0.25">
      <c r="A21" s="311" t="s">
        <v>32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s="9" customFormat="1" ht="26.25" customHeight="1" x14ac:dyDescent="0.25">
      <c r="A22" s="65" t="s">
        <v>73</v>
      </c>
      <c r="B22" s="79">
        <v>0</v>
      </c>
      <c r="C22" s="80">
        <v>0</v>
      </c>
      <c r="D22" s="79">
        <v>2898</v>
      </c>
      <c r="E22" s="80">
        <v>2898</v>
      </c>
      <c r="F22" s="79">
        <v>0</v>
      </c>
      <c r="G22" s="80">
        <v>0</v>
      </c>
      <c r="H22" s="79">
        <v>0</v>
      </c>
      <c r="I22" s="80">
        <v>0</v>
      </c>
      <c r="J22" s="81">
        <f>B22+D22+F22+H22</f>
        <v>2898</v>
      </c>
      <c r="K22" s="82">
        <f>C22+E22+G22+I22</f>
        <v>2898</v>
      </c>
    </row>
    <row r="23" spans="1:11" s="9" customFormat="1" ht="26.25" customHeight="1" x14ac:dyDescent="0.25">
      <c r="A23" s="65" t="s">
        <v>74</v>
      </c>
      <c r="B23" s="83">
        <v>0</v>
      </c>
      <c r="C23" s="84">
        <v>0</v>
      </c>
      <c r="D23" s="83">
        <v>19624</v>
      </c>
      <c r="E23" s="84">
        <v>19624</v>
      </c>
      <c r="F23" s="83">
        <v>0</v>
      </c>
      <c r="G23" s="84">
        <v>0</v>
      </c>
      <c r="H23" s="83">
        <v>0</v>
      </c>
      <c r="I23" s="84">
        <v>0</v>
      </c>
      <c r="J23" s="85">
        <f>B23+D23+F23+H23</f>
        <v>19624</v>
      </c>
      <c r="K23" s="86">
        <f t="shared" ref="K23:K24" si="5">C23+E23+G23+I23</f>
        <v>19624</v>
      </c>
    </row>
    <row r="24" spans="1:11" s="9" customFormat="1" ht="26.25" customHeight="1" thickBot="1" x14ac:dyDescent="0.3">
      <c r="A24" s="71" t="s">
        <v>75</v>
      </c>
      <c r="B24" s="87">
        <v>0</v>
      </c>
      <c r="C24" s="88">
        <v>0</v>
      </c>
      <c r="D24" s="87">
        <v>7371</v>
      </c>
      <c r="E24" s="88">
        <v>7371</v>
      </c>
      <c r="F24" s="87">
        <v>0</v>
      </c>
      <c r="G24" s="88">
        <v>0</v>
      </c>
      <c r="H24" s="87">
        <v>0</v>
      </c>
      <c r="I24" s="88">
        <v>0</v>
      </c>
      <c r="J24" s="89">
        <f>B24+D24+F24+H24</f>
        <v>7371</v>
      </c>
      <c r="K24" s="90">
        <f t="shared" si="5"/>
        <v>7371</v>
      </c>
    </row>
    <row r="25" spans="1:11" s="6" customFormat="1" ht="18.75" customHeight="1" thickBot="1" x14ac:dyDescent="0.3">
      <c r="A25" s="76" t="s">
        <v>47</v>
      </c>
      <c r="B25" s="60">
        <f>SUM(B22:B24)</f>
        <v>0</v>
      </c>
      <c r="C25" s="77">
        <f t="shared" ref="C25:I25" si="6">SUM(C22:C24)</f>
        <v>0</v>
      </c>
      <c r="D25" s="60">
        <f t="shared" si="6"/>
        <v>29893</v>
      </c>
      <c r="E25" s="77">
        <f t="shared" si="6"/>
        <v>29893</v>
      </c>
      <c r="F25" s="60">
        <f t="shared" si="6"/>
        <v>0</v>
      </c>
      <c r="G25" s="77">
        <f t="shared" si="6"/>
        <v>0</v>
      </c>
      <c r="H25" s="60">
        <f t="shared" si="6"/>
        <v>0</v>
      </c>
      <c r="I25" s="77">
        <f t="shared" si="6"/>
        <v>0</v>
      </c>
      <c r="J25" s="60">
        <f>SUM(J22:J24)</f>
        <v>29893</v>
      </c>
      <c r="K25" s="78">
        <f>SUM(K22:K24)</f>
        <v>29893</v>
      </c>
    </row>
    <row r="26" spans="1:11" s="13" customFormat="1" ht="15.75" customHeight="1" thickBot="1" x14ac:dyDescent="0.25">
      <c r="A26" s="311" t="s">
        <v>48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</row>
    <row r="27" spans="1:11" s="9" customFormat="1" ht="26.25" customHeight="1" x14ac:dyDescent="0.25">
      <c r="A27" s="65" t="s">
        <v>76</v>
      </c>
      <c r="B27" s="79">
        <v>0</v>
      </c>
      <c r="C27" s="80">
        <v>0</v>
      </c>
      <c r="D27" s="79">
        <v>18821</v>
      </c>
      <c r="E27" s="80">
        <v>18821</v>
      </c>
      <c r="F27" s="79">
        <v>0</v>
      </c>
      <c r="G27" s="80">
        <v>0</v>
      </c>
      <c r="H27" s="79">
        <v>0</v>
      </c>
      <c r="I27" s="80">
        <v>0</v>
      </c>
      <c r="J27" s="81">
        <f>B27+D27+F27+H27</f>
        <v>18821</v>
      </c>
      <c r="K27" s="82">
        <f>C27+E27+G27+I27</f>
        <v>18821</v>
      </c>
    </row>
    <row r="28" spans="1:11" s="9" customFormat="1" ht="26.25" customHeight="1" x14ac:dyDescent="0.25">
      <c r="A28" s="65" t="s">
        <v>77</v>
      </c>
      <c r="B28" s="83">
        <v>0</v>
      </c>
      <c r="C28" s="84">
        <v>0</v>
      </c>
      <c r="D28" s="83">
        <v>14319</v>
      </c>
      <c r="E28" s="84">
        <v>14319</v>
      </c>
      <c r="F28" s="83">
        <v>0</v>
      </c>
      <c r="G28" s="84">
        <v>0</v>
      </c>
      <c r="H28" s="83">
        <v>0</v>
      </c>
      <c r="I28" s="84">
        <v>0</v>
      </c>
      <c r="J28" s="85">
        <f>B28+D28+F28+H28</f>
        <v>14319</v>
      </c>
      <c r="K28" s="86">
        <f t="shared" ref="K28:K29" si="7">C28+E28+G28+I28</f>
        <v>14319</v>
      </c>
    </row>
    <row r="29" spans="1:11" s="9" customFormat="1" ht="26.25" customHeight="1" thickBot="1" x14ac:dyDescent="0.3">
      <c r="A29" s="71" t="s">
        <v>78</v>
      </c>
      <c r="B29" s="87">
        <v>0</v>
      </c>
      <c r="C29" s="88">
        <v>0</v>
      </c>
      <c r="D29" s="87">
        <v>7079</v>
      </c>
      <c r="E29" s="88">
        <v>7079</v>
      </c>
      <c r="F29" s="87">
        <v>0</v>
      </c>
      <c r="G29" s="88">
        <v>0</v>
      </c>
      <c r="H29" s="87">
        <v>0</v>
      </c>
      <c r="I29" s="88">
        <v>0</v>
      </c>
      <c r="J29" s="89">
        <f>B29+D29+F29+H29</f>
        <v>7079</v>
      </c>
      <c r="K29" s="90">
        <f t="shared" si="7"/>
        <v>7079</v>
      </c>
    </row>
    <row r="30" spans="1:11" s="6" customFormat="1" ht="18.75" customHeight="1" thickBot="1" x14ac:dyDescent="0.3">
      <c r="A30" s="76" t="s">
        <v>53</v>
      </c>
      <c r="B30" s="60">
        <f>SUM(B27:B29)</f>
        <v>0</v>
      </c>
      <c r="C30" s="77">
        <f t="shared" ref="C30:I30" si="8">SUM(C27:C29)</f>
        <v>0</v>
      </c>
      <c r="D30" s="60">
        <f t="shared" si="8"/>
        <v>40219</v>
      </c>
      <c r="E30" s="77">
        <f t="shared" si="8"/>
        <v>40219</v>
      </c>
      <c r="F30" s="60">
        <f t="shared" si="8"/>
        <v>0</v>
      </c>
      <c r="G30" s="77">
        <f t="shared" si="8"/>
        <v>0</v>
      </c>
      <c r="H30" s="60">
        <f t="shared" si="8"/>
        <v>0</v>
      </c>
      <c r="I30" s="77">
        <f t="shared" si="8"/>
        <v>0</v>
      </c>
      <c r="J30" s="60">
        <f>SUM(J27:J29)</f>
        <v>40219</v>
      </c>
      <c r="K30" s="78">
        <f>SUM(K27:K29)</f>
        <v>40219</v>
      </c>
    </row>
    <row r="31" spans="1:11" s="6" customFormat="1" ht="36" customHeight="1" thickBot="1" x14ac:dyDescent="0.3">
      <c r="A31" s="91" t="s">
        <v>79</v>
      </c>
      <c r="B31" s="92">
        <f t="shared" ref="B31:K31" si="9">B25+B30</f>
        <v>0</v>
      </c>
      <c r="C31" s="93">
        <f t="shared" si="9"/>
        <v>0</v>
      </c>
      <c r="D31" s="92">
        <f t="shared" si="9"/>
        <v>70112</v>
      </c>
      <c r="E31" s="93">
        <f t="shared" si="9"/>
        <v>70112</v>
      </c>
      <c r="F31" s="92">
        <f t="shared" si="9"/>
        <v>0</v>
      </c>
      <c r="G31" s="93">
        <f t="shared" si="9"/>
        <v>0</v>
      </c>
      <c r="H31" s="92">
        <f t="shared" si="9"/>
        <v>0</v>
      </c>
      <c r="I31" s="93">
        <f t="shared" si="9"/>
        <v>0</v>
      </c>
      <c r="J31" s="92">
        <f t="shared" si="9"/>
        <v>70112</v>
      </c>
      <c r="K31" s="93">
        <f t="shared" si="9"/>
        <v>70112</v>
      </c>
    </row>
    <row r="32" spans="1:11" s="6" customFormat="1" ht="12" customHeight="1" thickBot="1" x14ac:dyDescent="0.3">
      <c r="A32" s="17"/>
      <c r="B32" s="94"/>
      <c r="C32" s="94"/>
      <c r="D32" s="94"/>
      <c r="E32" s="94"/>
      <c r="F32" s="94"/>
      <c r="G32" s="94"/>
      <c r="H32" s="94"/>
      <c r="I32" s="94"/>
      <c r="J32" s="94"/>
      <c r="K32" s="95"/>
    </row>
    <row r="33" spans="1:11" s="6" customFormat="1" ht="21" customHeight="1" x14ac:dyDescent="0.25">
      <c r="A33" s="320" t="s">
        <v>15</v>
      </c>
      <c r="B33" s="321"/>
      <c r="C33" s="321"/>
      <c r="D33" s="321"/>
      <c r="E33" s="321"/>
      <c r="F33" s="321"/>
      <c r="G33" s="321"/>
      <c r="H33" s="322"/>
      <c r="I33" s="323"/>
      <c r="J33" s="323"/>
      <c r="K33" s="324"/>
    </row>
    <row r="34" spans="1:11" s="13" customFormat="1" ht="18" customHeight="1" thickBot="1" x14ac:dyDescent="0.25">
      <c r="A34" s="311" t="s">
        <v>16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</row>
    <row r="35" spans="1:11" s="9" customFormat="1" ht="26.25" customHeight="1" x14ac:dyDescent="0.25">
      <c r="A35" s="65" t="s">
        <v>17</v>
      </c>
      <c r="B35" s="79">
        <v>807</v>
      </c>
      <c r="C35" s="80">
        <v>807</v>
      </c>
      <c r="D35" s="79">
        <v>130993</v>
      </c>
      <c r="E35" s="80">
        <v>130993</v>
      </c>
      <c r="F35" s="79">
        <v>277178</v>
      </c>
      <c r="G35" s="80">
        <v>277178</v>
      </c>
      <c r="H35" s="79">
        <v>0</v>
      </c>
      <c r="I35" s="80">
        <v>0</v>
      </c>
      <c r="J35" s="81">
        <f t="shared" ref="J35:K37" si="10">B35+D35+F35+H35</f>
        <v>408978</v>
      </c>
      <c r="K35" s="82">
        <f t="shared" si="10"/>
        <v>408978</v>
      </c>
    </row>
    <row r="36" spans="1:11" s="9" customFormat="1" ht="26.25" customHeight="1" x14ac:dyDescent="0.25">
      <c r="A36" s="65" t="s">
        <v>92</v>
      </c>
      <c r="B36" s="83">
        <v>27298</v>
      </c>
      <c r="C36" s="84">
        <f>27298-9000</f>
        <v>18298</v>
      </c>
      <c r="D36" s="83">
        <v>29993</v>
      </c>
      <c r="E36" s="84">
        <f>29993+9000</f>
        <v>38993</v>
      </c>
      <c r="F36" s="83">
        <v>64999</v>
      </c>
      <c r="G36" s="84">
        <v>64999</v>
      </c>
      <c r="H36" s="83">
        <v>3710</v>
      </c>
      <c r="I36" s="84">
        <v>3710</v>
      </c>
      <c r="J36" s="85">
        <f t="shared" si="10"/>
        <v>126000</v>
      </c>
      <c r="K36" s="86">
        <f t="shared" si="10"/>
        <v>126000</v>
      </c>
    </row>
    <row r="37" spans="1:11" s="9" customFormat="1" ht="26.25" customHeight="1" thickBot="1" x14ac:dyDescent="0.3">
      <c r="A37" s="71" t="s">
        <v>87</v>
      </c>
      <c r="B37" s="87">
        <v>0</v>
      </c>
      <c r="C37" s="88">
        <v>0</v>
      </c>
      <c r="D37" s="87">
        <v>0</v>
      </c>
      <c r="E37" s="88">
        <v>0</v>
      </c>
      <c r="F37" s="87">
        <v>75300</v>
      </c>
      <c r="G37" s="88">
        <v>75300</v>
      </c>
      <c r="H37" s="87">
        <v>0</v>
      </c>
      <c r="I37" s="88">
        <v>0</v>
      </c>
      <c r="J37" s="89">
        <f t="shared" si="10"/>
        <v>75300</v>
      </c>
      <c r="K37" s="96">
        <f t="shared" si="10"/>
        <v>75300</v>
      </c>
    </row>
    <row r="38" spans="1:11" s="6" customFormat="1" ht="18.75" customHeight="1" thickBot="1" x14ac:dyDescent="0.3">
      <c r="A38" s="76" t="s">
        <v>19</v>
      </c>
      <c r="B38" s="60">
        <f>SUM(B35:B37)</f>
        <v>28105</v>
      </c>
      <c r="C38" s="77">
        <f>SUM(C35:C37)</f>
        <v>19105</v>
      </c>
      <c r="D38" s="60">
        <f t="shared" ref="D38:I38" si="11">SUM(D35:D37)</f>
        <v>160986</v>
      </c>
      <c r="E38" s="77">
        <f t="shared" si="11"/>
        <v>169986</v>
      </c>
      <c r="F38" s="60">
        <f t="shared" si="11"/>
        <v>417477</v>
      </c>
      <c r="G38" s="77">
        <f t="shared" si="11"/>
        <v>417477</v>
      </c>
      <c r="H38" s="60">
        <f t="shared" si="11"/>
        <v>3710</v>
      </c>
      <c r="I38" s="77">
        <f t="shared" si="11"/>
        <v>3710</v>
      </c>
      <c r="J38" s="60">
        <f>SUM(J35:J37)</f>
        <v>610278</v>
      </c>
      <c r="K38" s="78">
        <f>SUM(K35:K37)</f>
        <v>610278</v>
      </c>
    </row>
    <row r="39" spans="1:11" s="13" customFormat="1" ht="14.25" customHeight="1" thickBot="1" x14ac:dyDescent="0.25">
      <c r="A39" s="311" t="s">
        <v>20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2"/>
    </row>
    <row r="40" spans="1:11" s="9" customFormat="1" ht="26.25" customHeight="1" x14ac:dyDescent="0.25">
      <c r="A40" s="65" t="s">
        <v>23</v>
      </c>
      <c r="B40" s="79">
        <v>615</v>
      </c>
      <c r="C40" s="80">
        <v>615</v>
      </c>
      <c r="D40" s="79">
        <v>40400</v>
      </c>
      <c r="E40" s="80">
        <v>40400</v>
      </c>
      <c r="F40" s="79">
        <v>10000</v>
      </c>
      <c r="G40" s="80">
        <v>10000</v>
      </c>
      <c r="H40" s="79">
        <v>0</v>
      </c>
      <c r="I40" s="80">
        <v>0</v>
      </c>
      <c r="J40" s="81">
        <f>B40+D40+F40+H40</f>
        <v>51015</v>
      </c>
      <c r="K40" s="82">
        <f>SUM(C40+E40+G40+I40)</f>
        <v>51015</v>
      </c>
    </row>
    <row r="41" spans="1:11" s="9" customFormat="1" ht="26.25" customHeight="1" x14ac:dyDescent="0.25">
      <c r="A41" s="65" t="s">
        <v>24</v>
      </c>
      <c r="B41" s="97">
        <v>25000</v>
      </c>
      <c r="C41" s="84">
        <v>375.1</v>
      </c>
      <c r="D41" s="83">
        <v>70000</v>
      </c>
      <c r="E41" s="84">
        <v>50000</v>
      </c>
      <c r="F41" s="83">
        <v>0</v>
      </c>
      <c r="G41" s="84">
        <v>44624.9</v>
      </c>
      <c r="H41" s="83">
        <v>0</v>
      </c>
      <c r="I41" s="84">
        <v>0</v>
      </c>
      <c r="J41" s="85">
        <f>B41+D41+F41+H41</f>
        <v>95000</v>
      </c>
      <c r="K41" s="86">
        <f>SUM(C41+E41+G41+I41)</f>
        <v>95000</v>
      </c>
    </row>
    <row r="42" spans="1:11" s="9" customFormat="1" ht="26.25" customHeight="1" thickBot="1" x14ac:dyDescent="0.3">
      <c r="A42" s="71" t="s">
        <v>25</v>
      </c>
      <c r="B42" s="87">
        <v>0</v>
      </c>
      <c r="C42" s="88">
        <v>0</v>
      </c>
      <c r="D42" s="87">
        <v>0</v>
      </c>
      <c r="E42" s="88">
        <v>0</v>
      </c>
      <c r="F42" s="87">
        <v>30000</v>
      </c>
      <c r="G42" s="88">
        <v>30000</v>
      </c>
      <c r="H42" s="87">
        <v>65000</v>
      </c>
      <c r="I42" s="88">
        <v>65000</v>
      </c>
      <c r="J42" s="89">
        <f>B42+D42+F42+H42</f>
        <v>95000</v>
      </c>
      <c r="K42" s="96">
        <f>SUM(C42+E42+G42+I42)</f>
        <v>95000</v>
      </c>
    </row>
    <row r="43" spans="1:11" s="6" customFormat="1" ht="18.75" customHeight="1" thickBot="1" x14ac:dyDescent="0.3">
      <c r="A43" s="76" t="s">
        <v>27</v>
      </c>
      <c r="B43" s="60">
        <f t="shared" ref="B43:K43" si="12">SUM(B40:B42)</f>
        <v>25615</v>
      </c>
      <c r="C43" s="77">
        <f t="shared" si="12"/>
        <v>990.1</v>
      </c>
      <c r="D43" s="60">
        <f t="shared" si="12"/>
        <v>110400</v>
      </c>
      <c r="E43" s="77">
        <f t="shared" si="12"/>
        <v>90400</v>
      </c>
      <c r="F43" s="60">
        <f t="shared" si="12"/>
        <v>40000</v>
      </c>
      <c r="G43" s="77">
        <f t="shared" si="12"/>
        <v>84624.9</v>
      </c>
      <c r="H43" s="60">
        <f t="shared" si="12"/>
        <v>65000</v>
      </c>
      <c r="I43" s="77">
        <f t="shared" si="12"/>
        <v>65000</v>
      </c>
      <c r="J43" s="60">
        <f t="shared" si="12"/>
        <v>241015</v>
      </c>
      <c r="K43" s="78">
        <f t="shared" si="12"/>
        <v>241015</v>
      </c>
    </row>
    <row r="44" spans="1:11" s="13" customFormat="1" ht="19.5" customHeight="1" thickBot="1" x14ac:dyDescent="0.25">
      <c r="A44" s="311" t="s">
        <v>6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</row>
    <row r="45" spans="1:11" s="9" customFormat="1" ht="26.25" customHeight="1" x14ac:dyDescent="0.25">
      <c r="A45" s="65" t="s">
        <v>28</v>
      </c>
      <c r="B45" s="79">
        <v>9000</v>
      </c>
      <c r="C45" s="80">
        <v>0</v>
      </c>
      <c r="D45" s="79">
        <v>10000</v>
      </c>
      <c r="E45" s="80">
        <v>0</v>
      </c>
      <c r="F45" s="79">
        <v>0</v>
      </c>
      <c r="G45" s="80">
        <v>0</v>
      </c>
      <c r="H45" s="79">
        <v>0</v>
      </c>
      <c r="I45" s="80">
        <v>0</v>
      </c>
      <c r="J45" s="81">
        <f t="shared" ref="J45:K47" si="13">B45+D45+F45+H45</f>
        <v>19000</v>
      </c>
      <c r="K45" s="82">
        <f t="shared" si="13"/>
        <v>0</v>
      </c>
    </row>
    <row r="46" spans="1:11" s="9" customFormat="1" ht="26.25" customHeight="1" x14ac:dyDescent="0.25">
      <c r="A46" s="65" t="s">
        <v>29</v>
      </c>
      <c r="B46" s="83">
        <v>15865</v>
      </c>
      <c r="C46" s="84">
        <v>0</v>
      </c>
      <c r="D46" s="83">
        <v>82731</v>
      </c>
      <c r="E46" s="84">
        <f>82731+15000</f>
        <v>97731</v>
      </c>
      <c r="F46" s="83">
        <v>19761</v>
      </c>
      <c r="G46" s="84">
        <v>19761</v>
      </c>
      <c r="H46" s="83">
        <v>0</v>
      </c>
      <c r="I46" s="84">
        <v>0</v>
      </c>
      <c r="J46" s="85">
        <f t="shared" si="13"/>
        <v>118357</v>
      </c>
      <c r="K46" s="86">
        <f t="shared" si="13"/>
        <v>117492</v>
      </c>
    </row>
    <row r="47" spans="1:11" s="9" customFormat="1" ht="26.25" customHeight="1" x14ac:dyDescent="0.25">
      <c r="A47" s="65" t="s">
        <v>30</v>
      </c>
      <c r="B47" s="83">
        <v>52961</v>
      </c>
      <c r="C47" s="84">
        <v>17961</v>
      </c>
      <c r="D47" s="83">
        <v>130000</v>
      </c>
      <c r="E47" s="84">
        <v>165000</v>
      </c>
      <c r="F47" s="83">
        <v>112039</v>
      </c>
      <c r="G47" s="84">
        <v>112039</v>
      </c>
      <c r="H47" s="83">
        <v>0</v>
      </c>
      <c r="I47" s="84">
        <v>0</v>
      </c>
      <c r="J47" s="85">
        <f t="shared" si="13"/>
        <v>295000</v>
      </c>
      <c r="K47" s="86">
        <f t="shared" si="13"/>
        <v>295000</v>
      </c>
    </row>
    <row r="48" spans="1:11" s="9" customFormat="1" ht="26.25" customHeight="1" x14ac:dyDescent="0.25">
      <c r="A48" s="98" t="s">
        <v>31</v>
      </c>
      <c r="B48" s="83">
        <v>7800</v>
      </c>
      <c r="C48" s="84">
        <v>10650</v>
      </c>
      <c r="D48" s="83">
        <v>5700</v>
      </c>
      <c r="E48" s="84">
        <f>5700-2850</f>
        <v>2850</v>
      </c>
      <c r="F48" s="83">
        <v>0</v>
      </c>
      <c r="G48" s="84">
        <v>0</v>
      </c>
      <c r="H48" s="83">
        <v>0</v>
      </c>
      <c r="I48" s="84">
        <v>0</v>
      </c>
      <c r="J48" s="85">
        <f>B48+D48+F48+H48</f>
        <v>13500</v>
      </c>
      <c r="K48" s="86">
        <f>C48+E48+G48+I48</f>
        <v>13500</v>
      </c>
    </row>
    <row r="49" spans="1:13" s="9" customFormat="1" ht="26.25" customHeight="1" x14ac:dyDescent="0.25">
      <c r="A49" s="99" t="s">
        <v>110</v>
      </c>
      <c r="B49" s="100">
        <v>0</v>
      </c>
      <c r="C49" s="101">
        <v>11814</v>
      </c>
      <c r="D49" s="83">
        <v>0</v>
      </c>
      <c r="E49" s="84">
        <v>0</v>
      </c>
      <c r="F49" s="83">
        <v>0</v>
      </c>
      <c r="G49" s="84">
        <v>0</v>
      </c>
      <c r="H49" s="83">
        <v>0</v>
      </c>
      <c r="I49" s="84">
        <v>0</v>
      </c>
      <c r="J49" s="85">
        <f>B49+D49+F49+H49</f>
        <v>0</v>
      </c>
      <c r="K49" s="86">
        <f>C49+E49+G49+I49</f>
        <v>11814</v>
      </c>
    </row>
    <row r="50" spans="1:13" s="9" customFormat="1" ht="26.25" customHeight="1" x14ac:dyDescent="0.25">
      <c r="A50" s="98" t="s">
        <v>111</v>
      </c>
      <c r="B50" s="102">
        <v>0</v>
      </c>
      <c r="C50" s="103">
        <v>6329.89</v>
      </c>
      <c r="D50" s="83">
        <v>0</v>
      </c>
      <c r="E50" s="84">
        <v>0</v>
      </c>
      <c r="F50" s="83">
        <v>0</v>
      </c>
      <c r="G50" s="84">
        <v>0</v>
      </c>
      <c r="H50" s="83">
        <v>0</v>
      </c>
      <c r="I50" s="84">
        <v>0</v>
      </c>
      <c r="J50" s="85">
        <f t="shared" ref="J50:K51" si="14">B50+D50+F50+H50</f>
        <v>0</v>
      </c>
      <c r="K50" s="86">
        <f t="shared" si="14"/>
        <v>6329.89</v>
      </c>
    </row>
    <row r="51" spans="1:13" s="9" customFormat="1" ht="26.25" customHeight="1" thickBot="1" x14ac:dyDescent="0.3">
      <c r="A51" s="98" t="s">
        <v>113</v>
      </c>
      <c r="B51" s="83">
        <v>0</v>
      </c>
      <c r="C51" s="84">
        <v>13185.7</v>
      </c>
      <c r="D51" s="83">
        <v>0</v>
      </c>
      <c r="E51" s="84">
        <v>0</v>
      </c>
      <c r="F51" s="83">
        <v>0</v>
      </c>
      <c r="G51" s="84">
        <v>0</v>
      </c>
      <c r="H51" s="83">
        <v>0</v>
      </c>
      <c r="I51" s="84">
        <v>0</v>
      </c>
      <c r="J51" s="85">
        <f t="shared" si="14"/>
        <v>0</v>
      </c>
      <c r="K51" s="86">
        <f t="shared" si="14"/>
        <v>13185.7</v>
      </c>
    </row>
    <row r="52" spans="1:13" s="6" customFormat="1" ht="18.75" customHeight="1" thickBot="1" x14ac:dyDescent="0.3">
      <c r="A52" s="76" t="s">
        <v>9</v>
      </c>
      <c r="B52" s="60">
        <f t="shared" ref="B52:J52" si="15">SUM(B45:B51)</f>
        <v>85626</v>
      </c>
      <c r="C52" s="60">
        <f t="shared" si="15"/>
        <v>59940.59</v>
      </c>
      <c r="D52" s="60">
        <f t="shared" si="15"/>
        <v>228431</v>
      </c>
      <c r="E52" s="60">
        <f t="shared" si="15"/>
        <v>265581</v>
      </c>
      <c r="F52" s="60">
        <f t="shared" si="15"/>
        <v>131800</v>
      </c>
      <c r="G52" s="60">
        <f t="shared" si="15"/>
        <v>131800</v>
      </c>
      <c r="H52" s="60">
        <f t="shared" si="15"/>
        <v>0</v>
      </c>
      <c r="I52" s="60">
        <f t="shared" si="15"/>
        <v>0</v>
      </c>
      <c r="J52" s="60">
        <f t="shared" si="15"/>
        <v>445857</v>
      </c>
      <c r="K52" s="78">
        <f>SUM(K45:K51)</f>
        <v>457321.59</v>
      </c>
      <c r="M52" s="104"/>
    </row>
    <row r="53" spans="1:13" s="13" customFormat="1" ht="13.5" customHeight="1" thickBot="1" x14ac:dyDescent="0.25">
      <c r="A53" s="311" t="s">
        <v>32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</row>
    <row r="54" spans="1:13" s="13" customFormat="1" ht="24" customHeight="1" x14ac:dyDescent="0.25">
      <c r="A54" s="65" t="s">
        <v>33</v>
      </c>
      <c r="B54" s="79">
        <v>45000</v>
      </c>
      <c r="C54" s="80">
        <v>45000</v>
      </c>
      <c r="D54" s="79">
        <v>0</v>
      </c>
      <c r="E54" s="80">
        <v>0</v>
      </c>
      <c r="F54" s="79">
        <v>0</v>
      </c>
      <c r="G54" s="80">
        <v>0</v>
      </c>
      <c r="H54" s="79">
        <v>0</v>
      </c>
      <c r="I54" s="80">
        <v>0</v>
      </c>
      <c r="J54" s="81">
        <f>B54+D54+F54+H54</f>
        <v>45000</v>
      </c>
      <c r="K54" s="82">
        <f>C54+E54+G54+I54</f>
        <v>45000</v>
      </c>
    </row>
    <row r="55" spans="1:13" s="13" customFormat="1" ht="24" customHeight="1" x14ac:dyDescent="0.25">
      <c r="A55" s="65" t="s">
        <v>34</v>
      </c>
      <c r="B55" s="83">
        <v>0</v>
      </c>
      <c r="C55" s="84">
        <v>0</v>
      </c>
      <c r="D55" s="83">
        <v>5500</v>
      </c>
      <c r="E55" s="84">
        <v>5500</v>
      </c>
      <c r="F55" s="83">
        <v>25000</v>
      </c>
      <c r="G55" s="84">
        <v>25000</v>
      </c>
      <c r="H55" s="83">
        <v>0</v>
      </c>
      <c r="I55" s="84">
        <v>0</v>
      </c>
      <c r="J55" s="85">
        <f t="shared" ref="J55:K75" si="16">B55+D55+F55+H55</f>
        <v>30500</v>
      </c>
      <c r="K55" s="86">
        <f>C55+E55+G55+I55</f>
        <v>30500</v>
      </c>
    </row>
    <row r="56" spans="1:13" s="13" customFormat="1" ht="24" customHeight="1" x14ac:dyDescent="0.25">
      <c r="A56" s="65" t="s">
        <v>68</v>
      </c>
      <c r="B56" s="97">
        <v>2090</v>
      </c>
      <c r="C56" s="84">
        <v>0</v>
      </c>
      <c r="D56" s="83">
        <v>0</v>
      </c>
      <c r="E56" s="84">
        <v>2090</v>
      </c>
      <c r="F56" s="83">
        <v>26000</v>
      </c>
      <c r="G56" s="84">
        <v>26000</v>
      </c>
      <c r="H56" s="83">
        <v>27610</v>
      </c>
      <c r="I56" s="84">
        <v>27610</v>
      </c>
      <c r="J56" s="85">
        <f t="shared" si="16"/>
        <v>55700</v>
      </c>
      <c r="K56" s="86">
        <f t="shared" si="16"/>
        <v>55700</v>
      </c>
    </row>
    <row r="57" spans="1:13" s="13" customFormat="1" ht="31.5" x14ac:dyDescent="0.25">
      <c r="A57" s="65" t="s">
        <v>36</v>
      </c>
      <c r="B57" s="83">
        <v>31098</v>
      </c>
      <c r="C57" s="84">
        <v>31098</v>
      </c>
      <c r="D57" s="83">
        <v>19500</v>
      </c>
      <c r="E57" s="84">
        <v>19500</v>
      </c>
      <c r="F57" s="83">
        <v>0</v>
      </c>
      <c r="G57" s="84">
        <v>0</v>
      </c>
      <c r="H57" s="83">
        <v>0</v>
      </c>
      <c r="I57" s="84">
        <v>0</v>
      </c>
      <c r="J57" s="85">
        <f t="shared" si="16"/>
        <v>50598</v>
      </c>
      <c r="K57" s="86">
        <f t="shared" si="16"/>
        <v>50598</v>
      </c>
    </row>
    <row r="58" spans="1:13" s="13" customFormat="1" ht="31.5" x14ac:dyDescent="0.25">
      <c r="A58" s="65" t="s">
        <v>37</v>
      </c>
      <c r="B58" s="83">
        <v>5500</v>
      </c>
      <c r="C58" s="84">
        <v>0</v>
      </c>
      <c r="D58" s="83">
        <v>0</v>
      </c>
      <c r="E58" s="84">
        <v>5500</v>
      </c>
      <c r="F58" s="83">
        <v>0</v>
      </c>
      <c r="G58" s="84">
        <v>0</v>
      </c>
      <c r="H58" s="83">
        <v>0</v>
      </c>
      <c r="I58" s="84">
        <v>0</v>
      </c>
      <c r="J58" s="85">
        <f>B58+D58+F58+H58</f>
        <v>5500</v>
      </c>
      <c r="K58" s="86">
        <f>C58+E58+G58+I58</f>
        <v>5500</v>
      </c>
    </row>
    <row r="59" spans="1:13" s="13" customFormat="1" ht="24" customHeight="1" x14ac:dyDescent="0.25">
      <c r="A59" s="65" t="s">
        <v>38</v>
      </c>
      <c r="B59" s="83">
        <v>20571</v>
      </c>
      <c r="C59" s="84">
        <v>10571</v>
      </c>
      <c r="D59" s="83">
        <v>113428</v>
      </c>
      <c r="E59" s="84">
        <v>113428</v>
      </c>
      <c r="F59" s="83">
        <v>42000</v>
      </c>
      <c r="G59" s="84">
        <v>52000</v>
      </c>
      <c r="H59" s="83">
        <v>0</v>
      </c>
      <c r="I59" s="84">
        <v>0</v>
      </c>
      <c r="J59" s="85">
        <f t="shared" si="16"/>
        <v>175999</v>
      </c>
      <c r="K59" s="86">
        <f t="shared" si="16"/>
        <v>175999</v>
      </c>
    </row>
    <row r="60" spans="1:13" s="13" customFormat="1" ht="24" customHeight="1" x14ac:dyDescent="0.25">
      <c r="A60" s="65" t="s">
        <v>39</v>
      </c>
      <c r="B60" s="83">
        <v>51000</v>
      </c>
      <c r="C60" s="84">
        <f>51000+2656</f>
        <v>53656</v>
      </c>
      <c r="D60" s="83">
        <v>0</v>
      </c>
      <c r="E60" s="84">
        <v>0</v>
      </c>
      <c r="F60" s="83">
        <v>0</v>
      </c>
      <c r="G60" s="84">
        <v>0</v>
      </c>
      <c r="H60" s="83">
        <v>0</v>
      </c>
      <c r="I60" s="84">
        <v>0</v>
      </c>
      <c r="J60" s="85">
        <f t="shared" si="16"/>
        <v>51000</v>
      </c>
      <c r="K60" s="86">
        <f t="shared" si="16"/>
        <v>53656</v>
      </c>
    </row>
    <row r="61" spans="1:13" s="13" customFormat="1" ht="24" customHeight="1" x14ac:dyDescent="0.25">
      <c r="A61" s="65" t="s">
        <v>40</v>
      </c>
      <c r="B61" s="83">
        <v>3300</v>
      </c>
      <c r="C61" s="84">
        <v>0</v>
      </c>
      <c r="D61" s="83">
        <v>0</v>
      </c>
      <c r="E61" s="84">
        <v>25000</v>
      </c>
      <c r="F61" s="83">
        <v>0</v>
      </c>
      <c r="G61" s="84">
        <v>0</v>
      </c>
      <c r="H61" s="83">
        <v>0</v>
      </c>
      <c r="I61" s="84">
        <v>0</v>
      </c>
      <c r="J61" s="85">
        <f t="shared" si="16"/>
        <v>3300</v>
      </c>
      <c r="K61" s="86">
        <f>C61+E61+G61+I61</f>
        <v>25000</v>
      </c>
    </row>
    <row r="62" spans="1:13" s="13" customFormat="1" ht="34.5" customHeight="1" x14ac:dyDescent="0.25">
      <c r="A62" s="65" t="s">
        <v>41</v>
      </c>
      <c r="B62" s="83">
        <v>10000</v>
      </c>
      <c r="C62" s="84">
        <v>0</v>
      </c>
      <c r="D62" s="83">
        <v>28000</v>
      </c>
      <c r="E62" s="84">
        <v>20250</v>
      </c>
      <c r="F62" s="83">
        <v>0</v>
      </c>
      <c r="G62" s="84">
        <v>17750</v>
      </c>
      <c r="H62" s="83">
        <v>0</v>
      </c>
      <c r="I62" s="84">
        <v>0</v>
      </c>
      <c r="J62" s="85">
        <f t="shared" si="16"/>
        <v>38000</v>
      </c>
      <c r="K62" s="86">
        <f t="shared" si="16"/>
        <v>38000</v>
      </c>
    </row>
    <row r="63" spans="1:13" s="13" customFormat="1" ht="24" customHeight="1" x14ac:dyDescent="0.25">
      <c r="A63" s="65" t="s">
        <v>42</v>
      </c>
      <c r="B63" s="83">
        <v>27200</v>
      </c>
      <c r="C63" s="84">
        <v>57200</v>
      </c>
      <c r="D63" s="83">
        <v>500</v>
      </c>
      <c r="E63" s="84">
        <v>500</v>
      </c>
      <c r="F63" s="83">
        <v>0</v>
      </c>
      <c r="G63" s="84">
        <v>0</v>
      </c>
      <c r="H63" s="83">
        <v>0</v>
      </c>
      <c r="I63" s="84">
        <v>0</v>
      </c>
      <c r="J63" s="85">
        <f t="shared" si="16"/>
        <v>27700</v>
      </c>
      <c r="K63" s="86">
        <f t="shared" si="16"/>
        <v>57700</v>
      </c>
    </row>
    <row r="64" spans="1:13" s="13" customFormat="1" ht="24" customHeight="1" x14ac:dyDescent="0.25">
      <c r="A64" s="65" t="s">
        <v>43</v>
      </c>
      <c r="B64" s="83">
        <v>25700</v>
      </c>
      <c r="C64" s="84">
        <v>30678.01</v>
      </c>
      <c r="D64" s="83">
        <v>0</v>
      </c>
      <c r="E64" s="84">
        <v>0</v>
      </c>
      <c r="F64" s="83">
        <v>0</v>
      </c>
      <c r="G64" s="84">
        <v>0</v>
      </c>
      <c r="H64" s="83">
        <v>0</v>
      </c>
      <c r="I64" s="84">
        <v>0</v>
      </c>
      <c r="J64" s="85">
        <f t="shared" si="16"/>
        <v>25700</v>
      </c>
      <c r="K64" s="86">
        <f t="shared" si="16"/>
        <v>30678.01</v>
      </c>
    </row>
    <row r="65" spans="1:13" s="13" customFormat="1" ht="24" customHeight="1" x14ac:dyDescent="0.25">
      <c r="A65" s="65" t="s">
        <v>44</v>
      </c>
      <c r="B65" s="83">
        <v>40000</v>
      </c>
      <c r="C65" s="84">
        <v>40000</v>
      </c>
      <c r="D65" s="83">
        <v>0</v>
      </c>
      <c r="E65" s="84">
        <v>0</v>
      </c>
      <c r="F65" s="83">
        <v>0</v>
      </c>
      <c r="G65" s="84">
        <v>0</v>
      </c>
      <c r="H65" s="83">
        <v>0</v>
      </c>
      <c r="I65" s="84">
        <v>0</v>
      </c>
      <c r="J65" s="85">
        <f t="shared" si="16"/>
        <v>40000</v>
      </c>
      <c r="K65" s="86">
        <f t="shared" si="16"/>
        <v>40000</v>
      </c>
    </row>
    <row r="66" spans="1:13" s="13" customFormat="1" ht="24" customHeight="1" x14ac:dyDescent="0.25">
      <c r="A66" s="65" t="s">
        <v>45</v>
      </c>
      <c r="B66" s="83">
        <v>500</v>
      </c>
      <c r="C66" s="84">
        <v>500</v>
      </c>
      <c r="D66" s="83">
        <v>50639</v>
      </c>
      <c r="E66" s="84">
        <v>25639</v>
      </c>
      <c r="F66" s="83">
        <v>0</v>
      </c>
      <c r="G66" s="84">
        <v>25000</v>
      </c>
      <c r="H66" s="83">
        <v>0</v>
      </c>
      <c r="I66" s="84">
        <v>0</v>
      </c>
      <c r="J66" s="85">
        <f t="shared" si="16"/>
        <v>51139</v>
      </c>
      <c r="K66" s="86">
        <f t="shared" si="16"/>
        <v>51139</v>
      </c>
    </row>
    <row r="67" spans="1:13" s="13" customFormat="1" ht="24" customHeight="1" x14ac:dyDescent="0.25">
      <c r="A67" s="65" t="s">
        <v>46</v>
      </c>
      <c r="B67" s="83">
        <v>6200</v>
      </c>
      <c r="C67" s="84">
        <v>6200</v>
      </c>
      <c r="D67" s="83">
        <v>0</v>
      </c>
      <c r="E67" s="84">
        <v>0</v>
      </c>
      <c r="F67" s="83">
        <v>0</v>
      </c>
      <c r="G67" s="84">
        <v>0</v>
      </c>
      <c r="H67" s="83">
        <v>0</v>
      </c>
      <c r="I67" s="84">
        <v>0</v>
      </c>
      <c r="J67" s="85">
        <f t="shared" si="16"/>
        <v>6200</v>
      </c>
      <c r="K67" s="86">
        <f t="shared" si="16"/>
        <v>6200</v>
      </c>
    </row>
    <row r="68" spans="1:13" s="13" customFormat="1" ht="24" customHeight="1" x14ac:dyDescent="0.25">
      <c r="A68" s="65" t="s">
        <v>69</v>
      </c>
      <c r="B68" s="83">
        <v>11064.91</v>
      </c>
      <c r="C68" s="84">
        <v>28.6</v>
      </c>
      <c r="D68" s="83">
        <v>0</v>
      </c>
      <c r="E68" s="84">
        <v>11036.31</v>
      </c>
      <c r="F68" s="83">
        <v>100000</v>
      </c>
      <c r="G68" s="84">
        <v>0</v>
      </c>
      <c r="H68" s="83">
        <v>100000</v>
      </c>
      <c r="I68" s="84">
        <v>0</v>
      </c>
      <c r="J68" s="85">
        <f t="shared" si="16"/>
        <v>211064.91</v>
      </c>
      <c r="K68" s="86">
        <f>C68+E68+G68+I68</f>
        <v>11064.91</v>
      </c>
    </row>
    <row r="69" spans="1:13" s="13" customFormat="1" ht="24" customHeight="1" x14ac:dyDescent="0.25">
      <c r="A69" s="65" t="s">
        <v>80</v>
      </c>
      <c r="B69" s="83">
        <v>1500</v>
      </c>
      <c r="C69" s="84">
        <v>350</v>
      </c>
      <c r="D69" s="83">
        <v>12850</v>
      </c>
      <c r="E69" s="84">
        <v>14000</v>
      </c>
      <c r="F69" s="83">
        <v>0</v>
      </c>
      <c r="G69" s="84">
        <v>0</v>
      </c>
      <c r="H69" s="83">
        <v>0</v>
      </c>
      <c r="I69" s="84">
        <v>0</v>
      </c>
      <c r="J69" s="85">
        <f t="shared" si="16"/>
        <v>14350</v>
      </c>
      <c r="K69" s="86">
        <f>C69+E69+G69+I69</f>
        <v>14350</v>
      </c>
    </row>
    <row r="70" spans="1:13" s="13" customFormat="1" ht="34.5" customHeight="1" x14ac:dyDescent="0.25">
      <c r="A70" s="65" t="s">
        <v>81</v>
      </c>
      <c r="B70" s="83">
        <v>0</v>
      </c>
      <c r="C70" s="84">
        <v>0</v>
      </c>
      <c r="D70" s="83">
        <v>11420</v>
      </c>
      <c r="E70" s="84">
        <v>11420</v>
      </c>
      <c r="F70" s="83">
        <v>0</v>
      </c>
      <c r="G70" s="84">
        <v>0</v>
      </c>
      <c r="H70" s="83">
        <v>0</v>
      </c>
      <c r="I70" s="84">
        <v>0</v>
      </c>
      <c r="J70" s="85">
        <f t="shared" si="16"/>
        <v>11420</v>
      </c>
      <c r="K70" s="86">
        <f t="shared" si="16"/>
        <v>11420</v>
      </c>
    </row>
    <row r="71" spans="1:13" s="13" customFormat="1" ht="15" customHeight="1" x14ac:dyDescent="0.25">
      <c r="A71" s="65" t="s">
        <v>88</v>
      </c>
      <c r="B71" s="83">
        <v>0</v>
      </c>
      <c r="C71" s="84">
        <v>0</v>
      </c>
      <c r="D71" s="83">
        <v>60500</v>
      </c>
      <c r="E71" s="84">
        <v>50000</v>
      </c>
      <c r="F71" s="83">
        <v>0</v>
      </c>
      <c r="G71" s="84">
        <v>20500</v>
      </c>
      <c r="H71" s="83">
        <v>0</v>
      </c>
      <c r="I71" s="84">
        <v>0</v>
      </c>
      <c r="J71" s="85">
        <f t="shared" si="16"/>
        <v>60500</v>
      </c>
      <c r="K71" s="86">
        <f t="shared" si="16"/>
        <v>70500</v>
      </c>
    </row>
    <row r="72" spans="1:13" s="13" customFormat="1" ht="24" customHeight="1" x14ac:dyDescent="0.25">
      <c r="A72" s="65" t="s">
        <v>89</v>
      </c>
      <c r="B72" s="83">
        <v>9120</v>
      </c>
      <c r="C72" s="84">
        <v>9120</v>
      </c>
      <c r="D72" s="83">
        <v>0</v>
      </c>
      <c r="E72" s="84">
        <v>0</v>
      </c>
      <c r="F72" s="83">
        <v>0</v>
      </c>
      <c r="G72" s="84">
        <v>0</v>
      </c>
      <c r="H72" s="83">
        <v>0</v>
      </c>
      <c r="I72" s="84">
        <v>0</v>
      </c>
      <c r="J72" s="85">
        <f t="shared" si="16"/>
        <v>9120</v>
      </c>
      <c r="K72" s="86">
        <f t="shared" si="16"/>
        <v>9120</v>
      </c>
    </row>
    <row r="73" spans="1:13" s="13" customFormat="1" ht="24" customHeight="1" x14ac:dyDescent="0.25">
      <c r="A73" s="65" t="s">
        <v>90</v>
      </c>
      <c r="B73" s="83">
        <v>1500</v>
      </c>
      <c r="C73" s="84">
        <v>127.05</v>
      </c>
      <c r="D73" s="83">
        <v>20000</v>
      </c>
      <c r="E73" s="84">
        <v>21372.95</v>
      </c>
      <c r="F73" s="83">
        <v>0</v>
      </c>
      <c r="G73" s="84">
        <v>0</v>
      </c>
      <c r="H73" s="83">
        <v>0</v>
      </c>
      <c r="I73" s="84">
        <v>0</v>
      </c>
      <c r="J73" s="85">
        <f t="shared" si="16"/>
        <v>21500</v>
      </c>
      <c r="K73" s="86">
        <f t="shared" si="16"/>
        <v>21500</v>
      </c>
    </row>
    <row r="74" spans="1:13" s="13" customFormat="1" ht="24" customHeight="1" x14ac:dyDescent="0.25">
      <c r="A74" s="98" t="s">
        <v>91</v>
      </c>
      <c r="B74" s="109">
        <v>23000</v>
      </c>
      <c r="C74" s="84">
        <v>23000</v>
      </c>
      <c r="D74" s="109">
        <v>0</v>
      </c>
      <c r="E74" s="84">
        <v>2000</v>
      </c>
      <c r="F74" s="109">
        <v>0</v>
      </c>
      <c r="G74" s="84">
        <v>0</v>
      </c>
      <c r="H74" s="109">
        <v>0</v>
      </c>
      <c r="I74" s="84">
        <v>0</v>
      </c>
      <c r="J74" s="85">
        <f t="shared" si="16"/>
        <v>23000</v>
      </c>
      <c r="K74" s="86">
        <f t="shared" si="16"/>
        <v>25000</v>
      </c>
    </row>
    <row r="75" spans="1:13" s="13" customFormat="1" ht="24" customHeight="1" thickBot="1" x14ac:dyDescent="0.3">
      <c r="A75" s="99" t="s">
        <v>131</v>
      </c>
      <c r="B75" s="102">
        <v>0</v>
      </c>
      <c r="C75" s="103">
        <v>7949.67</v>
      </c>
      <c r="D75" s="102">
        <v>0</v>
      </c>
      <c r="E75" s="103">
        <v>0</v>
      </c>
      <c r="F75" s="102">
        <v>0</v>
      </c>
      <c r="G75" s="103">
        <v>0</v>
      </c>
      <c r="H75" s="102">
        <v>0</v>
      </c>
      <c r="I75" s="103">
        <v>0</v>
      </c>
      <c r="J75" s="111">
        <f t="shared" si="16"/>
        <v>0</v>
      </c>
      <c r="K75" s="96">
        <f t="shared" si="16"/>
        <v>7949.67</v>
      </c>
    </row>
    <row r="76" spans="1:13" s="6" customFormat="1" ht="15" customHeight="1" thickBot="1" x14ac:dyDescent="0.3">
      <c r="A76" s="76" t="s">
        <v>47</v>
      </c>
      <c r="B76" s="60">
        <f t="shared" ref="B76:J76" si="17">SUM(B54:B75)</f>
        <v>314343.90999999997</v>
      </c>
      <c r="C76" s="77">
        <f t="shared" si="17"/>
        <v>315478.32999999996</v>
      </c>
      <c r="D76" s="60">
        <f t="shared" si="17"/>
        <v>322337</v>
      </c>
      <c r="E76" s="77">
        <f t="shared" si="17"/>
        <v>327236.26</v>
      </c>
      <c r="F76" s="60">
        <f t="shared" si="17"/>
        <v>193000</v>
      </c>
      <c r="G76" s="77">
        <f t="shared" si="17"/>
        <v>166250</v>
      </c>
      <c r="H76" s="60">
        <f t="shared" si="17"/>
        <v>127610</v>
      </c>
      <c r="I76" s="77">
        <f t="shared" si="17"/>
        <v>27610</v>
      </c>
      <c r="J76" s="60">
        <f t="shared" si="17"/>
        <v>957290.91</v>
      </c>
      <c r="K76" s="78">
        <f>SUM(K54:K75)</f>
        <v>836574.59000000008</v>
      </c>
      <c r="M76" s="104"/>
    </row>
    <row r="77" spans="1:13" s="13" customFormat="1" ht="15.75" customHeight="1" thickBot="1" x14ac:dyDescent="0.25">
      <c r="A77" s="311" t="s">
        <v>133</v>
      </c>
      <c r="B77" s="312"/>
      <c r="C77" s="312"/>
      <c r="D77" s="312"/>
      <c r="E77" s="312"/>
      <c r="F77" s="312"/>
      <c r="G77" s="312"/>
      <c r="H77" s="312"/>
      <c r="I77" s="312"/>
      <c r="J77" s="312"/>
      <c r="K77" s="312"/>
    </row>
    <row r="78" spans="1:13" s="13" customFormat="1" ht="24" customHeight="1" x14ac:dyDescent="0.25">
      <c r="A78" s="65" t="s">
        <v>49</v>
      </c>
      <c r="B78" s="79">
        <v>41000</v>
      </c>
      <c r="C78" s="80">
        <v>10000</v>
      </c>
      <c r="D78" s="79">
        <v>0</v>
      </c>
      <c r="E78" s="80">
        <v>50000</v>
      </c>
      <c r="F78" s="79">
        <v>0</v>
      </c>
      <c r="G78" s="80">
        <v>45000</v>
      </c>
      <c r="H78" s="79">
        <v>0</v>
      </c>
      <c r="I78" s="80">
        <v>0</v>
      </c>
      <c r="J78" s="81">
        <f>B78+D78+F78+H78</f>
        <v>41000</v>
      </c>
      <c r="K78" s="82">
        <f>C78+E78+G78+I78</f>
        <v>105000</v>
      </c>
    </row>
    <row r="79" spans="1:13" s="13" customFormat="1" ht="24" customHeight="1" x14ac:dyDescent="0.25">
      <c r="A79" s="65" t="s">
        <v>50</v>
      </c>
      <c r="B79" s="83">
        <v>15000</v>
      </c>
      <c r="C79" s="84">
        <v>234</v>
      </c>
      <c r="D79" s="83">
        <v>119416</v>
      </c>
      <c r="E79" s="84">
        <f>119416+15000-234</f>
        <v>134182</v>
      </c>
      <c r="F79" s="83">
        <v>50000</v>
      </c>
      <c r="G79" s="84">
        <v>50000</v>
      </c>
      <c r="H79" s="83">
        <v>0</v>
      </c>
      <c r="I79" s="84">
        <v>0</v>
      </c>
      <c r="J79" s="85">
        <f t="shared" ref="J79:K86" si="18">B79+D79+F79+H79</f>
        <v>184416</v>
      </c>
      <c r="K79" s="86">
        <f t="shared" si="18"/>
        <v>184416</v>
      </c>
    </row>
    <row r="80" spans="1:13" s="13" customFormat="1" ht="24" customHeight="1" x14ac:dyDescent="0.25">
      <c r="A80" s="65" t="s">
        <v>51</v>
      </c>
      <c r="B80" s="83">
        <v>2000</v>
      </c>
      <c r="C80" s="84">
        <f>2000-900</f>
        <v>1100</v>
      </c>
      <c r="D80" s="83">
        <v>22000</v>
      </c>
      <c r="E80" s="84">
        <f>22000+900</f>
        <v>22900</v>
      </c>
      <c r="F80" s="83">
        <v>0</v>
      </c>
      <c r="G80" s="84">
        <v>0</v>
      </c>
      <c r="H80" s="83">
        <v>0</v>
      </c>
      <c r="I80" s="84">
        <v>0</v>
      </c>
      <c r="J80" s="85">
        <f t="shared" si="18"/>
        <v>24000</v>
      </c>
      <c r="K80" s="86">
        <f t="shared" si="18"/>
        <v>24000</v>
      </c>
    </row>
    <row r="81" spans="1:13" s="13" customFormat="1" ht="24" customHeight="1" x14ac:dyDescent="0.25">
      <c r="A81" s="65" t="s">
        <v>52</v>
      </c>
      <c r="B81" s="83">
        <f>1000+2500</f>
        <v>3500</v>
      </c>
      <c r="C81" s="84">
        <v>0</v>
      </c>
      <c r="D81" s="83">
        <v>30000</v>
      </c>
      <c r="E81" s="84">
        <v>0</v>
      </c>
      <c r="F81" s="83">
        <v>0</v>
      </c>
      <c r="G81" s="84">
        <v>0</v>
      </c>
      <c r="H81" s="83">
        <v>0</v>
      </c>
      <c r="I81" s="84">
        <v>0</v>
      </c>
      <c r="J81" s="85">
        <f t="shared" si="18"/>
        <v>33500</v>
      </c>
      <c r="K81" s="86">
        <f t="shared" si="18"/>
        <v>0</v>
      </c>
    </row>
    <row r="82" spans="1:13" s="13" customFormat="1" ht="24" customHeight="1" x14ac:dyDescent="0.25">
      <c r="A82" s="71" t="s">
        <v>97</v>
      </c>
      <c r="B82" s="109">
        <v>21700</v>
      </c>
      <c r="C82" s="84">
        <v>21700</v>
      </c>
      <c r="D82" s="109">
        <v>0</v>
      </c>
      <c r="E82" s="84">
        <v>0</v>
      </c>
      <c r="F82" s="109">
        <v>0</v>
      </c>
      <c r="G82" s="84">
        <v>0</v>
      </c>
      <c r="H82" s="109">
        <v>0</v>
      </c>
      <c r="I82" s="84">
        <v>0</v>
      </c>
      <c r="J82" s="85">
        <f t="shared" si="18"/>
        <v>21700</v>
      </c>
      <c r="K82" s="86">
        <f t="shared" si="18"/>
        <v>21700</v>
      </c>
    </row>
    <row r="83" spans="1:13" s="13" customFormat="1" ht="24" customHeight="1" x14ac:dyDescent="0.25">
      <c r="A83" s="71" t="s">
        <v>139</v>
      </c>
      <c r="B83" s="112">
        <v>0</v>
      </c>
      <c r="C83" s="103">
        <v>22241.64</v>
      </c>
      <c r="D83" s="112">
        <v>0</v>
      </c>
      <c r="E83" s="103">
        <v>0</v>
      </c>
      <c r="F83" s="112">
        <v>0</v>
      </c>
      <c r="G83" s="103">
        <v>0</v>
      </c>
      <c r="H83" s="112">
        <v>0</v>
      </c>
      <c r="I83" s="103">
        <v>0</v>
      </c>
      <c r="J83" s="111">
        <f t="shared" si="18"/>
        <v>0</v>
      </c>
      <c r="K83" s="96">
        <f t="shared" si="18"/>
        <v>22241.64</v>
      </c>
    </row>
    <row r="84" spans="1:13" s="13" customFormat="1" ht="24" customHeight="1" x14ac:dyDescent="0.25">
      <c r="A84" s="71" t="s">
        <v>141</v>
      </c>
      <c r="B84" s="109">
        <v>0</v>
      </c>
      <c r="C84" s="84">
        <v>20898.27</v>
      </c>
      <c r="D84" s="109">
        <v>0</v>
      </c>
      <c r="E84" s="84">
        <v>0</v>
      </c>
      <c r="F84" s="109">
        <v>0</v>
      </c>
      <c r="G84" s="84">
        <v>0</v>
      </c>
      <c r="H84" s="109">
        <v>0</v>
      </c>
      <c r="I84" s="84">
        <v>0</v>
      </c>
      <c r="J84" s="85">
        <f t="shared" si="18"/>
        <v>0</v>
      </c>
      <c r="K84" s="86">
        <f t="shared" si="18"/>
        <v>20898.27</v>
      </c>
    </row>
    <row r="85" spans="1:13" s="13" customFormat="1" ht="24" customHeight="1" x14ac:dyDescent="0.25">
      <c r="A85" s="71" t="s">
        <v>143</v>
      </c>
      <c r="B85" s="109">
        <v>0</v>
      </c>
      <c r="C85" s="84">
        <v>28727.64</v>
      </c>
      <c r="D85" s="109">
        <v>0</v>
      </c>
      <c r="E85" s="84">
        <v>0</v>
      </c>
      <c r="F85" s="109">
        <v>0</v>
      </c>
      <c r="G85" s="84">
        <v>0</v>
      </c>
      <c r="H85" s="109">
        <v>0</v>
      </c>
      <c r="I85" s="84">
        <v>0</v>
      </c>
      <c r="J85" s="85">
        <f t="shared" si="18"/>
        <v>0</v>
      </c>
      <c r="K85" s="86">
        <f t="shared" si="18"/>
        <v>28727.64</v>
      </c>
    </row>
    <row r="86" spans="1:13" s="13" customFormat="1" ht="24" customHeight="1" x14ac:dyDescent="0.25">
      <c r="A86" s="98" t="s">
        <v>145</v>
      </c>
      <c r="B86" s="109">
        <v>0</v>
      </c>
      <c r="C86" s="84">
        <v>11437.7</v>
      </c>
      <c r="D86" s="109">
        <v>0</v>
      </c>
      <c r="E86" s="84">
        <v>0</v>
      </c>
      <c r="F86" s="109">
        <v>0</v>
      </c>
      <c r="G86" s="84">
        <v>0</v>
      </c>
      <c r="H86" s="109">
        <v>0</v>
      </c>
      <c r="I86" s="84">
        <v>0</v>
      </c>
      <c r="J86" s="85">
        <f t="shared" si="18"/>
        <v>0</v>
      </c>
      <c r="K86" s="86">
        <f t="shared" si="18"/>
        <v>11437.7</v>
      </c>
    </row>
    <row r="87" spans="1:13" s="13" customFormat="1" ht="24" customHeight="1" thickBot="1" x14ac:dyDescent="0.3">
      <c r="A87" s="99" t="s">
        <v>147</v>
      </c>
      <c r="B87" s="113">
        <v>0</v>
      </c>
      <c r="C87" s="114">
        <v>11567.78</v>
      </c>
      <c r="D87" s="115">
        <v>0</v>
      </c>
      <c r="E87" s="116">
        <v>0</v>
      </c>
      <c r="F87" s="115">
        <v>0</v>
      </c>
      <c r="G87" s="116">
        <v>0</v>
      </c>
      <c r="H87" s="115">
        <v>0</v>
      </c>
      <c r="I87" s="116">
        <v>0</v>
      </c>
      <c r="J87" s="117">
        <f>B87+D87+F87+H87</f>
        <v>0</v>
      </c>
      <c r="K87" s="118">
        <f>C87+E87+G87+I87</f>
        <v>11567.78</v>
      </c>
    </row>
    <row r="88" spans="1:13" s="6" customFormat="1" ht="15" customHeight="1" thickBot="1" x14ac:dyDescent="0.3">
      <c r="A88" s="76" t="s">
        <v>53</v>
      </c>
      <c r="B88" s="60">
        <f t="shared" ref="B88:J88" si="19">SUM(B78:B87)</f>
        <v>83200</v>
      </c>
      <c r="C88" s="60">
        <f t="shared" si="19"/>
        <v>127907.03</v>
      </c>
      <c r="D88" s="60">
        <f t="shared" si="19"/>
        <v>171416</v>
      </c>
      <c r="E88" s="60">
        <f t="shared" si="19"/>
        <v>207082</v>
      </c>
      <c r="F88" s="60">
        <f t="shared" si="19"/>
        <v>50000</v>
      </c>
      <c r="G88" s="60">
        <f t="shared" si="19"/>
        <v>95000</v>
      </c>
      <c r="H88" s="60">
        <f t="shared" si="19"/>
        <v>0</v>
      </c>
      <c r="I88" s="60">
        <f t="shared" si="19"/>
        <v>0</v>
      </c>
      <c r="J88" s="60">
        <f t="shared" si="19"/>
        <v>304616</v>
      </c>
      <c r="K88" s="60">
        <f>SUM(K78:K87)</f>
        <v>429989.03000000009</v>
      </c>
      <c r="M88" s="104"/>
    </row>
    <row r="89" spans="1:13" s="6" customFormat="1" ht="36" customHeight="1" thickBot="1" x14ac:dyDescent="0.3">
      <c r="A89" s="91" t="s">
        <v>54</v>
      </c>
      <c r="B89" s="92">
        <f t="shared" ref="B89:J89" si="20">B88+B76+B52+B43+B38</f>
        <v>536889.90999999992</v>
      </c>
      <c r="C89" s="93">
        <f t="shared" si="20"/>
        <v>523421.04999999993</v>
      </c>
      <c r="D89" s="92">
        <f t="shared" si="20"/>
        <v>993570</v>
      </c>
      <c r="E89" s="93">
        <f t="shared" si="20"/>
        <v>1060285.26</v>
      </c>
      <c r="F89" s="92">
        <f t="shared" si="20"/>
        <v>832277</v>
      </c>
      <c r="G89" s="93">
        <f t="shared" si="20"/>
        <v>895151.9</v>
      </c>
      <c r="H89" s="92">
        <f t="shared" si="20"/>
        <v>196320</v>
      </c>
      <c r="I89" s="93">
        <f t="shared" si="20"/>
        <v>96320</v>
      </c>
      <c r="J89" s="92">
        <f t="shared" si="20"/>
        <v>2559056.91</v>
      </c>
      <c r="K89" s="93">
        <f>K88+K76+K52+K43+K38</f>
        <v>2575178.21</v>
      </c>
    </row>
    <row r="90" spans="1:13" s="6" customFormat="1" ht="13.5" thickBot="1" x14ac:dyDescent="0.3">
      <c r="A90" s="17"/>
      <c r="B90" s="94"/>
      <c r="C90" s="94"/>
      <c r="D90" s="94"/>
      <c r="E90" s="94"/>
      <c r="F90" s="94"/>
      <c r="G90" s="94"/>
      <c r="H90" s="94"/>
      <c r="I90" s="94"/>
      <c r="J90" s="94"/>
      <c r="K90" s="119"/>
    </row>
    <row r="91" spans="1:13" s="6" customFormat="1" ht="36" customHeight="1" thickBot="1" x14ac:dyDescent="0.3">
      <c r="A91" s="91" t="s">
        <v>55</v>
      </c>
      <c r="B91" s="92">
        <f t="shared" ref="B91:J91" si="21">SUM(B18,B31,B89)</f>
        <v>590885.90999999992</v>
      </c>
      <c r="C91" s="93">
        <f t="shared" si="21"/>
        <v>559737.04999999993</v>
      </c>
      <c r="D91" s="92">
        <f t="shared" si="21"/>
        <v>1252942</v>
      </c>
      <c r="E91" s="93">
        <f t="shared" si="21"/>
        <v>1340076.26</v>
      </c>
      <c r="F91" s="92">
        <f t="shared" si="21"/>
        <v>959852</v>
      </c>
      <c r="G91" s="93">
        <f t="shared" si="21"/>
        <v>1003866.9</v>
      </c>
      <c r="H91" s="92">
        <f t="shared" si="21"/>
        <v>196320</v>
      </c>
      <c r="I91" s="93">
        <f t="shared" si="21"/>
        <v>96320</v>
      </c>
      <c r="J91" s="92">
        <f t="shared" si="21"/>
        <v>2999999.91</v>
      </c>
      <c r="K91" s="93">
        <f>SUM(K18,K31,K89)</f>
        <v>3000000.21</v>
      </c>
    </row>
  </sheetData>
  <autoFilter ref="A2:K91" xr:uid="{B48BC799-6257-4D0A-BAEA-055D98162FC7}"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mergeCells count="16">
    <mergeCell ref="A39:K39"/>
    <mergeCell ref="A44:K44"/>
    <mergeCell ref="A53:K53"/>
    <mergeCell ref="A77:K77"/>
    <mergeCell ref="A15:K15"/>
    <mergeCell ref="A20:K20"/>
    <mergeCell ref="A21:K21"/>
    <mergeCell ref="A26:K26"/>
    <mergeCell ref="A33:K33"/>
    <mergeCell ref="A34:K34"/>
    <mergeCell ref="A9:K9"/>
    <mergeCell ref="A1:K1"/>
    <mergeCell ref="A2:A3"/>
    <mergeCell ref="B2:K2"/>
    <mergeCell ref="A4:K4"/>
    <mergeCell ref="A5:K5"/>
  </mergeCells>
  <conditionalFormatting sqref="C6:C8">
    <cfRule type="cellIs" dxfId="1137" priority="191" operator="lessThan">
      <formula>B6</formula>
    </cfRule>
    <cfRule type="cellIs" dxfId="1136" priority="192" operator="greaterThan">
      <formula>B6</formula>
    </cfRule>
  </conditionalFormatting>
  <conditionalFormatting sqref="C10:C14">
    <cfRule type="cellIs" dxfId="1135" priority="171" operator="lessThan">
      <formula>B10</formula>
    </cfRule>
    <cfRule type="cellIs" dxfId="1134" priority="172" operator="greaterThan">
      <formula>B10</formula>
    </cfRule>
  </conditionalFormatting>
  <conditionalFormatting sqref="C16:C17">
    <cfRule type="cellIs" dxfId="1133" priority="163" operator="lessThan">
      <formula>B16</formula>
    </cfRule>
    <cfRule type="cellIs" dxfId="1132" priority="164" operator="greaterThan">
      <formula>B16</formula>
    </cfRule>
  </conditionalFormatting>
  <conditionalFormatting sqref="C22:C25">
    <cfRule type="cellIs" dxfId="1131" priority="141" operator="lessThan">
      <formula>B22</formula>
    </cfRule>
    <cfRule type="cellIs" dxfId="1130" priority="142" operator="greaterThan">
      <formula>B22</formula>
    </cfRule>
  </conditionalFormatting>
  <conditionalFormatting sqref="C27:C30">
    <cfRule type="cellIs" dxfId="1129" priority="129" operator="lessThan">
      <formula>B27</formula>
    </cfRule>
    <cfRule type="cellIs" dxfId="1128" priority="130" operator="greaterThan">
      <formula>B27</formula>
    </cfRule>
  </conditionalFormatting>
  <conditionalFormatting sqref="C35:C38">
    <cfRule type="cellIs" dxfId="1127" priority="109" operator="lessThan">
      <formula>B35</formula>
    </cfRule>
    <cfRule type="cellIs" dxfId="1126" priority="110" operator="greaterThan">
      <formula>B35</formula>
    </cfRule>
  </conditionalFormatting>
  <conditionalFormatting sqref="C40:C43">
    <cfRule type="cellIs" dxfId="1125" priority="89" operator="lessThan">
      <formula>B40</formula>
    </cfRule>
    <cfRule type="cellIs" dxfId="1124" priority="90" operator="greaterThan">
      <formula>B40</formula>
    </cfRule>
  </conditionalFormatting>
  <conditionalFormatting sqref="C45:C51">
    <cfRule type="cellIs" dxfId="1123" priority="11" operator="lessThan">
      <formula>B45</formula>
    </cfRule>
    <cfRule type="cellIs" dxfId="1122" priority="12" operator="greaterThan">
      <formula>B45</formula>
    </cfRule>
  </conditionalFormatting>
  <conditionalFormatting sqref="C54:C76">
    <cfRule type="cellIs" dxfId="1121" priority="15" operator="lessThan">
      <formula>B54</formula>
    </cfRule>
    <cfRule type="cellIs" dxfId="1120" priority="16" operator="greaterThan">
      <formula>B54</formula>
    </cfRule>
  </conditionalFormatting>
  <conditionalFormatting sqref="C78:C87">
    <cfRule type="cellIs" dxfId="1119" priority="23" operator="lessThan">
      <formula>B78</formula>
    </cfRule>
    <cfRule type="cellIs" dxfId="1118" priority="24" operator="greaterThan">
      <formula>B78</formula>
    </cfRule>
  </conditionalFormatting>
  <conditionalFormatting sqref="E6:E8">
    <cfRule type="cellIs" dxfId="1117" priority="189" operator="lessThan">
      <formula>D6</formula>
    </cfRule>
    <cfRule type="cellIs" dxfId="1116" priority="190" operator="greaterThan">
      <formula>D6</formula>
    </cfRule>
  </conditionalFormatting>
  <conditionalFormatting sqref="E10:E14 G10:G14 I10:I14 K10:K14">
    <cfRule type="cellIs" dxfId="1115" priority="167" operator="lessThan">
      <formula>D10</formula>
    </cfRule>
    <cfRule type="cellIs" dxfId="1114" priority="168" operator="greaterThan">
      <formula>D10</formula>
    </cfRule>
  </conditionalFormatting>
  <conditionalFormatting sqref="E16:E17 G16:G17 I16:I17 K16:K17">
    <cfRule type="cellIs" dxfId="1113" priority="159" operator="lessThan">
      <formula>D16</formula>
    </cfRule>
    <cfRule type="cellIs" dxfId="1112" priority="160" operator="greaterThan">
      <formula>D16</formula>
    </cfRule>
  </conditionalFormatting>
  <conditionalFormatting sqref="E22:E25 G22:G25 I22:I25 K22:K25">
    <cfRule type="cellIs" dxfId="1111" priority="139" operator="lessThan">
      <formula>D22</formula>
    </cfRule>
    <cfRule type="cellIs" dxfId="1110" priority="140" operator="greaterThan">
      <formula>D22</formula>
    </cfRule>
  </conditionalFormatting>
  <conditionalFormatting sqref="E27:E30 G27:G30 I27:I30 K27:K30">
    <cfRule type="cellIs" dxfId="1109" priority="119" operator="lessThan">
      <formula>D27</formula>
    </cfRule>
    <cfRule type="cellIs" dxfId="1108" priority="120" operator="greaterThan">
      <formula>D27</formula>
    </cfRule>
  </conditionalFormatting>
  <conditionalFormatting sqref="E35:E38 G35:G38 I35:I38">
    <cfRule type="cellIs" dxfId="1107" priority="99" operator="lessThan">
      <formula>D35</formula>
    </cfRule>
    <cfRule type="cellIs" dxfId="1106" priority="100" operator="greaterThan">
      <formula>D35</formula>
    </cfRule>
  </conditionalFormatting>
  <conditionalFormatting sqref="E40:E43 G40:G43 I40:I43">
    <cfRule type="cellIs" dxfId="1105" priority="79" operator="lessThan">
      <formula>D40</formula>
    </cfRule>
    <cfRule type="cellIs" dxfId="1104" priority="80" operator="greaterThan">
      <formula>D40</formula>
    </cfRule>
  </conditionalFormatting>
  <conditionalFormatting sqref="E45:E51">
    <cfRule type="cellIs" dxfId="1103" priority="7" operator="lessThan">
      <formula>D45</formula>
    </cfRule>
    <cfRule type="cellIs" dxfId="1102" priority="8" operator="greaterThan">
      <formula>D45</formula>
    </cfRule>
  </conditionalFormatting>
  <conditionalFormatting sqref="E54:E76 G54:G76 I54:I76 K54:K76">
    <cfRule type="cellIs" dxfId="1101" priority="13" operator="lessThan">
      <formula>D54</formula>
    </cfRule>
    <cfRule type="cellIs" dxfId="1100" priority="14" operator="greaterThan">
      <formula>D54</formula>
    </cfRule>
  </conditionalFormatting>
  <conditionalFormatting sqref="E78:E87 G78:G87 I78:I87">
    <cfRule type="cellIs" dxfId="1099" priority="21" operator="lessThan">
      <formula>D78</formula>
    </cfRule>
    <cfRule type="cellIs" dxfId="1098" priority="22" operator="greaterThan">
      <formula>D78</formula>
    </cfRule>
  </conditionalFormatting>
  <conditionalFormatting sqref="G6:G8">
    <cfRule type="cellIs" dxfId="1097" priority="187" operator="lessThan">
      <formula>F6</formula>
    </cfRule>
    <cfRule type="cellIs" dxfId="1096" priority="188" operator="greaterThan">
      <formula>F6</formula>
    </cfRule>
  </conditionalFormatting>
  <conditionalFormatting sqref="G45:G51">
    <cfRule type="cellIs" dxfId="1095" priority="5" operator="lessThan">
      <formula>F45</formula>
    </cfRule>
    <cfRule type="cellIs" dxfId="1094" priority="6" operator="greaterThan">
      <formula>F45</formula>
    </cfRule>
  </conditionalFormatting>
  <conditionalFormatting sqref="I6:I8">
    <cfRule type="cellIs" dxfId="1093" priority="185" operator="lessThan">
      <formula>H6</formula>
    </cfRule>
    <cfRule type="cellIs" dxfId="1092" priority="186" operator="greaterThan">
      <formula>H6</formula>
    </cfRule>
  </conditionalFormatting>
  <conditionalFormatting sqref="I45:I51">
    <cfRule type="cellIs" dxfId="1091" priority="3" operator="lessThan">
      <formula>H45</formula>
    </cfRule>
    <cfRule type="cellIs" dxfId="1090" priority="4" operator="greaterThan">
      <formula>H45</formula>
    </cfRule>
  </conditionalFormatting>
  <conditionalFormatting sqref="K6:K8">
    <cfRule type="cellIs" dxfId="1089" priority="183" operator="lessThan">
      <formula>J6</formula>
    </cfRule>
    <cfRule type="cellIs" dxfId="1088" priority="184" operator="greaterThan">
      <formula>J6</formula>
    </cfRule>
  </conditionalFormatting>
  <conditionalFormatting sqref="K35:K38">
    <cfRule type="cellIs" dxfId="1087" priority="101" operator="lessThan">
      <formula>J35</formula>
    </cfRule>
    <cfRule type="cellIs" dxfId="1086" priority="102" operator="greaterThan">
      <formula>J35</formula>
    </cfRule>
  </conditionalFormatting>
  <conditionalFormatting sqref="K40:K43">
    <cfRule type="cellIs" dxfId="1085" priority="81" operator="lessThan">
      <formula>J40</formula>
    </cfRule>
    <cfRule type="cellIs" dxfId="1084" priority="82" operator="greaterThan">
      <formula>J40</formula>
    </cfRule>
  </conditionalFormatting>
  <conditionalFormatting sqref="K45:K52">
    <cfRule type="cellIs" dxfId="1083" priority="1" operator="lessThan">
      <formula>J45</formula>
    </cfRule>
    <cfRule type="cellIs" dxfId="1082" priority="2" operator="greaterThan">
      <formula>J45</formula>
    </cfRule>
  </conditionalFormatting>
  <conditionalFormatting sqref="K78:K87">
    <cfRule type="cellIs" dxfId="1081" priority="25" operator="lessThan">
      <formula>J78</formula>
    </cfRule>
    <cfRule type="cellIs" dxfId="1080" priority="26" operator="greaterThan">
      <formula>J78</formula>
    </cfRule>
  </conditionalFormatting>
  <pageMargins left="0.23622047244094491" right="0.23622047244094491" top="0" bottom="0" header="0.31496062992125984" footer="0.31496062992125984"/>
  <pageSetup paperSize="8" firstPageNumber="8" fitToHeight="0" orientation="landscape" r:id="rId1"/>
  <headerFooter>
    <oddHeader>&amp;LPříloha č. 3</oddHeader>
    <oddFooter>&amp;C&amp;"Tahoma,Obyčejné"&amp;10&amp;P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ED400-8DB4-4EC0-A61F-625D9B46060F}">
  <dimension ref="A1:G93"/>
  <sheetViews>
    <sheetView zoomScale="112" zoomScaleNormal="112" zoomScaleSheetLayoutView="100" workbookViewId="0">
      <pane ySplit="4" topLeftCell="A5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5" width="12.7109375" style="120" customWidth="1"/>
    <col min="6" max="6" width="14.140625" style="120" customWidth="1"/>
    <col min="7" max="7" width="12.5703125" style="4" bestFit="1" customWidth="1"/>
    <col min="8" max="16384" width="9.140625" style="4"/>
  </cols>
  <sheetData>
    <row r="1" spans="1:6" s="1" customFormat="1" ht="23.25" customHeight="1" x14ac:dyDescent="0.25">
      <c r="A1" s="294" t="s">
        <v>98</v>
      </c>
      <c r="B1" s="313"/>
      <c r="C1" s="313"/>
      <c r="D1" s="313"/>
      <c r="E1" s="313"/>
      <c r="F1" s="313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13.5" thickBot="1" x14ac:dyDescent="0.3">
      <c r="A5" s="17"/>
      <c r="B5" s="38"/>
      <c r="C5" s="38"/>
      <c r="D5" s="38"/>
      <c r="E5" s="38"/>
      <c r="F5" s="29"/>
    </row>
    <row r="6" spans="1:6" s="6" customFormat="1" ht="21" customHeight="1" x14ac:dyDescent="0.25">
      <c r="A6" s="301" t="s">
        <v>70</v>
      </c>
      <c r="B6" s="302"/>
      <c r="C6" s="302"/>
      <c r="D6" s="302"/>
      <c r="E6" s="318"/>
      <c r="F6" s="319"/>
    </row>
    <row r="7" spans="1:6" s="13" customFormat="1" ht="15" customHeight="1" x14ac:dyDescent="0.2">
      <c r="A7" s="330" t="s">
        <v>6</v>
      </c>
      <c r="B7" s="312"/>
      <c r="C7" s="312"/>
      <c r="D7" s="312"/>
      <c r="E7" s="312"/>
      <c r="F7" s="331"/>
    </row>
    <row r="8" spans="1:6" s="9" customFormat="1" ht="15" customHeight="1" x14ac:dyDescent="0.25">
      <c r="A8" s="7" t="s">
        <v>7</v>
      </c>
      <c r="B8" s="28">
        <v>28791</v>
      </c>
      <c r="C8" s="28">
        <v>68375</v>
      </c>
      <c r="D8" s="28">
        <v>60950</v>
      </c>
      <c r="E8" s="28">
        <v>0</v>
      </c>
      <c r="F8" s="8">
        <f>B8+C8+D8+E8</f>
        <v>158116</v>
      </c>
    </row>
    <row r="9" spans="1:6" s="9" customFormat="1" ht="24" customHeight="1" x14ac:dyDescent="0.25">
      <c r="A9" s="7" t="s">
        <v>8</v>
      </c>
      <c r="B9" s="28">
        <v>7525</v>
      </c>
      <c r="C9" s="28">
        <v>22984</v>
      </c>
      <c r="D9" s="28">
        <v>19995</v>
      </c>
      <c r="E9" s="28">
        <v>0</v>
      </c>
      <c r="F9" s="8">
        <f>B9+C9+D9+E9</f>
        <v>50504</v>
      </c>
    </row>
    <row r="10" spans="1:6" s="6" customFormat="1" ht="15" customHeight="1" x14ac:dyDescent="0.25">
      <c r="A10" s="10" t="s">
        <v>9</v>
      </c>
      <c r="B10" s="11">
        <f t="shared" ref="B10:E10" si="0">SUM(B8:B9)</f>
        <v>36316</v>
      </c>
      <c r="C10" s="11">
        <f t="shared" si="0"/>
        <v>91359</v>
      </c>
      <c r="D10" s="11">
        <f t="shared" si="0"/>
        <v>80945</v>
      </c>
      <c r="E10" s="11">
        <f t="shared" si="0"/>
        <v>0</v>
      </c>
      <c r="F10" s="12">
        <f>SUM(F8:F9)</f>
        <v>208620</v>
      </c>
    </row>
    <row r="11" spans="1:6" s="13" customFormat="1" ht="15" customHeight="1" x14ac:dyDescent="0.25">
      <c r="A11" s="305" t="s">
        <v>32</v>
      </c>
      <c r="B11" s="306"/>
      <c r="C11" s="306"/>
      <c r="D11" s="306"/>
      <c r="E11" s="306"/>
      <c r="F11" s="307"/>
    </row>
    <row r="12" spans="1:6" s="9" customFormat="1" ht="15" customHeight="1" x14ac:dyDescent="0.25">
      <c r="A12" s="7" t="s">
        <v>83</v>
      </c>
      <c r="B12" s="28">
        <v>0</v>
      </c>
      <c r="C12" s="28">
        <v>26810</v>
      </c>
      <c r="D12" s="28">
        <v>0</v>
      </c>
      <c r="E12" s="28">
        <v>0</v>
      </c>
      <c r="F12" s="8">
        <f>B12+C12+D12+E12</f>
        <v>26810</v>
      </c>
    </row>
    <row r="13" spans="1:6" s="9" customFormat="1" ht="15" customHeight="1" x14ac:dyDescent="0.25">
      <c r="A13" s="7" t="s">
        <v>84</v>
      </c>
      <c r="B13" s="28">
        <v>0</v>
      </c>
      <c r="C13" s="28">
        <v>21262</v>
      </c>
      <c r="D13" s="28">
        <v>0</v>
      </c>
      <c r="E13" s="28">
        <v>0</v>
      </c>
      <c r="F13" s="8">
        <f>B13+C13+D13+E13</f>
        <v>21262</v>
      </c>
    </row>
    <row r="14" spans="1:6" s="9" customFormat="1" ht="15" customHeight="1" x14ac:dyDescent="0.25">
      <c r="A14" s="7" t="s">
        <v>85</v>
      </c>
      <c r="B14" s="28">
        <v>0</v>
      </c>
      <c r="C14" s="28">
        <v>50842</v>
      </c>
      <c r="D14" s="28">
        <v>0</v>
      </c>
      <c r="E14" s="28">
        <v>0</v>
      </c>
      <c r="F14" s="8">
        <f>B14+C14+D14+E14</f>
        <v>50842</v>
      </c>
    </row>
    <row r="15" spans="1:6" s="9" customFormat="1" ht="15" customHeight="1" x14ac:dyDescent="0.25">
      <c r="A15" s="7" t="s">
        <v>86</v>
      </c>
      <c r="B15" s="28">
        <v>0</v>
      </c>
      <c r="C15" s="28">
        <v>10963</v>
      </c>
      <c r="D15" s="28">
        <v>0</v>
      </c>
      <c r="E15" s="28">
        <v>0</v>
      </c>
      <c r="F15" s="8">
        <f>B15+C15+D15+E15</f>
        <v>10963</v>
      </c>
    </row>
    <row r="16" spans="1:6" s="6" customFormat="1" ht="15" customHeight="1" x14ac:dyDescent="0.25">
      <c r="A16" s="10" t="s">
        <v>47</v>
      </c>
      <c r="B16" s="11">
        <f t="shared" ref="B16:F16" si="1">SUM(B12:B15)</f>
        <v>0</v>
      </c>
      <c r="C16" s="11">
        <f t="shared" si="1"/>
        <v>109877</v>
      </c>
      <c r="D16" s="11">
        <f t="shared" si="1"/>
        <v>0</v>
      </c>
      <c r="E16" s="11">
        <f t="shared" si="1"/>
        <v>0</v>
      </c>
      <c r="F16" s="12">
        <f t="shared" si="1"/>
        <v>109877</v>
      </c>
    </row>
    <row r="17" spans="1:6" s="13" customFormat="1" ht="15" customHeight="1" x14ac:dyDescent="0.25">
      <c r="A17" s="327" t="s">
        <v>10</v>
      </c>
      <c r="B17" s="328"/>
      <c r="C17" s="328"/>
      <c r="D17" s="328"/>
      <c r="E17" s="328"/>
      <c r="F17" s="329"/>
    </row>
    <row r="18" spans="1:6" s="9" customFormat="1" ht="15" customHeight="1" x14ac:dyDescent="0.25">
      <c r="A18" s="7" t="s">
        <v>11</v>
      </c>
      <c r="B18" s="28">
        <v>0</v>
      </c>
      <c r="C18" s="28">
        <v>8443</v>
      </c>
      <c r="D18" s="28">
        <v>27770</v>
      </c>
      <c r="E18" s="28">
        <v>0</v>
      </c>
      <c r="F18" s="8">
        <f>B18+C18+D18+E18</f>
        <v>36213</v>
      </c>
    </row>
    <row r="19" spans="1:6" s="6" customFormat="1" ht="15" customHeight="1" thickBot="1" x14ac:dyDescent="0.3">
      <c r="A19" s="10" t="s">
        <v>13</v>
      </c>
      <c r="B19" s="11">
        <f t="shared" ref="B19:F19" si="2">SUM(B18:B18)</f>
        <v>0</v>
      </c>
      <c r="C19" s="11">
        <f t="shared" si="2"/>
        <v>8443</v>
      </c>
      <c r="D19" s="11">
        <f t="shared" si="2"/>
        <v>27770</v>
      </c>
      <c r="E19" s="11">
        <f t="shared" si="2"/>
        <v>0</v>
      </c>
      <c r="F19" s="12">
        <f t="shared" si="2"/>
        <v>36213</v>
      </c>
    </row>
    <row r="20" spans="1:6" s="6" customFormat="1" ht="25.5" customHeight="1" thickBot="1" x14ac:dyDescent="0.3">
      <c r="A20" s="14" t="s">
        <v>71</v>
      </c>
      <c r="B20" s="15">
        <f t="shared" ref="B20:F20" si="3">B10+B16+B19</f>
        <v>36316</v>
      </c>
      <c r="C20" s="15">
        <f t="shared" si="3"/>
        <v>209679</v>
      </c>
      <c r="D20" s="15">
        <f t="shared" si="3"/>
        <v>108715</v>
      </c>
      <c r="E20" s="15">
        <f t="shared" si="3"/>
        <v>0</v>
      </c>
      <c r="F20" s="16">
        <f t="shared" si="3"/>
        <v>354710</v>
      </c>
    </row>
    <row r="21" spans="1:6" s="6" customFormat="1" ht="12" customHeight="1" thickBot="1" x14ac:dyDescent="0.3">
      <c r="A21" s="17"/>
      <c r="B21" s="94"/>
      <c r="C21" s="94"/>
      <c r="D21" s="94"/>
      <c r="E21" s="94"/>
      <c r="F21" s="95"/>
    </row>
    <row r="22" spans="1:6" s="6" customFormat="1" ht="21" customHeight="1" x14ac:dyDescent="0.25">
      <c r="A22" s="301" t="s">
        <v>72</v>
      </c>
      <c r="B22" s="302"/>
      <c r="C22" s="302"/>
      <c r="D22" s="302"/>
      <c r="E22" s="318"/>
      <c r="F22" s="319"/>
    </row>
    <row r="23" spans="1:6" s="13" customFormat="1" ht="18" customHeight="1" x14ac:dyDescent="0.25">
      <c r="A23" s="327" t="s">
        <v>32</v>
      </c>
      <c r="B23" s="328"/>
      <c r="C23" s="328"/>
      <c r="D23" s="328"/>
      <c r="E23" s="328"/>
      <c r="F23" s="329"/>
    </row>
    <row r="24" spans="1:6" s="9" customFormat="1" ht="24" customHeight="1" x14ac:dyDescent="0.25">
      <c r="A24" s="7" t="s">
        <v>73</v>
      </c>
      <c r="B24" s="28">
        <v>0</v>
      </c>
      <c r="C24" s="28">
        <v>2898</v>
      </c>
      <c r="D24" s="28">
        <v>0</v>
      </c>
      <c r="E24" s="28">
        <v>0</v>
      </c>
      <c r="F24" s="8">
        <f>B24+C24+D24+E24</f>
        <v>2898</v>
      </c>
    </row>
    <row r="25" spans="1:6" s="9" customFormat="1" ht="24" customHeight="1" x14ac:dyDescent="0.25">
      <c r="A25" s="7" t="s">
        <v>74</v>
      </c>
      <c r="B25" s="28">
        <v>0</v>
      </c>
      <c r="C25" s="28">
        <v>19624</v>
      </c>
      <c r="D25" s="28">
        <v>0</v>
      </c>
      <c r="E25" s="28">
        <v>0</v>
      </c>
      <c r="F25" s="8">
        <f>B25+C25+D25+E25</f>
        <v>19624</v>
      </c>
    </row>
    <row r="26" spans="1:6" s="9" customFormat="1" ht="24" customHeight="1" x14ac:dyDescent="0.25">
      <c r="A26" s="7" t="s">
        <v>75</v>
      </c>
      <c r="B26" s="28">
        <v>0</v>
      </c>
      <c r="C26" s="28">
        <v>7371</v>
      </c>
      <c r="D26" s="28">
        <v>0</v>
      </c>
      <c r="E26" s="28">
        <v>0</v>
      </c>
      <c r="F26" s="8">
        <f>B26+C26+D26+E26</f>
        <v>7371</v>
      </c>
    </row>
    <row r="27" spans="1:6" s="6" customFormat="1" ht="15" customHeight="1" x14ac:dyDescent="0.25">
      <c r="A27" s="10" t="s">
        <v>47</v>
      </c>
      <c r="B27" s="11">
        <f t="shared" ref="B27:E27" si="4">SUM(B24:B26)</f>
        <v>0</v>
      </c>
      <c r="C27" s="11">
        <f t="shared" si="4"/>
        <v>29893</v>
      </c>
      <c r="D27" s="11">
        <f t="shared" si="4"/>
        <v>0</v>
      </c>
      <c r="E27" s="11">
        <f t="shared" si="4"/>
        <v>0</v>
      </c>
      <c r="F27" s="12">
        <f>SUM(F24:F26)</f>
        <v>29893</v>
      </c>
    </row>
    <row r="28" spans="1:6" s="13" customFormat="1" ht="18" customHeight="1" x14ac:dyDescent="0.25">
      <c r="A28" s="327" t="s">
        <v>48</v>
      </c>
      <c r="B28" s="328"/>
      <c r="C28" s="328"/>
      <c r="D28" s="328"/>
      <c r="E28" s="328"/>
      <c r="F28" s="329"/>
    </row>
    <row r="29" spans="1:6" s="9" customFormat="1" ht="24" customHeight="1" x14ac:dyDescent="0.25">
      <c r="A29" s="7" t="s">
        <v>76</v>
      </c>
      <c r="B29" s="28">
        <v>0</v>
      </c>
      <c r="C29" s="28">
        <v>18821</v>
      </c>
      <c r="D29" s="28">
        <v>0</v>
      </c>
      <c r="E29" s="28">
        <v>0</v>
      </c>
      <c r="F29" s="8">
        <f>B29+C29+D29+E29</f>
        <v>18821</v>
      </c>
    </row>
    <row r="30" spans="1:6" s="9" customFormat="1" ht="24" customHeight="1" x14ac:dyDescent="0.25">
      <c r="A30" s="7" t="s">
        <v>77</v>
      </c>
      <c r="B30" s="28">
        <v>0</v>
      </c>
      <c r="C30" s="28">
        <v>14319</v>
      </c>
      <c r="D30" s="28">
        <v>0</v>
      </c>
      <c r="E30" s="28">
        <v>0</v>
      </c>
      <c r="F30" s="8">
        <f>B30+C30+D30+E30</f>
        <v>14319</v>
      </c>
    </row>
    <row r="31" spans="1:6" s="9" customFormat="1" ht="24" customHeight="1" x14ac:dyDescent="0.25">
      <c r="A31" s="7" t="s">
        <v>78</v>
      </c>
      <c r="B31" s="28">
        <v>0</v>
      </c>
      <c r="C31" s="28">
        <v>7079</v>
      </c>
      <c r="D31" s="28">
        <v>0</v>
      </c>
      <c r="E31" s="28">
        <v>0</v>
      </c>
      <c r="F31" s="8">
        <f>B31+C31+D31+E31</f>
        <v>7079</v>
      </c>
    </row>
    <row r="32" spans="1:6" s="6" customFormat="1" ht="15" customHeight="1" thickBot="1" x14ac:dyDescent="0.3">
      <c r="A32" s="10" t="s">
        <v>53</v>
      </c>
      <c r="B32" s="11">
        <f t="shared" ref="B32:E32" si="5">SUM(B29:B31)</f>
        <v>0</v>
      </c>
      <c r="C32" s="11">
        <f t="shared" si="5"/>
        <v>40219</v>
      </c>
      <c r="D32" s="11">
        <f t="shared" si="5"/>
        <v>0</v>
      </c>
      <c r="E32" s="11">
        <f t="shared" si="5"/>
        <v>0</v>
      </c>
      <c r="F32" s="12">
        <f>SUM(F29:F31)</f>
        <v>40219</v>
      </c>
    </row>
    <row r="33" spans="1:6" s="6" customFormat="1" ht="36" customHeight="1" thickBot="1" x14ac:dyDescent="0.3">
      <c r="A33" s="14" t="s">
        <v>79</v>
      </c>
      <c r="B33" s="15">
        <f t="shared" ref="B33:F33" si="6">B27+B32</f>
        <v>0</v>
      </c>
      <c r="C33" s="15">
        <f t="shared" si="6"/>
        <v>70112</v>
      </c>
      <c r="D33" s="15">
        <f t="shared" si="6"/>
        <v>0</v>
      </c>
      <c r="E33" s="15">
        <f t="shared" si="6"/>
        <v>0</v>
      </c>
      <c r="F33" s="16">
        <f t="shared" si="6"/>
        <v>70112</v>
      </c>
    </row>
    <row r="34" spans="1:6" s="6" customFormat="1" ht="12" customHeight="1" thickBot="1" x14ac:dyDescent="0.3">
      <c r="A34" s="17"/>
      <c r="B34" s="94"/>
      <c r="C34" s="94"/>
      <c r="D34" s="94"/>
      <c r="E34" s="94"/>
      <c r="F34" s="95"/>
    </row>
    <row r="35" spans="1:6" s="6" customFormat="1" ht="21" customHeight="1" x14ac:dyDescent="0.25">
      <c r="A35" s="301" t="s">
        <v>15</v>
      </c>
      <c r="B35" s="302"/>
      <c r="C35" s="302"/>
      <c r="D35" s="302"/>
      <c r="E35" s="303"/>
      <c r="F35" s="304"/>
    </row>
    <row r="36" spans="1:6" s="13" customFormat="1" ht="18" customHeight="1" x14ac:dyDescent="0.25">
      <c r="A36" s="305" t="s">
        <v>16</v>
      </c>
      <c r="B36" s="306"/>
      <c r="C36" s="306"/>
      <c r="D36" s="306"/>
      <c r="E36" s="306"/>
      <c r="F36" s="307"/>
    </row>
    <row r="37" spans="1:6" s="9" customFormat="1" ht="15" customHeight="1" x14ac:dyDescent="0.25">
      <c r="A37" s="19" t="s">
        <v>17</v>
      </c>
      <c r="B37" s="20">
        <v>807</v>
      </c>
      <c r="C37" s="20">
        <v>130993</v>
      </c>
      <c r="D37" s="20">
        <v>277178</v>
      </c>
      <c r="E37" s="20">
        <v>0</v>
      </c>
      <c r="F37" s="8">
        <f>B37+C37+D37+E37</f>
        <v>408978</v>
      </c>
    </row>
    <row r="38" spans="1:6" s="9" customFormat="1" ht="24" customHeight="1" x14ac:dyDescent="0.25">
      <c r="A38" s="19" t="s">
        <v>92</v>
      </c>
      <c r="B38" s="20">
        <f>27298-9000</f>
        <v>18298</v>
      </c>
      <c r="C38" s="20">
        <f>29993+9000</f>
        <v>38993</v>
      </c>
      <c r="D38" s="20">
        <v>64999</v>
      </c>
      <c r="E38" s="20">
        <v>3710</v>
      </c>
      <c r="F38" s="8">
        <f>B38+C38+D38+E38</f>
        <v>126000</v>
      </c>
    </row>
    <row r="39" spans="1:6" s="9" customFormat="1" ht="24" customHeight="1" x14ac:dyDescent="0.25">
      <c r="A39" s="19" t="s">
        <v>87</v>
      </c>
      <c r="B39" s="20">
        <v>0</v>
      </c>
      <c r="C39" s="20">
        <v>0</v>
      </c>
      <c r="D39" s="20">
        <v>75300</v>
      </c>
      <c r="E39" s="20">
        <v>0</v>
      </c>
      <c r="F39" s="8">
        <f>B39+C39+D39+E39</f>
        <v>75300</v>
      </c>
    </row>
    <row r="40" spans="1:6" s="6" customFormat="1" ht="15" customHeight="1" x14ac:dyDescent="0.25">
      <c r="A40" s="10" t="s">
        <v>19</v>
      </c>
      <c r="B40" s="11">
        <f>SUM(B37:B39)</f>
        <v>19105</v>
      </c>
      <c r="C40" s="11">
        <f t="shared" ref="C40:E40" si="7">SUM(C37:C39)</f>
        <v>169986</v>
      </c>
      <c r="D40" s="11">
        <f t="shared" si="7"/>
        <v>417477</v>
      </c>
      <c r="E40" s="11">
        <f t="shared" si="7"/>
        <v>3710</v>
      </c>
      <c r="F40" s="12">
        <f>SUM(F37:F39)</f>
        <v>610278</v>
      </c>
    </row>
    <row r="41" spans="1:6" s="13" customFormat="1" ht="18" customHeight="1" x14ac:dyDescent="0.25">
      <c r="A41" s="308" t="s">
        <v>20</v>
      </c>
      <c r="B41" s="309"/>
      <c r="C41" s="309"/>
      <c r="D41" s="309"/>
      <c r="E41" s="309"/>
      <c r="F41" s="310"/>
    </row>
    <row r="42" spans="1:6" s="9" customFormat="1" ht="24" customHeight="1" x14ac:dyDescent="0.25">
      <c r="A42" s="21" t="s">
        <v>23</v>
      </c>
      <c r="B42" s="20">
        <v>615</v>
      </c>
      <c r="C42" s="20">
        <v>40400</v>
      </c>
      <c r="D42" s="20">
        <v>10000</v>
      </c>
      <c r="E42" s="20">
        <v>0</v>
      </c>
      <c r="F42" s="8">
        <f>SUM(B42+C42+D42+E42)</f>
        <v>51015</v>
      </c>
    </row>
    <row r="43" spans="1:6" s="9" customFormat="1" ht="24" customHeight="1" x14ac:dyDescent="0.25">
      <c r="A43" s="21" t="s">
        <v>24</v>
      </c>
      <c r="B43" s="20">
        <v>375.1</v>
      </c>
      <c r="C43" s="20">
        <v>50000</v>
      </c>
      <c r="D43" s="20">
        <v>44624.9</v>
      </c>
      <c r="E43" s="20">
        <v>0</v>
      </c>
      <c r="F43" s="8">
        <f>SUM(B43+C43+D43+E43)</f>
        <v>95000</v>
      </c>
    </row>
    <row r="44" spans="1:6" s="9" customFormat="1" ht="24" customHeight="1" x14ac:dyDescent="0.25">
      <c r="A44" s="21" t="s">
        <v>25</v>
      </c>
      <c r="B44" s="20">
        <v>0</v>
      </c>
      <c r="C44" s="20">
        <v>0</v>
      </c>
      <c r="D44" s="20">
        <v>30000</v>
      </c>
      <c r="E44" s="20">
        <v>65000</v>
      </c>
      <c r="F44" s="8">
        <f>SUM(B44+C44+D44+E44)</f>
        <v>95000</v>
      </c>
    </row>
    <row r="45" spans="1:6" s="6" customFormat="1" ht="15" customHeight="1" x14ac:dyDescent="0.25">
      <c r="A45" s="10" t="s">
        <v>27</v>
      </c>
      <c r="B45" s="11">
        <f t="shared" ref="B45:F45" si="8">SUM(B42:B44)</f>
        <v>990.1</v>
      </c>
      <c r="C45" s="11">
        <f t="shared" si="8"/>
        <v>90400</v>
      </c>
      <c r="D45" s="11">
        <f t="shared" si="8"/>
        <v>84624.9</v>
      </c>
      <c r="E45" s="11">
        <f t="shared" si="8"/>
        <v>65000</v>
      </c>
      <c r="F45" s="12">
        <f t="shared" si="8"/>
        <v>241015</v>
      </c>
    </row>
    <row r="46" spans="1:6" s="13" customFormat="1" ht="18" customHeight="1" x14ac:dyDescent="0.25">
      <c r="A46" s="327" t="s">
        <v>6</v>
      </c>
      <c r="B46" s="328"/>
      <c r="C46" s="328"/>
      <c r="D46" s="328"/>
      <c r="E46" s="328"/>
      <c r="F46" s="329"/>
    </row>
    <row r="47" spans="1:6" s="9" customFormat="1" ht="15" customHeight="1" x14ac:dyDescent="0.25">
      <c r="A47" s="21" t="s">
        <v>28</v>
      </c>
      <c r="B47" s="22">
        <v>0</v>
      </c>
      <c r="C47" s="22">
        <v>0</v>
      </c>
      <c r="D47" s="22">
        <v>0</v>
      </c>
      <c r="E47" s="22">
        <v>0</v>
      </c>
      <c r="F47" s="8">
        <f t="shared" ref="F47:F53" si="9">B47+C47+D47+E47</f>
        <v>0</v>
      </c>
    </row>
    <row r="48" spans="1:6" s="9" customFormat="1" ht="24" customHeight="1" x14ac:dyDescent="0.25">
      <c r="A48" s="19" t="s">
        <v>29</v>
      </c>
      <c r="B48" s="20">
        <v>0</v>
      </c>
      <c r="C48" s="20">
        <f>82731+15000</f>
        <v>97731</v>
      </c>
      <c r="D48" s="20">
        <v>19761</v>
      </c>
      <c r="E48" s="20">
        <v>0</v>
      </c>
      <c r="F48" s="8">
        <f t="shared" si="9"/>
        <v>117492</v>
      </c>
    </row>
    <row r="49" spans="1:7" s="9" customFormat="1" ht="15" customHeight="1" x14ac:dyDescent="0.25">
      <c r="A49" s="23" t="s">
        <v>30</v>
      </c>
      <c r="B49" s="20">
        <v>17961</v>
      </c>
      <c r="C49" s="20">
        <v>165000</v>
      </c>
      <c r="D49" s="20">
        <v>112039</v>
      </c>
      <c r="E49" s="20">
        <v>0</v>
      </c>
      <c r="F49" s="8">
        <f t="shared" si="9"/>
        <v>295000</v>
      </c>
    </row>
    <row r="50" spans="1:7" s="9" customFormat="1" ht="24" customHeight="1" x14ac:dyDescent="0.25">
      <c r="A50" s="23" t="s">
        <v>31</v>
      </c>
      <c r="B50" s="20">
        <v>10650</v>
      </c>
      <c r="C50" s="20">
        <f>5700-2850</f>
        <v>2850</v>
      </c>
      <c r="D50" s="20">
        <v>0</v>
      </c>
      <c r="E50" s="20">
        <v>0</v>
      </c>
      <c r="F50" s="8">
        <f t="shared" si="9"/>
        <v>13500</v>
      </c>
    </row>
    <row r="51" spans="1:7" s="9" customFormat="1" ht="24" customHeight="1" x14ac:dyDescent="0.25">
      <c r="A51" s="19" t="s">
        <v>110</v>
      </c>
      <c r="B51" s="20">
        <v>11814</v>
      </c>
      <c r="C51" s="20">
        <v>0</v>
      </c>
      <c r="D51" s="20">
        <v>0</v>
      </c>
      <c r="E51" s="20">
        <v>0</v>
      </c>
      <c r="F51" s="8">
        <f t="shared" si="9"/>
        <v>11814</v>
      </c>
    </row>
    <row r="52" spans="1:7" s="9" customFormat="1" ht="24" customHeight="1" x14ac:dyDescent="0.25">
      <c r="A52" s="23" t="s">
        <v>111</v>
      </c>
      <c r="B52" s="20">
        <v>6329.89</v>
      </c>
      <c r="C52" s="20">
        <v>0</v>
      </c>
      <c r="D52" s="20">
        <v>0</v>
      </c>
      <c r="E52" s="20">
        <v>0</v>
      </c>
      <c r="F52" s="8">
        <f t="shared" si="9"/>
        <v>6329.89</v>
      </c>
    </row>
    <row r="53" spans="1:7" s="9" customFormat="1" ht="24" customHeight="1" x14ac:dyDescent="0.25">
      <c r="A53" s="23" t="s">
        <v>113</v>
      </c>
      <c r="B53" s="20">
        <v>13185.7</v>
      </c>
      <c r="C53" s="20">
        <v>0</v>
      </c>
      <c r="D53" s="20">
        <v>0</v>
      </c>
      <c r="E53" s="20">
        <v>0</v>
      </c>
      <c r="F53" s="8">
        <f t="shared" si="9"/>
        <v>13185.7</v>
      </c>
    </row>
    <row r="54" spans="1:7" s="6" customFormat="1" ht="15" customHeight="1" x14ac:dyDescent="0.25">
      <c r="A54" s="10" t="s">
        <v>9</v>
      </c>
      <c r="B54" s="11">
        <f t="shared" ref="B54:E54" si="10">SUM(B47:B53)</f>
        <v>59940.59</v>
      </c>
      <c r="C54" s="11">
        <f t="shared" si="10"/>
        <v>265581</v>
      </c>
      <c r="D54" s="11">
        <f t="shared" si="10"/>
        <v>131800</v>
      </c>
      <c r="E54" s="11">
        <f t="shared" si="10"/>
        <v>0</v>
      </c>
      <c r="F54" s="12">
        <f>SUM(F47:F53)</f>
        <v>457321.59</v>
      </c>
      <c r="G54" s="104"/>
    </row>
    <row r="55" spans="1:7" s="13" customFormat="1" ht="18" customHeight="1" x14ac:dyDescent="0.2">
      <c r="A55" s="330" t="s">
        <v>32</v>
      </c>
      <c r="B55" s="312"/>
      <c r="C55" s="312"/>
      <c r="D55" s="312"/>
      <c r="E55" s="312"/>
      <c r="F55" s="331"/>
    </row>
    <row r="56" spans="1:7" s="13" customFormat="1" ht="24" customHeight="1" x14ac:dyDescent="0.25">
      <c r="A56" s="19" t="s">
        <v>33</v>
      </c>
      <c r="B56" s="20">
        <v>45000</v>
      </c>
      <c r="C56" s="20">
        <v>0</v>
      </c>
      <c r="D56" s="20">
        <v>0</v>
      </c>
      <c r="E56" s="20">
        <v>0</v>
      </c>
      <c r="F56" s="8">
        <f t="shared" ref="F56:F77" si="11">B56+C56+D56+E56</f>
        <v>45000</v>
      </c>
    </row>
    <row r="57" spans="1:7" s="13" customFormat="1" ht="24" customHeight="1" x14ac:dyDescent="0.25">
      <c r="A57" s="23" t="s">
        <v>34</v>
      </c>
      <c r="B57" s="20">
        <v>0</v>
      </c>
      <c r="C57" s="20">
        <v>5500</v>
      </c>
      <c r="D57" s="20">
        <v>25000</v>
      </c>
      <c r="E57" s="20">
        <v>0</v>
      </c>
      <c r="F57" s="8">
        <f t="shared" si="11"/>
        <v>30500</v>
      </c>
    </row>
    <row r="58" spans="1:7" s="13" customFormat="1" ht="24" customHeight="1" x14ac:dyDescent="0.25">
      <c r="A58" s="19" t="s">
        <v>68</v>
      </c>
      <c r="B58" s="20">
        <v>0</v>
      </c>
      <c r="C58" s="20">
        <v>2090</v>
      </c>
      <c r="D58" s="20">
        <v>26000</v>
      </c>
      <c r="E58" s="20">
        <v>27610</v>
      </c>
      <c r="F58" s="8">
        <f t="shared" si="11"/>
        <v>55700</v>
      </c>
    </row>
    <row r="59" spans="1:7" s="13" customFormat="1" ht="33.950000000000003" customHeight="1" x14ac:dyDescent="0.25">
      <c r="A59" s="23" t="s">
        <v>36</v>
      </c>
      <c r="B59" s="24">
        <v>31098</v>
      </c>
      <c r="C59" s="20">
        <v>19500</v>
      </c>
      <c r="D59" s="20">
        <v>0</v>
      </c>
      <c r="E59" s="20">
        <v>0</v>
      </c>
      <c r="F59" s="8">
        <f t="shared" si="11"/>
        <v>50598</v>
      </c>
    </row>
    <row r="60" spans="1:7" s="13" customFormat="1" ht="33.950000000000003" customHeight="1" x14ac:dyDescent="0.25">
      <c r="A60" s="23" t="s">
        <v>37</v>
      </c>
      <c r="B60" s="24">
        <v>0</v>
      </c>
      <c r="C60" s="20">
        <v>5500</v>
      </c>
      <c r="D60" s="20">
        <v>0</v>
      </c>
      <c r="E60" s="20">
        <v>0</v>
      </c>
      <c r="F60" s="8">
        <f t="shared" si="11"/>
        <v>5500</v>
      </c>
    </row>
    <row r="61" spans="1:7" s="13" customFormat="1" ht="24" customHeight="1" x14ac:dyDescent="0.25">
      <c r="A61" s="19" t="s">
        <v>38</v>
      </c>
      <c r="B61" s="20">
        <v>10571</v>
      </c>
      <c r="C61" s="20">
        <v>113428</v>
      </c>
      <c r="D61" s="20">
        <v>52000</v>
      </c>
      <c r="E61" s="20">
        <v>0</v>
      </c>
      <c r="F61" s="8">
        <f t="shared" si="11"/>
        <v>175999</v>
      </c>
    </row>
    <row r="62" spans="1:7" s="13" customFormat="1" ht="24" customHeight="1" x14ac:dyDescent="0.25">
      <c r="A62" s="23" t="s">
        <v>39</v>
      </c>
      <c r="B62" s="20">
        <f>51000+2656</f>
        <v>53656</v>
      </c>
      <c r="C62" s="20">
        <v>0</v>
      </c>
      <c r="D62" s="20">
        <v>0</v>
      </c>
      <c r="E62" s="20">
        <v>0</v>
      </c>
      <c r="F62" s="8">
        <f t="shared" si="11"/>
        <v>53656</v>
      </c>
    </row>
    <row r="63" spans="1:7" s="13" customFormat="1" ht="24" customHeight="1" x14ac:dyDescent="0.25">
      <c r="A63" s="19" t="s">
        <v>40</v>
      </c>
      <c r="B63" s="20">
        <v>0</v>
      </c>
      <c r="C63" s="20">
        <v>25000</v>
      </c>
      <c r="D63" s="20">
        <v>0</v>
      </c>
      <c r="E63" s="20">
        <v>0</v>
      </c>
      <c r="F63" s="8">
        <f t="shared" si="11"/>
        <v>25000</v>
      </c>
    </row>
    <row r="64" spans="1:7" s="13" customFormat="1" ht="33.950000000000003" customHeight="1" x14ac:dyDescent="0.25">
      <c r="A64" s="23" t="s">
        <v>41</v>
      </c>
      <c r="B64" s="24">
        <v>0</v>
      </c>
      <c r="C64" s="20">
        <v>20250</v>
      </c>
      <c r="D64" s="20">
        <v>17750</v>
      </c>
      <c r="E64" s="20">
        <v>0</v>
      </c>
      <c r="F64" s="8">
        <f t="shared" si="11"/>
        <v>38000</v>
      </c>
    </row>
    <row r="65" spans="1:7" s="13" customFormat="1" ht="24" customHeight="1" x14ac:dyDescent="0.25">
      <c r="A65" s="19" t="s">
        <v>42</v>
      </c>
      <c r="B65" s="20">
        <v>57200</v>
      </c>
      <c r="C65" s="20">
        <v>500</v>
      </c>
      <c r="D65" s="20">
        <v>0</v>
      </c>
      <c r="E65" s="20">
        <v>0</v>
      </c>
      <c r="F65" s="8">
        <f t="shared" si="11"/>
        <v>57700</v>
      </c>
    </row>
    <row r="66" spans="1:7" s="13" customFormat="1" ht="24" customHeight="1" x14ac:dyDescent="0.25">
      <c r="A66" s="23" t="s">
        <v>43</v>
      </c>
      <c r="B66" s="20">
        <v>30678.01</v>
      </c>
      <c r="C66" s="20">
        <v>0</v>
      </c>
      <c r="D66" s="20">
        <v>0</v>
      </c>
      <c r="E66" s="20">
        <v>0</v>
      </c>
      <c r="F66" s="8">
        <f t="shared" si="11"/>
        <v>30678.01</v>
      </c>
    </row>
    <row r="67" spans="1:7" s="13" customFormat="1" ht="24" customHeight="1" x14ac:dyDescent="0.25">
      <c r="A67" s="19" t="s">
        <v>44</v>
      </c>
      <c r="B67" s="20">
        <v>40000</v>
      </c>
      <c r="C67" s="20">
        <v>0</v>
      </c>
      <c r="D67" s="20">
        <v>0</v>
      </c>
      <c r="E67" s="20">
        <v>0</v>
      </c>
      <c r="F67" s="8">
        <f t="shared" si="11"/>
        <v>40000</v>
      </c>
    </row>
    <row r="68" spans="1:7" s="13" customFormat="1" ht="24" customHeight="1" x14ac:dyDescent="0.25">
      <c r="A68" s="23" t="s">
        <v>45</v>
      </c>
      <c r="B68" s="20">
        <v>500</v>
      </c>
      <c r="C68" s="20">
        <v>25639</v>
      </c>
      <c r="D68" s="20">
        <v>25000</v>
      </c>
      <c r="E68" s="20">
        <v>0</v>
      </c>
      <c r="F68" s="8">
        <f t="shared" si="11"/>
        <v>51139</v>
      </c>
    </row>
    <row r="69" spans="1:7" s="13" customFormat="1" ht="24" customHeight="1" x14ac:dyDescent="0.25">
      <c r="A69" s="19" t="s">
        <v>46</v>
      </c>
      <c r="B69" s="20">
        <v>6200</v>
      </c>
      <c r="C69" s="20">
        <v>0</v>
      </c>
      <c r="D69" s="20">
        <v>0</v>
      </c>
      <c r="E69" s="20">
        <v>0</v>
      </c>
      <c r="F69" s="8">
        <f t="shared" si="11"/>
        <v>6200</v>
      </c>
    </row>
    <row r="70" spans="1:7" s="13" customFormat="1" ht="24" customHeight="1" x14ac:dyDescent="0.25">
      <c r="A70" s="23" t="s">
        <v>69</v>
      </c>
      <c r="B70" s="20">
        <v>28.6</v>
      </c>
      <c r="C70" s="20">
        <v>11036.31</v>
      </c>
      <c r="D70" s="20">
        <v>0</v>
      </c>
      <c r="E70" s="20">
        <v>0</v>
      </c>
      <c r="F70" s="8">
        <f t="shared" si="11"/>
        <v>11064.91</v>
      </c>
    </row>
    <row r="71" spans="1:7" s="13" customFormat="1" ht="24" customHeight="1" x14ac:dyDescent="0.25">
      <c r="A71" s="19" t="s">
        <v>80</v>
      </c>
      <c r="B71" s="20">
        <v>350</v>
      </c>
      <c r="C71" s="20">
        <v>14000</v>
      </c>
      <c r="D71" s="20">
        <v>0</v>
      </c>
      <c r="E71" s="20">
        <v>0</v>
      </c>
      <c r="F71" s="8">
        <f t="shared" si="11"/>
        <v>14350</v>
      </c>
    </row>
    <row r="72" spans="1:7" s="13" customFormat="1" ht="33.950000000000003" customHeight="1" x14ac:dyDescent="0.25">
      <c r="A72" s="23" t="s">
        <v>81</v>
      </c>
      <c r="B72" s="24">
        <v>0</v>
      </c>
      <c r="C72" s="20">
        <v>11420</v>
      </c>
      <c r="D72" s="20">
        <v>0</v>
      </c>
      <c r="E72" s="20">
        <v>0</v>
      </c>
      <c r="F72" s="8">
        <f t="shared" si="11"/>
        <v>11420</v>
      </c>
    </row>
    <row r="73" spans="1:7" s="9" customFormat="1" ht="15" customHeight="1" x14ac:dyDescent="0.25">
      <c r="A73" s="21" t="s">
        <v>88</v>
      </c>
      <c r="B73" s="22">
        <v>0</v>
      </c>
      <c r="C73" s="22">
        <v>50000</v>
      </c>
      <c r="D73" s="22">
        <v>20500</v>
      </c>
      <c r="E73" s="22">
        <v>0</v>
      </c>
      <c r="F73" s="8">
        <f t="shared" si="11"/>
        <v>70500</v>
      </c>
    </row>
    <row r="74" spans="1:7" s="13" customFormat="1" ht="24" customHeight="1" x14ac:dyDescent="0.25">
      <c r="A74" s="23" t="s">
        <v>89</v>
      </c>
      <c r="B74" s="20">
        <v>9120</v>
      </c>
      <c r="C74" s="20">
        <v>0</v>
      </c>
      <c r="D74" s="20">
        <v>0</v>
      </c>
      <c r="E74" s="20">
        <v>0</v>
      </c>
      <c r="F74" s="8">
        <f t="shared" si="11"/>
        <v>9120</v>
      </c>
    </row>
    <row r="75" spans="1:7" s="13" customFormat="1" ht="24" customHeight="1" x14ac:dyDescent="0.25">
      <c r="A75" s="19" t="s">
        <v>90</v>
      </c>
      <c r="B75" s="20">
        <v>127.05</v>
      </c>
      <c r="C75" s="20">
        <v>21372.95</v>
      </c>
      <c r="D75" s="20">
        <v>0</v>
      </c>
      <c r="E75" s="20">
        <v>0</v>
      </c>
      <c r="F75" s="8">
        <f t="shared" si="11"/>
        <v>21500</v>
      </c>
    </row>
    <row r="76" spans="1:7" s="13" customFormat="1" ht="24" customHeight="1" x14ac:dyDescent="0.25">
      <c r="A76" s="23" t="s">
        <v>91</v>
      </c>
      <c r="B76" s="20">
        <v>23000</v>
      </c>
      <c r="C76" s="20">
        <v>2000</v>
      </c>
      <c r="D76" s="20">
        <v>0</v>
      </c>
      <c r="E76" s="20">
        <v>0</v>
      </c>
      <c r="F76" s="8">
        <f t="shared" si="11"/>
        <v>25000</v>
      </c>
    </row>
    <row r="77" spans="1:7" s="13" customFormat="1" ht="24" customHeight="1" x14ac:dyDescent="0.25">
      <c r="A77" s="19" t="s">
        <v>131</v>
      </c>
      <c r="B77" s="20">
        <v>7949.67</v>
      </c>
      <c r="C77" s="20">
        <v>0</v>
      </c>
      <c r="D77" s="20">
        <v>0</v>
      </c>
      <c r="E77" s="20">
        <v>0</v>
      </c>
      <c r="F77" s="8">
        <f t="shared" si="11"/>
        <v>7949.67</v>
      </c>
    </row>
    <row r="78" spans="1:7" s="6" customFormat="1" ht="15" customHeight="1" x14ac:dyDescent="0.25">
      <c r="A78" s="10" t="s">
        <v>47</v>
      </c>
      <c r="B78" s="11">
        <f t="shared" ref="B78:E78" si="12">SUM(B56:B77)</f>
        <v>315478.32999999996</v>
      </c>
      <c r="C78" s="11">
        <f t="shared" si="12"/>
        <v>327236.26</v>
      </c>
      <c r="D78" s="11">
        <f t="shared" si="12"/>
        <v>166250</v>
      </c>
      <c r="E78" s="11">
        <f t="shared" si="12"/>
        <v>27610</v>
      </c>
      <c r="F78" s="12">
        <f>SUM(F56:F77)</f>
        <v>836574.59000000008</v>
      </c>
      <c r="G78" s="104"/>
    </row>
    <row r="79" spans="1:7" s="13" customFormat="1" ht="18" customHeight="1" x14ac:dyDescent="0.25">
      <c r="A79" s="308" t="s">
        <v>133</v>
      </c>
      <c r="B79" s="309"/>
      <c r="C79" s="309"/>
      <c r="D79" s="309"/>
      <c r="E79" s="309"/>
      <c r="F79" s="310"/>
    </row>
    <row r="80" spans="1:7" s="13" customFormat="1" ht="24" customHeight="1" x14ac:dyDescent="0.25">
      <c r="A80" s="21" t="s">
        <v>49</v>
      </c>
      <c r="B80" s="24">
        <v>10000</v>
      </c>
      <c r="C80" s="24">
        <v>50000</v>
      </c>
      <c r="D80" s="24">
        <v>45000</v>
      </c>
      <c r="E80" s="24">
        <v>0</v>
      </c>
      <c r="F80" s="8">
        <f t="shared" ref="F80:F89" si="13">B80+C80+D80+E80</f>
        <v>105000</v>
      </c>
    </row>
    <row r="81" spans="1:7" s="13" customFormat="1" ht="24" customHeight="1" x14ac:dyDescent="0.25">
      <c r="A81" s="21" t="s">
        <v>50</v>
      </c>
      <c r="B81" s="20">
        <v>234</v>
      </c>
      <c r="C81" s="20">
        <f>119416+15000-234</f>
        <v>134182</v>
      </c>
      <c r="D81" s="20">
        <v>50000</v>
      </c>
      <c r="E81" s="20">
        <v>0</v>
      </c>
      <c r="F81" s="8">
        <f t="shared" si="13"/>
        <v>184416</v>
      </c>
    </row>
    <row r="82" spans="1:7" s="13" customFormat="1" ht="24" customHeight="1" x14ac:dyDescent="0.25">
      <c r="A82" s="21" t="s">
        <v>51</v>
      </c>
      <c r="B82" s="20">
        <f>2000-900</f>
        <v>1100</v>
      </c>
      <c r="C82" s="20">
        <f>22000+900</f>
        <v>22900</v>
      </c>
      <c r="D82" s="20">
        <v>0</v>
      </c>
      <c r="E82" s="20">
        <v>0</v>
      </c>
      <c r="F82" s="8">
        <f t="shared" si="13"/>
        <v>24000</v>
      </c>
    </row>
    <row r="83" spans="1:7" s="13" customFormat="1" ht="24" customHeight="1" x14ac:dyDescent="0.25">
      <c r="A83" s="21" t="s">
        <v>52</v>
      </c>
      <c r="B83" s="20">
        <v>0</v>
      </c>
      <c r="C83" s="20">
        <v>0</v>
      </c>
      <c r="D83" s="20">
        <v>0</v>
      </c>
      <c r="E83" s="20">
        <v>0</v>
      </c>
      <c r="F83" s="8">
        <f t="shared" si="13"/>
        <v>0</v>
      </c>
    </row>
    <row r="84" spans="1:7" s="13" customFormat="1" ht="24" customHeight="1" x14ac:dyDescent="0.25">
      <c r="A84" s="21" t="s">
        <v>97</v>
      </c>
      <c r="B84" s="20">
        <v>21700</v>
      </c>
      <c r="C84" s="20">
        <v>0</v>
      </c>
      <c r="D84" s="20">
        <v>0</v>
      </c>
      <c r="E84" s="20">
        <v>0</v>
      </c>
      <c r="F84" s="8">
        <f t="shared" si="13"/>
        <v>21700</v>
      </c>
    </row>
    <row r="85" spans="1:7" s="13" customFormat="1" ht="24" customHeight="1" x14ac:dyDescent="0.25">
      <c r="A85" s="21" t="s">
        <v>139</v>
      </c>
      <c r="B85" s="24">
        <v>22241.64</v>
      </c>
      <c r="C85" s="24">
        <v>0</v>
      </c>
      <c r="D85" s="24">
        <v>0</v>
      </c>
      <c r="E85" s="24">
        <v>0</v>
      </c>
      <c r="F85" s="8">
        <f t="shared" si="13"/>
        <v>22241.64</v>
      </c>
    </row>
    <row r="86" spans="1:7" s="13" customFormat="1" ht="24" customHeight="1" x14ac:dyDescent="0.25">
      <c r="A86" s="21" t="s">
        <v>141</v>
      </c>
      <c r="B86" s="20">
        <v>20898.27</v>
      </c>
      <c r="C86" s="20">
        <v>0</v>
      </c>
      <c r="D86" s="20">
        <v>0</v>
      </c>
      <c r="E86" s="20">
        <v>0</v>
      </c>
      <c r="F86" s="8">
        <f t="shared" si="13"/>
        <v>20898.27</v>
      </c>
    </row>
    <row r="87" spans="1:7" s="13" customFormat="1" ht="24" customHeight="1" x14ac:dyDescent="0.25">
      <c r="A87" s="21" t="s">
        <v>143</v>
      </c>
      <c r="B87" s="20">
        <v>28727.64</v>
      </c>
      <c r="C87" s="20">
        <v>0</v>
      </c>
      <c r="D87" s="20">
        <v>0</v>
      </c>
      <c r="E87" s="20">
        <v>0</v>
      </c>
      <c r="F87" s="8">
        <f t="shared" si="13"/>
        <v>28727.64</v>
      </c>
    </row>
    <row r="88" spans="1:7" s="13" customFormat="1" ht="24" customHeight="1" x14ac:dyDescent="0.25">
      <c r="A88" s="21" t="s">
        <v>145</v>
      </c>
      <c r="B88" s="20">
        <v>11437.7</v>
      </c>
      <c r="C88" s="20">
        <v>0</v>
      </c>
      <c r="D88" s="20">
        <v>0</v>
      </c>
      <c r="E88" s="20">
        <v>0</v>
      </c>
      <c r="F88" s="8">
        <f t="shared" si="13"/>
        <v>11437.7</v>
      </c>
    </row>
    <row r="89" spans="1:7" s="13" customFormat="1" ht="24" customHeight="1" x14ac:dyDescent="0.25">
      <c r="A89" s="21" t="s">
        <v>147</v>
      </c>
      <c r="B89" s="20">
        <v>11567.78</v>
      </c>
      <c r="C89" s="20">
        <v>0</v>
      </c>
      <c r="D89" s="20">
        <v>0</v>
      </c>
      <c r="E89" s="20">
        <v>0</v>
      </c>
      <c r="F89" s="8">
        <f t="shared" si="13"/>
        <v>11567.78</v>
      </c>
    </row>
    <row r="90" spans="1:7" s="6" customFormat="1" ht="15" customHeight="1" thickBot="1" x14ac:dyDescent="0.3">
      <c r="A90" s="10" t="s">
        <v>53</v>
      </c>
      <c r="B90" s="11">
        <f t="shared" ref="B90:E90" si="14">SUM(B80:B89)</f>
        <v>127907.03</v>
      </c>
      <c r="C90" s="11">
        <f t="shared" si="14"/>
        <v>207082</v>
      </c>
      <c r="D90" s="11">
        <f t="shared" si="14"/>
        <v>95000</v>
      </c>
      <c r="E90" s="11">
        <f t="shared" si="14"/>
        <v>0</v>
      </c>
      <c r="F90" s="12">
        <f>SUM(F80:F89)</f>
        <v>429989.03000000009</v>
      </c>
      <c r="G90" s="104"/>
    </row>
    <row r="91" spans="1:7" s="6" customFormat="1" ht="25.5" customHeight="1" thickBot="1" x14ac:dyDescent="0.3">
      <c r="A91" s="14" t="s">
        <v>54</v>
      </c>
      <c r="B91" s="15">
        <f t="shared" ref="B91:E91" si="15">B90+B78+B54+B45+B40</f>
        <v>523421.04999999993</v>
      </c>
      <c r="C91" s="15">
        <f t="shared" si="15"/>
        <v>1060285.26</v>
      </c>
      <c r="D91" s="15">
        <f t="shared" si="15"/>
        <v>895151.9</v>
      </c>
      <c r="E91" s="15">
        <f t="shared" si="15"/>
        <v>96320</v>
      </c>
      <c r="F91" s="16">
        <f>F90+F78+F54+F45+F40</f>
        <v>2575178.21</v>
      </c>
    </row>
    <row r="92" spans="1:7" s="6" customFormat="1" ht="13.5" thickBot="1" x14ac:dyDescent="0.3">
      <c r="A92" s="17"/>
      <c r="B92" s="94"/>
      <c r="C92" s="94"/>
      <c r="D92" s="94"/>
      <c r="E92" s="94"/>
      <c r="F92" s="119"/>
    </row>
    <row r="93" spans="1:7" s="6" customFormat="1" ht="21" customHeight="1" thickBot="1" x14ac:dyDescent="0.3">
      <c r="A93" s="14" t="s">
        <v>55</v>
      </c>
      <c r="B93" s="15">
        <f t="shared" ref="B93:E93" si="16">SUM(B20,B33,B91)</f>
        <v>559737.04999999993</v>
      </c>
      <c r="C93" s="15">
        <f t="shared" si="16"/>
        <v>1340076.26</v>
      </c>
      <c r="D93" s="15">
        <f t="shared" si="16"/>
        <v>1003866.9</v>
      </c>
      <c r="E93" s="15">
        <f t="shared" si="16"/>
        <v>96320</v>
      </c>
      <c r="F93" s="16">
        <f>SUM(F20,F33,F91)</f>
        <v>3000000.21</v>
      </c>
    </row>
  </sheetData>
  <mergeCells count="16">
    <mergeCell ref="A11:F11"/>
    <mergeCell ref="A1:F1"/>
    <mergeCell ref="A3:A4"/>
    <mergeCell ref="B3:F3"/>
    <mergeCell ref="A6:F6"/>
    <mergeCell ref="A7:F7"/>
    <mergeCell ref="A41:F41"/>
    <mergeCell ref="A46:F46"/>
    <mergeCell ref="A55:F55"/>
    <mergeCell ref="A79:F79"/>
    <mergeCell ref="A17:F17"/>
    <mergeCell ref="A22:F22"/>
    <mergeCell ref="A23:F23"/>
    <mergeCell ref="A28:F28"/>
    <mergeCell ref="A35:F35"/>
    <mergeCell ref="A36:F36"/>
  </mergeCells>
  <conditionalFormatting sqref="B51:E53">
    <cfRule type="cellIs" dxfId="1079" priority="69" operator="lessThan">
      <formula>#REF!</formula>
    </cfRule>
    <cfRule type="cellIs" dxfId="1078" priority="70" operator="greaterThan">
      <formula>#REF!</formula>
    </cfRule>
  </conditionalFormatting>
  <conditionalFormatting sqref="B8:F10">
    <cfRule type="cellIs" dxfId="1077" priority="127" operator="lessThan">
      <formula>#REF!</formula>
    </cfRule>
    <cfRule type="cellIs" dxfId="1076" priority="128" operator="greaterThan">
      <formula>#REF!</formula>
    </cfRule>
  </conditionalFormatting>
  <conditionalFormatting sqref="B12:F16">
    <cfRule type="cellIs" dxfId="1075" priority="97" operator="lessThan">
      <formula>#REF!</formula>
    </cfRule>
    <cfRule type="cellIs" dxfId="1074" priority="98" operator="greaterThan">
      <formula>#REF!</formula>
    </cfRule>
  </conditionalFormatting>
  <conditionalFormatting sqref="B18:F19">
    <cfRule type="cellIs" dxfId="1073" priority="77" operator="lessThan">
      <formula>#REF!</formula>
    </cfRule>
    <cfRule type="cellIs" dxfId="1072" priority="78" operator="greaterThan">
      <formula>#REF!</formula>
    </cfRule>
  </conditionalFormatting>
  <conditionalFormatting sqref="B24:F27">
    <cfRule type="cellIs" dxfId="1071" priority="243" operator="lessThan">
      <formula>#REF!</formula>
    </cfRule>
    <cfRule type="cellIs" dxfId="1070" priority="244" operator="greaterThan">
      <formula>#REF!</formula>
    </cfRule>
  </conditionalFormatting>
  <conditionalFormatting sqref="B29:F32">
    <cfRule type="cellIs" dxfId="1069" priority="223" operator="lessThan">
      <formula>#REF!</formula>
    </cfRule>
    <cfRule type="cellIs" dxfId="1068" priority="224" operator="greaterThan">
      <formula>#REF!</formula>
    </cfRule>
  </conditionalFormatting>
  <conditionalFormatting sqref="B37:F40">
    <cfRule type="cellIs" dxfId="1067" priority="203" operator="lessThan">
      <formula>#REF!</formula>
    </cfRule>
    <cfRule type="cellIs" dxfId="1066" priority="204" operator="greaterThan">
      <formula>#REF!</formula>
    </cfRule>
  </conditionalFormatting>
  <conditionalFormatting sqref="B42:F45">
    <cfRule type="cellIs" dxfId="1065" priority="183" operator="lessThan">
      <formula>#REF!</formula>
    </cfRule>
    <cfRule type="cellIs" dxfId="1064" priority="184" operator="greaterThan">
      <formula>#REF!</formula>
    </cfRule>
  </conditionalFormatting>
  <conditionalFormatting sqref="B47:F50">
    <cfRule type="cellIs" dxfId="1063" priority="137" operator="lessThan">
      <formula>#REF!</formula>
    </cfRule>
    <cfRule type="cellIs" dxfId="1062" priority="138" operator="greaterThan">
      <formula>#REF!</formula>
    </cfRule>
  </conditionalFormatting>
  <conditionalFormatting sqref="B56:F78">
    <cfRule type="cellIs" dxfId="1061" priority="9" operator="lessThan">
      <formula>#REF!</formula>
    </cfRule>
    <cfRule type="cellIs" dxfId="1060" priority="10" operator="greaterThan">
      <formula>#REF!</formula>
    </cfRule>
  </conditionalFormatting>
  <conditionalFormatting sqref="B80:F89">
    <cfRule type="cellIs" dxfId="1059" priority="1" operator="lessThan">
      <formula>#REF!</formula>
    </cfRule>
    <cfRule type="cellIs" dxfId="1058" priority="2" operator="greaterThan">
      <formula>#REF!</formula>
    </cfRule>
  </conditionalFormatting>
  <conditionalFormatting sqref="F51:F54">
    <cfRule type="cellIs" dxfId="1057" priority="65" operator="lessThan">
      <formula>#REF!</formula>
    </cfRule>
    <cfRule type="cellIs" dxfId="1056" priority="66" operator="greaterThan">
      <formula>#REF!</formula>
    </cfRule>
  </conditionalFormatting>
  <pageMargins left="0.70866141732283472" right="0.70866141732283472" top="0.55118110236220474" bottom="0.55118110236220474" header="0.31496062992125984" footer="0.31496062992125984"/>
  <pageSetup paperSize="9" scale="75" firstPageNumber="8" fitToHeight="0" orientation="portrait" r:id="rId1"/>
  <headerFooter>
    <oddHeader>&amp;LPříloha č. 2</oddHeader>
    <oddFooter>&amp;C&amp;"Tahoma,Obyčejné"&amp;10&amp;P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EC3E-1B3B-4E5B-92FB-3A198D14B313}">
  <dimension ref="A1:G93"/>
  <sheetViews>
    <sheetView zoomScale="112" zoomScaleNormal="112" zoomScaleSheetLayoutView="100" workbookViewId="0">
      <pane ySplit="4" topLeftCell="A5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5" width="12.7109375" style="120" customWidth="1"/>
    <col min="6" max="6" width="14.140625" style="120" customWidth="1"/>
    <col min="7" max="7" width="12.5703125" style="4" bestFit="1" customWidth="1"/>
    <col min="8" max="16384" width="9.140625" style="4"/>
  </cols>
  <sheetData>
    <row r="1" spans="1:6" s="1" customFormat="1" ht="23.25" customHeight="1" x14ac:dyDescent="0.25">
      <c r="A1" s="294" t="s">
        <v>98</v>
      </c>
      <c r="B1" s="313"/>
      <c r="C1" s="313"/>
      <c r="D1" s="313"/>
      <c r="E1" s="313"/>
      <c r="F1" s="313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13.5" thickBot="1" x14ac:dyDescent="0.3">
      <c r="A5" s="17"/>
      <c r="B5" s="38"/>
      <c r="C5" s="38"/>
      <c r="D5" s="38"/>
      <c r="E5" s="38"/>
      <c r="F5" s="29"/>
    </row>
    <row r="6" spans="1:6" s="6" customFormat="1" ht="21" customHeight="1" x14ac:dyDescent="0.25">
      <c r="A6" s="301" t="s">
        <v>70</v>
      </c>
      <c r="B6" s="302"/>
      <c r="C6" s="302"/>
      <c r="D6" s="302"/>
      <c r="E6" s="318"/>
      <c r="F6" s="319"/>
    </row>
    <row r="7" spans="1:6" s="13" customFormat="1" ht="15" customHeight="1" x14ac:dyDescent="0.2">
      <c r="A7" s="330" t="s">
        <v>6</v>
      </c>
      <c r="B7" s="312"/>
      <c r="C7" s="312"/>
      <c r="D7" s="312"/>
      <c r="E7" s="312"/>
      <c r="F7" s="331"/>
    </row>
    <row r="8" spans="1:6" s="9" customFormat="1" ht="15" customHeight="1" x14ac:dyDescent="0.25">
      <c r="A8" s="7" t="s">
        <v>7</v>
      </c>
      <c r="B8" s="28">
        <v>28791</v>
      </c>
      <c r="C8" s="28">
        <v>68375</v>
      </c>
      <c r="D8" s="28">
        <v>60950</v>
      </c>
      <c r="E8" s="28">
        <v>0</v>
      </c>
      <c r="F8" s="8">
        <f>B8+C8+D8+E8</f>
        <v>158116</v>
      </c>
    </row>
    <row r="9" spans="1:6" s="9" customFormat="1" ht="24" customHeight="1" x14ac:dyDescent="0.25">
      <c r="A9" s="7" t="s">
        <v>8</v>
      </c>
      <c r="B9" s="28">
        <v>7525</v>
      </c>
      <c r="C9" s="28">
        <v>22984</v>
      </c>
      <c r="D9" s="28">
        <v>19995</v>
      </c>
      <c r="E9" s="28">
        <v>0</v>
      </c>
      <c r="F9" s="8">
        <f>B9+C9+D9+E9</f>
        <v>50504</v>
      </c>
    </row>
    <row r="10" spans="1:6" s="6" customFormat="1" ht="15" customHeight="1" x14ac:dyDescent="0.25">
      <c r="A10" s="10" t="s">
        <v>9</v>
      </c>
      <c r="B10" s="11">
        <f t="shared" ref="B10:E10" si="0">SUM(B8:B9)</f>
        <v>36316</v>
      </c>
      <c r="C10" s="11">
        <f t="shared" si="0"/>
        <v>91359</v>
      </c>
      <c r="D10" s="11">
        <f t="shared" si="0"/>
        <v>80945</v>
      </c>
      <c r="E10" s="11">
        <f t="shared" si="0"/>
        <v>0</v>
      </c>
      <c r="F10" s="12">
        <f>SUM(F8:F9)</f>
        <v>208620</v>
      </c>
    </row>
    <row r="11" spans="1:6" s="13" customFormat="1" ht="15" customHeight="1" x14ac:dyDescent="0.25">
      <c r="A11" s="305" t="s">
        <v>32</v>
      </c>
      <c r="B11" s="306"/>
      <c r="C11" s="306"/>
      <c r="D11" s="306"/>
      <c r="E11" s="306"/>
      <c r="F11" s="307"/>
    </row>
    <row r="12" spans="1:6" s="9" customFormat="1" ht="15" customHeight="1" x14ac:dyDescent="0.25">
      <c r="A12" s="7" t="s">
        <v>83</v>
      </c>
      <c r="B12" s="28">
        <v>0</v>
      </c>
      <c r="C12" s="28">
        <v>26810</v>
      </c>
      <c r="D12" s="28">
        <v>0</v>
      </c>
      <c r="E12" s="28">
        <v>0</v>
      </c>
      <c r="F12" s="8">
        <f>B12+C12+D12+E12</f>
        <v>26810</v>
      </c>
    </row>
    <row r="13" spans="1:6" s="9" customFormat="1" ht="15" customHeight="1" x14ac:dyDescent="0.25">
      <c r="A13" s="7" t="s">
        <v>84</v>
      </c>
      <c r="B13" s="28">
        <v>0</v>
      </c>
      <c r="C13" s="28">
        <v>21262</v>
      </c>
      <c r="D13" s="28">
        <v>0</v>
      </c>
      <c r="E13" s="28">
        <v>0</v>
      </c>
      <c r="F13" s="8">
        <f>B13+C13+D13+E13</f>
        <v>21262</v>
      </c>
    </row>
    <row r="14" spans="1:6" s="9" customFormat="1" ht="15" customHeight="1" x14ac:dyDescent="0.25">
      <c r="A14" s="7" t="s">
        <v>85</v>
      </c>
      <c r="B14" s="28">
        <v>0</v>
      </c>
      <c r="C14" s="28">
        <v>50842</v>
      </c>
      <c r="D14" s="28">
        <v>0</v>
      </c>
      <c r="E14" s="28">
        <v>0</v>
      </c>
      <c r="F14" s="8">
        <f>B14+C14+D14+E14</f>
        <v>50842</v>
      </c>
    </row>
    <row r="15" spans="1:6" s="9" customFormat="1" ht="15" customHeight="1" x14ac:dyDescent="0.25">
      <c r="A15" s="7" t="s">
        <v>86</v>
      </c>
      <c r="B15" s="28">
        <v>0</v>
      </c>
      <c r="C15" s="28">
        <v>10963</v>
      </c>
      <c r="D15" s="28">
        <v>0</v>
      </c>
      <c r="E15" s="28">
        <v>0</v>
      </c>
      <c r="F15" s="8">
        <f>B15+C15+D15+E15</f>
        <v>10963</v>
      </c>
    </row>
    <row r="16" spans="1:6" s="6" customFormat="1" ht="15" customHeight="1" x14ac:dyDescent="0.25">
      <c r="A16" s="10" t="s">
        <v>47</v>
      </c>
      <c r="B16" s="11">
        <f t="shared" ref="B16:F16" si="1">SUM(B12:B15)</f>
        <v>0</v>
      </c>
      <c r="C16" s="11">
        <f t="shared" si="1"/>
        <v>109877</v>
      </c>
      <c r="D16" s="11">
        <f t="shared" si="1"/>
        <v>0</v>
      </c>
      <c r="E16" s="11">
        <f t="shared" si="1"/>
        <v>0</v>
      </c>
      <c r="F16" s="12">
        <f t="shared" si="1"/>
        <v>109877</v>
      </c>
    </row>
    <row r="17" spans="1:6" s="13" customFormat="1" ht="15" customHeight="1" x14ac:dyDescent="0.25">
      <c r="A17" s="327" t="s">
        <v>10</v>
      </c>
      <c r="B17" s="328"/>
      <c r="C17" s="328"/>
      <c r="D17" s="328"/>
      <c r="E17" s="328"/>
      <c r="F17" s="329"/>
    </row>
    <row r="18" spans="1:6" s="9" customFormat="1" ht="15" customHeight="1" x14ac:dyDescent="0.25">
      <c r="A18" s="7" t="s">
        <v>11</v>
      </c>
      <c r="B18" s="28">
        <v>0</v>
      </c>
      <c r="C18" s="28">
        <v>8443</v>
      </c>
      <c r="D18" s="28">
        <v>27770</v>
      </c>
      <c r="E18" s="28">
        <v>0</v>
      </c>
      <c r="F18" s="8">
        <f>B18+C18+D18+E18</f>
        <v>36213</v>
      </c>
    </row>
    <row r="19" spans="1:6" s="6" customFormat="1" ht="15" customHeight="1" thickBot="1" x14ac:dyDescent="0.3">
      <c r="A19" s="10" t="s">
        <v>13</v>
      </c>
      <c r="B19" s="11">
        <f t="shared" ref="B19:F19" si="2">SUM(B18:B18)</f>
        <v>0</v>
      </c>
      <c r="C19" s="11">
        <f t="shared" si="2"/>
        <v>8443</v>
      </c>
      <c r="D19" s="11">
        <f t="shared" si="2"/>
        <v>27770</v>
      </c>
      <c r="E19" s="11">
        <f t="shared" si="2"/>
        <v>0</v>
      </c>
      <c r="F19" s="12">
        <f t="shared" si="2"/>
        <v>36213</v>
      </c>
    </row>
    <row r="20" spans="1:6" s="6" customFormat="1" ht="25.5" customHeight="1" thickBot="1" x14ac:dyDescent="0.3">
      <c r="A20" s="14" t="s">
        <v>71</v>
      </c>
      <c r="B20" s="15">
        <f t="shared" ref="B20:F20" si="3">B10+B16+B19</f>
        <v>36316</v>
      </c>
      <c r="C20" s="15">
        <f t="shared" si="3"/>
        <v>209679</v>
      </c>
      <c r="D20" s="15">
        <f t="shared" si="3"/>
        <v>108715</v>
      </c>
      <c r="E20" s="15">
        <f t="shared" si="3"/>
        <v>0</v>
      </c>
      <c r="F20" s="16">
        <f t="shared" si="3"/>
        <v>354710</v>
      </c>
    </row>
    <row r="21" spans="1:6" s="6" customFormat="1" ht="12" customHeight="1" thickBot="1" x14ac:dyDescent="0.3">
      <c r="A21" s="17"/>
      <c r="B21" s="94"/>
      <c r="C21" s="94"/>
      <c r="D21" s="94"/>
      <c r="E21" s="94"/>
      <c r="F21" s="95"/>
    </row>
    <row r="22" spans="1:6" s="6" customFormat="1" ht="21" customHeight="1" x14ac:dyDescent="0.25">
      <c r="A22" s="301" t="s">
        <v>72</v>
      </c>
      <c r="B22" s="302"/>
      <c r="C22" s="302"/>
      <c r="D22" s="302"/>
      <c r="E22" s="318"/>
      <c r="F22" s="319"/>
    </row>
    <row r="23" spans="1:6" s="13" customFormat="1" ht="18" customHeight="1" x14ac:dyDescent="0.25">
      <c r="A23" s="327" t="s">
        <v>32</v>
      </c>
      <c r="B23" s="328"/>
      <c r="C23" s="328"/>
      <c r="D23" s="328"/>
      <c r="E23" s="328"/>
      <c r="F23" s="329"/>
    </row>
    <row r="24" spans="1:6" s="9" customFormat="1" ht="24" customHeight="1" x14ac:dyDescent="0.25">
      <c r="A24" s="7" t="s">
        <v>73</v>
      </c>
      <c r="B24" s="28">
        <v>0</v>
      </c>
      <c r="C24" s="28">
        <v>2898</v>
      </c>
      <c r="D24" s="28">
        <v>0</v>
      </c>
      <c r="E24" s="28">
        <v>0</v>
      </c>
      <c r="F24" s="8">
        <f>B24+C24+D24+E24</f>
        <v>2898</v>
      </c>
    </row>
    <row r="25" spans="1:6" s="9" customFormat="1" ht="24" customHeight="1" x14ac:dyDescent="0.25">
      <c r="A25" s="7" t="s">
        <v>74</v>
      </c>
      <c r="B25" s="28">
        <v>0</v>
      </c>
      <c r="C25" s="28">
        <v>19624</v>
      </c>
      <c r="D25" s="28">
        <v>0</v>
      </c>
      <c r="E25" s="28">
        <v>0</v>
      </c>
      <c r="F25" s="8">
        <f>B25+C25+D25+E25</f>
        <v>19624</v>
      </c>
    </row>
    <row r="26" spans="1:6" s="9" customFormat="1" ht="24" customHeight="1" x14ac:dyDescent="0.25">
      <c r="A26" s="7" t="s">
        <v>75</v>
      </c>
      <c r="B26" s="28">
        <v>0</v>
      </c>
      <c r="C26" s="28">
        <v>7371</v>
      </c>
      <c r="D26" s="28">
        <v>0</v>
      </c>
      <c r="E26" s="28">
        <v>0</v>
      </c>
      <c r="F26" s="8">
        <f>B26+C26+D26+E26</f>
        <v>7371</v>
      </c>
    </row>
    <row r="27" spans="1:6" s="6" customFormat="1" ht="15" customHeight="1" x14ac:dyDescent="0.25">
      <c r="A27" s="10" t="s">
        <v>47</v>
      </c>
      <c r="B27" s="11">
        <f t="shared" ref="B27:E27" si="4">SUM(B24:B26)</f>
        <v>0</v>
      </c>
      <c r="C27" s="11">
        <f t="shared" si="4"/>
        <v>29893</v>
      </c>
      <c r="D27" s="11">
        <f t="shared" si="4"/>
        <v>0</v>
      </c>
      <c r="E27" s="11">
        <f t="shared" si="4"/>
        <v>0</v>
      </c>
      <c r="F27" s="12">
        <f>SUM(F24:F26)</f>
        <v>29893</v>
      </c>
    </row>
    <row r="28" spans="1:6" s="13" customFormat="1" ht="18" customHeight="1" x14ac:dyDescent="0.25">
      <c r="A28" s="327" t="s">
        <v>48</v>
      </c>
      <c r="B28" s="328"/>
      <c r="C28" s="328"/>
      <c r="D28" s="328"/>
      <c r="E28" s="328"/>
      <c r="F28" s="329"/>
    </row>
    <row r="29" spans="1:6" s="9" customFormat="1" ht="24" customHeight="1" x14ac:dyDescent="0.25">
      <c r="A29" s="7" t="s">
        <v>76</v>
      </c>
      <c r="B29" s="28">
        <v>0</v>
      </c>
      <c r="C29" s="28">
        <v>18821</v>
      </c>
      <c r="D29" s="28">
        <v>0</v>
      </c>
      <c r="E29" s="28">
        <v>0</v>
      </c>
      <c r="F29" s="8">
        <f>B29+C29+D29+E29</f>
        <v>18821</v>
      </c>
    </row>
    <row r="30" spans="1:6" s="9" customFormat="1" ht="24" customHeight="1" x14ac:dyDescent="0.25">
      <c r="A30" s="7" t="s">
        <v>77</v>
      </c>
      <c r="B30" s="28">
        <v>0</v>
      </c>
      <c r="C30" s="28">
        <v>14319</v>
      </c>
      <c r="D30" s="28">
        <v>0</v>
      </c>
      <c r="E30" s="28">
        <v>0</v>
      </c>
      <c r="F30" s="8">
        <f>B30+C30+D30+E30</f>
        <v>14319</v>
      </c>
    </row>
    <row r="31" spans="1:6" s="9" customFormat="1" ht="24" customHeight="1" x14ac:dyDescent="0.25">
      <c r="A31" s="7" t="s">
        <v>78</v>
      </c>
      <c r="B31" s="28">
        <v>0</v>
      </c>
      <c r="C31" s="28">
        <v>7079</v>
      </c>
      <c r="D31" s="28">
        <v>0</v>
      </c>
      <c r="E31" s="28">
        <v>0</v>
      </c>
      <c r="F31" s="8">
        <f>B31+C31+D31+E31</f>
        <v>7079</v>
      </c>
    </row>
    <row r="32" spans="1:6" s="6" customFormat="1" ht="15" customHeight="1" thickBot="1" x14ac:dyDescent="0.3">
      <c r="A32" s="10" t="s">
        <v>53</v>
      </c>
      <c r="B32" s="11">
        <f t="shared" ref="B32:E32" si="5">SUM(B29:B31)</f>
        <v>0</v>
      </c>
      <c r="C32" s="11">
        <f t="shared" si="5"/>
        <v>40219</v>
      </c>
      <c r="D32" s="11">
        <f t="shared" si="5"/>
        <v>0</v>
      </c>
      <c r="E32" s="11">
        <f t="shared" si="5"/>
        <v>0</v>
      </c>
      <c r="F32" s="12">
        <f>SUM(F29:F31)</f>
        <v>40219</v>
      </c>
    </row>
    <row r="33" spans="1:6" s="6" customFormat="1" ht="36" customHeight="1" thickBot="1" x14ac:dyDescent="0.3">
      <c r="A33" s="14" t="s">
        <v>79</v>
      </c>
      <c r="B33" s="15">
        <f t="shared" ref="B33:F33" si="6">B27+B32</f>
        <v>0</v>
      </c>
      <c r="C33" s="15">
        <f t="shared" si="6"/>
        <v>70112</v>
      </c>
      <c r="D33" s="15">
        <f t="shared" si="6"/>
        <v>0</v>
      </c>
      <c r="E33" s="15">
        <f t="shared" si="6"/>
        <v>0</v>
      </c>
      <c r="F33" s="16">
        <f t="shared" si="6"/>
        <v>70112</v>
      </c>
    </row>
    <row r="34" spans="1:6" s="6" customFormat="1" ht="12" customHeight="1" thickBot="1" x14ac:dyDescent="0.3">
      <c r="A34" s="17"/>
      <c r="B34" s="94"/>
      <c r="C34" s="94"/>
      <c r="D34" s="94"/>
      <c r="E34" s="94"/>
      <c r="F34" s="95"/>
    </row>
    <row r="35" spans="1:6" s="6" customFormat="1" ht="21" customHeight="1" x14ac:dyDescent="0.25">
      <c r="A35" s="301" t="s">
        <v>15</v>
      </c>
      <c r="B35" s="302"/>
      <c r="C35" s="302"/>
      <c r="D35" s="302"/>
      <c r="E35" s="303"/>
      <c r="F35" s="304"/>
    </row>
    <row r="36" spans="1:6" s="13" customFormat="1" ht="18" customHeight="1" x14ac:dyDescent="0.25">
      <c r="A36" s="305" t="s">
        <v>16</v>
      </c>
      <c r="B36" s="306"/>
      <c r="C36" s="306"/>
      <c r="D36" s="306"/>
      <c r="E36" s="306"/>
      <c r="F36" s="307"/>
    </row>
    <row r="37" spans="1:6" s="9" customFormat="1" ht="15" customHeight="1" x14ac:dyDescent="0.25">
      <c r="A37" s="19" t="s">
        <v>17</v>
      </c>
      <c r="B37" s="20">
        <v>807</v>
      </c>
      <c r="C37" s="20">
        <v>130993</v>
      </c>
      <c r="D37" s="20">
        <v>277178</v>
      </c>
      <c r="E37" s="20">
        <v>0</v>
      </c>
      <c r="F37" s="8">
        <f>B37+C37+D37+E37</f>
        <v>408978</v>
      </c>
    </row>
    <row r="38" spans="1:6" s="9" customFormat="1" ht="24" customHeight="1" x14ac:dyDescent="0.25">
      <c r="A38" s="19" t="s">
        <v>92</v>
      </c>
      <c r="B38" s="20">
        <f>27298-9000</f>
        <v>18298</v>
      </c>
      <c r="C38" s="20">
        <f>29993+9000</f>
        <v>38993</v>
      </c>
      <c r="D38" s="20">
        <v>64999</v>
      </c>
      <c r="E38" s="20">
        <v>3710</v>
      </c>
      <c r="F38" s="8">
        <f>B38+C38+D38+E38</f>
        <v>126000</v>
      </c>
    </row>
    <row r="39" spans="1:6" s="9" customFormat="1" ht="24" customHeight="1" x14ac:dyDescent="0.25">
      <c r="A39" s="19" t="s">
        <v>87</v>
      </c>
      <c r="B39" s="20">
        <v>0</v>
      </c>
      <c r="C39" s="20">
        <v>0</v>
      </c>
      <c r="D39" s="20">
        <v>75300</v>
      </c>
      <c r="E39" s="20">
        <v>0</v>
      </c>
      <c r="F39" s="8">
        <f>B39+C39+D39+E39</f>
        <v>75300</v>
      </c>
    </row>
    <row r="40" spans="1:6" s="6" customFormat="1" ht="15" customHeight="1" x14ac:dyDescent="0.25">
      <c r="A40" s="10" t="s">
        <v>19</v>
      </c>
      <c r="B40" s="11">
        <f>SUM(B37:B39)</f>
        <v>19105</v>
      </c>
      <c r="C40" s="11">
        <f t="shared" ref="C40:E40" si="7">SUM(C37:C39)</f>
        <v>169986</v>
      </c>
      <c r="D40" s="11">
        <f t="shared" si="7"/>
        <v>417477</v>
      </c>
      <c r="E40" s="11">
        <f t="shared" si="7"/>
        <v>3710</v>
      </c>
      <c r="F40" s="12">
        <f>SUM(F37:F39)</f>
        <v>610278</v>
      </c>
    </row>
    <row r="41" spans="1:6" s="13" customFormat="1" ht="18" customHeight="1" x14ac:dyDescent="0.25">
      <c r="A41" s="308" t="s">
        <v>20</v>
      </c>
      <c r="B41" s="309"/>
      <c r="C41" s="309"/>
      <c r="D41" s="309"/>
      <c r="E41" s="309"/>
      <c r="F41" s="310"/>
    </row>
    <row r="42" spans="1:6" s="9" customFormat="1" ht="24" customHeight="1" x14ac:dyDescent="0.25">
      <c r="A42" s="21" t="s">
        <v>23</v>
      </c>
      <c r="B42" s="20">
        <v>615</v>
      </c>
      <c r="C42" s="20">
        <v>40400</v>
      </c>
      <c r="D42" s="20">
        <v>10000</v>
      </c>
      <c r="E42" s="20">
        <v>0</v>
      </c>
      <c r="F42" s="8">
        <f>SUM(B42+C42+D42+E42)</f>
        <v>51015</v>
      </c>
    </row>
    <row r="43" spans="1:6" s="9" customFormat="1" ht="24" customHeight="1" x14ac:dyDescent="0.25">
      <c r="A43" s="21" t="s">
        <v>24</v>
      </c>
      <c r="B43" s="20">
        <v>375.1</v>
      </c>
      <c r="C43" s="20">
        <v>50000</v>
      </c>
      <c r="D43" s="20">
        <v>44624.9</v>
      </c>
      <c r="E43" s="20">
        <v>0</v>
      </c>
      <c r="F43" s="8">
        <f>SUM(B43+C43+D43+E43)</f>
        <v>95000</v>
      </c>
    </row>
    <row r="44" spans="1:6" s="9" customFormat="1" ht="24" customHeight="1" x14ac:dyDescent="0.25">
      <c r="A44" s="21" t="s">
        <v>25</v>
      </c>
      <c r="B44" s="20">
        <v>0</v>
      </c>
      <c r="C44" s="20">
        <v>0</v>
      </c>
      <c r="D44" s="20">
        <v>30000</v>
      </c>
      <c r="E44" s="20">
        <v>65000</v>
      </c>
      <c r="F44" s="8">
        <f>SUM(B44+C44+D44+E44)</f>
        <v>95000</v>
      </c>
    </row>
    <row r="45" spans="1:6" s="6" customFormat="1" ht="15" customHeight="1" x14ac:dyDescent="0.25">
      <c r="A45" s="10" t="s">
        <v>27</v>
      </c>
      <c r="B45" s="11">
        <f t="shared" ref="B45:F45" si="8">SUM(B42:B44)</f>
        <v>990.1</v>
      </c>
      <c r="C45" s="11">
        <f t="shared" si="8"/>
        <v>90400</v>
      </c>
      <c r="D45" s="11">
        <f t="shared" si="8"/>
        <v>84624.9</v>
      </c>
      <c r="E45" s="11">
        <f t="shared" si="8"/>
        <v>65000</v>
      </c>
      <c r="F45" s="12">
        <f t="shared" si="8"/>
        <v>241015</v>
      </c>
    </row>
    <row r="46" spans="1:6" s="13" customFormat="1" ht="18" customHeight="1" x14ac:dyDescent="0.25">
      <c r="A46" s="327" t="s">
        <v>6</v>
      </c>
      <c r="B46" s="328"/>
      <c r="C46" s="328"/>
      <c r="D46" s="328"/>
      <c r="E46" s="328"/>
      <c r="F46" s="329"/>
    </row>
    <row r="47" spans="1:6" s="9" customFormat="1" ht="15" customHeight="1" x14ac:dyDescent="0.25">
      <c r="A47" s="21" t="s">
        <v>28</v>
      </c>
      <c r="B47" s="22">
        <v>0</v>
      </c>
      <c r="C47" s="22">
        <v>0</v>
      </c>
      <c r="D47" s="22">
        <v>0</v>
      </c>
      <c r="E47" s="22">
        <v>0</v>
      </c>
      <c r="F47" s="8">
        <f t="shared" ref="F47:F53" si="9">B47+C47+D47+E47</f>
        <v>0</v>
      </c>
    </row>
    <row r="48" spans="1:6" s="9" customFormat="1" ht="24" customHeight="1" x14ac:dyDescent="0.25">
      <c r="A48" s="19" t="s">
        <v>29</v>
      </c>
      <c r="B48" s="20">
        <v>0</v>
      </c>
      <c r="C48" s="20">
        <f>82731+15000</f>
        <v>97731</v>
      </c>
      <c r="D48" s="20">
        <v>19761</v>
      </c>
      <c r="E48" s="20">
        <v>0</v>
      </c>
      <c r="F48" s="8">
        <f t="shared" si="9"/>
        <v>117492</v>
      </c>
    </row>
    <row r="49" spans="1:7" s="9" customFormat="1" ht="15" customHeight="1" x14ac:dyDescent="0.25">
      <c r="A49" s="23" t="s">
        <v>30</v>
      </c>
      <c r="B49" s="20">
        <v>17961</v>
      </c>
      <c r="C49" s="20">
        <v>165000</v>
      </c>
      <c r="D49" s="20">
        <v>112039</v>
      </c>
      <c r="E49" s="20">
        <v>0</v>
      </c>
      <c r="F49" s="8">
        <f t="shared" si="9"/>
        <v>295000</v>
      </c>
    </row>
    <row r="50" spans="1:7" s="9" customFormat="1" ht="24" customHeight="1" x14ac:dyDescent="0.25">
      <c r="A50" s="23" t="s">
        <v>31</v>
      </c>
      <c r="B50" s="20">
        <v>10650</v>
      </c>
      <c r="C50" s="20">
        <f>5700-2850</f>
        <v>2850</v>
      </c>
      <c r="D50" s="20">
        <v>0</v>
      </c>
      <c r="E50" s="20">
        <v>0</v>
      </c>
      <c r="F50" s="8">
        <f t="shared" si="9"/>
        <v>13500</v>
      </c>
    </row>
    <row r="51" spans="1:7" s="9" customFormat="1" ht="24" customHeight="1" x14ac:dyDescent="0.25">
      <c r="A51" s="19" t="s">
        <v>110</v>
      </c>
      <c r="B51" s="20">
        <v>11814</v>
      </c>
      <c r="C51" s="20">
        <v>0</v>
      </c>
      <c r="D51" s="20">
        <v>0</v>
      </c>
      <c r="E51" s="20">
        <v>0</v>
      </c>
      <c r="F51" s="8">
        <f t="shared" si="9"/>
        <v>11814</v>
      </c>
    </row>
    <row r="52" spans="1:7" s="9" customFormat="1" ht="24" customHeight="1" x14ac:dyDescent="0.25">
      <c r="A52" s="23" t="s">
        <v>111</v>
      </c>
      <c r="B52" s="20">
        <v>6329.89</v>
      </c>
      <c r="C52" s="20">
        <v>0</v>
      </c>
      <c r="D52" s="20">
        <v>0</v>
      </c>
      <c r="E52" s="20">
        <v>0</v>
      </c>
      <c r="F52" s="8">
        <f t="shared" si="9"/>
        <v>6329.89</v>
      </c>
    </row>
    <row r="53" spans="1:7" s="9" customFormat="1" ht="24" customHeight="1" x14ac:dyDescent="0.25">
      <c r="A53" s="23" t="s">
        <v>113</v>
      </c>
      <c r="B53" s="20">
        <v>13185.7</v>
      </c>
      <c r="C53" s="20">
        <v>0</v>
      </c>
      <c r="D53" s="20">
        <v>0</v>
      </c>
      <c r="E53" s="20">
        <v>0</v>
      </c>
      <c r="F53" s="8">
        <f t="shared" si="9"/>
        <v>13185.7</v>
      </c>
    </row>
    <row r="54" spans="1:7" s="6" customFormat="1" ht="15" customHeight="1" x14ac:dyDescent="0.25">
      <c r="A54" s="10" t="s">
        <v>9</v>
      </c>
      <c r="B54" s="11">
        <f t="shared" ref="B54:E54" si="10">SUM(B47:B53)</f>
        <v>59940.59</v>
      </c>
      <c r="C54" s="11">
        <f t="shared" si="10"/>
        <v>265581</v>
      </c>
      <c r="D54" s="11">
        <f t="shared" si="10"/>
        <v>131800</v>
      </c>
      <c r="E54" s="11">
        <f t="shared" si="10"/>
        <v>0</v>
      </c>
      <c r="F54" s="12">
        <f>SUM(F47:F53)</f>
        <v>457321.59</v>
      </c>
      <c r="G54" s="104"/>
    </row>
    <row r="55" spans="1:7" s="13" customFormat="1" ht="18" customHeight="1" x14ac:dyDescent="0.2">
      <c r="A55" s="330" t="s">
        <v>32</v>
      </c>
      <c r="B55" s="312"/>
      <c r="C55" s="312"/>
      <c r="D55" s="312"/>
      <c r="E55" s="312"/>
      <c r="F55" s="331"/>
    </row>
    <row r="56" spans="1:7" s="13" customFormat="1" ht="24" customHeight="1" x14ac:dyDescent="0.25">
      <c r="A56" s="19" t="s">
        <v>33</v>
      </c>
      <c r="B56" s="20">
        <v>45000</v>
      </c>
      <c r="C56" s="20">
        <v>0</v>
      </c>
      <c r="D56" s="20">
        <v>0</v>
      </c>
      <c r="E56" s="20">
        <v>0</v>
      </c>
      <c r="F56" s="8">
        <f t="shared" ref="F56:F77" si="11">B56+C56+D56+E56</f>
        <v>45000</v>
      </c>
    </row>
    <row r="57" spans="1:7" s="13" customFormat="1" ht="24" customHeight="1" x14ac:dyDescent="0.25">
      <c r="A57" s="23" t="s">
        <v>34</v>
      </c>
      <c r="B57" s="20">
        <v>0</v>
      </c>
      <c r="C57" s="20">
        <v>5500</v>
      </c>
      <c r="D57" s="20">
        <v>25000</v>
      </c>
      <c r="E57" s="20">
        <v>0</v>
      </c>
      <c r="F57" s="8">
        <f t="shared" si="11"/>
        <v>30500</v>
      </c>
    </row>
    <row r="58" spans="1:7" s="13" customFormat="1" ht="24" customHeight="1" x14ac:dyDescent="0.25">
      <c r="A58" s="19" t="s">
        <v>68</v>
      </c>
      <c r="B58" s="20">
        <v>0</v>
      </c>
      <c r="C58" s="20">
        <v>2090</v>
      </c>
      <c r="D58" s="20">
        <v>26000</v>
      </c>
      <c r="E58" s="20">
        <v>27610</v>
      </c>
      <c r="F58" s="8">
        <f t="shared" si="11"/>
        <v>55700</v>
      </c>
    </row>
    <row r="59" spans="1:7" s="13" customFormat="1" ht="33.950000000000003" customHeight="1" x14ac:dyDescent="0.25">
      <c r="A59" s="23" t="s">
        <v>36</v>
      </c>
      <c r="B59" s="24">
        <v>31098</v>
      </c>
      <c r="C59" s="20">
        <v>19500</v>
      </c>
      <c r="D59" s="20">
        <v>0</v>
      </c>
      <c r="E59" s="20">
        <v>0</v>
      </c>
      <c r="F59" s="8">
        <f t="shared" si="11"/>
        <v>50598</v>
      </c>
    </row>
    <row r="60" spans="1:7" s="13" customFormat="1" ht="33.950000000000003" customHeight="1" x14ac:dyDescent="0.25">
      <c r="A60" s="23" t="s">
        <v>37</v>
      </c>
      <c r="B60" s="24">
        <v>0</v>
      </c>
      <c r="C60" s="20">
        <v>5500</v>
      </c>
      <c r="D60" s="20">
        <v>0</v>
      </c>
      <c r="E60" s="20">
        <v>0</v>
      </c>
      <c r="F60" s="8">
        <f t="shared" si="11"/>
        <v>5500</v>
      </c>
    </row>
    <row r="61" spans="1:7" s="13" customFormat="1" ht="24" customHeight="1" x14ac:dyDescent="0.25">
      <c r="A61" s="19" t="s">
        <v>38</v>
      </c>
      <c r="B61" s="20">
        <v>10571</v>
      </c>
      <c r="C61" s="20">
        <v>113428</v>
      </c>
      <c r="D61" s="20">
        <v>52000</v>
      </c>
      <c r="E61" s="20">
        <v>0</v>
      </c>
      <c r="F61" s="8">
        <f t="shared" si="11"/>
        <v>175999</v>
      </c>
    </row>
    <row r="62" spans="1:7" s="13" customFormat="1" ht="24" customHeight="1" x14ac:dyDescent="0.25">
      <c r="A62" s="23" t="s">
        <v>39</v>
      </c>
      <c r="B62" s="20">
        <f>51000+2656</f>
        <v>53656</v>
      </c>
      <c r="C62" s="20">
        <v>0</v>
      </c>
      <c r="D62" s="20">
        <v>0</v>
      </c>
      <c r="E62" s="20">
        <v>0</v>
      </c>
      <c r="F62" s="8">
        <f t="shared" si="11"/>
        <v>53656</v>
      </c>
    </row>
    <row r="63" spans="1:7" s="13" customFormat="1" ht="24" customHeight="1" x14ac:dyDescent="0.25">
      <c r="A63" s="19" t="s">
        <v>40</v>
      </c>
      <c r="B63" s="20">
        <v>0</v>
      </c>
      <c r="C63" s="20">
        <v>25000</v>
      </c>
      <c r="D63" s="20">
        <v>0</v>
      </c>
      <c r="E63" s="20">
        <v>0</v>
      </c>
      <c r="F63" s="8">
        <f t="shared" si="11"/>
        <v>25000</v>
      </c>
    </row>
    <row r="64" spans="1:7" s="13" customFormat="1" ht="33.950000000000003" customHeight="1" x14ac:dyDescent="0.25">
      <c r="A64" s="23" t="s">
        <v>41</v>
      </c>
      <c r="B64" s="24">
        <v>0</v>
      </c>
      <c r="C64" s="20">
        <v>20250</v>
      </c>
      <c r="D64" s="20">
        <v>17750</v>
      </c>
      <c r="E64" s="20">
        <v>0</v>
      </c>
      <c r="F64" s="8">
        <f t="shared" si="11"/>
        <v>38000</v>
      </c>
    </row>
    <row r="65" spans="1:7" s="13" customFormat="1" ht="24" customHeight="1" x14ac:dyDescent="0.25">
      <c r="A65" s="19" t="s">
        <v>42</v>
      </c>
      <c r="B65" s="20">
        <v>57200</v>
      </c>
      <c r="C65" s="20">
        <v>500</v>
      </c>
      <c r="D65" s="20">
        <v>0</v>
      </c>
      <c r="E65" s="20">
        <v>0</v>
      </c>
      <c r="F65" s="8">
        <f t="shared" si="11"/>
        <v>57700</v>
      </c>
    </row>
    <row r="66" spans="1:7" s="13" customFormat="1" ht="24" customHeight="1" x14ac:dyDescent="0.25">
      <c r="A66" s="23" t="s">
        <v>43</v>
      </c>
      <c r="B66" s="20">
        <v>30678.01</v>
      </c>
      <c r="C66" s="20">
        <v>0</v>
      </c>
      <c r="D66" s="20">
        <v>0</v>
      </c>
      <c r="E66" s="20">
        <v>0</v>
      </c>
      <c r="F66" s="8">
        <f t="shared" si="11"/>
        <v>30678.01</v>
      </c>
    </row>
    <row r="67" spans="1:7" s="13" customFormat="1" ht="24" customHeight="1" x14ac:dyDescent="0.25">
      <c r="A67" s="19" t="s">
        <v>44</v>
      </c>
      <c r="B67" s="20">
        <v>40000</v>
      </c>
      <c r="C67" s="20">
        <v>0</v>
      </c>
      <c r="D67" s="20">
        <v>0</v>
      </c>
      <c r="E67" s="20">
        <v>0</v>
      </c>
      <c r="F67" s="8">
        <f t="shared" si="11"/>
        <v>40000</v>
      </c>
    </row>
    <row r="68" spans="1:7" s="13" customFormat="1" ht="24" customHeight="1" x14ac:dyDescent="0.25">
      <c r="A68" s="23" t="s">
        <v>45</v>
      </c>
      <c r="B68" s="20">
        <v>500</v>
      </c>
      <c r="C68" s="20">
        <v>25639</v>
      </c>
      <c r="D68" s="20">
        <v>25000</v>
      </c>
      <c r="E68" s="20">
        <v>0</v>
      </c>
      <c r="F68" s="8">
        <f t="shared" si="11"/>
        <v>51139</v>
      </c>
    </row>
    <row r="69" spans="1:7" s="13" customFormat="1" ht="24" customHeight="1" x14ac:dyDescent="0.25">
      <c r="A69" s="19" t="s">
        <v>46</v>
      </c>
      <c r="B69" s="20">
        <v>6200</v>
      </c>
      <c r="C69" s="20">
        <v>0</v>
      </c>
      <c r="D69" s="20">
        <v>0</v>
      </c>
      <c r="E69" s="20">
        <v>0</v>
      </c>
      <c r="F69" s="8">
        <f t="shared" si="11"/>
        <v>6200</v>
      </c>
    </row>
    <row r="70" spans="1:7" s="13" customFormat="1" ht="24" customHeight="1" x14ac:dyDescent="0.25">
      <c r="A70" s="23" t="s">
        <v>69</v>
      </c>
      <c r="B70" s="20">
        <v>28.6</v>
      </c>
      <c r="C70" s="20">
        <v>11036.31</v>
      </c>
      <c r="D70" s="20">
        <v>0</v>
      </c>
      <c r="E70" s="20">
        <v>0</v>
      </c>
      <c r="F70" s="8">
        <f t="shared" si="11"/>
        <v>11064.91</v>
      </c>
    </row>
    <row r="71" spans="1:7" s="13" customFormat="1" ht="24" customHeight="1" x14ac:dyDescent="0.25">
      <c r="A71" s="19" t="s">
        <v>80</v>
      </c>
      <c r="B71" s="20">
        <v>350</v>
      </c>
      <c r="C71" s="20">
        <v>14000</v>
      </c>
      <c r="D71" s="20">
        <v>0</v>
      </c>
      <c r="E71" s="20">
        <v>0</v>
      </c>
      <c r="F71" s="8">
        <f t="shared" si="11"/>
        <v>14350</v>
      </c>
    </row>
    <row r="72" spans="1:7" s="13" customFormat="1" ht="33.950000000000003" customHeight="1" x14ac:dyDescent="0.25">
      <c r="A72" s="23" t="s">
        <v>81</v>
      </c>
      <c r="B72" s="24">
        <v>0</v>
      </c>
      <c r="C72" s="20">
        <v>11420</v>
      </c>
      <c r="D72" s="20">
        <v>0</v>
      </c>
      <c r="E72" s="20">
        <v>0</v>
      </c>
      <c r="F72" s="8">
        <f t="shared" si="11"/>
        <v>11420</v>
      </c>
    </row>
    <row r="73" spans="1:7" s="9" customFormat="1" ht="15" customHeight="1" x14ac:dyDescent="0.25">
      <c r="A73" s="21" t="s">
        <v>88</v>
      </c>
      <c r="B73" s="22">
        <v>0</v>
      </c>
      <c r="C73" s="22">
        <v>50000</v>
      </c>
      <c r="D73" s="22">
        <v>20500</v>
      </c>
      <c r="E73" s="22">
        <v>0</v>
      </c>
      <c r="F73" s="8">
        <f t="shared" si="11"/>
        <v>70500</v>
      </c>
    </row>
    <row r="74" spans="1:7" s="13" customFormat="1" ht="24" customHeight="1" x14ac:dyDescent="0.25">
      <c r="A74" s="23" t="s">
        <v>89</v>
      </c>
      <c r="B74" s="20">
        <v>9120</v>
      </c>
      <c r="C74" s="20">
        <v>0</v>
      </c>
      <c r="D74" s="20">
        <v>0</v>
      </c>
      <c r="E74" s="20">
        <v>0</v>
      </c>
      <c r="F74" s="8">
        <f t="shared" si="11"/>
        <v>9120</v>
      </c>
    </row>
    <row r="75" spans="1:7" s="13" customFormat="1" ht="24" customHeight="1" x14ac:dyDescent="0.25">
      <c r="A75" s="19" t="s">
        <v>90</v>
      </c>
      <c r="B75" s="20">
        <v>127.05</v>
      </c>
      <c r="C75" s="20">
        <v>21372.95</v>
      </c>
      <c r="D75" s="20">
        <v>0</v>
      </c>
      <c r="E75" s="20">
        <v>0</v>
      </c>
      <c r="F75" s="8">
        <f t="shared" si="11"/>
        <v>21500</v>
      </c>
    </row>
    <row r="76" spans="1:7" s="13" customFormat="1" ht="24" customHeight="1" x14ac:dyDescent="0.25">
      <c r="A76" s="23" t="s">
        <v>91</v>
      </c>
      <c r="B76" s="20">
        <v>23000</v>
      </c>
      <c r="C76" s="20">
        <v>2000</v>
      </c>
      <c r="D76" s="20">
        <v>0</v>
      </c>
      <c r="E76" s="20">
        <v>0</v>
      </c>
      <c r="F76" s="8">
        <f t="shared" si="11"/>
        <v>25000</v>
      </c>
    </row>
    <row r="77" spans="1:7" s="13" customFormat="1" ht="24" customHeight="1" x14ac:dyDescent="0.25">
      <c r="A77" s="19" t="s">
        <v>131</v>
      </c>
      <c r="B77" s="20">
        <v>7949.67</v>
      </c>
      <c r="C77" s="20">
        <v>0</v>
      </c>
      <c r="D77" s="20">
        <v>0</v>
      </c>
      <c r="E77" s="20">
        <v>0</v>
      </c>
      <c r="F77" s="8">
        <f t="shared" si="11"/>
        <v>7949.67</v>
      </c>
    </row>
    <row r="78" spans="1:7" s="6" customFormat="1" ht="15" customHeight="1" x14ac:dyDescent="0.25">
      <c r="A78" s="10" t="s">
        <v>47</v>
      </c>
      <c r="B78" s="11">
        <f t="shared" ref="B78:E78" si="12">SUM(B56:B77)</f>
        <v>315478.32999999996</v>
      </c>
      <c r="C78" s="11">
        <f t="shared" si="12"/>
        <v>327236.26</v>
      </c>
      <c r="D78" s="11">
        <f t="shared" si="12"/>
        <v>166250</v>
      </c>
      <c r="E78" s="11">
        <f t="shared" si="12"/>
        <v>27610</v>
      </c>
      <c r="F78" s="12">
        <f>SUM(F56:F77)</f>
        <v>836574.59000000008</v>
      </c>
      <c r="G78" s="104"/>
    </row>
    <row r="79" spans="1:7" s="13" customFormat="1" ht="18" customHeight="1" x14ac:dyDescent="0.25">
      <c r="A79" s="308" t="s">
        <v>133</v>
      </c>
      <c r="B79" s="309"/>
      <c r="C79" s="309"/>
      <c r="D79" s="309"/>
      <c r="E79" s="309"/>
      <c r="F79" s="310"/>
    </row>
    <row r="80" spans="1:7" s="13" customFormat="1" ht="24" customHeight="1" x14ac:dyDescent="0.25">
      <c r="A80" s="21" t="s">
        <v>49</v>
      </c>
      <c r="B80" s="24">
        <v>10000</v>
      </c>
      <c r="C80" s="55">
        <v>85000</v>
      </c>
      <c r="D80" s="55">
        <v>10000</v>
      </c>
      <c r="E80" s="24">
        <v>0</v>
      </c>
      <c r="F80" s="8">
        <f t="shared" ref="F80:F89" si="13">B80+C80+D80+E80</f>
        <v>105000</v>
      </c>
    </row>
    <row r="81" spans="1:7" s="13" customFormat="1" ht="24" customHeight="1" x14ac:dyDescent="0.25">
      <c r="A81" s="21" t="s">
        <v>50</v>
      </c>
      <c r="B81" s="20">
        <v>234</v>
      </c>
      <c r="C81" s="20">
        <f>119416+15000-234</f>
        <v>134182</v>
      </c>
      <c r="D81" s="20">
        <v>50000</v>
      </c>
      <c r="E81" s="20">
        <v>0</v>
      </c>
      <c r="F81" s="8">
        <f t="shared" si="13"/>
        <v>184416</v>
      </c>
    </row>
    <row r="82" spans="1:7" s="13" customFormat="1" ht="24" customHeight="1" x14ac:dyDescent="0.25">
      <c r="A82" s="21" t="s">
        <v>51</v>
      </c>
      <c r="B82" s="20">
        <f>2000-900</f>
        <v>1100</v>
      </c>
      <c r="C82" s="20">
        <f>22000+900</f>
        <v>22900</v>
      </c>
      <c r="D82" s="20">
        <v>0</v>
      </c>
      <c r="E82" s="20">
        <v>0</v>
      </c>
      <c r="F82" s="8">
        <f t="shared" si="13"/>
        <v>24000</v>
      </c>
    </row>
    <row r="83" spans="1:7" s="13" customFormat="1" ht="24" customHeight="1" x14ac:dyDescent="0.25">
      <c r="A83" s="21" t="s">
        <v>52</v>
      </c>
      <c r="B83" s="20">
        <v>0</v>
      </c>
      <c r="C83" s="20">
        <v>0</v>
      </c>
      <c r="D83" s="20">
        <v>0</v>
      </c>
      <c r="E83" s="20">
        <v>0</v>
      </c>
      <c r="F83" s="8">
        <f t="shared" si="13"/>
        <v>0</v>
      </c>
    </row>
    <row r="84" spans="1:7" s="13" customFormat="1" ht="24" customHeight="1" x14ac:dyDescent="0.25">
      <c r="A84" s="21" t="s">
        <v>97</v>
      </c>
      <c r="B84" s="20">
        <v>21700</v>
      </c>
      <c r="C84" s="20">
        <v>0</v>
      </c>
      <c r="D84" s="20">
        <v>0</v>
      </c>
      <c r="E84" s="20">
        <v>0</v>
      </c>
      <c r="F84" s="8">
        <f t="shared" si="13"/>
        <v>21700</v>
      </c>
    </row>
    <row r="85" spans="1:7" s="13" customFormat="1" ht="24" customHeight="1" x14ac:dyDescent="0.25">
      <c r="A85" s="21" t="s">
        <v>139</v>
      </c>
      <c r="B85" s="24">
        <v>22241.64</v>
      </c>
      <c r="C85" s="24">
        <v>0</v>
      </c>
      <c r="D85" s="24">
        <v>0</v>
      </c>
      <c r="E85" s="24">
        <v>0</v>
      </c>
      <c r="F85" s="8">
        <f t="shared" si="13"/>
        <v>22241.64</v>
      </c>
    </row>
    <row r="86" spans="1:7" s="13" customFormat="1" ht="24" customHeight="1" x14ac:dyDescent="0.25">
      <c r="A86" s="21" t="s">
        <v>141</v>
      </c>
      <c r="B86" s="20">
        <v>20898.27</v>
      </c>
      <c r="C86" s="20">
        <v>0</v>
      </c>
      <c r="D86" s="20">
        <v>0</v>
      </c>
      <c r="E86" s="20">
        <v>0</v>
      </c>
      <c r="F86" s="8">
        <f t="shared" si="13"/>
        <v>20898.27</v>
      </c>
    </row>
    <row r="87" spans="1:7" s="13" customFormat="1" ht="24" customHeight="1" x14ac:dyDescent="0.25">
      <c r="A87" s="21" t="s">
        <v>143</v>
      </c>
      <c r="B87" s="20">
        <v>28727.64</v>
      </c>
      <c r="C87" s="20">
        <v>0</v>
      </c>
      <c r="D87" s="20">
        <v>0</v>
      </c>
      <c r="E87" s="20">
        <v>0</v>
      </c>
      <c r="F87" s="8">
        <f t="shared" si="13"/>
        <v>28727.64</v>
      </c>
    </row>
    <row r="88" spans="1:7" s="13" customFormat="1" ht="24" customHeight="1" x14ac:dyDescent="0.25">
      <c r="A88" s="21" t="s">
        <v>145</v>
      </c>
      <c r="B88" s="20">
        <v>11437.7</v>
      </c>
      <c r="C88" s="20">
        <v>0</v>
      </c>
      <c r="D88" s="20">
        <v>0</v>
      </c>
      <c r="E88" s="20">
        <v>0</v>
      </c>
      <c r="F88" s="8">
        <f t="shared" si="13"/>
        <v>11437.7</v>
      </c>
    </row>
    <row r="89" spans="1:7" s="13" customFormat="1" ht="24" customHeight="1" x14ac:dyDescent="0.25">
      <c r="A89" s="21" t="s">
        <v>147</v>
      </c>
      <c r="B89" s="20">
        <v>11567.78</v>
      </c>
      <c r="C89" s="20">
        <v>0</v>
      </c>
      <c r="D89" s="20">
        <v>0</v>
      </c>
      <c r="E89" s="20">
        <v>0</v>
      </c>
      <c r="F89" s="8">
        <f t="shared" si="13"/>
        <v>11567.78</v>
      </c>
    </row>
    <row r="90" spans="1:7" s="6" customFormat="1" ht="15" customHeight="1" thickBot="1" x14ac:dyDescent="0.3">
      <c r="A90" s="10" t="s">
        <v>53</v>
      </c>
      <c r="B90" s="11">
        <f t="shared" ref="B90:E90" si="14">SUM(B80:B89)</f>
        <v>127907.03</v>
      </c>
      <c r="C90" s="11">
        <f t="shared" si="14"/>
        <v>242082</v>
      </c>
      <c r="D90" s="11">
        <f t="shared" si="14"/>
        <v>60000</v>
      </c>
      <c r="E90" s="11">
        <f t="shared" si="14"/>
        <v>0</v>
      </c>
      <c r="F90" s="12">
        <f>SUM(F80:F89)</f>
        <v>429989.03000000009</v>
      </c>
      <c r="G90" s="104"/>
    </row>
    <row r="91" spans="1:7" s="6" customFormat="1" ht="25.5" customHeight="1" thickBot="1" x14ac:dyDescent="0.3">
      <c r="A91" s="14" t="s">
        <v>54</v>
      </c>
      <c r="B91" s="15">
        <f t="shared" ref="B91:E91" si="15">B90+B78+B54+B45+B40</f>
        <v>523421.04999999993</v>
      </c>
      <c r="C91" s="15">
        <f t="shared" si="15"/>
        <v>1095285.26</v>
      </c>
      <c r="D91" s="15">
        <f t="shared" si="15"/>
        <v>860151.9</v>
      </c>
      <c r="E91" s="15">
        <f t="shared" si="15"/>
        <v>96320</v>
      </c>
      <c r="F91" s="16">
        <f>F90+F78+F54+F45+F40</f>
        <v>2575178.21</v>
      </c>
    </row>
    <row r="92" spans="1:7" s="6" customFormat="1" ht="13.5" thickBot="1" x14ac:dyDescent="0.3">
      <c r="A92" s="17"/>
      <c r="B92" s="94"/>
      <c r="C92" s="94"/>
      <c r="D92" s="94"/>
      <c r="E92" s="94"/>
      <c r="F92" s="119"/>
    </row>
    <row r="93" spans="1:7" s="6" customFormat="1" ht="21" customHeight="1" thickBot="1" x14ac:dyDescent="0.3">
      <c r="A93" s="14" t="s">
        <v>55</v>
      </c>
      <c r="B93" s="15">
        <f t="shared" ref="B93:E93" si="16">SUM(B20,B33,B91)</f>
        <v>559737.04999999993</v>
      </c>
      <c r="C93" s="15">
        <f t="shared" si="16"/>
        <v>1375076.26</v>
      </c>
      <c r="D93" s="15">
        <f t="shared" si="16"/>
        <v>968866.9</v>
      </c>
      <c r="E93" s="15">
        <f t="shared" si="16"/>
        <v>96320</v>
      </c>
      <c r="F93" s="16">
        <f>SUM(F20,F33,F91)</f>
        <v>3000000.21</v>
      </c>
    </row>
  </sheetData>
  <mergeCells count="16">
    <mergeCell ref="A11:F11"/>
    <mergeCell ref="A1:F1"/>
    <mergeCell ref="A3:A4"/>
    <mergeCell ref="B3:F3"/>
    <mergeCell ref="A6:F6"/>
    <mergeCell ref="A7:F7"/>
    <mergeCell ref="A41:F41"/>
    <mergeCell ref="A46:F46"/>
    <mergeCell ref="A55:F55"/>
    <mergeCell ref="A79:F79"/>
    <mergeCell ref="A17:F17"/>
    <mergeCell ref="A22:F22"/>
    <mergeCell ref="A23:F23"/>
    <mergeCell ref="A28:F28"/>
    <mergeCell ref="A35:F35"/>
    <mergeCell ref="A36:F36"/>
  </mergeCells>
  <conditionalFormatting sqref="B51:E53">
    <cfRule type="cellIs" dxfId="1055" priority="69" operator="lessThan">
      <formula>#REF!</formula>
    </cfRule>
    <cfRule type="cellIs" dxfId="1054" priority="70" operator="greaterThan">
      <formula>#REF!</formula>
    </cfRule>
  </conditionalFormatting>
  <conditionalFormatting sqref="B8:F10">
    <cfRule type="cellIs" dxfId="1053" priority="127" operator="lessThan">
      <formula>#REF!</formula>
    </cfRule>
    <cfRule type="cellIs" dxfId="1052" priority="128" operator="greaterThan">
      <formula>#REF!</formula>
    </cfRule>
  </conditionalFormatting>
  <conditionalFormatting sqref="B12:F16">
    <cfRule type="cellIs" dxfId="1051" priority="97" operator="lessThan">
      <formula>#REF!</formula>
    </cfRule>
    <cfRule type="cellIs" dxfId="1050" priority="98" operator="greaterThan">
      <formula>#REF!</formula>
    </cfRule>
  </conditionalFormatting>
  <conditionalFormatting sqref="B18:F19">
    <cfRule type="cellIs" dxfId="1049" priority="77" operator="lessThan">
      <formula>#REF!</formula>
    </cfRule>
    <cfRule type="cellIs" dxfId="1048" priority="78" operator="greaterThan">
      <formula>#REF!</formula>
    </cfRule>
  </conditionalFormatting>
  <conditionalFormatting sqref="B24:F27">
    <cfRule type="cellIs" dxfId="1047" priority="243" operator="lessThan">
      <formula>#REF!</formula>
    </cfRule>
    <cfRule type="cellIs" dxfId="1046" priority="244" operator="greaterThan">
      <formula>#REF!</formula>
    </cfRule>
  </conditionalFormatting>
  <conditionalFormatting sqref="B29:F32">
    <cfRule type="cellIs" dxfId="1045" priority="223" operator="lessThan">
      <formula>#REF!</formula>
    </cfRule>
    <cfRule type="cellIs" dxfId="1044" priority="224" operator="greaterThan">
      <formula>#REF!</formula>
    </cfRule>
  </conditionalFormatting>
  <conditionalFormatting sqref="B37:F40">
    <cfRule type="cellIs" dxfId="1043" priority="203" operator="lessThan">
      <formula>#REF!</formula>
    </cfRule>
    <cfRule type="cellIs" dxfId="1042" priority="204" operator="greaterThan">
      <formula>#REF!</formula>
    </cfRule>
  </conditionalFormatting>
  <conditionalFormatting sqref="B42:F45">
    <cfRule type="cellIs" dxfId="1041" priority="183" operator="lessThan">
      <formula>#REF!</formula>
    </cfRule>
    <cfRule type="cellIs" dxfId="1040" priority="184" operator="greaterThan">
      <formula>#REF!</formula>
    </cfRule>
  </conditionalFormatting>
  <conditionalFormatting sqref="B47:F50">
    <cfRule type="cellIs" dxfId="1039" priority="137" operator="lessThan">
      <formula>#REF!</formula>
    </cfRule>
    <cfRule type="cellIs" dxfId="1038" priority="138" operator="greaterThan">
      <formula>#REF!</formula>
    </cfRule>
  </conditionalFormatting>
  <conditionalFormatting sqref="B56:F78">
    <cfRule type="cellIs" dxfId="1037" priority="9" operator="lessThan">
      <formula>#REF!</formula>
    </cfRule>
    <cfRule type="cellIs" dxfId="1036" priority="10" operator="greaterThan">
      <formula>#REF!</formula>
    </cfRule>
  </conditionalFormatting>
  <conditionalFormatting sqref="B80:F89">
    <cfRule type="cellIs" dxfId="1035" priority="1" operator="lessThan">
      <formula>#REF!</formula>
    </cfRule>
    <cfRule type="cellIs" dxfId="1034" priority="2" operator="greaterThan">
      <formula>#REF!</formula>
    </cfRule>
  </conditionalFormatting>
  <conditionalFormatting sqref="F51:F54">
    <cfRule type="cellIs" dxfId="1033" priority="65" operator="lessThan">
      <formula>#REF!</formula>
    </cfRule>
    <cfRule type="cellIs" dxfId="1032" priority="66" operator="greaterThan">
      <formula>#REF!</formula>
    </cfRule>
  </conditionalFormatting>
  <pageMargins left="0.70866141732283472" right="0.70866141732283472" top="0.55118110236220474" bottom="0.55118110236220474" header="0.31496062992125984" footer="0.31496062992125984"/>
  <pageSetup paperSize="9" scale="75" firstPageNumber="8" fitToHeight="0" orientation="portrait" r:id="rId1"/>
  <headerFooter>
    <oddHeader>&amp;LPříloha č. 2</oddHeader>
    <oddFooter>&amp;C&amp;"Tahoma,Obyčejné"&amp;10&amp;P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EAFEB-2A00-4DF2-8A1F-E9322AA24178}">
  <sheetPr>
    <tabColor theme="9" tint="0.59999389629810485"/>
  </sheetPr>
  <dimension ref="A1:G93"/>
  <sheetViews>
    <sheetView zoomScale="112" zoomScaleNormal="112" zoomScaleSheetLayoutView="100" workbookViewId="0">
      <pane ySplit="4" topLeftCell="A41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5" width="12.7109375" style="120" customWidth="1"/>
    <col min="6" max="6" width="14.140625" style="120" customWidth="1"/>
    <col min="7" max="7" width="12.5703125" style="4" bestFit="1" customWidth="1"/>
    <col min="8" max="16384" width="9.140625" style="4"/>
  </cols>
  <sheetData>
    <row r="1" spans="1:6" s="1" customFormat="1" ht="23.25" customHeight="1" x14ac:dyDescent="0.25">
      <c r="A1" s="294" t="s">
        <v>98</v>
      </c>
      <c r="B1" s="313"/>
      <c r="C1" s="313"/>
      <c r="D1" s="313"/>
      <c r="E1" s="313"/>
      <c r="F1" s="313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13.5" thickBot="1" x14ac:dyDescent="0.3">
      <c r="A5" s="17"/>
      <c r="B5" s="38"/>
      <c r="C5" s="38"/>
      <c r="D5" s="38"/>
      <c r="E5" s="38"/>
      <c r="F5" s="29"/>
    </row>
    <row r="6" spans="1:6" s="6" customFormat="1" ht="21" customHeight="1" x14ac:dyDescent="0.25">
      <c r="A6" s="301" t="s">
        <v>70</v>
      </c>
      <c r="B6" s="302"/>
      <c r="C6" s="302"/>
      <c r="D6" s="302"/>
      <c r="E6" s="318"/>
      <c r="F6" s="319"/>
    </row>
    <row r="7" spans="1:6" s="13" customFormat="1" ht="15" customHeight="1" x14ac:dyDescent="0.2">
      <c r="A7" s="330" t="s">
        <v>6</v>
      </c>
      <c r="B7" s="312"/>
      <c r="C7" s="312"/>
      <c r="D7" s="312"/>
      <c r="E7" s="312"/>
      <c r="F7" s="331"/>
    </row>
    <row r="8" spans="1:6" s="9" customFormat="1" ht="15" customHeight="1" x14ac:dyDescent="0.25">
      <c r="A8" s="7" t="s">
        <v>7</v>
      </c>
      <c r="B8" s="28">
        <v>28791</v>
      </c>
      <c r="C8" s="28">
        <v>68375</v>
      </c>
      <c r="D8" s="28">
        <v>60950</v>
      </c>
      <c r="E8" s="28">
        <v>0</v>
      </c>
      <c r="F8" s="8">
        <f>B8+C8+D8+E8</f>
        <v>158116</v>
      </c>
    </row>
    <row r="9" spans="1:6" s="9" customFormat="1" ht="24" customHeight="1" x14ac:dyDescent="0.25">
      <c r="A9" s="7" t="s">
        <v>8</v>
      </c>
      <c r="B9" s="28">
        <v>7525</v>
      </c>
      <c r="C9" s="28">
        <v>22984</v>
      </c>
      <c r="D9" s="28">
        <v>19995</v>
      </c>
      <c r="E9" s="28">
        <v>0</v>
      </c>
      <c r="F9" s="8">
        <f>B9+C9+D9+E9</f>
        <v>50504</v>
      </c>
    </row>
    <row r="10" spans="1:6" s="6" customFormat="1" ht="15" customHeight="1" x14ac:dyDescent="0.25">
      <c r="A10" s="10" t="s">
        <v>9</v>
      </c>
      <c r="B10" s="11">
        <f t="shared" ref="B10:E10" si="0">SUM(B8:B9)</f>
        <v>36316</v>
      </c>
      <c r="C10" s="11">
        <f t="shared" si="0"/>
        <v>91359</v>
      </c>
      <c r="D10" s="11">
        <f t="shared" si="0"/>
        <v>80945</v>
      </c>
      <c r="E10" s="11">
        <f t="shared" si="0"/>
        <v>0</v>
      </c>
      <c r="F10" s="12">
        <f>SUM(F8:F9)</f>
        <v>208620</v>
      </c>
    </row>
    <row r="11" spans="1:6" s="13" customFormat="1" ht="15" customHeight="1" x14ac:dyDescent="0.25">
      <c r="A11" s="305" t="s">
        <v>32</v>
      </c>
      <c r="B11" s="306"/>
      <c r="C11" s="306"/>
      <c r="D11" s="306"/>
      <c r="E11" s="306"/>
      <c r="F11" s="307"/>
    </row>
    <row r="12" spans="1:6" s="9" customFormat="1" ht="15" customHeight="1" x14ac:dyDescent="0.25">
      <c r="A12" s="7" t="s">
        <v>83</v>
      </c>
      <c r="B12" s="28">
        <v>0</v>
      </c>
      <c r="C12" s="28">
        <v>26810</v>
      </c>
      <c r="D12" s="28">
        <v>0</v>
      </c>
      <c r="E12" s="28">
        <v>0</v>
      </c>
      <c r="F12" s="8">
        <f>B12+C12+D12+E12</f>
        <v>26810</v>
      </c>
    </row>
    <row r="13" spans="1:6" s="9" customFormat="1" ht="15" customHeight="1" x14ac:dyDescent="0.25">
      <c r="A13" s="7" t="s">
        <v>84</v>
      </c>
      <c r="B13" s="28">
        <v>0</v>
      </c>
      <c r="C13" s="28">
        <v>21262</v>
      </c>
      <c r="D13" s="28">
        <v>0</v>
      </c>
      <c r="E13" s="28">
        <v>0</v>
      </c>
      <c r="F13" s="8">
        <f>B13+C13+D13+E13</f>
        <v>21262</v>
      </c>
    </row>
    <row r="14" spans="1:6" s="9" customFormat="1" ht="15" customHeight="1" x14ac:dyDescent="0.25">
      <c r="A14" s="7" t="s">
        <v>85</v>
      </c>
      <c r="B14" s="28">
        <v>0</v>
      </c>
      <c r="C14" s="28">
        <v>50842</v>
      </c>
      <c r="D14" s="28">
        <v>0</v>
      </c>
      <c r="E14" s="28">
        <v>0</v>
      </c>
      <c r="F14" s="8">
        <f>B14+C14+D14+E14</f>
        <v>50842</v>
      </c>
    </row>
    <row r="15" spans="1:6" s="9" customFormat="1" ht="15" customHeight="1" x14ac:dyDescent="0.25">
      <c r="A15" s="7" t="s">
        <v>86</v>
      </c>
      <c r="B15" s="28">
        <v>0</v>
      </c>
      <c r="C15" s="28">
        <v>10963</v>
      </c>
      <c r="D15" s="28">
        <v>0</v>
      </c>
      <c r="E15" s="28">
        <v>0</v>
      </c>
      <c r="F15" s="8">
        <f>B15+C15+D15+E15</f>
        <v>10963</v>
      </c>
    </row>
    <row r="16" spans="1:6" s="6" customFormat="1" ht="15" customHeight="1" x14ac:dyDescent="0.25">
      <c r="A16" s="10" t="s">
        <v>47</v>
      </c>
      <c r="B16" s="11">
        <f t="shared" ref="B16:F16" si="1">SUM(B12:B15)</f>
        <v>0</v>
      </c>
      <c r="C16" s="11">
        <f t="shared" si="1"/>
        <v>109877</v>
      </c>
      <c r="D16" s="11">
        <f t="shared" si="1"/>
        <v>0</v>
      </c>
      <c r="E16" s="11">
        <f t="shared" si="1"/>
        <v>0</v>
      </c>
      <c r="F16" s="12">
        <f t="shared" si="1"/>
        <v>109877</v>
      </c>
    </row>
    <row r="17" spans="1:6" s="13" customFormat="1" ht="15" customHeight="1" x14ac:dyDescent="0.25">
      <c r="A17" s="327" t="s">
        <v>10</v>
      </c>
      <c r="B17" s="328"/>
      <c r="C17" s="328"/>
      <c r="D17" s="328"/>
      <c r="E17" s="328"/>
      <c r="F17" s="329"/>
    </row>
    <row r="18" spans="1:6" s="9" customFormat="1" ht="15" customHeight="1" x14ac:dyDescent="0.25">
      <c r="A18" s="7" t="s">
        <v>11</v>
      </c>
      <c r="B18" s="28">
        <v>0</v>
      </c>
      <c r="C18" s="28">
        <v>8443</v>
      </c>
      <c r="D18" s="28">
        <v>27770</v>
      </c>
      <c r="E18" s="28">
        <v>0</v>
      </c>
      <c r="F18" s="8">
        <f>B18+C18+D18+E18</f>
        <v>36213</v>
      </c>
    </row>
    <row r="19" spans="1:6" s="6" customFormat="1" ht="15" customHeight="1" thickBot="1" x14ac:dyDescent="0.3">
      <c r="A19" s="10" t="s">
        <v>13</v>
      </c>
      <c r="B19" s="11">
        <f t="shared" ref="B19:F19" si="2">SUM(B18:B18)</f>
        <v>0</v>
      </c>
      <c r="C19" s="11">
        <f t="shared" si="2"/>
        <v>8443</v>
      </c>
      <c r="D19" s="11">
        <f t="shared" si="2"/>
        <v>27770</v>
      </c>
      <c r="E19" s="11">
        <f t="shared" si="2"/>
        <v>0</v>
      </c>
      <c r="F19" s="12">
        <f t="shared" si="2"/>
        <v>36213</v>
      </c>
    </row>
    <row r="20" spans="1:6" s="6" customFormat="1" ht="25.5" customHeight="1" thickBot="1" x14ac:dyDescent="0.3">
      <c r="A20" s="14" t="s">
        <v>71</v>
      </c>
      <c r="B20" s="15">
        <f t="shared" ref="B20:F20" si="3">B10+B16+B19</f>
        <v>36316</v>
      </c>
      <c r="C20" s="15">
        <f t="shared" si="3"/>
        <v>209679</v>
      </c>
      <c r="D20" s="15">
        <f t="shared" si="3"/>
        <v>108715</v>
      </c>
      <c r="E20" s="15">
        <f t="shared" si="3"/>
        <v>0</v>
      </c>
      <c r="F20" s="16">
        <f t="shared" si="3"/>
        <v>354710</v>
      </c>
    </row>
    <row r="21" spans="1:6" s="6" customFormat="1" ht="12" customHeight="1" thickBot="1" x14ac:dyDescent="0.3">
      <c r="A21" s="17"/>
      <c r="B21" s="94"/>
      <c r="C21" s="94"/>
      <c r="D21" s="94"/>
      <c r="E21" s="94"/>
      <c r="F21" s="95"/>
    </row>
    <row r="22" spans="1:6" s="6" customFormat="1" ht="21" customHeight="1" x14ac:dyDescent="0.25">
      <c r="A22" s="301" t="s">
        <v>72</v>
      </c>
      <c r="B22" s="302"/>
      <c r="C22" s="302"/>
      <c r="D22" s="302"/>
      <c r="E22" s="318"/>
      <c r="F22" s="319"/>
    </row>
    <row r="23" spans="1:6" s="13" customFormat="1" ht="18" customHeight="1" x14ac:dyDescent="0.25">
      <c r="A23" s="327" t="s">
        <v>32</v>
      </c>
      <c r="B23" s="328"/>
      <c r="C23" s="328"/>
      <c r="D23" s="328"/>
      <c r="E23" s="328"/>
      <c r="F23" s="329"/>
    </row>
    <row r="24" spans="1:6" s="9" customFormat="1" ht="24" customHeight="1" x14ac:dyDescent="0.25">
      <c r="A24" s="7" t="s">
        <v>73</v>
      </c>
      <c r="B24" s="28">
        <v>0</v>
      </c>
      <c r="C24" s="28">
        <v>2898</v>
      </c>
      <c r="D24" s="28">
        <v>0</v>
      </c>
      <c r="E24" s="28">
        <v>0</v>
      </c>
      <c r="F24" s="8">
        <f>B24+C24+D24+E24</f>
        <v>2898</v>
      </c>
    </row>
    <row r="25" spans="1:6" s="9" customFormat="1" ht="24" customHeight="1" x14ac:dyDescent="0.25">
      <c r="A25" s="7" t="s">
        <v>74</v>
      </c>
      <c r="B25" s="28">
        <v>0</v>
      </c>
      <c r="C25" s="28">
        <v>19624</v>
      </c>
      <c r="D25" s="28">
        <v>0</v>
      </c>
      <c r="E25" s="28">
        <v>0</v>
      </c>
      <c r="F25" s="8">
        <f>B25+C25+D25+E25</f>
        <v>19624</v>
      </c>
    </row>
    <row r="26" spans="1:6" s="9" customFormat="1" ht="24" customHeight="1" x14ac:dyDescent="0.25">
      <c r="A26" s="7" t="s">
        <v>75</v>
      </c>
      <c r="B26" s="28">
        <v>0</v>
      </c>
      <c r="C26" s="28">
        <v>7371</v>
      </c>
      <c r="D26" s="28">
        <v>0</v>
      </c>
      <c r="E26" s="28">
        <v>0</v>
      </c>
      <c r="F26" s="8">
        <f>B26+C26+D26+E26</f>
        <v>7371</v>
      </c>
    </row>
    <row r="27" spans="1:6" s="6" customFormat="1" ht="15" customHeight="1" x14ac:dyDescent="0.25">
      <c r="A27" s="10" t="s">
        <v>47</v>
      </c>
      <c r="B27" s="11">
        <f t="shared" ref="B27:E27" si="4">SUM(B24:B26)</f>
        <v>0</v>
      </c>
      <c r="C27" s="11">
        <f t="shared" si="4"/>
        <v>29893</v>
      </c>
      <c r="D27" s="11">
        <f t="shared" si="4"/>
        <v>0</v>
      </c>
      <c r="E27" s="11">
        <f t="shared" si="4"/>
        <v>0</v>
      </c>
      <c r="F27" s="12">
        <f>SUM(F24:F26)</f>
        <v>29893</v>
      </c>
    </row>
    <row r="28" spans="1:6" s="13" customFormat="1" ht="18" customHeight="1" x14ac:dyDescent="0.25">
      <c r="A28" s="327" t="s">
        <v>48</v>
      </c>
      <c r="B28" s="328"/>
      <c r="C28" s="328"/>
      <c r="D28" s="328"/>
      <c r="E28" s="328"/>
      <c r="F28" s="329"/>
    </row>
    <row r="29" spans="1:6" s="9" customFormat="1" ht="24" customHeight="1" x14ac:dyDescent="0.25">
      <c r="A29" s="7" t="s">
        <v>76</v>
      </c>
      <c r="B29" s="28">
        <v>0</v>
      </c>
      <c r="C29" s="28">
        <v>18821</v>
      </c>
      <c r="D29" s="28">
        <v>0</v>
      </c>
      <c r="E29" s="28">
        <v>0</v>
      </c>
      <c r="F29" s="8">
        <f>B29+C29+D29+E29</f>
        <v>18821</v>
      </c>
    </row>
    <row r="30" spans="1:6" s="9" customFormat="1" ht="24" customHeight="1" x14ac:dyDescent="0.25">
      <c r="A30" s="7" t="s">
        <v>77</v>
      </c>
      <c r="B30" s="28">
        <v>0</v>
      </c>
      <c r="C30" s="28">
        <v>14319</v>
      </c>
      <c r="D30" s="28">
        <v>0</v>
      </c>
      <c r="E30" s="28">
        <v>0</v>
      </c>
      <c r="F30" s="8">
        <f>B30+C30+D30+E30</f>
        <v>14319</v>
      </c>
    </row>
    <row r="31" spans="1:6" s="9" customFormat="1" ht="24" customHeight="1" x14ac:dyDescent="0.25">
      <c r="A31" s="7" t="s">
        <v>78</v>
      </c>
      <c r="B31" s="28">
        <v>0</v>
      </c>
      <c r="C31" s="28">
        <v>7079</v>
      </c>
      <c r="D31" s="28">
        <v>0</v>
      </c>
      <c r="E31" s="28">
        <v>0</v>
      </c>
      <c r="F31" s="8">
        <f>B31+C31+D31+E31</f>
        <v>7079</v>
      </c>
    </row>
    <row r="32" spans="1:6" s="6" customFormat="1" ht="15" customHeight="1" thickBot="1" x14ac:dyDescent="0.3">
      <c r="A32" s="10" t="s">
        <v>53</v>
      </c>
      <c r="B32" s="11">
        <f t="shared" ref="B32:E32" si="5">SUM(B29:B31)</f>
        <v>0</v>
      </c>
      <c r="C32" s="11">
        <f t="shared" si="5"/>
        <v>40219</v>
      </c>
      <c r="D32" s="11">
        <f t="shared" si="5"/>
        <v>0</v>
      </c>
      <c r="E32" s="11">
        <f t="shared" si="5"/>
        <v>0</v>
      </c>
      <c r="F32" s="12">
        <f>SUM(F29:F31)</f>
        <v>40219</v>
      </c>
    </row>
    <row r="33" spans="1:6" s="6" customFormat="1" ht="36" customHeight="1" thickBot="1" x14ac:dyDescent="0.3">
      <c r="A33" s="14" t="s">
        <v>79</v>
      </c>
      <c r="B33" s="15">
        <f t="shared" ref="B33:F33" si="6">B27+B32</f>
        <v>0</v>
      </c>
      <c r="C33" s="15">
        <f t="shared" si="6"/>
        <v>70112</v>
      </c>
      <c r="D33" s="15">
        <f t="shared" si="6"/>
        <v>0</v>
      </c>
      <c r="E33" s="15">
        <f t="shared" si="6"/>
        <v>0</v>
      </c>
      <c r="F33" s="16">
        <f t="shared" si="6"/>
        <v>70112</v>
      </c>
    </row>
    <row r="34" spans="1:6" s="6" customFormat="1" ht="12" customHeight="1" thickBot="1" x14ac:dyDescent="0.3">
      <c r="A34" s="17"/>
      <c r="B34" s="94"/>
      <c r="C34" s="94"/>
      <c r="D34" s="94"/>
      <c r="E34" s="94"/>
      <c r="F34" s="95"/>
    </row>
    <row r="35" spans="1:6" s="6" customFormat="1" ht="21" customHeight="1" x14ac:dyDescent="0.25">
      <c r="A35" s="301" t="s">
        <v>15</v>
      </c>
      <c r="B35" s="302"/>
      <c r="C35" s="302"/>
      <c r="D35" s="302"/>
      <c r="E35" s="303"/>
      <c r="F35" s="304"/>
    </row>
    <row r="36" spans="1:6" s="13" customFormat="1" ht="18" customHeight="1" x14ac:dyDescent="0.25">
      <c r="A36" s="305" t="s">
        <v>16</v>
      </c>
      <c r="B36" s="306"/>
      <c r="C36" s="306"/>
      <c r="D36" s="306"/>
      <c r="E36" s="306"/>
      <c r="F36" s="307"/>
    </row>
    <row r="37" spans="1:6" s="9" customFormat="1" ht="15" customHeight="1" x14ac:dyDescent="0.25">
      <c r="A37" s="19" t="s">
        <v>17</v>
      </c>
      <c r="B37" s="20">
        <v>807</v>
      </c>
      <c r="C37" s="20">
        <v>130993</v>
      </c>
      <c r="D37" s="20">
        <v>277178</v>
      </c>
      <c r="E37" s="20">
        <v>0</v>
      </c>
      <c r="F37" s="8">
        <f>B37+C37+D37+E37</f>
        <v>408978</v>
      </c>
    </row>
    <row r="38" spans="1:6" s="9" customFormat="1" ht="24" customHeight="1" x14ac:dyDescent="0.25">
      <c r="A38" s="19" t="s">
        <v>92</v>
      </c>
      <c r="B38" s="20">
        <f>27298-9000</f>
        <v>18298</v>
      </c>
      <c r="C38" s="20">
        <f>29993+9000</f>
        <v>38993</v>
      </c>
      <c r="D38" s="20">
        <v>64999</v>
      </c>
      <c r="E38" s="20">
        <v>3710</v>
      </c>
      <c r="F38" s="8">
        <f>B38+C38+D38+E38</f>
        <v>126000</v>
      </c>
    </row>
    <row r="39" spans="1:6" s="9" customFormat="1" ht="24" customHeight="1" x14ac:dyDescent="0.25">
      <c r="A39" s="19" t="s">
        <v>87</v>
      </c>
      <c r="B39" s="20">
        <v>0</v>
      </c>
      <c r="C39" s="20">
        <v>0</v>
      </c>
      <c r="D39" s="20">
        <v>75300</v>
      </c>
      <c r="E39" s="20">
        <v>0</v>
      </c>
      <c r="F39" s="8">
        <f>B39+C39+D39+E39</f>
        <v>75300</v>
      </c>
    </row>
    <row r="40" spans="1:6" s="6" customFormat="1" ht="15" customHeight="1" x14ac:dyDescent="0.25">
      <c r="A40" s="10" t="s">
        <v>19</v>
      </c>
      <c r="B40" s="11">
        <f>SUM(B37:B39)</f>
        <v>19105</v>
      </c>
      <c r="C40" s="11">
        <f t="shared" ref="C40:E40" si="7">SUM(C37:C39)</f>
        <v>169986</v>
      </c>
      <c r="D40" s="11">
        <f t="shared" si="7"/>
        <v>417477</v>
      </c>
      <c r="E40" s="11">
        <f t="shared" si="7"/>
        <v>3710</v>
      </c>
      <c r="F40" s="12">
        <f>SUM(F37:F39)</f>
        <v>610278</v>
      </c>
    </row>
    <row r="41" spans="1:6" s="13" customFormat="1" ht="18" customHeight="1" x14ac:dyDescent="0.25">
      <c r="A41" s="308" t="s">
        <v>20</v>
      </c>
      <c r="B41" s="309"/>
      <c r="C41" s="309"/>
      <c r="D41" s="309"/>
      <c r="E41" s="309"/>
      <c r="F41" s="310"/>
    </row>
    <row r="42" spans="1:6" s="9" customFormat="1" ht="24" customHeight="1" x14ac:dyDescent="0.25">
      <c r="A42" s="21" t="s">
        <v>23</v>
      </c>
      <c r="B42" s="20">
        <v>615</v>
      </c>
      <c r="C42" s="20">
        <v>40400</v>
      </c>
      <c r="D42" s="20">
        <v>10000</v>
      </c>
      <c r="E42" s="20">
        <v>0</v>
      </c>
      <c r="F42" s="8">
        <f>SUM(B42+C42+D42+E42)</f>
        <v>51015</v>
      </c>
    </row>
    <row r="43" spans="1:6" s="9" customFormat="1" ht="24" customHeight="1" x14ac:dyDescent="0.25">
      <c r="A43" s="21" t="s">
        <v>24</v>
      </c>
      <c r="B43" s="20">
        <v>375.1</v>
      </c>
      <c r="C43" s="20">
        <v>50000</v>
      </c>
      <c r="D43" s="20">
        <v>44624.9</v>
      </c>
      <c r="E43" s="20">
        <v>0</v>
      </c>
      <c r="F43" s="8">
        <f>SUM(B43+C43+D43+E43)</f>
        <v>95000</v>
      </c>
    </row>
    <row r="44" spans="1:6" s="9" customFormat="1" ht="24" customHeight="1" x14ac:dyDescent="0.25">
      <c r="A44" s="21" t="s">
        <v>25</v>
      </c>
      <c r="B44" s="20">
        <v>0</v>
      </c>
      <c r="C44" s="20">
        <v>0</v>
      </c>
      <c r="D44" s="20">
        <v>30000</v>
      </c>
      <c r="E44" s="20">
        <v>65000</v>
      </c>
      <c r="F44" s="8">
        <f>SUM(B44+C44+D44+E44)</f>
        <v>95000</v>
      </c>
    </row>
    <row r="45" spans="1:6" s="6" customFormat="1" ht="15" customHeight="1" x14ac:dyDescent="0.25">
      <c r="A45" s="10" t="s">
        <v>27</v>
      </c>
      <c r="B45" s="11">
        <f t="shared" ref="B45:F45" si="8">SUM(B42:B44)</f>
        <v>990.1</v>
      </c>
      <c r="C45" s="11">
        <f t="shared" si="8"/>
        <v>90400</v>
      </c>
      <c r="D45" s="11">
        <f t="shared" si="8"/>
        <v>84624.9</v>
      </c>
      <c r="E45" s="11">
        <f t="shared" si="8"/>
        <v>65000</v>
      </c>
      <c r="F45" s="12">
        <f t="shared" si="8"/>
        <v>241015</v>
      </c>
    </row>
    <row r="46" spans="1:6" s="13" customFormat="1" ht="18" customHeight="1" x14ac:dyDescent="0.25">
      <c r="A46" s="327" t="s">
        <v>6</v>
      </c>
      <c r="B46" s="328"/>
      <c r="C46" s="328"/>
      <c r="D46" s="328"/>
      <c r="E46" s="328"/>
      <c r="F46" s="329"/>
    </row>
    <row r="47" spans="1:6" s="9" customFormat="1" ht="15" customHeight="1" x14ac:dyDescent="0.25">
      <c r="A47" s="21" t="s">
        <v>28</v>
      </c>
      <c r="B47" s="22">
        <v>0</v>
      </c>
      <c r="C47" s="22">
        <v>0</v>
      </c>
      <c r="D47" s="22">
        <v>0</v>
      </c>
      <c r="E47" s="22">
        <v>0</v>
      </c>
      <c r="F47" s="8">
        <f t="shared" ref="F47:F53" si="9">B47+C47+D47+E47</f>
        <v>0</v>
      </c>
    </row>
    <row r="48" spans="1:6" s="9" customFormat="1" ht="24" customHeight="1" x14ac:dyDescent="0.25">
      <c r="A48" s="19" t="s">
        <v>29</v>
      </c>
      <c r="B48" s="20">
        <v>0</v>
      </c>
      <c r="C48" s="20">
        <f>82731+15000</f>
        <v>97731</v>
      </c>
      <c r="D48" s="20">
        <v>19761</v>
      </c>
      <c r="E48" s="20">
        <v>0</v>
      </c>
      <c r="F48" s="8">
        <f t="shared" si="9"/>
        <v>117492</v>
      </c>
    </row>
    <row r="49" spans="1:7" s="9" customFormat="1" ht="15" customHeight="1" x14ac:dyDescent="0.25">
      <c r="A49" s="23" t="s">
        <v>30</v>
      </c>
      <c r="B49" s="20">
        <v>17961</v>
      </c>
      <c r="C49" s="20">
        <v>165000</v>
      </c>
      <c r="D49" s="20">
        <v>112039</v>
      </c>
      <c r="E49" s="20">
        <v>0</v>
      </c>
      <c r="F49" s="8">
        <f t="shared" si="9"/>
        <v>295000</v>
      </c>
    </row>
    <row r="50" spans="1:7" s="9" customFormat="1" ht="24" customHeight="1" x14ac:dyDescent="0.25">
      <c r="A50" s="23" t="s">
        <v>31</v>
      </c>
      <c r="B50" s="20">
        <v>10650</v>
      </c>
      <c r="C50" s="20">
        <f>5700-2850</f>
        <v>2850</v>
      </c>
      <c r="D50" s="20">
        <v>0</v>
      </c>
      <c r="E50" s="20">
        <v>0</v>
      </c>
      <c r="F50" s="8">
        <f t="shared" si="9"/>
        <v>13500</v>
      </c>
    </row>
    <row r="51" spans="1:7" s="9" customFormat="1" ht="24" customHeight="1" x14ac:dyDescent="0.25">
      <c r="A51" s="19" t="s">
        <v>110</v>
      </c>
      <c r="B51" s="20">
        <v>11814</v>
      </c>
      <c r="C51" s="20">
        <v>0</v>
      </c>
      <c r="D51" s="20">
        <v>0</v>
      </c>
      <c r="E51" s="20">
        <v>0</v>
      </c>
      <c r="F51" s="8">
        <f t="shared" si="9"/>
        <v>11814</v>
      </c>
    </row>
    <row r="52" spans="1:7" s="9" customFormat="1" ht="24" customHeight="1" x14ac:dyDescent="0.25">
      <c r="A52" s="23" t="s">
        <v>111</v>
      </c>
      <c r="B52" s="20">
        <v>6329.89</v>
      </c>
      <c r="C52" s="20">
        <v>0</v>
      </c>
      <c r="D52" s="20">
        <v>0</v>
      </c>
      <c r="E52" s="20">
        <v>0</v>
      </c>
      <c r="F52" s="8">
        <f t="shared" si="9"/>
        <v>6329.89</v>
      </c>
    </row>
    <row r="53" spans="1:7" s="9" customFormat="1" ht="24" customHeight="1" x14ac:dyDescent="0.25">
      <c r="A53" s="23" t="s">
        <v>113</v>
      </c>
      <c r="B53" s="20">
        <v>13185.7</v>
      </c>
      <c r="C53" s="20">
        <v>0</v>
      </c>
      <c r="D53" s="20">
        <v>0</v>
      </c>
      <c r="E53" s="20">
        <v>0</v>
      </c>
      <c r="F53" s="8">
        <f t="shared" si="9"/>
        <v>13185.7</v>
      </c>
    </row>
    <row r="54" spans="1:7" s="6" customFormat="1" ht="15" customHeight="1" x14ac:dyDescent="0.25">
      <c r="A54" s="10" t="s">
        <v>9</v>
      </c>
      <c r="B54" s="11">
        <f t="shared" ref="B54:E54" si="10">SUM(B47:B53)</f>
        <v>59940.59</v>
      </c>
      <c r="C54" s="11">
        <f t="shared" si="10"/>
        <v>265581</v>
      </c>
      <c r="D54" s="11">
        <f t="shared" si="10"/>
        <v>131800</v>
      </c>
      <c r="E54" s="11">
        <f t="shared" si="10"/>
        <v>0</v>
      </c>
      <c r="F54" s="12">
        <f>SUM(F47:F53)</f>
        <v>457321.59</v>
      </c>
      <c r="G54" s="104"/>
    </row>
    <row r="55" spans="1:7" s="13" customFormat="1" ht="18" customHeight="1" x14ac:dyDescent="0.2">
      <c r="A55" s="330" t="s">
        <v>32</v>
      </c>
      <c r="B55" s="312"/>
      <c r="C55" s="312"/>
      <c r="D55" s="312"/>
      <c r="E55" s="312"/>
      <c r="F55" s="331"/>
    </row>
    <row r="56" spans="1:7" s="13" customFormat="1" ht="24" customHeight="1" x14ac:dyDescent="0.25">
      <c r="A56" s="19" t="s">
        <v>33</v>
      </c>
      <c r="B56" s="20">
        <v>45000</v>
      </c>
      <c r="C56" s="20">
        <v>0</v>
      </c>
      <c r="D56" s="20">
        <v>0</v>
      </c>
      <c r="E56" s="20">
        <v>0</v>
      </c>
      <c r="F56" s="8">
        <f t="shared" ref="F56:F77" si="11">B56+C56+D56+E56</f>
        <v>45000</v>
      </c>
    </row>
    <row r="57" spans="1:7" s="13" customFormat="1" ht="24" customHeight="1" x14ac:dyDescent="0.25">
      <c r="A57" s="23" t="s">
        <v>34</v>
      </c>
      <c r="B57" s="20">
        <v>0</v>
      </c>
      <c r="C57" s="20">
        <v>5500</v>
      </c>
      <c r="D57" s="20">
        <v>25000</v>
      </c>
      <c r="E57" s="20">
        <v>0</v>
      </c>
      <c r="F57" s="8">
        <f t="shared" si="11"/>
        <v>30500</v>
      </c>
    </row>
    <row r="58" spans="1:7" s="13" customFormat="1" ht="24" customHeight="1" x14ac:dyDescent="0.25">
      <c r="A58" s="19" t="s">
        <v>68</v>
      </c>
      <c r="B58" s="20">
        <v>0</v>
      </c>
      <c r="C58" s="20">
        <v>2090</v>
      </c>
      <c r="D58" s="20">
        <v>26000</v>
      </c>
      <c r="E58" s="20">
        <v>27610</v>
      </c>
      <c r="F58" s="8">
        <f t="shared" si="11"/>
        <v>55700</v>
      </c>
    </row>
    <row r="59" spans="1:7" s="13" customFormat="1" ht="33.950000000000003" customHeight="1" x14ac:dyDescent="0.25">
      <c r="A59" s="23" t="s">
        <v>36</v>
      </c>
      <c r="B59" s="24">
        <v>31098</v>
      </c>
      <c r="C59" s="20">
        <v>19500</v>
      </c>
      <c r="D59" s="20">
        <v>0</v>
      </c>
      <c r="E59" s="20">
        <v>0</v>
      </c>
      <c r="F59" s="8">
        <f t="shared" si="11"/>
        <v>50598</v>
      </c>
    </row>
    <row r="60" spans="1:7" s="13" customFormat="1" ht="33.950000000000003" customHeight="1" x14ac:dyDescent="0.25">
      <c r="A60" s="23" t="s">
        <v>37</v>
      </c>
      <c r="B60" s="24">
        <v>0</v>
      </c>
      <c r="C60" s="20">
        <v>5500</v>
      </c>
      <c r="D60" s="20">
        <v>0</v>
      </c>
      <c r="E60" s="20">
        <v>0</v>
      </c>
      <c r="F60" s="8">
        <f t="shared" si="11"/>
        <v>5500</v>
      </c>
    </row>
    <row r="61" spans="1:7" s="13" customFormat="1" ht="24" customHeight="1" x14ac:dyDescent="0.25">
      <c r="A61" s="19" t="s">
        <v>38</v>
      </c>
      <c r="B61" s="20">
        <v>10571</v>
      </c>
      <c r="C61" s="20">
        <v>113428</v>
      </c>
      <c r="D61" s="20">
        <v>52000</v>
      </c>
      <c r="E61" s="20">
        <v>0</v>
      </c>
      <c r="F61" s="8">
        <f t="shared" si="11"/>
        <v>175999</v>
      </c>
    </row>
    <row r="62" spans="1:7" s="13" customFormat="1" ht="24" customHeight="1" x14ac:dyDescent="0.25">
      <c r="A62" s="23" t="s">
        <v>39</v>
      </c>
      <c r="B62" s="20">
        <f>51000+2656</f>
        <v>53656</v>
      </c>
      <c r="C62" s="20">
        <v>0</v>
      </c>
      <c r="D62" s="20">
        <v>0</v>
      </c>
      <c r="E62" s="20">
        <v>0</v>
      </c>
      <c r="F62" s="8">
        <f t="shared" si="11"/>
        <v>53656</v>
      </c>
    </row>
    <row r="63" spans="1:7" s="13" customFormat="1" ht="24" customHeight="1" x14ac:dyDescent="0.25">
      <c r="A63" s="19" t="s">
        <v>40</v>
      </c>
      <c r="B63" s="20">
        <v>0</v>
      </c>
      <c r="C63" s="20">
        <v>25000</v>
      </c>
      <c r="D63" s="20">
        <v>0</v>
      </c>
      <c r="E63" s="20">
        <v>0</v>
      </c>
      <c r="F63" s="8">
        <f t="shared" si="11"/>
        <v>25000</v>
      </c>
    </row>
    <row r="64" spans="1:7" s="13" customFormat="1" ht="33.950000000000003" customHeight="1" x14ac:dyDescent="0.25">
      <c r="A64" s="23" t="s">
        <v>41</v>
      </c>
      <c r="B64" s="24">
        <v>0</v>
      </c>
      <c r="C64" s="20">
        <v>20250</v>
      </c>
      <c r="D64" s="20">
        <v>17750</v>
      </c>
      <c r="E64" s="20">
        <v>0</v>
      </c>
      <c r="F64" s="8">
        <f t="shared" si="11"/>
        <v>38000</v>
      </c>
    </row>
    <row r="65" spans="1:7" s="13" customFormat="1" ht="24" customHeight="1" x14ac:dyDescent="0.25">
      <c r="A65" s="19" t="s">
        <v>42</v>
      </c>
      <c r="B65" s="20">
        <v>57200</v>
      </c>
      <c r="C65" s="20">
        <v>500</v>
      </c>
      <c r="D65" s="20">
        <v>0</v>
      </c>
      <c r="E65" s="20">
        <v>0</v>
      </c>
      <c r="F65" s="8">
        <f t="shared" si="11"/>
        <v>57700</v>
      </c>
    </row>
    <row r="66" spans="1:7" s="13" customFormat="1" ht="24" customHeight="1" x14ac:dyDescent="0.25">
      <c r="A66" s="23" t="s">
        <v>43</v>
      </c>
      <c r="B66" s="20">
        <v>30678.01</v>
      </c>
      <c r="C66" s="20">
        <v>0</v>
      </c>
      <c r="D66" s="20">
        <v>0</v>
      </c>
      <c r="E66" s="20">
        <v>0</v>
      </c>
      <c r="F66" s="8">
        <f t="shared" si="11"/>
        <v>30678.01</v>
      </c>
    </row>
    <row r="67" spans="1:7" s="13" customFormat="1" ht="24" customHeight="1" x14ac:dyDescent="0.25">
      <c r="A67" s="19" t="s">
        <v>44</v>
      </c>
      <c r="B67" s="20">
        <v>40000</v>
      </c>
      <c r="C67" s="20">
        <v>0</v>
      </c>
      <c r="D67" s="20">
        <v>0</v>
      </c>
      <c r="E67" s="20">
        <v>0</v>
      </c>
      <c r="F67" s="8">
        <f t="shared" si="11"/>
        <v>40000</v>
      </c>
    </row>
    <row r="68" spans="1:7" s="13" customFormat="1" ht="24" customHeight="1" x14ac:dyDescent="0.25">
      <c r="A68" s="23" t="s">
        <v>45</v>
      </c>
      <c r="B68" s="20">
        <v>500</v>
      </c>
      <c r="C68" s="20">
        <v>25639</v>
      </c>
      <c r="D68" s="20">
        <v>25000</v>
      </c>
      <c r="E68" s="20">
        <v>0</v>
      </c>
      <c r="F68" s="8">
        <f t="shared" si="11"/>
        <v>51139</v>
      </c>
    </row>
    <row r="69" spans="1:7" s="13" customFormat="1" ht="24" customHeight="1" x14ac:dyDescent="0.25">
      <c r="A69" s="19" t="s">
        <v>46</v>
      </c>
      <c r="B69" s="20">
        <v>6200</v>
      </c>
      <c r="C69" s="20">
        <v>0</v>
      </c>
      <c r="D69" s="20">
        <v>0</v>
      </c>
      <c r="E69" s="20">
        <v>0</v>
      </c>
      <c r="F69" s="8">
        <f t="shared" si="11"/>
        <v>6200</v>
      </c>
    </row>
    <row r="70" spans="1:7" s="13" customFormat="1" ht="24" customHeight="1" x14ac:dyDescent="0.25">
      <c r="A70" s="23" t="s">
        <v>69</v>
      </c>
      <c r="B70" s="20">
        <v>28.6</v>
      </c>
      <c r="C70" s="20">
        <v>11036.31</v>
      </c>
      <c r="D70" s="20">
        <v>0</v>
      </c>
      <c r="E70" s="20">
        <v>0</v>
      </c>
      <c r="F70" s="8">
        <f t="shared" si="11"/>
        <v>11064.91</v>
      </c>
    </row>
    <row r="71" spans="1:7" s="13" customFormat="1" ht="24" customHeight="1" x14ac:dyDescent="0.25">
      <c r="A71" s="19" t="s">
        <v>80</v>
      </c>
      <c r="B71" s="20">
        <v>350</v>
      </c>
      <c r="C71" s="20">
        <v>14000</v>
      </c>
      <c r="D71" s="20">
        <v>0</v>
      </c>
      <c r="E71" s="20">
        <v>0</v>
      </c>
      <c r="F71" s="8">
        <f t="shared" si="11"/>
        <v>14350</v>
      </c>
    </row>
    <row r="72" spans="1:7" s="13" customFormat="1" ht="33.950000000000003" customHeight="1" x14ac:dyDescent="0.25">
      <c r="A72" s="23" t="s">
        <v>81</v>
      </c>
      <c r="B72" s="24">
        <v>0</v>
      </c>
      <c r="C72" s="20">
        <v>11420</v>
      </c>
      <c r="D72" s="20">
        <v>0</v>
      </c>
      <c r="E72" s="20">
        <v>0</v>
      </c>
      <c r="F72" s="8">
        <f t="shared" si="11"/>
        <v>11420</v>
      </c>
    </row>
    <row r="73" spans="1:7" s="9" customFormat="1" ht="15" customHeight="1" x14ac:dyDescent="0.25">
      <c r="A73" s="21" t="s">
        <v>88</v>
      </c>
      <c r="B73" s="22">
        <v>0</v>
      </c>
      <c r="C73" s="22">
        <v>50000</v>
      </c>
      <c r="D73" s="22">
        <v>20500</v>
      </c>
      <c r="E73" s="22">
        <v>0</v>
      </c>
      <c r="F73" s="8">
        <f t="shared" si="11"/>
        <v>70500</v>
      </c>
    </row>
    <row r="74" spans="1:7" s="13" customFormat="1" ht="24" customHeight="1" x14ac:dyDescent="0.25">
      <c r="A74" s="23" t="s">
        <v>89</v>
      </c>
      <c r="B74" s="20">
        <v>9120</v>
      </c>
      <c r="C74" s="20">
        <v>0</v>
      </c>
      <c r="D74" s="20">
        <v>0</v>
      </c>
      <c r="E74" s="20">
        <v>0</v>
      </c>
      <c r="F74" s="8">
        <f t="shared" si="11"/>
        <v>9120</v>
      </c>
    </row>
    <row r="75" spans="1:7" s="13" customFormat="1" ht="24" customHeight="1" x14ac:dyDescent="0.25">
      <c r="A75" s="19" t="s">
        <v>90</v>
      </c>
      <c r="B75" s="20">
        <v>127.05</v>
      </c>
      <c r="C75" s="20">
        <v>21372.95</v>
      </c>
      <c r="D75" s="20">
        <v>0</v>
      </c>
      <c r="E75" s="20">
        <v>0</v>
      </c>
      <c r="F75" s="8">
        <f t="shared" si="11"/>
        <v>21500</v>
      </c>
    </row>
    <row r="76" spans="1:7" s="13" customFormat="1" ht="24" customHeight="1" x14ac:dyDescent="0.25">
      <c r="A76" s="23" t="s">
        <v>91</v>
      </c>
      <c r="B76" s="20">
        <v>23000</v>
      </c>
      <c r="C76" s="20">
        <v>2000</v>
      </c>
      <c r="D76" s="20">
        <v>0</v>
      </c>
      <c r="E76" s="20">
        <v>0</v>
      </c>
      <c r="F76" s="8">
        <f t="shared" si="11"/>
        <v>25000</v>
      </c>
    </row>
    <row r="77" spans="1:7" s="13" customFormat="1" ht="24" customHeight="1" x14ac:dyDescent="0.25">
      <c r="A77" s="19" t="s">
        <v>131</v>
      </c>
      <c r="B77" s="20">
        <v>7949.67</v>
      </c>
      <c r="C77" s="20">
        <v>0</v>
      </c>
      <c r="D77" s="20">
        <v>0</v>
      </c>
      <c r="E77" s="20">
        <v>0</v>
      </c>
      <c r="F77" s="8">
        <f t="shared" si="11"/>
        <v>7949.67</v>
      </c>
    </row>
    <row r="78" spans="1:7" s="6" customFormat="1" ht="15" customHeight="1" x14ac:dyDescent="0.25">
      <c r="A78" s="10" t="s">
        <v>47</v>
      </c>
      <c r="B78" s="11">
        <f t="shared" ref="B78:E78" si="12">SUM(B56:B77)</f>
        <v>315478.32999999996</v>
      </c>
      <c r="C78" s="11">
        <f t="shared" si="12"/>
        <v>327236.26</v>
      </c>
      <c r="D78" s="11">
        <f t="shared" si="12"/>
        <v>166250</v>
      </c>
      <c r="E78" s="11">
        <f t="shared" si="12"/>
        <v>27610</v>
      </c>
      <c r="F78" s="12">
        <f>SUM(F56:F77)</f>
        <v>836574.59000000008</v>
      </c>
      <c r="G78" s="104"/>
    </row>
    <row r="79" spans="1:7" s="13" customFormat="1" ht="18" customHeight="1" x14ac:dyDescent="0.25">
      <c r="A79" s="308" t="s">
        <v>133</v>
      </c>
      <c r="B79" s="309"/>
      <c r="C79" s="309"/>
      <c r="D79" s="309"/>
      <c r="E79" s="309"/>
      <c r="F79" s="310"/>
    </row>
    <row r="80" spans="1:7" s="13" customFormat="1" ht="24" customHeight="1" x14ac:dyDescent="0.25">
      <c r="A80" s="21" t="s">
        <v>49</v>
      </c>
      <c r="B80" s="24">
        <v>10000</v>
      </c>
      <c r="C80" s="24">
        <v>85000</v>
      </c>
      <c r="D80" s="24">
        <v>10000</v>
      </c>
      <c r="E80" s="24">
        <v>0</v>
      </c>
      <c r="F80" s="8">
        <f t="shared" ref="F80:F89" si="13">B80+C80+D80+E80</f>
        <v>105000</v>
      </c>
    </row>
    <row r="81" spans="1:7" s="13" customFormat="1" ht="24" customHeight="1" x14ac:dyDescent="0.25">
      <c r="A81" s="21" t="s">
        <v>50</v>
      </c>
      <c r="B81" s="20">
        <v>234</v>
      </c>
      <c r="C81" s="20">
        <f>119416+15000-234</f>
        <v>134182</v>
      </c>
      <c r="D81" s="20">
        <v>50000</v>
      </c>
      <c r="E81" s="20">
        <v>0</v>
      </c>
      <c r="F81" s="8">
        <f t="shared" si="13"/>
        <v>184416</v>
      </c>
    </row>
    <row r="82" spans="1:7" s="13" customFormat="1" ht="24" customHeight="1" x14ac:dyDescent="0.25">
      <c r="A82" s="21" t="s">
        <v>51</v>
      </c>
      <c r="B82" s="20">
        <f>2000-900</f>
        <v>1100</v>
      </c>
      <c r="C82" s="20">
        <f>22000+900</f>
        <v>22900</v>
      </c>
      <c r="D82" s="20">
        <v>0</v>
      </c>
      <c r="E82" s="20">
        <v>0</v>
      </c>
      <c r="F82" s="8">
        <f t="shared" si="13"/>
        <v>24000</v>
      </c>
    </row>
    <row r="83" spans="1:7" s="13" customFormat="1" ht="24" customHeight="1" x14ac:dyDescent="0.25">
      <c r="A83" s="21" t="s">
        <v>52</v>
      </c>
      <c r="B83" s="20">
        <v>0</v>
      </c>
      <c r="C83" s="20">
        <v>0</v>
      </c>
      <c r="D83" s="20">
        <v>0</v>
      </c>
      <c r="E83" s="20">
        <v>0</v>
      </c>
      <c r="F83" s="8">
        <f t="shared" si="13"/>
        <v>0</v>
      </c>
    </row>
    <row r="84" spans="1:7" s="13" customFormat="1" ht="24" customHeight="1" x14ac:dyDescent="0.25">
      <c r="A84" s="21" t="s">
        <v>97</v>
      </c>
      <c r="B84" s="20">
        <v>21700</v>
      </c>
      <c r="C84" s="20">
        <v>0</v>
      </c>
      <c r="D84" s="20">
        <v>0</v>
      </c>
      <c r="E84" s="20">
        <v>0</v>
      </c>
      <c r="F84" s="8">
        <f t="shared" si="13"/>
        <v>21700</v>
      </c>
    </row>
    <row r="85" spans="1:7" s="13" customFormat="1" ht="24" customHeight="1" x14ac:dyDescent="0.25">
      <c r="A85" s="21" t="s">
        <v>139</v>
      </c>
      <c r="B85" s="24">
        <v>22241.64</v>
      </c>
      <c r="C85" s="24">
        <v>0</v>
      </c>
      <c r="D85" s="24">
        <v>0</v>
      </c>
      <c r="E85" s="24">
        <v>0</v>
      </c>
      <c r="F85" s="8">
        <f t="shared" si="13"/>
        <v>22241.64</v>
      </c>
    </row>
    <row r="86" spans="1:7" s="13" customFormat="1" ht="24" customHeight="1" x14ac:dyDescent="0.25">
      <c r="A86" s="21" t="s">
        <v>141</v>
      </c>
      <c r="B86" s="20">
        <v>20898.27</v>
      </c>
      <c r="C86" s="20">
        <v>0</v>
      </c>
      <c r="D86" s="20">
        <v>0</v>
      </c>
      <c r="E86" s="20">
        <v>0</v>
      </c>
      <c r="F86" s="8">
        <f t="shared" si="13"/>
        <v>20898.27</v>
      </c>
    </row>
    <row r="87" spans="1:7" s="13" customFormat="1" ht="24" customHeight="1" x14ac:dyDescent="0.25">
      <c r="A87" s="21" t="s">
        <v>143</v>
      </c>
      <c r="B87" s="20">
        <v>28727.64</v>
      </c>
      <c r="C87" s="20">
        <v>0</v>
      </c>
      <c r="D87" s="20">
        <v>0</v>
      </c>
      <c r="E87" s="20">
        <v>0</v>
      </c>
      <c r="F87" s="8">
        <f t="shared" si="13"/>
        <v>28727.64</v>
      </c>
    </row>
    <row r="88" spans="1:7" s="13" customFormat="1" ht="24" customHeight="1" x14ac:dyDescent="0.25">
      <c r="A88" s="21" t="s">
        <v>145</v>
      </c>
      <c r="B88" s="20">
        <v>11437.7</v>
      </c>
      <c r="C88" s="20">
        <v>0</v>
      </c>
      <c r="D88" s="20">
        <v>0</v>
      </c>
      <c r="E88" s="20">
        <v>0</v>
      </c>
      <c r="F88" s="8">
        <f t="shared" si="13"/>
        <v>11437.7</v>
      </c>
    </row>
    <row r="89" spans="1:7" s="13" customFormat="1" ht="24" customHeight="1" x14ac:dyDescent="0.25">
      <c r="A89" s="21" t="s">
        <v>147</v>
      </c>
      <c r="B89" s="20">
        <v>11567.78</v>
      </c>
      <c r="C89" s="20">
        <v>0</v>
      </c>
      <c r="D89" s="20">
        <v>0</v>
      </c>
      <c r="E89" s="20">
        <v>0</v>
      </c>
      <c r="F89" s="8">
        <f t="shared" si="13"/>
        <v>11567.78</v>
      </c>
    </row>
    <row r="90" spans="1:7" s="6" customFormat="1" ht="15" customHeight="1" thickBot="1" x14ac:dyDescent="0.3">
      <c r="A90" s="10" t="s">
        <v>53</v>
      </c>
      <c r="B90" s="11">
        <f t="shared" ref="B90:E90" si="14">SUM(B80:B89)</f>
        <v>127907.03</v>
      </c>
      <c r="C90" s="11">
        <f t="shared" si="14"/>
        <v>242082</v>
      </c>
      <c r="D90" s="11">
        <f t="shared" si="14"/>
        <v>60000</v>
      </c>
      <c r="E90" s="11">
        <f t="shared" si="14"/>
        <v>0</v>
      </c>
      <c r="F90" s="12">
        <f>SUM(F80:F89)</f>
        <v>429989.03000000009</v>
      </c>
      <c r="G90" s="104"/>
    </row>
    <row r="91" spans="1:7" s="6" customFormat="1" ht="25.5" customHeight="1" thickBot="1" x14ac:dyDescent="0.3">
      <c r="A91" s="14" t="s">
        <v>54</v>
      </c>
      <c r="B91" s="15">
        <f>B90+B78+B54+B45+B40</f>
        <v>523421.04999999993</v>
      </c>
      <c r="C91" s="15">
        <f t="shared" ref="C91:E91" si="15">C90+C78+C54+C45+C40</f>
        <v>1095285.26</v>
      </c>
      <c r="D91" s="15">
        <f t="shared" si="15"/>
        <v>860151.9</v>
      </c>
      <c r="E91" s="15">
        <f t="shared" si="15"/>
        <v>96320</v>
      </c>
      <c r="F91" s="16">
        <f>F90+F78+F54+F45+F40</f>
        <v>2575178.21</v>
      </c>
    </row>
    <row r="92" spans="1:7" s="6" customFormat="1" ht="13.5" thickBot="1" x14ac:dyDescent="0.3">
      <c r="A92" s="17"/>
      <c r="B92" s="94"/>
      <c r="C92" s="94"/>
      <c r="D92" s="94"/>
      <c r="E92" s="94"/>
      <c r="F92" s="119"/>
    </row>
    <row r="93" spans="1:7" s="6" customFormat="1" ht="21" customHeight="1" thickBot="1" x14ac:dyDescent="0.3">
      <c r="A93" s="14" t="s">
        <v>55</v>
      </c>
      <c r="B93" s="15">
        <f t="shared" ref="B93:E93" si="16">SUM(B20,B33,B91)</f>
        <v>559737.04999999993</v>
      </c>
      <c r="C93" s="15">
        <f t="shared" si="16"/>
        <v>1375076.26</v>
      </c>
      <c r="D93" s="15">
        <f t="shared" si="16"/>
        <v>968866.9</v>
      </c>
      <c r="E93" s="15">
        <f t="shared" si="16"/>
        <v>96320</v>
      </c>
      <c r="F93" s="16">
        <f>SUM(F20,F33,F91)</f>
        <v>3000000.21</v>
      </c>
    </row>
  </sheetData>
  <mergeCells count="16">
    <mergeCell ref="A41:F41"/>
    <mergeCell ref="A46:F46"/>
    <mergeCell ref="A55:F55"/>
    <mergeCell ref="A79:F79"/>
    <mergeCell ref="A17:F17"/>
    <mergeCell ref="A22:F22"/>
    <mergeCell ref="A23:F23"/>
    <mergeCell ref="A28:F28"/>
    <mergeCell ref="A35:F35"/>
    <mergeCell ref="A36:F36"/>
    <mergeCell ref="A11:F11"/>
    <mergeCell ref="A1:F1"/>
    <mergeCell ref="A3:A4"/>
    <mergeCell ref="B3:F3"/>
    <mergeCell ref="A6:F6"/>
    <mergeCell ref="A7:F7"/>
  </mergeCells>
  <conditionalFormatting sqref="B51:E53">
    <cfRule type="cellIs" dxfId="1031" priority="69" operator="lessThan">
      <formula>#REF!</formula>
    </cfRule>
    <cfRule type="cellIs" dxfId="1030" priority="70" operator="greaterThan">
      <formula>#REF!</formula>
    </cfRule>
  </conditionalFormatting>
  <conditionalFormatting sqref="B8:F10">
    <cfRule type="cellIs" dxfId="1029" priority="127" operator="lessThan">
      <formula>#REF!</formula>
    </cfRule>
    <cfRule type="cellIs" dxfId="1028" priority="128" operator="greaterThan">
      <formula>#REF!</formula>
    </cfRule>
  </conditionalFormatting>
  <conditionalFormatting sqref="B12:F16">
    <cfRule type="cellIs" dxfId="1027" priority="97" operator="lessThan">
      <formula>#REF!</formula>
    </cfRule>
    <cfRule type="cellIs" dxfId="1026" priority="98" operator="greaterThan">
      <formula>#REF!</formula>
    </cfRule>
  </conditionalFormatting>
  <conditionalFormatting sqref="B18:F19">
    <cfRule type="cellIs" dxfId="1025" priority="77" operator="lessThan">
      <formula>#REF!</formula>
    </cfRule>
    <cfRule type="cellIs" dxfId="1024" priority="78" operator="greaterThan">
      <formula>#REF!</formula>
    </cfRule>
  </conditionalFormatting>
  <conditionalFormatting sqref="B24:F27">
    <cfRule type="cellIs" dxfId="1023" priority="243" operator="lessThan">
      <formula>#REF!</formula>
    </cfRule>
    <cfRule type="cellIs" dxfId="1022" priority="244" operator="greaterThan">
      <formula>#REF!</formula>
    </cfRule>
  </conditionalFormatting>
  <conditionalFormatting sqref="B29:F32">
    <cfRule type="cellIs" dxfId="1021" priority="223" operator="lessThan">
      <formula>#REF!</formula>
    </cfRule>
    <cfRule type="cellIs" dxfId="1020" priority="224" operator="greaterThan">
      <formula>#REF!</formula>
    </cfRule>
  </conditionalFormatting>
  <conditionalFormatting sqref="B37:F40">
    <cfRule type="cellIs" dxfId="1019" priority="203" operator="lessThan">
      <formula>#REF!</formula>
    </cfRule>
    <cfRule type="cellIs" dxfId="1018" priority="204" operator="greaterThan">
      <formula>#REF!</formula>
    </cfRule>
  </conditionalFormatting>
  <conditionalFormatting sqref="B42:F45">
    <cfRule type="cellIs" dxfId="1017" priority="183" operator="lessThan">
      <formula>#REF!</formula>
    </cfRule>
    <cfRule type="cellIs" dxfId="1016" priority="184" operator="greaterThan">
      <formula>#REF!</formula>
    </cfRule>
  </conditionalFormatting>
  <conditionalFormatting sqref="B47:F50">
    <cfRule type="cellIs" dxfId="1015" priority="137" operator="lessThan">
      <formula>#REF!</formula>
    </cfRule>
    <cfRule type="cellIs" dxfId="1014" priority="138" operator="greaterThan">
      <formula>#REF!</formula>
    </cfRule>
  </conditionalFormatting>
  <conditionalFormatting sqref="B56:F78">
    <cfRule type="cellIs" dxfId="1013" priority="9" operator="lessThan">
      <formula>#REF!</formula>
    </cfRule>
    <cfRule type="cellIs" dxfId="1012" priority="10" operator="greaterThan">
      <formula>#REF!</formula>
    </cfRule>
  </conditionalFormatting>
  <conditionalFormatting sqref="B80:F89">
    <cfRule type="cellIs" dxfId="1011" priority="1" operator="lessThan">
      <formula>#REF!</formula>
    </cfRule>
    <cfRule type="cellIs" dxfId="1010" priority="2" operator="greaterThan">
      <formula>#REF!</formula>
    </cfRule>
  </conditionalFormatting>
  <conditionalFormatting sqref="F51:F54">
    <cfRule type="cellIs" dxfId="1009" priority="65" operator="lessThan">
      <formula>#REF!</formula>
    </cfRule>
    <cfRule type="cellIs" dxfId="1008" priority="66" operator="greaterThan">
      <formula>#REF!</formula>
    </cfRule>
  </conditionalFormatting>
  <pageMargins left="0.70866141732283472" right="0.70866141732283472" top="0.55118110236220474" bottom="0.55118110236220474" header="0.31496062992125984" footer="0.31496062992125984"/>
  <pageSetup paperSize="9" scale="75" firstPageNumber="8" fitToHeight="0" orientation="portrait" r:id="rId1"/>
  <headerFooter>
    <oddHeader>&amp;LPříloha č. 2</oddHeader>
    <oddFooter>&amp;C&amp;"Tahoma,Obyčejné"&amp;10&amp;P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4730F-3989-4C0F-8B27-340D67D68BCB}">
  <dimension ref="A1:J97"/>
  <sheetViews>
    <sheetView view="pageBreakPreview" zoomScaleNormal="90" zoomScaleSheetLayoutView="100" workbookViewId="0">
      <pane ySplit="4" topLeftCell="A71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5" width="12.7109375" style="125" customWidth="1"/>
    <col min="6" max="6" width="14.140625" style="120" customWidth="1"/>
    <col min="7" max="7" width="30.42578125" style="4" customWidth="1"/>
    <col min="8" max="16384" width="9.140625" style="4"/>
  </cols>
  <sheetData>
    <row r="1" spans="1:7" s="1" customFormat="1" ht="23.25" customHeight="1" x14ac:dyDescent="0.25">
      <c r="A1" s="294" t="s">
        <v>98</v>
      </c>
      <c r="B1" s="313"/>
      <c r="C1" s="313"/>
      <c r="D1" s="313"/>
      <c r="E1" s="313"/>
      <c r="F1" s="313"/>
    </row>
    <row r="2" spans="1:7" ht="13.5" thickBot="1" x14ac:dyDescent="0.25">
      <c r="A2" s="2"/>
      <c r="B2" s="2"/>
      <c r="C2" s="2"/>
      <c r="D2" s="2"/>
      <c r="E2" s="2"/>
      <c r="F2" s="3" t="s">
        <v>1</v>
      </c>
    </row>
    <row r="3" spans="1:7" ht="24.6" customHeight="1" x14ac:dyDescent="0.2">
      <c r="A3" s="296" t="s">
        <v>2</v>
      </c>
      <c r="B3" s="298" t="s">
        <v>3</v>
      </c>
      <c r="C3" s="299"/>
      <c r="D3" s="299"/>
      <c r="E3" s="299"/>
      <c r="F3" s="300"/>
      <c r="G3" s="134" t="s">
        <v>158</v>
      </c>
    </row>
    <row r="4" spans="1:7" ht="24.6" customHeight="1" thickBot="1" x14ac:dyDescent="0.25">
      <c r="A4" s="297"/>
      <c r="B4" s="126">
        <v>2021</v>
      </c>
      <c r="C4" s="126">
        <v>2022</v>
      </c>
      <c r="D4" s="126">
        <v>2023</v>
      </c>
      <c r="E4" s="127">
        <v>2024</v>
      </c>
      <c r="F4" s="5" t="s">
        <v>4</v>
      </c>
    </row>
    <row r="5" spans="1:7" s="6" customFormat="1" ht="13.5" thickBot="1" x14ac:dyDescent="0.3">
      <c r="A5" s="17"/>
      <c r="B5" s="38"/>
      <c r="C5" s="38"/>
      <c r="D5" s="38"/>
      <c r="E5" s="38"/>
      <c r="F5" s="29"/>
    </row>
    <row r="6" spans="1:7" s="6" customFormat="1" ht="21" customHeight="1" x14ac:dyDescent="0.25">
      <c r="A6" s="301" t="s">
        <v>70</v>
      </c>
      <c r="B6" s="302"/>
      <c r="C6" s="302"/>
      <c r="D6" s="302"/>
      <c r="E6" s="318"/>
      <c r="F6" s="319"/>
    </row>
    <row r="7" spans="1:7" s="13" customFormat="1" ht="15" customHeight="1" x14ac:dyDescent="0.2">
      <c r="A7" s="330" t="s">
        <v>6</v>
      </c>
      <c r="B7" s="312"/>
      <c r="C7" s="312"/>
      <c r="D7" s="312"/>
      <c r="E7" s="312"/>
      <c r="F7" s="331"/>
    </row>
    <row r="8" spans="1:7" s="9" customFormat="1" ht="15" customHeight="1" x14ac:dyDescent="0.25">
      <c r="A8" s="7" t="s">
        <v>7</v>
      </c>
      <c r="B8" s="28">
        <v>28791</v>
      </c>
      <c r="C8" s="28">
        <v>68375</v>
      </c>
      <c r="D8" s="28">
        <v>60950</v>
      </c>
      <c r="E8" s="28">
        <v>0</v>
      </c>
      <c r="F8" s="8">
        <f>B8+C8+D8+E8</f>
        <v>158116</v>
      </c>
    </row>
    <row r="9" spans="1:7" s="9" customFormat="1" ht="24" customHeight="1" x14ac:dyDescent="0.25">
      <c r="A9" s="7" t="s">
        <v>8</v>
      </c>
      <c r="B9" s="28">
        <v>7525</v>
      </c>
      <c r="C9" s="28">
        <v>22984</v>
      </c>
      <c r="D9" s="28">
        <v>19995</v>
      </c>
      <c r="E9" s="28">
        <v>0</v>
      </c>
      <c r="F9" s="8">
        <f>B9+C9+D9+E9</f>
        <v>50504</v>
      </c>
    </row>
    <row r="10" spans="1:7" s="6" customFormat="1" ht="15" customHeight="1" x14ac:dyDescent="0.25">
      <c r="A10" s="10" t="s">
        <v>9</v>
      </c>
      <c r="B10" s="11">
        <f t="shared" ref="B10:E10" si="0">SUM(B8:B9)</f>
        <v>36316</v>
      </c>
      <c r="C10" s="11">
        <f t="shared" si="0"/>
        <v>91359</v>
      </c>
      <c r="D10" s="11">
        <f t="shared" si="0"/>
        <v>80945</v>
      </c>
      <c r="E10" s="11">
        <f t="shared" si="0"/>
        <v>0</v>
      </c>
      <c r="F10" s="12">
        <f>SUM(F8:F9)</f>
        <v>208620</v>
      </c>
    </row>
    <row r="11" spans="1:7" s="13" customFormat="1" ht="15" customHeight="1" x14ac:dyDescent="0.25">
      <c r="A11" s="305" t="s">
        <v>32</v>
      </c>
      <c r="B11" s="306"/>
      <c r="C11" s="306"/>
      <c r="D11" s="306"/>
      <c r="E11" s="306"/>
      <c r="F11" s="307"/>
    </row>
    <row r="12" spans="1:7" s="9" customFormat="1" ht="15" customHeight="1" x14ac:dyDescent="0.25">
      <c r="A12" s="7" t="s">
        <v>83</v>
      </c>
      <c r="B12" s="28">
        <v>0</v>
      </c>
      <c r="C12" s="28">
        <v>26810</v>
      </c>
      <c r="D12" s="28">
        <v>0</v>
      </c>
      <c r="E12" s="28">
        <v>0</v>
      </c>
      <c r="F12" s="8">
        <f>B12+C12+D12+E12</f>
        <v>26810</v>
      </c>
    </row>
    <row r="13" spans="1:7" s="9" customFormat="1" ht="15" customHeight="1" x14ac:dyDescent="0.25">
      <c r="A13" s="7" t="s">
        <v>84</v>
      </c>
      <c r="B13" s="28">
        <v>0</v>
      </c>
      <c r="C13" s="28">
        <v>21262</v>
      </c>
      <c r="D13" s="28">
        <v>0</v>
      </c>
      <c r="E13" s="28">
        <v>0</v>
      </c>
      <c r="F13" s="8">
        <f>B13+C13+D13+E13</f>
        <v>21262</v>
      </c>
    </row>
    <row r="14" spans="1:7" s="9" customFormat="1" ht="15" customHeight="1" x14ac:dyDescent="0.25">
      <c r="A14" s="7" t="s">
        <v>85</v>
      </c>
      <c r="B14" s="28">
        <v>0</v>
      </c>
      <c r="C14" s="28">
        <v>50842</v>
      </c>
      <c r="D14" s="28">
        <v>0</v>
      </c>
      <c r="E14" s="28">
        <v>0</v>
      </c>
      <c r="F14" s="8">
        <f>B14+C14+D14+E14</f>
        <v>50842</v>
      </c>
    </row>
    <row r="15" spans="1:7" s="9" customFormat="1" ht="15" customHeight="1" x14ac:dyDescent="0.25">
      <c r="A15" s="7" t="s">
        <v>86</v>
      </c>
      <c r="B15" s="28">
        <v>0</v>
      </c>
      <c r="C15" s="28">
        <v>10963</v>
      </c>
      <c r="D15" s="28">
        <v>0</v>
      </c>
      <c r="E15" s="28">
        <v>0</v>
      </c>
      <c r="F15" s="8">
        <f>B15+C15+D15+E15</f>
        <v>10963</v>
      </c>
    </row>
    <row r="16" spans="1:7" s="6" customFormat="1" ht="15" customHeight="1" x14ac:dyDescent="0.25">
      <c r="A16" s="10" t="s">
        <v>47</v>
      </c>
      <c r="B16" s="11">
        <f t="shared" ref="B16:F16" si="1">SUM(B12:B15)</f>
        <v>0</v>
      </c>
      <c r="C16" s="11">
        <f t="shared" si="1"/>
        <v>109877</v>
      </c>
      <c r="D16" s="11">
        <f t="shared" si="1"/>
        <v>0</v>
      </c>
      <c r="E16" s="11">
        <f t="shared" si="1"/>
        <v>0</v>
      </c>
      <c r="F16" s="12">
        <f t="shared" si="1"/>
        <v>109877</v>
      </c>
    </row>
    <row r="17" spans="1:7" s="13" customFormat="1" ht="15" customHeight="1" x14ac:dyDescent="0.25">
      <c r="A17" s="327" t="s">
        <v>10</v>
      </c>
      <c r="B17" s="328"/>
      <c r="C17" s="328"/>
      <c r="D17" s="328"/>
      <c r="E17" s="328"/>
      <c r="F17" s="329"/>
    </row>
    <row r="18" spans="1:7" s="9" customFormat="1" ht="15" customHeight="1" x14ac:dyDescent="0.25">
      <c r="A18" s="7" t="s">
        <v>11</v>
      </c>
      <c r="B18" s="28">
        <v>0</v>
      </c>
      <c r="C18" s="28">
        <v>8443</v>
      </c>
      <c r="D18" s="28">
        <v>27770</v>
      </c>
      <c r="E18" s="28">
        <v>0</v>
      </c>
      <c r="F18" s="8">
        <f>B18+C18+D18+E18</f>
        <v>36213</v>
      </c>
    </row>
    <row r="19" spans="1:7" s="6" customFormat="1" ht="15" customHeight="1" thickBot="1" x14ac:dyDescent="0.3">
      <c r="A19" s="10" t="s">
        <v>13</v>
      </c>
      <c r="B19" s="11">
        <f t="shared" ref="B19:F19" si="2">SUM(B18:B18)</f>
        <v>0</v>
      </c>
      <c r="C19" s="11">
        <f t="shared" si="2"/>
        <v>8443</v>
      </c>
      <c r="D19" s="11">
        <f t="shared" si="2"/>
        <v>27770</v>
      </c>
      <c r="E19" s="11">
        <f t="shared" si="2"/>
        <v>0</v>
      </c>
      <c r="F19" s="12">
        <f t="shared" si="2"/>
        <v>36213</v>
      </c>
    </row>
    <row r="20" spans="1:7" s="6" customFormat="1" ht="25.5" customHeight="1" thickBot="1" x14ac:dyDescent="0.3">
      <c r="A20" s="14" t="s">
        <v>71</v>
      </c>
      <c r="B20" s="15">
        <f t="shared" ref="B20:F20" si="3">B10+B16+B19</f>
        <v>36316</v>
      </c>
      <c r="C20" s="15">
        <f t="shared" si="3"/>
        <v>209679</v>
      </c>
      <c r="D20" s="15">
        <f t="shared" si="3"/>
        <v>108715</v>
      </c>
      <c r="E20" s="15">
        <f t="shared" si="3"/>
        <v>0</v>
      </c>
      <c r="F20" s="16">
        <f t="shared" si="3"/>
        <v>354710</v>
      </c>
    </row>
    <row r="21" spans="1:7" s="6" customFormat="1" ht="12" customHeight="1" thickBot="1" x14ac:dyDescent="0.3">
      <c r="A21" s="17"/>
      <c r="B21" s="94"/>
      <c r="C21" s="94"/>
      <c r="D21" s="94"/>
      <c r="E21" s="94"/>
      <c r="F21" s="95"/>
    </row>
    <row r="22" spans="1:7" s="6" customFormat="1" ht="21" customHeight="1" x14ac:dyDescent="0.25">
      <c r="A22" s="301" t="s">
        <v>72</v>
      </c>
      <c r="B22" s="302"/>
      <c r="C22" s="302"/>
      <c r="D22" s="302"/>
      <c r="E22" s="318"/>
      <c r="F22" s="319"/>
    </row>
    <row r="23" spans="1:7" s="13" customFormat="1" ht="18" customHeight="1" x14ac:dyDescent="0.25">
      <c r="A23" s="327" t="s">
        <v>32</v>
      </c>
      <c r="B23" s="328"/>
      <c r="C23" s="328"/>
      <c r="D23" s="328"/>
      <c r="E23" s="328"/>
      <c r="F23" s="329"/>
    </row>
    <row r="24" spans="1:7" s="9" customFormat="1" ht="24" customHeight="1" x14ac:dyDescent="0.25">
      <c r="A24" s="7" t="s">
        <v>73</v>
      </c>
      <c r="B24" s="28">
        <v>0</v>
      </c>
      <c r="C24" s="136">
        <f>2898-2898</f>
        <v>0</v>
      </c>
      <c r="D24" s="28">
        <v>0</v>
      </c>
      <c r="E24" s="28">
        <v>0</v>
      </c>
      <c r="F24" s="8">
        <f>B24+C24+D24+E24</f>
        <v>0</v>
      </c>
      <c r="G24" s="137" t="s">
        <v>159</v>
      </c>
    </row>
    <row r="25" spans="1:7" s="9" customFormat="1" ht="24" customHeight="1" x14ac:dyDescent="0.25">
      <c r="A25" s="7" t="s">
        <v>74</v>
      </c>
      <c r="B25" s="28">
        <v>0</v>
      </c>
      <c r="C25" s="136">
        <f>19624-19624</f>
        <v>0</v>
      </c>
      <c r="D25" s="28">
        <v>0</v>
      </c>
      <c r="E25" s="28">
        <v>0</v>
      </c>
      <c r="F25" s="8">
        <f>B25+C25+D25+E25</f>
        <v>0</v>
      </c>
      <c r="G25" s="137" t="s">
        <v>159</v>
      </c>
    </row>
    <row r="26" spans="1:7" s="9" customFormat="1" ht="24" customHeight="1" x14ac:dyDescent="0.25">
      <c r="A26" s="7" t="s">
        <v>75</v>
      </c>
      <c r="B26" s="28">
        <v>0</v>
      </c>
      <c r="C26" s="136">
        <f>7371-7371</f>
        <v>0</v>
      </c>
      <c r="D26" s="28">
        <v>0</v>
      </c>
      <c r="E26" s="28">
        <v>0</v>
      </c>
      <c r="F26" s="8">
        <f>B26+C26+D26+E26</f>
        <v>0</v>
      </c>
      <c r="G26" s="137" t="s">
        <v>159</v>
      </c>
    </row>
    <row r="27" spans="1:7" s="6" customFormat="1" ht="15" customHeight="1" x14ac:dyDescent="0.25">
      <c r="A27" s="10" t="s">
        <v>47</v>
      </c>
      <c r="B27" s="11">
        <f t="shared" ref="B27:E27" si="4">SUM(B24:B26)</f>
        <v>0</v>
      </c>
      <c r="C27" s="11">
        <f t="shared" si="4"/>
        <v>0</v>
      </c>
      <c r="D27" s="11">
        <f t="shared" si="4"/>
        <v>0</v>
      </c>
      <c r="E27" s="11">
        <f t="shared" si="4"/>
        <v>0</v>
      </c>
      <c r="F27" s="12">
        <f>SUM(F24:F26)</f>
        <v>0</v>
      </c>
    </row>
    <row r="28" spans="1:7" s="13" customFormat="1" ht="18" customHeight="1" x14ac:dyDescent="0.25">
      <c r="A28" s="327" t="s">
        <v>48</v>
      </c>
      <c r="B28" s="328"/>
      <c r="C28" s="328"/>
      <c r="D28" s="328"/>
      <c r="E28" s="328"/>
      <c r="F28" s="329"/>
    </row>
    <row r="29" spans="1:7" s="9" customFormat="1" ht="24" customHeight="1" x14ac:dyDescent="0.25">
      <c r="A29" s="7" t="s">
        <v>76</v>
      </c>
      <c r="B29" s="28">
        <v>0</v>
      </c>
      <c r="C29" s="28">
        <v>18821</v>
      </c>
      <c r="D29" s="28">
        <v>0</v>
      </c>
      <c r="E29" s="28">
        <v>0</v>
      </c>
      <c r="F29" s="8">
        <f>B29+C29+D29+E29</f>
        <v>18821</v>
      </c>
    </row>
    <row r="30" spans="1:7" s="9" customFormat="1" ht="24" customHeight="1" x14ac:dyDescent="0.25">
      <c r="A30" s="7" t="s">
        <v>77</v>
      </c>
      <c r="B30" s="28">
        <v>0</v>
      </c>
      <c r="C30" s="28">
        <v>14319</v>
      </c>
      <c r="D30" s="28">
        <v>0</v>
      </c>
      <c r="E30" s="28">
        <v>0</v>
      </c>
      <c r="F30" s="8">
        <f>B30+C30+D30+E30</f>
        <v>14319</v>
      </c>
    </row>
    <row r="31" spans="1:7" s="9" customFormat="1" ht="24" customHeight="1" x14ac:dyDescent="0.25">
      <c r="A31" s="7" t="s">
        <v>78</v>
      </c>
      <c r="B31" s="28">
        <v>0</v>
      </c>
      <c r="C31" s="28">
        <v>7079</v>
      </c>
      <c r="D31" s="28">
        <v>0</v>
      </c>
      <c r="E31" s="28">
        <v>0</v>
      </c>
      <c r="F31" s="8">
        <f>B31+C31+D31+E31</f>
        <v>7079</v>
      </c>
    </row>
    <row r="32" spans="1:7" s="6" customFormat="1" ht="15" customHeight="1" thickBot="1" x14ac:dyDescent="0.3">
      <c r="A32" s="10" t="s">
        <v>53</v>
      </c>
      <c r="B32" s="11">
        <f t="shared" ref="B32:E32" si="5">SUM(B29:B31)</f>
        <v>0</v>
      </c>
      <c r="C32" s="11">
        <f t="shared" si="5"/>
        <v>40219</v>
      </c>
      <c r="D32" s="11">
        <f t="shared" si="5"/>
        <v>0</v>
      </c>
      <c r="E32" s="11">
        <f t="shared" si="5"/>
        <v>0</v>
      </c>
      <c r="F32" s="12">
        <f>SUM(F29:F31)</f>
        <v>40219</v>
      </c>
    </row>
    <row r="33" spans="1:7" s="6" customFormat="1" ht="36" customHeight="1" thickBot="1" x14ac:dyDescent="0.3">
      <c r="A33" s="14" t="s">
        <v>79</v>
      </c>
      <c r="B33" s="15">
        <f t="shared" ref="B33:F33" si="6">B27+B32</f>
        <v>0</v>
      </c>
      <c r="C33" s="15">
        <f t="shared" si="6"/>
        <v>40219</v>
      </c>
      <c r="D33" s="15">
        <f t="shared" si="6"/>
        <v>0</v>
      </c>
      <c r="E33" s="15">
        <f t="shared" si="6"/>
        <v>0</v>
      </c>
      <c r="F33" s="16">
        <f t="shared" si="6"/>
        <v>40219</v>
      </c>
    </row>
    <row r="34" spans="1:7" s="6" customFormat="1" ht="12" customHeight="1" thickBot="1" x14ac:dyDescent="0.3">
      <c r="A34" s="17"/>
      <c r="B34" s="94"/>
      <c r="C34" s="94"/>
      <c r="D34" s="94"/>
      <c r="E34" s="94"/>
      <c r="F34" s="95"/>
    </row>
    <row r="35" spans="1:7" s="6" customFormat="1" ht="21" customHeight="1" x14ac:dyDescent="0.25">
      <c r="A35" s="301" t="s">
        <v>15</v>
      </c>
      <c r="B35" s="302"/>
      <c r="C35" s="302"/>
      <c r="D35" s="302"/>
      <c r="E35" s="303"/>
      <c r="F35" s="304"/>
    </row>
    <row r="36" spans="1:7" s="13" customFormat="1" ht="18" customHeight="1" x14ac:dyDescent="0.25">
      <c r="A36" s="305" t="s">
        <v>16</v>
      </c>
      <c r="B36" s="306"/>
      <c r="C36" s="306"/>
      <c r="D36" s="306"/>
      <c r="E36" s="306"/>
      <c r="F36" s="307"/>
    </row>
    <row r="37" spans="1:7" s="9" customFormat="1" ht="38.25" x14ac:dyDescent="0.25">
      <c r="A37" s="7" t="s">
        <v>17</v>
      </c>
      <c r="B37" s="20">
        <v>807</v>
      </c>
      <c r="C37" s="39">
        <f>130993-30993-70000</f>
        <v>30000</v>
      </c>
      <c r="D37" s="39">
        <f>277178+30993-52000</f>
        <v>256171</v>
      </c>
      <c r="E37" s="20">
        <v>0</v>
      </c>
      <c r="F37" s="8">
        <f>B37+C37+D37+E37</f>
        <v>286978</v>
      </c>
      <c r="G37" s="135" t="s">
        <v>160</v>
      </c>
    </row>
    <row r="38" spans="1:7" s="9" customFormat="1" ht="24" customHeight="1" x14ac:dyDescent="0.25">
      <c r="A38" s="7" t="s">
        <v>92</v>
      </c>
      <c r="B38" s="20">
        <f>27298-9000</f>
        <v>18298</v>
      </c>
      <c r="C38" s="31">
        <v>13000</v>
      </c>
      <c r="D38" s="31">
        <v>29000</v>
      </c>
      <c r="E38" s="31">
        <v>2702</v>
      </c>
      <c r="F38" s="8">
        <f>B38+C38+D38+E38</f>
        <v>63000</v>
      </c>
      <c r="G38" s="9" t="s">
        <v>161</v>
      </c>
    </row>
    <row r="39" spans="1:7" s="9" customFormat="1" ht="24" customHeight="1" x14ac:dyDescent="0.25">
      <c r="A39" s="7" t="s">
        <v>87</v>
      </c>
      <c r="B39" s="20">
        <v>0</v>
      </c>
      <c r="C39" s="124">
        <v>300</v>
      </c>
      <c r="D39" s="124">
        <v>75000</v>
      </c>
      <c r="E39" s="124">
        <v>15000</v>
      </c>
      <c r="F39" s="8">
        <f>B39+C39+D39+E39</f>
        <v>90300</v>
      </c>
    </row>
    <row r="40" spans="1:7" s="9" customFormat="1" ht="24" customHeight="1" x14ac:dyDescent="0.25">
      <c r="A40" s="54" t="s">
        <v>162</v>
      </c>
      <c r="B40" s="20">
        <v>0</v>
      </c>
      <c r="C40" s="39">
        <v>40000</v>
      </c>
      <c r="D40" s="39">
        <v>52000</v>
      </c>
      <c r="E40" s="20">
        <v>0</v>
      </c>
      <c r="F40" s="8">
        <f t="shared" ref="F40:F42" si="7">B40+C40+D40+E40</f>
        <v>92000</v>
      </c>
      <c r="G40" s="9" t="s">
        <v>163</v>
      </c>
    </row>
    <row r="41" spans="1:7" s="9" customFormat="1" ht="24" customHeight="1" x14ac:dyDescent="0.25">
      <c r="A41" s="54" t="s">
        <v>164</v>
      </c>
      <c r="B41" s="20">
        <v>0</v>
      </c>
      <c r="C41" s="39">
        <v>41000</v>
      </c>
      <c r="D41" s="20">
        <v>0</v>
      </c>
      <c r="E41" s="20">
        <v>0</v>
      </c>
      <c r="F41" s="8">
        <f t="shared" si="7"/>
        <v>41000</v>
      </c>
      <c r="G41" s="9" t="s">
        <v>163</v>
      </c>
    </row>
    <row r="42" spans="1:7" s="9" customFormat="1" ht="24" customHeight="1" x14ac:dyDescent="0.25">
      <c r="A42" s="54" t="s">
        <v>165</v>
      </c>
      <c r="B42" s="20">
        <v>0</v>
      </c>
      <c r="C42" s="39">
        <v>60000</v>
      </c>
      <c r="D42" s="20">
        <v>0</v>
      </c>
      <c r="E42" s="20">
        <v>0</v>
      </c>
      <c r="F42" s="8">
        <f t="shared" si="7"/>
        <v>60000</v>
      </c>
      <c r="G42" s="9" t="s">
        <v>163</v>
      </c>
    </row>
    <row r="43" spans="1:7" s="6" customFormat="1" ht="15" customHeight="1" x14ac:dyDescent="0.25">
      <c r="A43" s="10" t="s">
        <v>19</v>
      </c>
      <c r="B43" s="11">
        <f>SUM(B37:B42)</f>
        <v>19105</v>
      </c>
      <c r="C43" s="11">
        <f t="shared" ref="C43:E43" si="8">SUM(C37:C42)</f>
        <v>184300</v>
      </c>
      <c r="D43" s="11">
        <f t="shared" si="8"/>
        <v>412171</v>
      </c>
      <c r="E43" s="11">
        <f t="shared" si="8"/>
        <v>17702</v>
      </c>
      <c r="F43" s="12">
        <f>SUM(F37:F42)</f>
        <v>633278</v>
      </c>
    </row>
    <row r="44" spans="1:7" s="13" customFormat="1" ht="18" customHeight="1" x14ac:dyDescent="0.25">
      <c r="A44" s="308" t="s">
        <v>20</v>
      </c>
      <c r="B44" s="309"/>
      <c r="C44" s="309"/>
      <c r="D44" s="309"/>
      <c r="E44" s="309"/>
      <c r="F44" s="310"/>
    </row>
    <row r="45" spans="1:7" s="9" customFormat="1" ht="24" customHeight="1" x14ac:dyDescent="0.25">
      <c r="A45" s="21" t="s">
        <v>23</v>
      </c>
      <c r="B45" s="20">
        <v>615</v>
      </c>
      <c r="C45" s="20">
        <v>40400</v>
      </c>
      <c r="D45" s="20">
        <v>10000</v>
      </c>
      <c r="E45" s="20">
        <v>0</v>
      </c>
      <c r="F45" s="8">
        <f>SUM(B45+C45+D45+E45)</f>
        <v>51015</v>
      </c>
    </row>
    <row r="46" spans="1:7" s="9" customFormat="1" ht="51" x14ac:dyDescent="0.25">
      <c r="A46" s="21" t="s">
        <v>24</v>
      </c>
      <c r="B46" s="20">
        <v>375.1</v>
      </c>
      <c r="C46" s="39">
        <f>50000-30000</f>
        <v>20000</v>
      </c>
      <c r="D46" s="31">
        <v>55000</v>
      </c>
      <c r="E46" s="139">
        <f>37000-12443</f>
        <v>24557</v>
      </c>
      <c r="F46" s="8">
        <f>SUM(B46+C46+D46+E46)</f>
        <v>99932.1</v>
      </c>
      <c r="G46" s="135" t="s">
        <v>166</v>
      </c>
    </row>
    <row r="47" spans="1:7" s="9" customFormat="1" ht="24" customHeight="1" x14ac:dyDescent="0.25">
      <c r="A47" s="21" t="s">
        <v>25</v>
      </c>
      <c r="B47" s="20">
        <v>0</v>
      </c>
      <c r="C47" s="20">
        <v>0</v>
      </c>
      <c r="D47" s="20">
        <v>30000</v>
      </c>
      <c r="E47" s="20">
        <v>65000</v>
      </c>
      <c r="F47" s="8">
        <f>SUM(B47+C47+D47+E47)</f>
        <v>95000</v>
      </c>
    </row>
    <row r="48" spans="1:7" s="6" customFormat="1" ht="15" customHeight="1" x14ac:dyDescent="0.25">
      <c r="A48" s="10" t="s">
        <v>27</v>
      </c>
      <c r="B48" s="11">
        <f t="shared" ref="B48:F48" si="9">SUM(B45:B47)</f>
        <v>990.1</v>
      </c>
      <c r="C48" s="11">
        <f t="shared" si="9"/>
        <v>60400</v>
      </c>
      <c r="D48" s="11">
        <f t="shared" si="9"/>
        <v>95000</v>
      </c>
      <c r="E48" s="11">
        <f t="shared" si="9"/>
        <v>89557</v>
      </c>
      <c r="F48" s="12">
        <f t="shared" si="9"/>
        <v>245947.1</v>
      </c>
    </row>
    <row r="49" spans="1:7" s="13" customFormat="1" ht="18" customHeight="1" x14ac:dyDescent="0.25">
      <c r="A49" s="327" t="s">
        <v>6</v>
      </c>
      <c r="B49" s="328"/>
      <c r="C49" s="328"/>
      <c r="D49" s="328"/>
      <c r="E49" s="328"/>
      <c r="F49" s="329"/>
    </row>
    <row r="50" spans="1:7" s="9" customFormat="1" ht="15" customHeight="1" x14ac:dyDescent="0.25">
      <c r="A50" s="21" t="s">
        <v>28</v>
      </c>
      <c r="B50" s="22">
        <v>0</v>
      </c>
      <c r="C50" s="22">
        <v>0</v>
      </c>
      <c r="D50" s="22">
        <v>0</v>
      </c>
      <c r="E50" s="22">
        <v>0</v>
      </c>
      <c r="F50" s="8">
        <f t="shared" ref="F50:F56" si="10">B50+C50+D50+E50</f>
        <v>0</v>
      </c>
    </row>
    <row r="51" spans="1:7" s="9" customFormat="1" ht="24" customHeight="1" x14ac:dyDescent="0.25">
      <c r="A51" s="7" t="s">
        <v>29</v>
      </c>
      <c r="B51" s="20">
        <v>0</v>
      </c>
      <c r="C51" s="20">
        <f>82731+15000</f>
        <v>97731</v>
      </c>
      <c r="D51" s="20">
        <v>19761</v>
      </c>
      <c r="E51" s="20">
        <v>0</v>
      </c>
      <c r="F51" s="8">
        <f t="shared" si="10"/>
        <v>117492</v>
      </c>
      <c r="G51" s="9" t="s">
        <v>167</v>
      </c>
    </row>
    <row r="52" spans="1:7" s="9" customFormat="1" ht="19.5" customHeight="1" x14ac:dyDescent="0.25">
      <c r="A52" s="23" t="s">
        <v>30</v>
      </c>
      <c r="B52" s="20">
        <v>17961</v>
      </c>
      <c r="C52" s="20">
        <v>165000</v>
      </c>
      <c r="D52" s="20">
        <v>112039</v>
      </c>
      <c r="E52" s="20">
        <v>0</v>
      </c>
      <c r="F52" s="8">
        <f t="shared" si="10"/>
        <v>295000</v>
      </c>
      <c r="G52" s="9" t="s">
        <v>167</v>
      </c>
    </row>
    <row r="53" spans="1:7" s="9" customFormat="1" ht="24" customHeight="1" x14ac:dyDescent="0.25">
      <c r="A53" s="23" t="s">
        <v>31</v>
      </c>
      <c r="B53" s="20">
        <v>10650</v>
      </c>
      <c r="C53" s="20">
        <f>5700-2850</f>
        <v>2850</v>
      </c>
      <c r="D53" s="20">
        <v>0</v>
      </c>
      <c r="E53" s="20">
        <v>0</v>
      </c>
      <c r="F53" s="8">
        <f t="shared" si="10"/>
        <v>13500</v>
      </c>
    </row>
    <row r="54" spans="1:7" s="9" customFormat="1" ht="24" customHeight="1" x14ac:dyDescent="0.25">
      <c r="A54" s="7" t="s">
        <v>110</v>
      </c>
      <c r="B54" s="20">
        <v>11814</v>
      </c>
      <c r="C54" s="20">
        <v>0</v>
      </c>
      <c r="D54" s="20">
        <v>0</v>
      </c>
      <c r="E54" s="20">
        <v>0</v>
      </c>
      <c r="F54" s="8">
        <f t="shared" si="10"/>
        <v>11814</v>
      </c>
    </row>
    <row r="55" spans="1:7" s="9" customFormat="1" ht="24" customHeight="1" x14ac:dyDescent="0.25">
      <c r="A55" s="23" t="s">
        <v>111</v>
      </c>
      <c r="B55" s="20">
        <v>6329.89</v>
      </c>
      <c r="C55" s="20">
        <v>0</v>
      </c>
      <c r="D55" s="20">
        <v>0</v>
      </c>
      <c r="E55" s="20">
        <v>0</v>
      </c>
      <c r="F55" s="8">
        <f t="shared" si="10"/>
        <v>6329.89</v>
      </c>
    </row>
    <row r="56" spans="1:7" s="9" customFormat="1" ht="24" customHeight="1" x14ac:dyDescent="0.25">
      <c r="A56" s="23" t="s">
        <v>113</v>
      </c>
      <c r="B56" s="20">
        <v>13185.7</v>
      </c>
      <c r="C56" s="20">
        <v>0</v>
      </c>
      <c r="D56" s="20">
        <v>0</v>
      </c>
      <c r="E56" s="20">
        <v>0</v>
      </c>
      <c r="F56" s="8">
        <f t="shared" si="10"/>
        <v>13185.7</v>
      </c>
    </row>
    <row r="57" spans="1:7" s="6" customFormat="1" ht="15" customHeight="1" x14ac:dyDescent="0.25">
      <c r="A57" s="10" t="s">
        <v>9</v>
      </c>
      <c r="B57" s="11">
        <f t="shared" ref="B57:E57" si="11">SUM(B50:B56)</f>
        <v>59940.59</v>
      </c>
      <c r="C57" s="11">
        <f t="shared" si="11"/>
        <v>265581</v>
      </c>
      <c r="D57" s="11">
        <f t="shared" si="11"/>
        <v>131800</v>
      </c>
      <c r="E57" s="11">
        <f t="shared" si="11"/>
        <v>0</v>
      </c>
      <c r="F57" s="12">
        <f>SUM(F50:F56)</f>
        <v>457321.59</v>
      </c>
      <c r="G57" s="104"/>
    </row>
    <row r="58" spans="1:7" s="13" customFormat="1" ht="18" customHeight="1" x14ac:dyDescent="0.2">
      <c r="A58" s="330" t="s">
        <v>32</v>
      </c>
      <c r="B58" s="312"/>
      <c r="C58" s="312"/>
      <c r="D58" s="312"/>
      <c r="E58" s="312"/>
      <c r="F58" s="331"/>
    </row>
    <row r="59" spans="1:7" s="13" customFormat="1" ht="24" customHeight="1" x14ac:dyDescent="0.25">
      <c r="A59" s="7" t="s">
        <v>33</v>
      </c>
      <c r="B59" s="20">
        <v>45000</v>
      </c>
      <c r="C59" s="20">
        <v>0</v>
      </c>
      <c r="D59" s="20">
        <v>0</v>
      </c>
      <c r="E59" s="20">
        <v>0</v>
      </c>
      <c r="F59" s="8">
        <f t="shared" ref="F59:F81" si="12">B59+C59+D59+E59</f>
        <v>45000</v>
      </c>
    </row>
    <row r="60" spans="1:7" s="13" customFormat="1" ht="24" customHeight="1" x14ac:dyDescent="0.25">
      <c r="A60" s="23" t="s">
        <v>34</v>
      </c>
      <c r="B60" s="20">
        <v>0</v>
      </c>
      <c r="C60" s="124">
        <v>500</v>
      </c>
      <c r="D60" s="124">
        <v>30000</v>
      </c>
      <c r="E60" s="20">
        <v>0</v>
      </c>
      <c r="F60" s="8">
        <f t="shared" si="12"/>
        <v>30500</v>
      </c>
    </row>
    <row r="61" spans="1:7" s="13" customFormat="1" ht="24" customHeight="1" x14ac:dyDescent="0.25">
      <c r="A61" s="7" t="s">
        <v>68</v>
      </c>
      <c r="B61" s="20">
        <v>0</v>
      </c>
      <c r="C61" s="20">
        <v>2090</v>
      </c>
      <c r="D61" s="20">
        <v>26000</v>
      </c>
      <c r="E61" s="20">
        <v>27610</v>
      </c>
      <c r="F61" s="8">
        <f t="shared" si="12"/>
        <v>55700</v>
      </c>
    </row>
    <row r="62" spans="1:7" s="13" customFormat="1" ht="33.950000000000003" customHeight="1" x14ac:dyDescent="0.25">
      <c r="A62" s="23" t="s">
        <v>36</v>
      </c>
      <c r="B62" s="24">
        <v>31098</v>
      </c>
      <c r="C62" s="124">
        <v>15000</v>
      </c>
      <c r="D62" s="20">
        <v>0</v>
      </c>
      <c r="E62" s="20">
        <v>0</v>
      </c>
      <c r="F62" s="8">
        <f t="shared" si="12"/>
        <v>46098</v>
      </c>
    </row>
    <row r="63" spans="1:7" s="13" customFormat="1" ht="33.950000000000003" customHeight="1" x14ac:dyDescent="0.25">
      <c r="A63" s="23" t="s">
        <v>37</v>
      </c>
      <c r="B63" s="24">
        <v>0</v>
      </c>
      <c r="C63" s="31">
        <f>5500+3600</f>
        <v>9100</v>
      </c>
      <c r="D63" s="20">
        <v>0</v>
      </c>
      <c r="E63" s="20">
        <v>0</v>
      </c>
      <c r="F63" s="8">
        <f t="shared" si="12"/>
        <v>9100</v>
      </c>
      <c r="G63" s="13" t="s">
        <v>168</v>
      </c>
    </row>
    <row r="64" spans="1:7" s="13" customFormat="1" ht="24" customHeight="1" x14ac:dyDescent="0.25">
      <c r="A64" s="7" t="s">
        <v>38</v>
      </c>
      <c r="B64" s="20">
        <v>10571</v>
      </c>
      <c r="C64" s="20">
        <v>113428</v>
      </c>
      <c r="D64" s="20">
        <v>52000</v>
      </c>
      <c r="E64" s="20">
        <v>0</v>
      </c>
      <c r="F64" s="8">
        <f t="shared" si="12"/>
        <v>175999</v>
      </c>
    </row>
    <row r="65" spans="1:10" s="13" customFormat="1" ht="24" customHeight="1" x14ac:dyDescent="0.25">
      <c r="A65" s="23" t="s">
        <v>39</v>
      </c>
      <c r="B65" s="20">
        <f>51000+2656</f>
        <v>53656</v>
      </c>
      <c r="C65" s="20">
        <v>0</v>
      </c>
      <c r="D65" s="20">
        <v>0</v>
      </c>
      <c r="E65" s="20">
        <v>0</v>
      </c>
      <c r="F65" s="8">
        <f t="shared" si="12"/>
        <v>53656</v>
      </c>
    </row>
    <row r="66" spans="1:10" s="13" customFormat="1" ht="24" customHeight="1" x14ac:dyDescent="0.25">
      <c r="A66" s="7" t="s">
        <v>40</v>
      </c>
      <c r="B66" s="20">
        <v>0</v>
      </c>
      <c r="C66" s="20">
        <v>25000</v>
      </c>
      <c r="D66" s="20">
        <v>0</v>
      </c>
      <c r="E66" s="20">
        <v>0</v>
      </c>
      <c r="F66" s="8">
        <f t="shared" si="12"/>
        <v>25000</v>
      </c>
    </row>
    <row r="67" spans="1:10" s="13" customFormat="1" ht="33.950000000000003" customHeight="1" x14ac:dyDescent="0.25">
      <c r="A67" s="23" t="s">
        <v>41</v>
      </c>
      <c r="B67" s="24">
        <v>0</v>
      </c>
      <c r="C67" s="31">
        <f>20250-5250</f>
        <v>15000</v>
      </c>
      <c r="D67" s="31">
        <f>17750+5250</f>
        <v>23000</v>
      </c>
      <c r="E67" s="20">
        <v>0</v>
      </c>
      <c r="F67" s="8">
        <f t="shared" si="12"/>
        <v>38000</v>
      </c>
      <c r="G67" s="135" t="s">
        <v>169</v>
      </c>
    </row>
    <row r="68" spans="1:10" s="13" customFormat="1" ht="24" customHeight="1" x14ac:dyDescent="0.25">
      <c r="A68" s="7" t="s">
        <v>42</v>
      </c>
      <c r="B68" s="20">
        <v>57200</v>
      </c>
      <c r="C68" s="20">
        <v>500</v>
      </c>
      <c r="D68" s="20">
        <v>0</v>
      </c>
      <c r="E68" s="20">
        <v>0</v>
      </c>
      <c r="F68" s="8">
        <f t="shared" si="12"/>
        <v>57700</v>
      </c>
    </row>
    <row r="69" spans="1:10" s="13" customFormat="1" ht="24" customHeight="1" x14ac:dyDescent="0.25">
      <c r="A69" s="23" t="s">
        <v>43</v>
      </c>
      <c r="B69" s="20">
        <v>30678.01</v>
      </c>
      <c r="C69" s="20">
        <v>0</v>
      </c>
      <c r="D69" s="20">
        <v>0</v>
      </c>
      <c r="E69" s="20">
        <v>0</v>
      </c>
      <c r="F69" s="8">
        <f t="shared" si="12"/>
        <v>30678.01</v>
      </c>
    </row>
    <row r="70" spans="1:10" s="13" customFormat="1" ht="24" customHeight="1" x14ac:dyDescent="0.25">
      <c r="A70" s="7" t="s">
        <v>44</v>
      </c>
      <c r="B70" s="20">
        <v>40000</v>
      </c>
      <c r="C70" s="20">
        <v>0</v>
      </c>
      <c r="D70" s="20">
        <v>0</v>
      </c>
      <c r="E70" s="20">
        <v>0</v>
      </c>
      <c r="F70" s="8">
        <f t="shared" si="12"/>
        <v>40000</v>
      </c>
    </row>
    <row r="71" spans="1:10" s="13" customFormat="1" ht="24" customHeight="1" x14ac:dyDescent="0.25">
      <c r="A71" s="23" t="s">
        <v>45</v>
      </c>
      <c r="B71" s="20">
        <v>500</v>
      </c>
      <c r="C71" s="31">
        <f>25639-15639</f>
        <v>10000</v>
      </c>
      <c r="D71" s="31">
        <f>49361+15639</f>
        <v>65000</v>
      </c>
      <c r="E71" s="20">
        <v>0</v>
      </c>
      <c r="F71" s="8">
        <f t="shared" si="12"/>
        <v>75500</v>
      </c>
      <c r="G71" s="135" t="s">
        <v>170</v>
      </c>
    </row>
    <row r="72" spans="1:10" s="13" customFormat="1" ht="24" customHeight="1" x14ac:dyDescent="0.25">
      <c r="A72" s="7" t="s">
        <v>46</v>
      </c>
      <c r="B72" s="20">
        <v>6200</v>
      </c>
      <c r="C72" s="20">
        <v>0</v>
      </c>
      <c r="D72" s="20">
        <v>0</v>
      </c>
      <c r="E72" s="20">
        <v>0</v>
      </c>
      <c r="F72" s="8">
        <f t="shared" si="12"/>
        <v>6200</v>
      </c>
      <c r="G72" s="135"/>
    </row>
    <row r="73" spans="1:10" s="13" customFormat="1" ht="24" customHeight="1" x14ac:dyDescent="0.25">
      <c r="A73" s="23" t="s">
        <v>69</v>
      </c>
      <c r="B73" s="20">
        <v>28.6</v>
      </c>
      <c r="C73" s="133">
        <v>11036.31</v>
      </c>
      <c r="D73" s="20">
        <v>0</v>
      </c>
      <c r="E73" s="20">
        <v>0</v>
      </c>
      <c r="F73" s="8">
        <f t="shared" si="12"/>
        <v>11064.91</v>
      </c>
      <c r="G73" s="135"/>
    </row>
    <row r="74" spans="1:10" s="13" customFormat="1" ht="24" customHeight="1" x14ac:dyDescent="0.25">
      <c r="A74" s="7" t="s">
        <v>80</v>
      </c>
      <c r="B74" s="20">
        <v>350</v>
      </c>
      <c r="C74" s="20">
        <v>14000</v>
      </c>
      <c r="D74" s="31">
        <v>4500</v>
      </c>
      <c r="E74" s="20">
        <v>0</v>
      </c>
      <c r="F74" s="8">
        <f t="shared" si="12"/>
        <v>18850</v>
      </c>
      <c r="G74" s="135" t="s">
        <v>171</v>
      </c>
    </row>
    <row r="75" spans="1:10" s="13" customFormat="1" ht="33.950000000000003" customHeight="1" x14ac:dyDescent="0.25">
      <c r="A75" s="23" t="s">
        <v>81</v>
      </c>
      <c r="B75" s="24">
        <v>0</v>
      </c>
      <c r="C75" s="20">
        <v>11420</v>
      </c>
      <c r="D75" s="20">
        <v>0</v>
      </c>
      <c r="E75" s="20">
        <v>0</v>
      </c>
      <c r="F75" s="8">
        <f t="shared" si="12"/>
        <v>11420</v>
      </c>
      <c r="G75" s="135"/>
    </row>
    <row r="76" spans="1:10" s="9" customFormat="1" ht="15" customHeight="1" x14ac:dyDescent="0.25">
      <c r="A76" s="21" t="s">
        <v>88</v>
      </c>
      <c r="B76" s="22">
        <v>0</v>
      </c>
      <c r="C76" s="129">
        <f>50000-10000</f>
        <v>40000</v>
      </c>
      <c r="D76" s="129">
        <f>20500+10000</f>
        <v>30500</v>
      </c>
      <c r="E76" s="22">
        <v>0</v>
      </c>
      <c r="F76" s="8">
        <f t="shared" si="12"/>
        <v>70500</v>
      </c>
      <c r="G76" s="135" t="s">
        <v>169</v>
      </c>
      <c r="H76" s="13"/>
      <c r="I76" s="13"/>
      <c r="J76" s="13"/>
    </row>
    <row r="77" spans="1:10" s="13" customFormat="1" ht="24" customHeight="1" x14ac:dyDescent="0.25">
      <c r="A77" s="23" t="s">
        <v>89</v>
      </c>
      <c r="B77" s="20">
        <v>9120</v>
      </c>
      <c r="C77" s="20">
        <v>0</v>
      </c>
      <c r="D77" s="20">
        <v>0</v>
      </c>
      <c r="E77" s="20">
        <v>0</v>
      </c>
      <c r="F77" s="8">
        <f t="shared" si="12"/>
        <v>9120</v>
      </c>
      <c r="G77" s="135"/>
    </row>
    <row r="78" spans="1:10" s="13" customFormat="1" ht="24" customHeight="1" x14ac:dyDescent="0.25">
      <c r="A78" s="7" t="s">
        <v>90</v>
      </c>
      <c r="B78" s="20">
        <v>127.05</v>
      </c>
      <c r="C78" s="130">
        <f>21372.95-14000</f>
        <v>7372.9500000000007</v>
      </c>
      <c r="D78" s="31">
        <v>14000</v>
      </c>
      <c r="E78" s="20">
        <v>0</v>
      </c>
      <c r="F78" s="8">
        <f t="shared" si="12"/>
        <v>21500</v>
      </c>
      <c r="G78" s="135" t="s">
        <v>169</v>
      </c>
    </row>
    <row r="79" spans="1:10" s="13" customFormat="1" ht="24" customHeight="1" x14ac:dyDescent="0.25">
      <c r="A79" s="23" t="s">
        <v>91</v>
      </c>
      <c r="B79" s="20">
        <v>23000</v>
      </c>
      <c r="C79" s="20">
        <v>2000</v>
      </c>
      <c r="D79" s="20">
        <v>0</v>
      </c>
      <c r="E79" s="20">
        <v>0</v>
      </c>
      <c r="F79" s="8">
        <f t="shared" si="12"/>
        <v>25000</v>
      </c>
      <c r="G79" s="135"/>
    </row>
    <row r="80" spans="1:10" s="13" customFormat="1" ht="24" customHeight="1" x14ac:dyDescent="0.25">
      <c r="A80" s="7" t="s">
        <v>131</v>
      </c>
      <c r="B80" s="20">
        <v>7949.67</v>
      </c>
      <c r="C80" s="20">
        <v>0</v>
      </c>
      <c r="D80" s="20">
        <v>0</v>
      </c>
      <c r="E80" s="20">
        <v>0</v>
      </c>
      <c r="F80" s="8">
        <f t="shared" si="12"/>
        <v>7949.67</v>
      </c>
      <c r="G80" s="135"/>
    </row>
    <row r="81" spans="1:7" s="13" customFormat="1" ht="24" customHeight="1" x14ac:dyDescent="0.25">
      <c r="A81" s="132" t="s">
        <v>172</v>
      </c>
      <c r="B81" s="131">
        <v>0</v>
      </c>
      <c r="C81" s="131">
        <v>15000</v>
      </c>
      <c r="D81" s="131">
        <v>0</v>
      </c>
      <c r="E81" s="131">
        <v>0</v>
      </c>
      <c r="F81" s="8">
        <f t="shared" si="12"/>
        <v>15000</v>
      </c>
      <c r="G81" s="135" t="s">
        <v>173</v>
      </c>
    </row>
    <row r="82" spans="1:7" s="6" customFormat="1" ht="15" customHeight="1" x14ac:dyDescent="0.25">
      <c r="A82" s="10" t="s">
        <v>47</v>
      </c>
      <c r="B82" s="11">
        <f>SUM(B59:B81)</f>
        <v>315478.32999999996</v>
      </c>
      <c r="C82" s="11">
        <f>SUM(C59:C81)</f>
        <v>291447.26</v>
      </c>
      <c r="D82" s="11">
        <f>SUM(D59:D81)</f>
        <v>245000</v>
      </c>
      <c r="E82" s="11">
        <f>SUM(E59:E81)</f>
        <v>27610</v>
      </c>
      <c r="F82" s="12">
        <f>SUM(F59:F81)</f>
        <v>879535.59000000008</v>
      </c>
      <c r="G82" s="135"/>
    </row>
    <row r="83" spans="1:7" s="13" customFormat="1" ht="18" customHeight="1" x14ac:dyDescent="0.25">
      <c r="A83" s="308" t="s">
        <v>133</v>
      </c>
      <c r="B83" s="309"/>
      <c r="C83" s="309"/>
      <c r="D83" s="309"/>
      <c r="E83" s="309"/>
      <c r="F83" s="310"/>
      <c r="G83" s="135"/>
    </row>
    <row r="84" spans="1:7" s="13" customFormat="1" ht="24" customHeight="1" x14ac:dyDescent="0.25">
      <c r="A84" s="21" t="s">
        <v>49</v>
      </c>
      <c r="B84" s="24">
        <v>10000</v>
      </c>
      <c r="C84" s="24">
        <v>85000</v>
      </c>
      <c r="D84" s="24">
        <v>10000</v>
      </c>
      <c r="E84" s="24">
        <v>0</v>
      </c>
      <c r="F84" s="8">
        <f t="shared" ref="F84:F93" si="13">B84+C84+D84+E84</f>
        <v>105000</v>
      </c>
      <c r="G84" s="135"/>
    </row>
    <row r="85" spans="1:7" s="13" customFormat="1" ht="24" customHeight="1" x14ac:dyDescent="0.25">
      <c r="A85" s="21" t="s">
        <v>50</v>
      </c>
      <c r="B85" s="20">
        <v>234</v>
      </c>
      <c r="C85" s="39">
        <f>119416+15000-234-41000</f>
        <v>93182</v>
      </c>
      <c r="D85" s="20">
        <v>50000</v>
      </c>
      <c r="E85" s="20">
        <v>0</v>
      </c>
      <c r="F85" s="8">
        <f t="shared" si="13"/>
        <v>143416</v>
      </c>
      <c r="G85" s="138" t="s">
        <v>174</v>
      </c>
    </row>
    <row r="86" spans="1:7" s="13" customFormat="1" ht="24" customHeight="1" x14ac:dyDescent="0.25">
      <c r="A86" s="21" t="s">
        <v>175</v>
      </c>
      <c r="B86" s="20">
        <f>2000-900</f>
        <v>1100</v>
      </c>
      <c r="C86" s="20">
        <f>22000+900</f>
        <v>22900</v>
      </c>
      <c r="D86" s="20">
        <v>0</v>
      </c>
      <c r="E86" s="20">
        <v>0</v>
      </c>
      <c r="F86" s="8">
        <f t="shared" si="13"/>
        <v>24000</v>
      </c>
      <c r="G86" s="135"/>
    </row>
    <row r="87" spans="1:7" s="13" customFormat="1" ht="24" customHeight="1" x14ac:dyDescent="0.25">
      <c r="A87" s="21" t="s">
        <v>52</v>
      </c>
      <c r="B87" s="20">
        <v>0</v>
      </c>
      <c r="C87" s="20">
        <v>0</v>
      </c>
      <c r="D87" s="20">
        <v>0</v>
      </c>
      <c r="E87" s="20">
        <v>0</v>
      </c>
      <c r="F87" s="8">
        <f t="shared" si="13"/>
        <v>0</v>
      </c>
      <c r="G87" s="135"/>
    </row>
    <row r="88" spans="1:7" s="13" customFormat="1" ht="24" customHeight="1" x14ac:dyDescent="0.25">
      <c r="A88" s="21" t="s">
        <v>97</v>
      </c>
      <c r="B88" s="20">
        <v>21700</v>
      </c>
      <c r="C88" s="20">
        <v>0</v>
      </c>
      <c r="D88" s="20">
        <v>0</v>
      </c>
      <c r="E88" s="20">
        <v>0</v>
      </c>
      <c r="F88" s="8">
        <f t="shared" si="13"/>
        <v>21700</v>
      </c>
      <c r="G88" s="135"/>
    </row>
    <row r="89" spans="1:7" s="13" customFormat="1" ht="24" customHeight="1" x14ac:dyDescent="0.25">
      <c r="A89" s="21" t="s">
        <v>176</v>
      </c>
      <c r="B89" s="24">
        <v>22241.64</v>
      </c>
      <c r="C89" s="24">
        <v>0</v>
      </c>
      <c r="D89" s="24">
        <v>0</v>
      </c>
      <c r="E89" s="24">
        <v>0</v>
      </c>
      <c r="F89" s="8">
        <f t="shared" si="13"/>
        <v>22241.64</v>
      </c>
      <c r="G89" s="135"/>
    </row>
    <row r="90" spans="1:7" s="13" customFormat="1" ht="24" customHeight="1" x14ac:dyDescent="0.25">
      <c r="A90" s="21" t="s">
        <v>141</v>
      </c>
      <c r="B90" s="20">
        <v>20898.27</v>
      </c>
      <c r="C90" s="20">
        <v>0</v>
      </c>
      <c r="D90" s="20">
        <v>0</v>
      </c>
      <c r="E90" s="20">
        <v>0</v>
      </c>
      <c r="F90" s="8">
        <f t="shared" si="13"/>
        <v>20898.27</v>
      </c>
      <c r="G90" s="135"/>
    </row>
    <row r="91" spans="1:7" s="13" customFormat="1" ht="24" customHeight="1" x14ac:dyDescent="0.25">
      <c r="A91" s="21" t="s">
        <v>143</v>
      </c>
      <c r="B91" s="20">
        <v>28727.64</v>
      </c>
      <c r="C91" s="20">
        <v>0</v>
      </c>
      <c r="D91" s="20">
        <v>0</v>
      </c>
      <c r="E91" s="20">
        <v>0</v>
      </c>
      <c r="F91" s="8">
        <f t="shared" si="13"/>
        <v>28727.64</v>
      </c>
      <c r="G91" s="135"/>
    </row>
    <row r="92" spans="1:7" s="13" customFormat="1" ht="24" customHeight="1" x14ac:dyDescent="0.25">
      <c r="A92" s="21" t="s">
        <v>145</v>
      </c>
      <c r="B92" s="20">
        <v>11437.7</v>
      </c>
      <c r="C92" s="20">
        <v>0</v>
      </c>
      <c r="D92" s="20">
        <v>0</v>
      </c>
      <c r="E92" s="20">
        <v>0</v>
      </c>
      <c r="F92" s="8">
        <f t="shared" si="13"/>
        <v>11437.7</v>
      </c>
      <c r="G92" s="135"/>
    </row>
    <row r="93" spans="1:7" s="13" customFormat="1" ht="24" customHeight="1" x14ac:dyDescent="0.25">
      <c r="A93" s="21" t="s">
        <v>147</v>
      </c>
      <c r="B93" s="20">
        <v>11567.78</v>
      </c>
      <c r="C93" s="20">
        <v>0</v>
      </c>
      <c r="D93" s="20">
        <v>0</v>
      </c>
      <c r="E93" s="20">
        <v>0</v>
      </c>
      <c r="F93" s="8">
        <f t="shared" si="13"/>
        <v>11567.78</v>
      </c>
      <c r="G93" s="135"/>
    </row>
    <row r="94" spans="1:7" s="6" customFormat="1" ht="15" customHeight="1" thickBot="1" x14ac:dyDescent="0.3">
      <c r="A94" s="10" t="s">
        <v>53</v>
      </c>
      <c r="B94" s="11">
        <f t="shared" ref="B94:E94" si="14">SUM(B84:B93)</f>
        <v>127907.03</v>
      </c>
      <c r="C94" s="11">
        <f t="shared" si="14"/>
        <v>201082</v>
      </c>
      <c r="D94" s="11">
        <f t="shared" si="14"/>
        <v>60000</v>
      </c>
      <c r="E94" s="11">
        <f t="shared" si="14"/>
        <v>0</v>
      </c>
      <c r="F94" s="12">
        <f>SUM(F84:F93)</f>
        <v>388989.03000000009</v>
      </c>
      <c r="G94" s="135"/>
    </row>
    <row r="95" spans="1:7" s="6" customFormat="1" ht="25.5" customHeight="1" thickBot="1" x14ac:dyDescent="0.3">
      <c r="A95" s="14" t="s">
        <v>54</v>
      </c>
      <c r="B95" s="15">
        <f t="shared" ref="B95:E95" si="15">B94+B82+B57+B48+B43</f>
        <v>523421.04999999993</v>
      </c>
      <c r="C95" s="15">
        <f t="shared" si="15"/>
        <v>1002810.26</v>
      </c>
      <c r="D95" s="15">
        <f t="shared" si="15"/>
        <v>943971</v>
      </c>
      <c r="E95" s="15">
        <f t="shared" si="15"/>
        <v>134869</v>
      </c>
      <c r="F95" s="16">
        <f>F94+F82+F57+F48+F43</f>
        <v>2605071.3100000005</v>
      </c>
      <c r="G95" s="135"/>
    </row>
    <row r="96" spans="1:7" s="6" customFormat="1" ht="13.5" thickBot="1" x14ac:dyDescent="0.3">
      <c r="A96" s="17"/>
      <c r="B96" s="94"/>
      <c r="C96" s="94"/>
      <c r="D96" s="94"/>
      <c r="E96" s="94"/>
      <c r="F96" s="119"/>
      <c r="G96" s="135"/>
    </row>
    <row r="97" spans="1:7" s="6" customFormat="1" ht="21" customHeight="1" thickBot="1" x14ac:dyDescent="0.3">
      <c r="A97" s="14" t="s">
        <v>55</v>
      </c>
      <c r="B97" s="15">
        <f t="shared" ref="B97:E97" si="16">SUM(B20,B33,B95)</f>
        <v>559737.04999999993</v>
      </c>
      <c r="C97" s="15">
        <f t="shared" si="16"/>
        <v>1252708.26</v>
      </c>
      <c r="D97" s="15">
        <f t="shared" si="16"/>
        <v>1052686</v>
      </c>
      <c r="E97" s="15">
        <f t="shared" si="16"/>
        <v>134869</v>
      </c>
      <c r="F97" s="128">
        <f>SUM(F20,F33,F95)</f>
        <v>3000000.3100000005</v>
      </c>
      <c r="G97" s="135"/>
    </row>
  </sheetData>
  <mergeCells count="16">
    <mergeCell ref="A11:F11"/>
    <mergeCell ref="A1:F1"/>
    <mergeCell ref="A3:A4"/>
    <mergeCell ref="B3:F3"/>
    <mergeCell ref="A6:F6"/>
    <mergeCell ref="A7:F7"/>
    <mergeCell ref="A44:F44"/>
    <mergeCell ref="A49:F49"/>
    <mergeCell ref="A58:F58"/>
    <mergeCell ref="A83:F83"/>
    <mergeCell ref="A17:F17"/>
    <mergeCell ref="A22:F22"/>
    <mergeCell ref="A23:F23"/>
    <mergeCell ref="A28:F28"/>
    <mergeCell ref="A35:F35"/>
    <mergeCell ref="A36:F36"/>
  </mergeCells>
  <conditionalFormatting sqref="B54:E56">
    <cfRule type="cellIs" dxfId="1007" priority="73" operator="lessThan">
      <formula>#REF!</formula>
    </cfRule>
    <cfRule type="cellIs" dxfId="1006" priority="74" operator="greaterThan">
      <formula>#REF!</formula>
    </cfRule>
  </conditionalFormatting>
  <conditionalFormatting sqref="B8:F10">
    <cfRule type="cellIs" dxfId="1005" priority="131" operator="lessThan">
      <formula>#REF!</formula>
    </cfRule>
    <cfRule type="cellIs" dxfId="1004" priority="132" operator="greaterThan">
      <formula>#REF!</formula>
    </cfRule>
  </conditionalFormatting>
  <conditionalFormatting sqref="B12:F16">
    <cfRule type="cellIs" dxfId="1003" priority="101" operator="lessThan">
      <formula>#REF!</formula>
    </cfRule>
    <cfRule type="cellIs" dxfId="1002" priority="102" operator="greaterThan">
      <formula>#REF!</formula>
    </cfRule>
  </conditionalFormatting>
  <conditionalFormatting sqref="B18:F19">
    <cfRule type="cellIs" dxfId="1001" priority="81" operator="lessThan">
      <formula>#REF!</formula>
    </cfRule>
    <cfRule type="cellIs" dxfId="1000" priority="82" operator="greaterThan">
      <formula>#REF!</formula>
    </cfRule>
  </conditionalFormatting>
  <conditionalFormatting sqref="B24:F27">
    <cfRule type="cellIs" dxfId="999" priority="247" operator="lessThan">
      <formula>#REF!</formula>
    </cfRule>
    <cfRule type="cellIs" dxfId="998" priority="248" operator="greaterThan">
      <formula>#REF!</formula>
    </cfRule>
  </conditionalFormatting>
  <conditionalFormatting sqref="B29:F32">
    <cfRule type="cellIs" dxfId="997" priority="227" operator="lessThan">
      <formula>#REF!</formula>
    </cfRule>
    <cfRule type="cellIs" dxfId="996" priority="228" operator="greaterThan">
      <formula>#REF!</formula>
    </cfRule>
  </conditionalFormatting>
  <conditionalFormatting sqref="B37:F43">
    <cfRule type="cellIs" dxfId="995" priority="3" operator="lessThan">
      <formula>#REF!</formula>
    </cfRule>
    <cfRule type="cellIs" dxfId="994" priority="4" operator="greaterThan">
      <formula>#REF!</formula>
    </cfRule>
  </conditionalFormatting>
  <conditionalFormatting sqref="B45:F48">
    <cfRule type="cellIs" dxfId="993" priority="187" operator="lessThan">
      <formula>#REF!</formula>
    </cfRule>
    <cfRule type="cellIs" dxfId="992" priority="188" operator="greaterThan">
      <formula>#REF!</formula>
    </cfRule>
  </conditionalFormatting>
  <conditionalFormatting sqref="B50:F53">
    <cfRule type="cellIs" dxfId="991" priority="141" operator="lessThan">
      <formula>#REF!</formula>
    </cfRule>
    <cfRule type="cellIs" dxfId="990" priority="142" operator="greaterThan">
      <formula>#REF!</formula>
    </cfRule>
  </conditionalFormatting>
  <conditionalFormatting sqref="B59:F82">
    <cfRule type="cellIs" dxfId="989" priority="1" operator="lessThan">
      <formula>#REF!</formula>
    </cfRule>
    <cfRule type="cellIs" dxfId="988" priority="2" operator="greaterThan">
      <formula>#REF!</formula>
    </cfRule>
  </conditionalFormatting>
  <conditionalFormatting sqref="B84:F93">
    <cfRule type="cellIs" dxfId="987" priority="5" operator="lessThan">
      <formula>#REF!</formula>
    </cfRule>
    <cfRule type="cellIs" dxfId="986" priority="6" operator="greaterThan">
      <formula>#REF!</formula>
    </cfRule>
  </conditionalFormatting>
  <conditionalFormatting sqref="F54:F57">
    <cfRule type="cellIs" dxfId="985" priority="69" operator="lessThan">
      <formula>#REF!</formula>
    </cfRule>
    <cfRule type="cellIs" dxfId="984" priority="70" operator="greaterThan">
      <formula>#REF!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8" firstPageNumber="8" fitToHeight="0" orientation="portrait" r:id="rId1"/>
  <headerFooter>
    <oddHeader>&amp;LPříloha č. 2</oddHeader>
    <oddFooter>&amp;C&amp;"Tahoma,Obyčejné"&amp;10&amp;P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0816-897D-4B5A-92D8-BA86F0F6F32C}">
  <sheetPr>
    <tabColor rgb="FF92D050"/>
    <pageSetUpPr fitToPage="1"/>
  </sheetPr>
  <dimension ref="A1:G88"/>
  <sheetViews>
    <sheetView zoomScaleNormal="100" zoomScaleSheetLayoutView="100" workbookViewId="0">
      <pane ySplit="5" topLeftCell="A9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5" width="12.7109375" style="141" customWidth="1"/>
    <col min="6" max="6" width="14.140625" style="142" customWidth="1"/>
    <col min="7" max="16384" width="9.140625" style="140"/>
  </cols>
  <sheetData>
    <row r="1" spans="1:6" ht="15" customHeight="1" x14ac:dyDescent="0.2">
      <c r="A1" s="140" t="s">
        <v>177</v>
      </c>
    </row>
    <row r="2" spans="1:6" s="1" customFormat="1" ht="23.25" customHeight="1" x14ac:dyDescent="0.25">
      <c r="A2" s="346" t="s">
        <v>98</v>
      </c>
      <c r="B2" s="347"/>
      <c r="C2" s="347"/>
      <c r="D2" s="347"/>
      <c r="E2" s="347"/>
      <c r="F2" s="347"/>
    </row>
    <row r="3" spans="1:6" ht="13.5" thickBot="1" x14ac:dyDescent="0.25">
      <c r="A3" s="143"/>
      <c r="B3" s="143"/>
      <c r="C3" s="143"/>
      <c r="D3" s="143"/>
      <c r="E3" s="143"/>
      <c r="F3" s="144" t="s">
        <v>1</v>
      </c>
    </row>
    <row r="4" spans="1:6" ht="24.6" customHeight="1" x14ac:dyDescent="0.2">
      <c r="A4" s="296" t="s">
        <v>2</v>
      </c>
      <c r="B4" s="349" t="s">
        <v>178</v>
      </c>
      <c r="C4" s="350"/>
      <c r="D4" s="350"/>
      <c r="E4" s="351"/>
      <c r="F4" s="352" t="s">
        <v>4</v>
      </c>
    </row>
    <row r="5" spans="1:6" ht="24.6" customHeight="1" thickBot="1" x14ac:dyDescent="0.25">
      <c r="A5" s="348"/>
      <c r="B5" s="126">
        <v>2021</v>
      </c>
      <c r="C5" s="145">
        <v>2022</v>
      </c>
      <c r="D5" s="126">
        <v>2023</v>
      </c>
      <c r="E5" s="127">
        <v>2024</v>
      </c>
      <c r="F5" s="353"/>
    </row>
    <row r="6" spans="1:6" s="146" customFormat="1" ht="21" customHeight="1" x14ac:dyDescent="0.25">
      <c r="A6" s="301" t="s">
        <v>70</v>
      </c>
      <c r="B6" s="341"/>
      <c r="C6" s="341"/>
      <c r="D6" s="341"/>
      <c r="E6" s="342"/>
      <c r="F6" s="343"/>
    </row>
    <row r="7" spans="1:6" s="147" customFormat="1" ht="18" customHeight="1" x14ac:dyDescent="0.25">
      <c r="A7" s="335" t="s">
        <v>6</v>
      </c>
      <c r="B7" s="336"/>
      <c r="C7" s="336"/>
      <c r="D7" s="336"/>
      <c r="E7" s="336"/>
      <c r="F7" s="337"/>
    </row>
    <row r="8" spans="1:6" s="151" customFormat="1" ht="15" customHeight="1" x14ac:dyDescent="0.25">
      <c r="A8" s="148" t="s">
        <v>7</v>
      </c>
      <c r="B8" s="149">
        <v>28791</v>
      </c>
      <c r="C8" s="149">
        <v>68375</v>
      </c>
      <c r="D8" s="149">
        <v>60950</v>
      </c>
      <c r="E8" s="149">
        <v>0</v>
      </c>
      <c r="F8" s="150">
        <f>B8+C8+D8+E8</f>
        <v>158116</v>
      </c>
    </row>
    <row r="9" spans="1:6" s="151" customFormat="1" ht="24" customHeight="1" x14ac:dyDescent="0.25">
      <c r="A9" s="148" t="s">
        <v>8</v>
      </c>
      <c r="B9" s="149">
        <v>7525</v>
      </c>
      <c r="C9" s="149">
        <v>22984</v>
      </c>
      <c r="D9" s="149">
        <v>19995</v>
      </c>
      <c r="E9" s="149">
        <v>0</v>
      </c>
      <c r="F9" s="150">
        <f>B9+C9+D9+E9</f>
        <v>50504</v>
      </c>
    </row>
    <row r="10" spans="1:6" s="146" customFormat="1" ht="15" customHeight="1" x14ac:dyDescent="0.25">
      <c r="A10" s="10" t="s">
        <v>9</v>
      </c>
      <c r="B10" s="11">
        <f t="shared" ref="B10:E10" si="0">SUM(B8:B9)</f>
        <v>36316</v>
      </c>
      <c r="C10" s="11">
        <f t="shared" si="0"/>
        <v>91359</v>
      </c>
      <c r="D10" s="11">
        <f t="shared" si="0"/>
        <v>80945</v>
      </c>
      <c r="E10" s="11">
        <f t="shared" si="0"/>
        <v>0</v>
      </c>
      <c r="F10" s="12">
        <f>SUM(F8:F9)</f>
        <v>208620</v>
      </c>
    </row>
    <row r="11" spans="1:6" s="147" customFormat="1" ht="18" customHeight="1" x14ac:dyDescent="0.25">
      <c r="A11" s="338" t="s">
        <v>32</v>
      </c>
      <c r="B11" s="339"/>
      <c r="C11" s="339"/>
      <c r="D11" s="339"/>
      <c r="E11" s="339"/>
      <c r="F11" s="340"/>
    </row>
    <row r="12" spans="1:6" s="151" customFormat="1" ht="15" customHeight="1" x14ac:dyDescent="0.25">
      <c r="A12" s="148" t="s">
        <v>83</v>
      </c>
      <c r="B12" s="149">
        <v>0</v>
      </c>
      <c r="C12" s="149">
        <v>26810</v>
      </c>
      <c r="D12" s="149">
        <v>0</v>
      </c>
      <c r="E12" s="149">
        <v>0</v>
      </c>
      <c r="F12" s="150">
        <f>B12+C12+D12+E12</f>
        <v>26810</v>
      </c>
    </row>
    <row r="13" spans="1:6" s="151" customFormat="1" ht="15" customHeight="1" x14ac:dyDescent="0.25">
      <c r="A13" s="148" t="s">
        <v>86</v>
      </c>
      <c r="B13" s="149">
        <v>0</v>
      </c>
      <c r="C13" s="149">
        <v>10963</v>
      </c>
      <c r="D13" s="149">
        <v>0</v>
      </c>
      <c r="E13" s="149">
        <v>0</v>
      </c>
      <c r="F13" s="150">
        <f>B13+C13+D13+E13</f>
        <v>10963</v>
      </c>
    </row>
    <row r="14" spans="1:6" s="151" customFormat="1" ht="15" customHeight="1" x14ac:dyDescent="0.25">
      <c r="A14" s="148" t="s">
        <v>84</v>
      </c>
      <c r="B14" s="149">
        <v>0</v>
      </c>
      <c r="C14" s="149">
        <v>21262</v>
      </c>
      <c r="D14" s="149">
        <v>0</v>
      </c>
      <c r="E14" s="149">
        <v>0</v>
      </c>
      <c r="F14" s="150">
        <f>B14+C14+D14+E14</f>
        <v>21262</v>
      </c>
    </row>
    <row r="15" spans="1:6" s="151" customFormat="1" ht="15" customHeight="1" x14ac:dyDescent="0.25">
      <c r="A15" s="148" t="s">
        <v>85</v>
      </c>
      <c r="B15" s="149">
        <v>0</v>
      </c>
      <c r="C15" s="149">
        <v>50842</v>
      </c>
      <c r="D15" s="149">
        <v>0</v>
      </c>
      <c r="E15" s="149">
        <v>0</v>
      </c>
      <c r="F15" s="150">
        <f>B15+C15+D15+E15</f>
        <v>50842</v>
      </c>
    </row>
    <row r="16" spans="1:6" s="146" customFormat="1" ht="15" customHeight="1" x14ac:dyDescent="0.25">
      <c r="A16" s="10" t="s">
        <v>47</v>
      </c>
      <c r="B16" s="11">
        <f>SUM(B12:B15)</f>
        <v>0</v>
      </c>
      <c r="C16" s="11">
        <f>SUM(C12:C15)</f>
        <v>109877</v>
      </c>
      <c r="D16" s="11">
        <f>SUM(D12:D15)</f>
        <v>0</v>
      </c>
      <c r="E16" s="11">
        <f>SUM(E12:E15)</f>
        <v>0</v>
      </c>
      <c r="F16" s="12">
        <f>SUM(F12:F15)</f>
        <v>109877</v>
      </c>
    </row>
    <row r="17" spans="1:6" s="147" customFormat="1" ht="18" customHeight="1" x14ac:dyDescent="0.25">
      <c r="A17" s="335" t="s">
        <v>10</v>
      </c>
      <c r="B17" s="336"/>
      <c r="C17" s="336"/>
      <c r="D17" s="336"/>
      <c r="E17" s="336"/>
      <c r="F17" s="337"/>
    </row>
    <row r="18" spans="1:6" s="151" customFormat="1" ht="15" customHeight="1" x14ac:dyDescent="0.25">
      <c r="A18" s="148" t="s">
        <v>11</v>
      </c>
      <c r="B18" s="149">
        <v>0</v>
      </c>
      <c r="C18" s="149">
        <v>8443</v>
      </c>
      <c r="D18" s="149">
        <v>27770</v>
      </c>
      <c r="E18" s="149">
        <v>0</v>
      </c>
      <c r="F18" s="150">
        <f>B18+C18+D18+E18</f>
        <v>36213</v>
      </c>
    </row>
    <row r="19" spans="1:6" s="146" customFormat="1" ht="15" customHeight="1" thickBot="1" x14ac:dyDescent="0.3">
      <c r="A19" s="10" t="s">
        <v>13</v>
      </c>
      <c r="B19" s="11">
        <f t="shared" ref="B19:F19" si="1">SUM(B18:B18)</f>
        <v>0</v>
      </c>
      <c r="C19" s="11">
        <f t="shared" si="1"/>
        <v>8443</v>
      </c>
      <c r="D19" s="11">
        <f t="shared" si="1"/>
        <v>27770</v>
      </c>
      <c r="E19" s="11">
        <f t="shared" si="1"/>
        <v>0</v>
      </c>
      <c r="F19" s="12">
        <f t="shared" si="1"/>
        <v>36213</v>
      </c>
    </row>
    <row r="20" spans="1:6" s="146" customFormat="1" ht="25.5" customHeight="1" thickBot="1" x14ac:dyDescent="0.3">
      <c r="A20" s="14" t="s">
        <v>71</v>
      </c>
      <c r="B20" s="15">
        <f>B10+B16+B19</f>
        <v>36316</v>
      </c>
      <c r="C20" s="15">
        <f>C10+C16+C19</f>
        <v>209679</v>
      </c>
      <c r="D20" s="15">
        <f>D10+D16+D19</f>
        <v>108715</v>
      </c>
      <c r="E20" s="15">
        <f>E10+E16+E19</f>
        <v>0</v>
      </c>
      <c r="F20" s="16">
        <f>F10+F16+F19</f>
        <v>354710</v>
      </c>
    </row>
    <row r="21" spans="1:6" s="146" customFormat="1" ht="12" customHeight="1" thickBot="1" x14ac:dyDescent="0.3">
      <c r="A21" s="17"/>
      <c r="B21" s="94"/>
      <c r="C21" s="94"/>
      <c r="D21" s="94"/>
      <c r="E21" s="94"/>
      <c r="F21" s="95"/>
    </row>
    <row r="22" spans="1:6" s="146" customFormat="1" ht="21" customHeight="1" x14ac:dyDescent="0.25">
      <c r="A22" s="301" t="s">
        <v>72</v>
      </c>
      <c r="B22" s="341"/>
      <c r="C22" s="341"/>
      <c r="D22" s="341"/>
      <c r="E22" s="342"/>
      <c r="F22" s="343"/>
    </row>
    <row r="23" spans="1:6" s="147" customFormat="1" ht="18" customHeight="1" x14ac:dyDescent="0.25">
      <c r="A23" s="335" t="s">
        <v>48</v>
      </c>
      <c r="B23" s="336"/>
      <c r="C23" s="336"/>
      <c r="D23" s="336"/>
      <c r="E23" s="336"/>
      <c r="F23" s="337"/>
    </row>
    <row r="24" spans="1:6" s="151" customFormat="1" ht="24" customHeight="1" x14ac:dyDescent="0.25">
      <c r="A24" s="148" t="s">
        <v>179</v>
      </c>
      <c r="B24" s="149">
        <v>0</v>
      </c>
      <c r="C24" s="149">
        <v>40219</v>
      </c>
      <c r="D24" s="149">
        <v>0</v>
      </c>
      <c r="E24" s="149">
        <v>0</v>
      </c>
      <c r="F24" s="150">
        <f>B24+C24+D24+E24</f>
        <v>40219</v>
      </c>
    </row>
    <row r="25" spans="1:6" s="146" customFormat="1" ht="15" customHeight="1" thickBot="1" x14ac:dyDescent="0.3">
      <c r="A25" s="10" t="s">
        <v>53</v>
      </c>
      <c r="B25" s="11">
        <f>SUM(B24:B24)</f>
        <v>0</v>
      </c>
      <c r="C25" s="11">
        <f>SUM(C24:C24)</f>
        <v>40219</v>
      </c>
      <c r="D25" s="11">
        <f>SUM(D24:D24)</f>
        <v>0</v>
      </c>
      <c r="E25" s="11">
        <f>SUM(E24:E24)</f>
        <v>0</v>
      </c>
      <c r="F25" s="12">
        <f>SUM(F24:F24)</f>
        <v>40219</v>
      </c>
    </row>
    <row r="26" spans="1:6" s="146" customFormat="1" ht="36" customHeight="1" thickBot="1" x14ac:dyDescent="0.3">
      <c r="A26" s="14" t="s">
        <v>79</v>
      </c>
      <c r="B26" s="15">
        <f>B25</f>
        <v>0</v>
      </c>
      <c r="C26" s="15">
        <f t="shared" ref="C26:F26" si="2">C25</f>
        <v>40219</v>
      </c>
      <c r="D26" s="15">
        <f t="shared" si="2"/>
        <v>0</v>
      </c>
      <c r="E26" s="15">
        <f t="shared" si="2"/>
        <v>0</v>
      </c>
      <c r="F26" s="16">
        <f t="shared" si="2"/>
        <v>40219</v>
      </c>
    </row>
    <row r="27" spans="1:6" s="146" customFormat="1" ht="12" customHeight="1" thickBot="1" x14ac:dyDescent="0.3">
      <c r="A27" s="17"/>
      <c r="B27" s="94"/>
      <c r="C27" s="94"/>
      <c r="D27" s="94"/>
      <c r="E27" s="94"/>
      <c r="F27" s="95"/>
    </row>
    <row r="28" spans="1:6" s="146" customFormat="1" ht="21" customHeight="1" x14ac:dyDescent="0.25">
      <c r="A28" s="301" t="s">
        <v>15</v>
      </c>
      <c r="B28" s="341"/>
      <c r="C28" s="341"/>
      <c r="D28" s="341"/>
      <c r="E28" s="344"/>
      <c r="F28" s="345"/>
    </row>
    <row r="29" spans="1:6" s="147" customFormat="1" ht="18" customHeight="1" x14ac:dyDescent="0.25">
      <c r="A29" s="338" t="s">
        <v>16</v>
      </c>
      <c r="B29" s="339"/>
      <c r="C29" s="339"/>
      <c r="D29" s="339"/>
      <c r="E29" s="339"/>
      <c r="F29" s="340"/>
    </row>
    <row r="30" spans="1:6" s="151" customFormat="1" ht="24" customHeight="1" x14ac:dyDescent="0.25">
      <c r="A30" s="148" t="s">
        <v>162</v>
      </c>
      <c r="B30" s="20">
        <v>0</v>
      </c>
      <c r="C30" s="20">
        <v>40000</v>
      </c>
      <c r="D30" s="20">
        <v>52000</v>
      </c>
      <c r="E30" s="20">
        <v>0</v>
      </c>
      <c r="F30" s="150">
        <f t="shared" ref="F30:F32" si="3">B30+C30+D30+E30</f>
        <v>92000</v>
      </c>
    </row>
    <row r="31" spans="1:6" s="151" customFormat="1" ht="24" customHeight="1" x14ac:dyDescent="0.25">
      <c r="A31" s="148" t="s">
        <v>164</v>
      </c>
      <c r="B31" s="20">
        <v>0</v>
      </c>
      <c r="C31" s="20">
        <v>41000</v>
      </c>
      <c r="D31" s="20">
        <v>0</v>
      </c>
      <c r="E31" s="20">
        <v>0</v>
      </c>
      <c r="F31" s="150">
        <f t="shared" si="3"/>
        <v>41000</v>
      </c>
    </row>
    <row r="32" spans="1:6" s="151" customFormat="1" ht="24" customHeight="1" x14ac:dyDescent="0.25">
      <c r="A32" s="148" t="s">
        <v>165</v>
      </c>
      <c r="B32" s="20">
        <v>0</v>
      </c>
      <c r="C32" s="20">
        <v>60000</v>
      </c>
      <c r="D32" s="20">
        <v>0</v>
      </c>
      <c r="E32" s="20">
        <v>0</v>
      </c>
      <c r="F32" s="150">
        <f t="shared" si="3"/>
        <v>60000</v>
      </c>
    </row>
    <row r="33" spans="1:6" s="151" customFormat="1" ht="15" customHeight="1" x14ac:dyDescent="0.25">
      <c r="A33" s="148" t="s">
        <v>180</v>
      </c>
      <c r="B33" s="20">
        <v>0</v>
      </c>
      <c r="C33" s="20">
        <v>300</v>
      </c>
      <c r="D33" s="20">
        <v>75000</v>
      </c>
      <c r="E33" s="20">
        <v>15000</v>
      </c>
      <c r="F33" s="150">
        <f>B33+C33+D33+E33</f>
        <v>90300</v>
      </c>
    </row>
    <row r="34" spans="1:6" s="151" customFormat="1" ht="15" customHeight="1" x14ac:dyDescent="0.25">
      <c r="A34" s="148" t="s">
        <v>17</v>
      </c>
      <c r="B34" s="20">
        <v>807</v>
      </c>
      <c r="C34" s="20">
        <f>130993-30993-70000</f>
        <v>30000</v>
      </c>
      <c r="D34" s="20">
        <f>277178+30993-52000</f>
        <v>256171</v>
      </c>
      <c r="E34" s="20">
        <v>0</v>
      </c>
      <c r="F34" s="150">
        <f>B34+C34+D34+E34</f>
        <v>286978</v>
      </c>
    </row>
    <row r="35" spans="1:6" s="151" customFormat="1" ht="24" customHeight="1" x14ac:dyDescent="0.25">
      <c r="A35" s="148" t="s">
        <v>92</v>
      </c>
      <c r="B35" s="20">
        <f>27298-9000</f>
        <v>18298</v>
      </c>
      <c r="C35" s="20">
        <v>13000</v>
      </c>
      <c r="D35" s="20">
        <v>29000</v>
      </c>
      <c r="E35" s="20">
        <v>2702</v>
      </c>
      <c r="F35" s="150">
        <f>B35+C35+D35+E35</f>
        <v>63000</v>
      </c>
    </row>
    <row r="36" spans="1:6" s="146" customFormat="1" ht="15" customHeight="1" x14ac:dyDescent="0.25">
      <c r="A36" s="10" t="s">
        <v>19</v>
      </c>
      <c r="B36" s="11">
        <f>SUM(B30:B35)</f>
        <v>19105</v>
      </c>
      <c r="C36" s="11">
        <f t="shared" ref="C36:F36" si="4">SUM(C30:C35)</f>
        <v>184300</v>
      </c>
      <c r="D36" s="11">
        <f t="shared" si="4"/>
        <v>412171</v>
      </c>
      <c r="E36" s="11">
        <f t="shared" si="4"/>
        <v>17702</v>
      </c>
      <c r="F36" s="12">
        <f t="shared" si="4"/>
        <v>633278</v>
      </c>
    </row>
    <row r="37" spans="1:6" s="147" customFormat="1" ht="18" customHeight="1" x14ac:dyDescent="0.25">
      <c r="A37" s="332" t="s">
        <v>20</v>
      </c>
      <c r="B37" s="333"/>
      <c r="C37" s="333"/>
      <c r="D37" s="333"/>
      <c r="E37" s="333"/>
      <c r="F37" s="334"/>
    </row>
    <row r="38" spans="1:6" s="151" customFormat="1" ht="24" customHeight="1" x14ac:dyDescent="0.25">
      <c r="A38" s="21" t="s">
        <v>24</v>
      </c>
      <c r="B38" s="20">
        <v>375.1</v>
      </c>
      <c r="C38" s="20">
        <f>50000-30000</f>
        <v>20000</v>
      </c>
      <c r="D38" s="20">
        <v>55000</v>
      </c>
      <c r="E38" s="20">
        <f>37000-12443</f>
        <v>24557</v>
      </c>
      <c r="F38" s="150">
        <f>SUM(B38+C38+D38+E38)</f>
        <v>99932.1</v>
      </c>
    </row>
    <row r="39" spans="1:6" s="151" customFormat="1" ht="24" customHeight="1" x14ac:dyDescent="0.25">
      <c r="A39" s="21" t="s">
        <v>23</v>
      </c>
      <c r="B39" s="20">
        <v>615</v>
      </c>
      <c r="C39" s="20">
        <v>40400</v>
      </c>
      <c r="D39" s="20">
        <v>10000</v>
      </c>
      <c r="E39" s="20">
        <v>0</v>
      </c>
      <c r="F39" s="150">
        <f>SUM(B39+C39+D39+E39)</f>
        <v>51015</v>
      </c>
    </row>
    <row r="40" spans="1:6" s="151" customFormat="1" ht="24" customHeight="1" x14ac:dyDescent="0.25">
      <c r="A40" s="21" t="s">
        <v>25</v>
      </c>
      <c r="B40" s="20">
        <v>0</v>
      </c>
      <c r="C40" s="20">
        <v>0</v>
      </c>
      <c r="D40" s="20">
        <v>30000</v>
      </c>
      <c r="E40" s="20">
        <v>65000</v>
      </c>
      <c r="F40" s="150">
        <f>SUM(B40+C40+D40+E40)</f>
        <v>95000</v>
      </c>
    </row>
    <row r="41" spans="1:6" s="146" customFormat="1" ht="15" customHeight="1" x14ac:dyDescent="0.25">
      <c r="A41" s="10" t="s">
        <v>27</v>
      </c>
      <c r="B41" s="11">
        <f>SUM(B38:B40)</f>
        <v>990.1</v>
      </c>
      <c r="C41" s="11">
        <f t="shared" ref="C41:F41" si="5">SUM(C38:C40)</f>
        <v>60400</v>
      </c>
      <c r="D41" s="11">
        <f t="shared" si="5"/>
        <v>95000</v>
      </c>
      <c r="E41" s="11">
        <f t="shared" si="5"/>
        <v>89557</v>
      </c>
      <c r="F41" s="12">
        <f t="shared" si="5"/>
        <v>245947.1</v>
      </c>
    </row>
    <row r="42" spans="1:6" s="147" customFormat="1" ht="18" customHeight="1" x14ac:dyDescent="0.25">
      <c r="A42" s="335" t="s">
        <v>6</v>
      </c>
      <c r="B42" s="336"/>
      <c r="C42" s="336"/>
      <c r="D42" s="336"/>
      <c r="E42" s="336"/>
      <c r="F42" s="337"/>
    </row>
    <row r="43" spans="1:6" s="151" customFormat="1" ht="24" customHeight="1" x14ac:dyDescent="0.25">
      <c r="A43" s="148" t="s">
        <v>110</v>
      </c>
      <c r="B43" s="20">
        <v>11814</v>
      </c>
      <c r="C43" s="20">
        <v>0</v>
      </c>
      <c r="D43" s="20">
        <v>0</v>
      </c>
      <c r="E43" s="20">
        <v>0</v>
      </c>
      <c r="F43" s="150">
        <f>B43+C43+D43+E43</f>
        <v>11814</v>
      </c>
    </row>
    <row r="44" spans="1:6" s="151" customFormat="1" ht="24" customHeight="1" x14ac:dyDescent="0.25">
      <c r="A44" s="23" t="s">
        <v>111</v>
      </c>
      <c r="B44" s="20">
        <v>6329.89</v>
      </c>
      <c r="C44" s="20">
        <v>0</v>
      </c>
      <c r="D44" s="20">
        <v>0</v>
      </c>
      <c r="E44" s="20">
        <v>0</v>
      </c>
      <c r="F44" s="150">
        <f>B44+C44+D44+E44</f>
        <v>6329.89</v>
      </c>
    </row>
    <row r="45" spans="1:6" s="151" customFormat="1" ht="24" customHeight="1" x14ac:dyDescent="0.25">
      <c r="A45" s="23" t="s">
        <v>113</v>
      </c>
      <c r="B45" s="20">
        <v>13185.7</v>
      </c>
      <c r="C45" s="20">
        <v>0</v>
      </c>
      <c r="D45" s="20">
        <v>0</v>
      </c>
      <c r="E45" s="20">
        <v>0</v>
      </c>
      <c r="F45" s="150">
        <f>B45+C45+D45+E45</f>
        <v>13185.7</v>
      </c>
    </row>
    <row r="46" spans="1:6" s="151" customFormat="1" ht="24" customHeight="1" x14ac:dyDescent="0.25">
      <c r="A46" s="23" t="s">
        <v>31</v>
      </c>
      <c r="B46" s="20">
        <v>10650</v>
      </c>
      <c r="C46" s="20">
        <f>5700-2850</f>
        <v>2850</v>
      </c>
      <c r="D46" s="20">
        <v>0</v>
      </c>
      <c r="E46" s="20">
        <v>0</v>
      </c>
      <c r="F46" s="150">
        <f>B46+C46+D46+E46</f>
        <v>13500</v>
      </c>
    </row>
    <row r="47" spans="1:6" s="151" customFormat="1" ht="24" customHeight="1" x14ac:dyDescent="0.25">
      <c r="A47" s="148" t="s">
        <v>29</v>
      </c>
      <c r="B47" s="20">
        <v>0</v>
      </c>
      <c r="C47" s="20">
        <f>82731+15000</f>
        <v>97731</v>
      </c>
      <c r="D47" s="20">
        <v>19761</v>
      </c>
      <c r="E47" s="20">
        <v>0</v>
      </c>
      <c r="F47" s="150">
        <f t="shared" ref="F47:F48" si="6">B47+C47+D47+E47</f>
        <v>117492</v>
      </c>
    </row>
    <row r="48" spans="1:6" s="151" customFormat="1" ht="15" customHeight="1" x14ac:dyDescent="0.25">
      <c r="A48" s="23" t="s">
        <v>30</v>
      </c>
      <c r="B48" s="20">
        <v>17961</v>
      </c>
      <c r="C48" s="20">
        <v>165000</v>
      </c>
      <c r="D48" s="20">
        <v>112039</v>
      </c>
      <c r="E48" s="20">
        <v>0</v>
      </c>
      <c r="F48" s="150">
        <f t="shared" si="6"/>
        <v>295000</v>
      </c>
    </row>
    <row r="49" spans="1:6" s="146" customFormat="1" ht="15" customHeight="1" x14ac:dyDescent="0.25">
      <c r="A49" s="10" t="s">
        <v>9</v>
      </c>
      <c r="B49" s="11">
        <f>SUM(B43:B48)</f>
        <v>59940.59</v>
      </c>
      <c r="C49" s="11">
        <f t="shared" ref="C49:F49" si="7">SUM(C43:C48)</f>
        <v>265581</v>
      </c>
      <c r="D49" s="11">
        <f t="shared" si="7"/>
        <v>131800</v>
      </c>
      <c r="E49" s="11">
        <f t="shared" si="7"/>
        <v>0</v>
      </c>
      <c r="F49" s="12">
        <f t="shared" si="7"/>
        <v>457321.58999999997</v>
      </c>
    </row>
    <row r="50" spans="1:6" s="147" customFormat="1" ht="18" customHeight="1" x14ac:dyDescent="0.25">
      <c r="A50" s="335" t="s">
        <v>32</v>
      </c>
      <c r="B50" s="336"/>
      <c r="C50" s="336"/>
      <c r="D50" s="336"/>
      <c r="E50" s="336"/>
      <c r="F50" s="337"/>
    </row>
    <row r="51" spans="1:6" s="147" customFormat="1" ht="24" customHeight="1" x14ac:dyDescent="0.25">
      <c r="A51" s="148" t="s">
        <v>33</v>
      </c>
      <c r="B51" s="20">
        <v>45000</v>
      </c>
      <c r="C51" s="20">
        <v>0</v>
      </c>
      <c r="D51" s="20">
        <v>0</v>
      </c>
      <c r="E51" s="20">
        <v>0</v>
      </c>
      <c r="F51" s="150">
        <f t="shared" ref="F51:F73" si="8">B51+C51+D51+E51</f>
        <v>45000</v>
      </c>
    </row>
    <row r="52" spans="1:6" s="147" customFormat="1" ht="24" customHeight="1" x14ac:dyDescent="0.25">
      <c r="A52" s="23" t="s">
        <v>39</v>
      </c>
      <c r="B52" s="20">
        <f>51000+2656</f>
        <v>53656</v>
      </c>
      <c r="C52" s="20">
        <v>0</v>
      </c>
      <c r="D52" s="20">
        <v>0</v>
      </c>
      <c r="E52" s="20">
        <v>0</v>
      </c>
      <c r="F52" s="150">
        <f t="shared" si="8"/>
        <v>53656</v>
      </c>
    </row>
    <row r="53" spans="1:6" s="147" customFormat="1" ht="24" customHeight="1" x14ac:dyDescent="0.25">
      <c r="A53" s="23" t="s">
        <v>43</v>
      </c>
      <c r="B53" s="20">
        <v>30678.01</v>
      </c>
      <c r="C53" s="20">
        <v>0</v>
      </c>
      <c r="D53" s="20">
        <v>0</v>
      </c>
      <c r="E53" s="20">
        <v>0</v>
      </c>
      <c r="F53" s="150">
        <f t="shared" si="8"/>
        <v>30678.01</v>
      </c>
    </row>
    <row r="54" spans="1:6" s="147" customFormat="1" ht="24" customHeight="1" x14ac:dyDescent="0.25">
      <c r="A54" s="148" t="s">
        <v>44</v>
      </c>
      <c r="B54" s="20">
        <v>40000</v>
      </c>
      <c r="C54" s="20">
        <v>0</v>
      </c>
      <c r="D54" s="20">
        <v>0</v>
      </c>
      <c r="E54" s="20">
        <v>0</v>
      </c>
      <c r="F54" s="150">
        <f t="shared" si="8"/>
        <v>40000</v>
      </c>
    </row>
    <row r="55" spans="1:6" s="147" customFormat="1" ht="24" customHeight="1" x14ac:dyDescent="0.25">
      <c r="A55" s="148" t="s">
        <v>46</v>
      </c>
      <c r="B55" s="20">
        <v>6200</v>
      </c>
      <c r="C55" s="20">
        <v>0</v>
      </c>
      <c r="D55" s="20">
        <v>0</v>
      </c>
      <c r="E55" s="20">
        <v>0</v>
      </c>
      <c r="F55" s="150">
        <f t="shared" si="8"/>
        <v>6200</v>
      </c>
    </row>
    <row r="56" spans="1:6" s="147" customFormat="1" ht="24" customHeight="1" x14ac:dyDescent="0.25">
      <c r="A56" s="23" t="s">
        <v>89</v>
      </c>
      <c r="B56" s="20">
        <v>9120</v>
      </c>
      <c r="C56" s="20">
        <v>0</v>
      </c>
      <c r="D56" s="20">
        <v>0</v>
      </c>
      <c r="E56" s="20">
        <v>0</v>
      </c>
      <c r="F56" s="150">
        <f t="shared" si="8"/>
        <v>9120</v>
      </c>
    </row>
    <row r="57" spans="1:6" s="147" customFormat="1" ht="24" customHeight="1" x14ac:dyDescent="0.25">
      <c r="A57" s="148" t="s">
        <v>131</v>
      </c>
      <c r="B57" s="20">
        <v>7949.67</v>
      </c>
      <c r="C57" s="20">
        <v>0</v>
      </c>
      <c r="D57" s="20">
        <v>0</v>
      </c>
      <c r="E57" s="20">
        <v>0</v>
      </c>
      <c r="F57" s="150">
        <f t="shared" si="8"/>
        <v>7949.67</v>
      </c>
    </row>
    <row r="58" spans="1:6" s="147" customFormat="1" ht="24" customHeight="1" x14ac:dyDescent="0.25">
      <c r="A58" s="148" t="s">
        <v>172</v>
      </c>
      <c r="B58" s="20">
        <v>0</v>
      </c>
      <c r="C58" s="20">
        <v>15000</v>
      </c>
      <c r="D58" s="20">
        <v>0</v>
      </c>
      <c r="E58" s="20">
        <v>0</v>
      </c>
      <c r="F58" s="150">
        <f t="shared" si="8"/>
        <v>15000</v>
      </c>
    </row>
    <row r="59" spans="1:6" s="147" customFormat="1" ht="24" customHeight="1" x14ac:dyDescent="0.25">
      <c r="A59" s="23" t="s">
        <v>34</v>
      </c>
      <c r="B59" s="20">
        <v>0</v>
      </c>
      <c r="C59" s="20">
        <v>500</v>
      </c>
      <c r="D59" s="20">
        <v>30000</v>
      </c>
      <c r="E59" s="20">
        <v>0</v>
      </c>
      <c r="F59" s="150">
        <f t="shared" si="8"/>
        <v>30500</v>
      </c>
    </row>
    <row r="60" spans="1:6" s="147" customFormat="1" ht="24" customHeight="1" x14ac:dyDescent="0.25">
      <c r="A60" s="148" t="s">
        <v>42</v>
      </c>
      <c r="B60" s="20">
        <v>57200</v>
      </c>
      <c r="C60" s="20">
        <v>500</v>
      </c>
      <c r="D60" s="20">
        <v>0</v>
      </c>
      <c r="E60" s="20">
        <v>0</v>
      </c>
      <c r="F60" s="150">
        <f>B60+C60+D60+E60</f>
        <v>57700</v>
      </c>
    </row>
    <row r="61" spans="1:6" s="147" customFormat="1" ht="24" customHeight="1" x14ac:dyDescent="0.25">
      <c r="A61" s="23" t="s">
        <v>45</v>
      </c>
      <c r="B61" s="20">
        <v>500</v>
      </c>
      <c r="C61" s="20">
        <f>25639-15639</f>
        <v>10000</v>
      </c>
      <c r="D61" s="20">
        <f>49361+15639</f>
        <v>65000</v>
      </c>
      <c r="E61" s="20">
        <v>0</v>
      </c>
      <c r="F61" s="150">
        <f>B61+C61+D61+E61</f>
        <v>75500</v>
      </c>
    </row>
    <row r="62" spans="1:6" s="147" customFormat="1" ht="33.950000000000003" customHeight="1" x14ac:dyDescent="0.25">
      <c r="A62" s="23" t="s">
        <v>36</v>
      </c>
      <c r="B62" s="24">
        <v>31098</v>
      </c>
      <c r="C62" s="20">
        <v>15000</v>
      </c>
      <c r="D62" s="20">
        <v>0</v>
      </c>
      <c r="E62" s="20">
        <v>0</v>
      </c>
      <c r="F62" s="150">
        <f t="shared" si="8"/>
        <v>46098</v>
      </c>
    </row>
    <row r="63" spans="1:6" s="147" customFormat="1" ht="33.950000000000003" customHeight="1" x14ac:dyDescent="0.25">
      <c r="A63" s="23" t="s">
        <v>81</v>
      </c>
      <c r="B63" s="24">
        <v>0</v>
      </c>
      <c r="C63" s="20">
        <v>11420</v>
      </c>
      <c r="D63" s="20">
        <v>0</v>
      </c>
      <c r="E63" s="20">
        <v>0</v>
      </c>
      <c r="F63" s="150">
        <f t="shared" si="8"/>
        <v>11420</v>
      </c>
    </row>
    <row r="64" spans="1:6" s="147" customFormat="1" ht="24" customHeight="1" x14ac:dyDescent="0.25">
      <c r="A64" s="148" t="s">
        <v>38</v>
      </c>
      <c r="B64" s="20">
        <v>10571</v>
      </c>
      <c r="C64" s="20">
        <v>113428</v>
      </c>
      <c r="D64" s="20">
        <v>52000</v>
      </c>
      <c r="E64" s="20">
        <v>0</v>
      </c>
      <c r="F64" s="150">
        <f t="shared" si="8"/>
        <v>175999</v>
      </c>
    </row>
    <row r="65" spans="1:7" s="147" customFormat="1" ht="33.950000000000003" customHeight="1" x14ac:dyDescent="0.25">
      <c r="A65" s="23" t="s">
        <v>41</v>
      </c>
      <c r="B65" s="24">
        <v>0</v>
      </c>
      <c r="C65" s="20">
        <f>20250-5250</f>
        <v>15000</v>
      </c>
      <c r="D65" s="20">
        <f>17750+5250</f>
        <v>23000</v>
      </c>
      <c r="E65" s="20">
        <v>0</v>
      </c>
      <c r="F65" s="150">
        <f t="shared" si="8"/>
        <v>38000</v>
      </c>
    </row>
    <row r="66" spans="1:7" s="147" customFormat="1" ht="24" customHeight="1" x14ac:dyDescent="0.25">
      <c r="A66" s="148" t="s">
        <v>80</v>
      </c>
      <c r="B66" s="20">
        <v>350</v>
      </c>
      <c r="C66" s="20">
        <v>14000</v>
      </c>
      <c r="D66" s="20">
        <v>4500</v>
      </c>
      <c r="E66" s="20">
        <v>0</v>
      </c>
      <c r="F66" s="150">
        <f t="shared" si="8"/>
        <v>18850</v>
      </c>
    </row>
    <row r="67" spans="1:7" s="147" customFormat="1" ht="24" customHeight="1" x14ac:dyDescent="0.25">
      <c r="A67" s="148" t="s">
        <v>68</v>
      </c>
      <c r="B67" s="20">
        <v>0</v>
      </c>
      <c r="C67" s="20">
        <v>2090</v>
      </c>
      <c r="D67" s="20">
        <v>26000</v>
      </c>
      <c r="E67" s="20">
        <v>27610</v>
      </c>
      <c r="F67" s="150">
        <f t="shared" si="8"/>
        <v>55700</v>
      </c>
    </row>
    <row r="68" spans="1:7" s="147" customFormat="1" ht="24" customHeight="1" x14ac:dyDescent="0.25">
      <c r="A68" s="148" t="s">
        <v>40</v>
      </c>
      <c r="B68" s="20">
        <v>0</v>
      </c>
      <c r="C68" s="20">
        <v>25000</v>
      </c>
      <c r="D68" s="20">
        <v>0</v>
      </c>
      <c r="E68" s="20">
        <v>0</v>
      </c>
      <c r="F68" s="150">
        <f t="shared" si="8"/>
        <v>25000</v>
      </c>
    </row>
    <row r="69" spans="1:7" s="147" customFormat="1" ht="33.950000000000003" customHeight="1" x14ac:dyDescent="0.25">
      <c r="A69" s="23" t="s">
        <v>37</v>
      </c>
      <c r="B69" s="24">
        <v>0</v>
      </c>
      <c r="C69" s="20">
        <f>5500+3600</f>
        <v>9100</v>
      </c>
      <c r="D69" s="20">
        <v>0</v>
      </c>
      <c r="E69" s="20">
        <v>0</v>
      </c>
      <c r="F69" s="150">
        <f t="shared" si="8"/>
        <v>9100</v>
      </c>
    </row>
    <row r="70" spans="1:7" s="147" customFormat="1" ht="24" customHeight="1" x14ac:dyDescent="0.25">
      <c r="A70" s="23" t="s">
        <v>69</v>
      </c>
      <c r="B70" s="20">
        <v>28.6</v>
      </c>
      <c r="C70" s="20">
        <v>11036</v>
      </c>
      <c r="D70" s="20">
        <v>0</v>
      </c>
      <c r="E70" s="20">
        <v>0</v>
      </c>
      <c r="F70" s="150">
        <f t="shared" si="8"/>
        <v>11064.6</v>
      </c>
    </row>
    <row r="71" spans="1:7" s="151" customFormat="1" ht="15" customHeight="1" x14ac:dyDescent="0.25">
      <c r="A71" s="21" t="s">
        <v>88</v>
      </c>
      <c r="B71" s="152">
        <v>0</v>
      </c>
      <c r="C71" s="152">
        <f>50000-10000</f>
        <v>40000</v>
      </c>
      <c r="D71" s="152">
        <f>20500+10000</f>
        <v>30500</v>
      </c>
      <c r="E71" s="152">
        <v>0</v>
      </c>
      <c r="F71" s="150">
        <f t="shared" si="8"/>
        <v>70500</v>
      </c>
      <c r="G71" s="147"/>
    </row>
    <row r="72" spans="1:7" s="147" customFormat="1" ht="24" customHeight="1" x14ac:dyDescent="0.25">
      <c r="A72" s="148" t="s">
        <v>90</v>
      </c>
      <c r="B72" s="20">
        <v>127.05</v>
      </c>
      <c r="C72" s="20">
        <v>7373</v>
      </c>
      <c r="D72" s="20">
        <v>14000</v>
      </c>
      <c r="E72" s="20">
        <v>0</v>
      </c>
      <c r="F72" s="150">
        <f t="shared" si="8"/>
        <v>21500.05</v>
      </c>
    </row>
    <row r="73" spans="1:7" s="147" customFormat="1" ht="24" customHeight="1" x14ac:dyDescent="0.25">
      <c r="A73" s="23" t="s">
        <v>91</v>
      </c>
      <c r="B73" s="20">
        <v>23000</v>
      </c>
      <c r="C73" s="20">
        <v>2000</v>
      </c>
      <c r="D73" s="20">
        <v>0</v>
      </c>
      <c r="E73" s="20">
        <v>0</v>
      </c>
      <c r="F73" s="150">
        <f t="shared" si="8"/>
        <v>25000</v>
      </c>
    </row>
    <row r="74" spans="1:7" s="146" customFormat="1" ht="15" customHeight="1" x14ac:dyDescent="0.25">
      <c r="A74" s="10" t="s">
        <v>47</v>
      </c>
      <c r="B74" s="11">
        <f>SUM(B51:B73)</f>
        <v>315478.33</v>
      </c>
      <c r="C74" s="11">
        <f t="shared" ref="C74:F74" si="9">SUM(C51:C73)</f>
        <v>291447</v>
      </c>
      <c r="D74" s="11">
        <f t="shared" si="9"/>
        <v>245000</v>
      </c>
      <c r="E74" s="11">
        <f t="shared" si="9"/>
        <v>27610</v>
      </c>
      <c r="F74" s="12">
        <f t="shared" si="9"/>
        <v>879535.33000000007</v>
      </c>
    </row>
    <row r="75" spans="1:7" s="147" customFormat="1" ht="18" customHeight="1" x14ac:dyDescent="0.25">
      <c r="A75" s="332" t="s">
        <v>48</v>
      </c>
      <c r="B75" s="333"/>
      <c r="C75" s="333"/>
      <c r="D75" s="333"/>
      <c r="E75" s="333"/>
      <c r="F75" s="334"/>
    </row>
    <row r="76" spans="1:7" s="147" customFormat="1" ht="24" customHeight="1" x14ac:dyDescent="0.25">
      <c r="A76" s="21" t="s">
        <v>97</v>
      </c>
      <c r="B76" s="20">
        <v>21700</v>
      </c>
      <c r="C76" s="20">
        <v>0</v>
      </c>
      <c r="D76" s="20">
        <v>0</v>
      </c>
      <c r="E76" s="20">
        <v>0</v>
      </c>
      <c r="F76" s="150">
        <f t="shared" ref="F76:F84" si="10">B76+C76+D76+E76</f>
        <v>21700</v>
      </c>
    </row>
    <row r="77" spans="1:7" s="147" customFormat="1" ht="24" customHeight="1" x14ac:dyDescent="0.25">
      <c r="A77" s="21" t="s">
        <v>176</v>
      </c>
      <c r="B77" s="24">
        <v>22241.64</v>
      </c>
      <c r="C77" s="24">
        <v>0</v>
      </c>
      <c r="D77" s="24">
        <v>0</v>
      </c>
      <c r="E77" s="24">
        <v>0</v>
      </c>
      <c r="F77" s="150">
        <f t="shared" si="10"/>
        <v>22241.64</v>
      </c>
    </row>
    <row r="78" spans="1:7" s="147" customFormat="1" ht="24" customHeight="1" x14ac:dyDescent="0.25">
      <c r="A78" s="21" t="s">
        <v>141</v>
      </c>
      <c r="B78" s="20">
        <v>20898.27</v>
      </c>
      <c r="C78" s="20">
        <v>0</v>
      </c>
      <c r="D78" s="20">
        <v>0</v>
      </c>
      <c r="E78" s="20">
        <v>0</v>
      </c>
      <c r="F78" s="150">
        <f t="shared" si="10"/>
        <v>20898.27</v>
      </c>
    </row>
    <row r="79" spans="1:7" s="147" customFormat="1" ht="24" customHeight="1" x14ac:dyDescent="0.25">
      <c r="A79" s="21" t="s">
        <v>143</v>
      </c>
      <c r="B79" s="20">
        <v>28727.64</v>
      </c>
      <c r="C79" s="20">
        <v>0</v>
      </c>
      <c r="D79" s="20">
        <v>0</v>
      </c>
      <c r="E79" s="20">
        <v>0</v>
      </c>
      <c r="F79" s="150">
        <f t="shared" si="10"/>
        <v>28727.64</v>
      </c>
    </row>
    <row r="80" spans="1:7" s="147" customFormat="1" ht="24" customHeight="1" x14ac:dyDescent="0.25">
      <c r="A80" s="21" t="s">
        <v>145</v>
      </c>
      <c r="B80" s="20">
        <v>11437.7</v>
      </c>
      <c r="C80" s="20">
        <v>0</v>
      </c>
      <c r="D80" s="20">
        <v>0</v>
      </c>
      <c r="E80" s="20">
        <v>0</v>
      </c>
      <c r="F80" s="150">
        <f t="shared" si="10"/>
        <v>11437.7</v>
      </c>
    </row>
    <row r="81" spans="1:6" s="147" customFormat="1" ht="24" customHeight="1" x14ac:dyDescent="0.25">
      <c r="A81" s="21" t="s">
        <v>147</v>
      </c>
      <c r="B81" s="20">
        <v>11567.78</v>
      </c>
      <c r="C81" s="20">
        <v>0</v>
      </c>
      <c r="D81" s="20">
        <v>0</v>
      </c>
      <c r="E81" s="20">
        <v>0</v>
      </c>
      <c r="F81" s="150">
        <f t="shared" si="10"/>
        <v>11567.78</v>
      </c>
    </row>
    <row r="82" spans="1:6" s="147" customFormat="1" ht="15" customHeight="1" x14ac:dyDescent="0.25">
      <c r="A82" s="21" t="s">
        <v>175</v>
      </c>
      <c r="B82" s="20">
        <f>2000-900</f>
        <v>1100</v>
      </c>
      <c r="C82" s="20">
        <f>22000+900</f>
        <v>22900</v>
      </c>
      <c r="D82" s="20">
        <v>0</v>
      </c>
      <c r="E82" s="20">
        <v>0</v>
      </c>
      <c r="F82" s="150">
        <f t="shared" si="10"/>
        <v>24000</v>
      </c>
    </row>
    <row r="83" spans="1:6" s="147" customFormat="1" ht="24" customHeight="1" x14ac:dyDescent="0.25">
      <c r="A83" s="21" t="s">
        <v>50</v>
      </c>
      <c r="B83" s="20">
        <v>234</v>
      </c>
      <c r="C83" s="20">
        <f>119416+15000-234-41000</f>
        <v>93182</v>
      </c>
      <c r="D83" s="20">
        <v>50000</v>
      </c>
      <c r="E83" s="20">
        <v>0</v>
      </c>
      <c r="F83" s="150">
        <f t="shared" si="10"/>
        <v>143416</v>
      </c>
    </row>
    <row r="84" spans="1:6" s="147" customFormat="1" ht="24" customHeight="1" x14ac:dyDescent="0.25">
      <c r="A84" s="21" t="s">
        <v>49</v>
      </c>
      <c r="B84" s="24">
        <v>10000</v>
      </c>
      <c r="C84" s="24">
        <v>85000</v>
      </c>
      <c r="D84" s="24">
        <v>10000</v>
      </c>
      <c r="E84" s="24">
        <v>0</v>
      </c>
      <c r="F84" s="150">
        <f t="shared" si="10"/>
        <v>105000</v>
      </c>
    </row>
    <row r="85" spans="1:6" s="146" customFormat="1" ht="15" customHeight="1" thickBot="1" x14ac:dyDescent="0.3">
      <c r="A85" s="10" t="s">
        <v>53</v>
      </c>
      <c r="B85" s="11">
        <f>SUM(B76:B84)</f>
        <v>127907.03</v>
      </c>
      <c r="C85" s="11">
        <f t="shared" ref="C85:F85" si="11">SUM(C76:C84)</f>
        <v>201082</v>
      </c>
      <c r="D85" s="11">
        <f t="shared" si="11"/>
        <v>60000</v>
      </c>
      <c r="E85" s="11">
        <f t="shared" si="11"/>
        <v>0</v>
      </c>
      <c r="F85" s="12">
        <f t="shared" si="11"/>
        <v>388989.03</v>
      </c>
    </row>
    <row r="86" spans="1:6" s="146" customFormat="1" ht="25.5" customHeight="1" thickBot="1" x14ac:dyDescent="0.3">
      <c r="A86" s="14" t="s">
        <v>54</v>
      </c>
      <c r="B86" s="15">
        <f>B85+B74+B49+B41+B36</f>
        <v>523421.04999999993</v>
      </c>
      <c r="C86" s="15">
        <f>C85+C74+C49+C41+C36</f>
        <v>1002810</v>
      </c>
      <c r="D86" s="15">
        <f>D85+D74+D49+D41+D36</f>
        <v>943971</v>
      </c>
      <c r="E86" s="15">
        <f>E85+E74+E49+E41+E36</f>
        <v>134869</v>
      </c>
      <c r="F86" s="16">
        <f>F85+F74+F49+F41+F36</f>
        <v>2605071.0500000003</v>
      </c>
    </row>
    <row r="87" spans="1:6" s="146" customFormat="1" ht="13.5" thickBot="1" x14ac:dyDescent="0.3">
      <c r="A87" s="17"/>
      <c r="B87" s="94"/>
      <c r="C87" s="94"/>
      <c r="D87" s="94"/>
      <c r="E87" s="94"/>
      <c r="F87" s="119"/>
    </row>
    <row r="88" spans="1:6" s="146" customFormat="1" ht="21" customHeight="1" thickBot="1" x14ac:dyDescent="0.3">
      <c r="A88" s="14" t="s">
        <v>55</v>
      </c>
      <c r="B88" s="15">
        <f>SUM(B20,B26,B86)</f>
        <v>559737.04999999993</v>
      </c>
      <c r="C88" s="15">
        <f>SUM(C20,C26,C86)</f>
        <v>1252708</v>
      </c>
      <c r="D88" s="15">
        <f>SUM(D20,D26,D86)</f>
        <v>1052686</v>
      </c>
      <c r="E88" s="15">
        <f>SUM(E20,E26,E86)</f>
        <v>134869</v>
      </c>
      <c r="F88" s="16">
        <f>SUM(F20,F26,F86)</f>
        <v>3000000.0500000003</v>
      </c>
    </row>
  </sheetData>
  <mergeCells count="16">
    <mergeCell ref="A7:F7"/>
    <mergeCell ref="A2:F2"/>
    <mergeCell ref="A4:A5"/>
    <mergeCell ref="B4:E4"/>
    <mergeCell ref="F4:F5"/>
    <mergeCell ref="A6:F6"/>
    <mergeCell ref="A37:F37"/>
    <mergeCell ref="A42:F42"/>
    <mergeCell ref="A50:F50"/>
    <mergeCell ref="A75:F75"/>
    <mergeCell ref="A11:F11"/>
    <mergeCell ref="A17:F17"/>
    <mergeCell ref="A22:F22"/>
    <mergeCell ref="A23:F23"/>
    <mergeCell ref="A28:F28"/>
    <mergeCell ref="A29:F29"/>
  </mergeCells>
  <conditionalFormatting sqref="B62:B69">
    <cfRule type="cellIs" dxfId="983" priority="41" operator="lessThan">
      <formula>#REF!</formula>
    </cfRule>
    <cfRule type="cellIs" dxfId="982" priority="42" operator="greaterThan">
      <formula>#REF!</formula>
    </cfRule>
  </conditionalFormatting>
  <conditionalFormatting sqref="B65:B68">
    <cfRule type="cellIs" dxfId="981" priority="33" operator="lessThan">
      <formula>#REF!</formula>
    </cfRule>
    <cfRule type="cellIs" dxfId="980" priority="34" operator="greaterThan">
      <formula>#REF!</formula>
    </cfRule>
  </conditionalFormatting>
  <conditionalFormatting sqref="B82:B83">
    <cfRule type="cellIs" dxfId="979" priority="135" operator="lessThan">
      <formula>#REF!</formula>
    </cfRule>
    <cfRule type="cellIs" dxfId="978" priority="136" operator="greaterThan">
      <formula>#REF!</formula>
    </cfRule>
  </conditionalFormatting>
  <conditionalFormatting sqref="B83:B84">
    <cfRule type="cellIs" dxfId="977" priority="139" operator="lessThan">
      <formula>#REF!</formula>
    </cfRule>
    <cfRule type="cellIs" dxfId="976" priority="140" operator="greaterThan">
      <formula>#REF!</formula>
    </cfRule>
  </conditionalFormatting>
  <conditionalFormatting sqref="B51:E56 B57:F58 B59:E60 B61:F61 B64:F68">
    <cfRule type="cellIs" dxfId="975" priority="188" operator="greaterThan">
      <formula>#REF!</formula>
    </cfRule>
  </conditionalFormatting>
  <conditionalFormatting sqref="B8:F10">
    <cfRule type="cellIs" dxfId="974" priority="111" operator="lessThan">
      <formula>#REF!</formula>
    </cfRule>
    <cfRule type="cellIs" dxfId="973" priority="112" operator="greaterThan">
      <formula>#REF!</formula>
    </cfRule>
  </conditionalFormatting>
  <conditionalFormatting sqref="B12:F13">
    <cfRule type="cellIs" dxfId="972" priority="101" operator="lessThan">
      <formula>#REF!</formula>
    </cfRule>
    <cfRule type="cellIs" dxfId="971" priority="102" operator="greaterThan">
      <formula>#REF!</formula>
    </cfRule>
  </conditionalFormatting>
  <conditionalFormatting sqref="B13:F16">
    <cfRule type="cellIs" dxfId="970" priority="81" operator="lessThan">
      <formula>#REF!</formula>
    </cfRule>
    <cfRule type="cellIs" dxfId="969" priority="82" operator="greaterThan">
      <formula>#REF!</formula>
    </cfRule>
  </conditionalFormatting>
  <conditionalFormatting sqref="B18:F19">
    <cfRule type="cellIs" dxfId="968" priority="61" operator="lessThan">
      <formula>#REF!</formula>
    </cfRule>
    <cfRule type="cellIs" dxfId="967" priority="62" operator="greaterThan">
      <formula>#REF!</formula>
    </cfRule>
  </conditionalFormatting>
  <conditionalFormatting sqref="B24:F25">
    <cfRule type="cellIs" dxfId="966" priority="169" operator="lessThan">
      <formula>#REF!</formula>
    </cfRule>
    <cfRule type="cellIs" dxfId="965" priority="170" operator="greaterThan">
      <formula>#REF!</formula>
    </cfRule>
  </conditionalFormatting>
  <conditionalFormatting sqref="B30:F36">
    <cfRule type="cellIs" dxfId="964" priority="163" operator="lessThan">
      <formula>#REF!</formula>
    </cfRule>
    <cfRule type="cellIs" dxfId="963" priority="164" operator="greaterThan">
      <formula>#REF!</formula>
    </cfRule>
  </conditionalFormatting>
  <conditionalFormatting sqref="B38:F41">
    <cfRule type="cellIs" dxfId="962" priority="153" operator="lessThan">
      <formula>#REF!</formula>
    </cfRule>
    <cfRule type="cellIs" dxfId="961" priority="154" operator="greaterThan">
      <formula>#REF!</formula>
    </cfRule>
  </conditionalFormatting>
  <conditionalFormatting sqref="B43:F48">
    <cfRule type="cellIs" dxfId="960" priority="49" operator="lessThan">
      <formula>#REF!</formula>
    </cfRule>
    <cfRule type="cellIs" dxfId="959" priority="50" operator="greaterThan">
      <formula>#REF!</formula>
    </cfRule>
  </conditionalFormatting>
  <conditionalFormatting sqref="B57:F58 B64:F68 B61:F61 B51:E56 B59:E60">
    <cfRule type="cellIs" dxfId="958" priority="187" operator="lessThan">
      <formula>#REF!</formula>
    </cfRule>
  </conditionalFormatting>
  <conditionalFormatting sqref="B63:F68">
    <cfRule type="cellIs" dxfId="957" priority="21" operator="lessThan">
      <formula>#REF!</formula>
    </cfRule>
    <cfRule type="cellIs" dxfId="956" priority="22" operator="greaterThan">
      <formula>#REF!</formula>
    </cfRule>
  </conditionalFormatting>
  <conditionalFormatting sqref="B70:F74">
    <cfRule type="cellIs" dxfId="955" priority="1" operator="lessThan">
      <formula>#REF!</formula>
    </cfRule>
    <cfRule type="cellIs" dxfId="954" priority="2" operator="greaterThan">
      <formula>#REF!</formula>
    </cfRule>
  </conditionalFormatting>
  <conditionalFormatting sqref="B76:F83">
    <cfRule type="cellIs" dxfId="953" priority="3" operator="lessThan">
      <formula>#REF!</formula>
    </cfRule>
    <cfRule type="cellIs" dxfId="952" priority="4" operator="greaterThan">
      <formula>#REF!</formula>
    </cfRule>
  </conditionalFormatting>
  <conditionalFormatting sqref="C62:E68 C82:E84">
    <cfRule type="cellIs" dxfId="951" priority="189" operator="lessThan">
      <formula>#REF!</formula>
    </cfRule>
    <cfRule type="cellIs" dxfId="950" priority="190" operator="greaterThan">
      <formula>#REF!</formula>
    </cfRule>
  </conditionalFormatting>
  <conditionalFormatting sqref="C65:E69">
    <cfRule type="cellIs" dxfId="949" priority="35" operator="lessThan">
      <formula>#REF!</formula>
    </cfRule>
    <cfRule type="cellIs" dxfId="948" priority="36" operator="greaterThan">
      <formula>#REF!</formula>
    </cfRule>
  </conditionalFormatting>
  <conditionalFormatting sqref="F51:F60">
    <cfRule type="cellIs" dxfId="947" priority="45" operator="lessThan">
      <formula>#REF!</formula>
    </cfRule>
    <cfRule type="cellIs" dxfId="946" priority="46" operator="greaterThan">
      <formula>#REF!</formula>
    </cfRule>
  </conditionalFormatting>
  <conditionalFormatting sqref="F52:F58 F60:F61">
    <cfRule type="cellIs" dxfId="945" priority="27" operator="lessThan">
      <formula>#REF!</formula>
    </cfRule>
    <cfRule type="cellIs" dxfId="944" priority="28" operator="greaterThan">
      <formula>#REF!</formula>
    </cfRule>
  </conditionalFormatting>
  <conditionalFormatting sqref="F56:F58">
    <cfRule type="cellIs" dxfId="943" priority="11" operator="lessThan">
      <formula>#REF!</formula>
    </cfRule>
    <cfRule type="cellIs" dxfId="942" priority="12" operator="greaterThan">
      <formula>#REF!</formula>
    </cfRule>
  </conditionalFormatting>
  <conditionalFormatting sqref="F62:F69">
    <cfRule type="cellIs" dxfId="941" priority="39" operator="lessThan">
      <formula>#REF!</formula>
    </cfRule>
    <cfRule type="cellIs" dxfId="940" priority="40" operator="greaterThan">
      <formula>#REF!</formula>
    </cfRule>
  </conditionalFormatting>
  <conditionalFormatting sqref="F65:F68">
    <cfRule type="cellIs" dxfId="939" priority="31" operator="lessThan">
      <formula>#REF!</formula>
    </cfRule>
    <cfRule type="cellIs" dxfId="938" priority="32" operator="greaterThan">
      <formula>#REF!</formula>
    </cfRule>
  </conditionalFormatting>
  <conditionalFormatting sqref="F66:F68">
    <cfRule type="cellIs" dxfId="937" priority="29" operator="lessThan">
      <formula>#REF!</formula>
    </cfRule>
    <cfRule type="cellIs" dxfId="936" priority="30" operator="greaterThan">
      <formula>#REF!</formula>
    </cfRule>
  </conditionalFormatting>
  <conditionalFormatting sqref="F82:F83">
    <cfRule type="cellIs" dxfId="935" priority="133" operator="lessThan">
      <formula>#REF!</formula>
    </cfRule>
    <cfRule type="cellIs" dxfId="934" priority="134" operator="greaterThan">
      <formula>#REF!</formula>
    </cfRule>
  </conditionalFormatting>
  <conditionalFormatting sqref="F83:F84">
    <cfRule type="cellIs" dxfId="933" priority="137" operator="lessThan">
      <formula>#REF!</formula>
    </cfRule>
    <cfRule type="cellIs" dxfId="932" priority="138" operator="greaterThan">
      <formula>#REF!</formula>
    </cfRule>
  </conditionalFormatting>
  <printOptions horizontalCentered="1"/>
  <pageMargins left="0.39370078740157483" right="0.39370078740157483" top="0.59055118110236227" bottom="0.39370078740157483" header="0.31496062992125984" footer="0.11811023622047245"/>
  <pageSetup paperSize="9" scale="82" firstPageNumber="38" fitToHeight="0" orientation="portrait" useFirstPageNumber="1" r:id="rId1"/>
  <headerFooter>
    <oddHeader>&amp;L&amp;"Tahoma,Kurzíva"Střednědobý výhled rozpočtu kraje na léta 2023 - 2025&amp;R&amp;"Tahoma,Kurzíva"Přehled akcí financovaných z úvěru České spořitelny, a. s.</oddHeader>
    <oddFooter>&amp;C&amp;"Tahoma,Obyčejné"&amp;P</oddFooter>
  </headerFooter>
  <rowBreaks count="2" manualBreakCount="2">
    <brk id="47" max="5" man="1"/>
    <brk id="83" max="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018E-3683-4E50-A5D4-C0AA5D1D17FE}">
  <sheetPr>
    <tabColor rgb="FF92D050"/>
    <pageSetUpPr fitToPage="1"/>
  </sheetPr>
  <dimension ref="A1:I88"/>
  <sheetViews>
    <sheetView zoomScaleNormal="100" zoomScaleSheetLayoutView="100" workbookViewId="0">
      <pane ySplit="5" topLeftCell="A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6" width="12.7109375" style="141" customWidth="1"/>
    <col min="7" max="7" width="14.140625" style="141" customWidth="1"/>
    <col min="8" max="8" width="9.140625" style="140"/>
    <col min="9" max="9" width="9.140625" style="140" customWidth="1"/>
    <col min="10" max="10" width="9.140625" style="140"/>
    <col min="11" max="12" width="9.140625" style="140" customWidth="1"/>
    <col min="13" max="16384" width="9.140625" style="140"/>
  </cols>
  <sheetData>
    <row r="1" spans="1:9" ht="15" customHeight="1" x14ac:dyDescent="0.2">
      <c r="A1" s="140" t="s">
        <v>177</v>
      </c>
    </row>
    <row r="2" spans="1:9" s="1" customFormat="1" ht="23.25" customHeight="1" x14ac:dyDescent="0.25">
      <c r="A2" s="346" t="s">
        <v>98</v>
      </c>
      <c r="B2" s="346"/>
      <c r="C2" s="347"/>
      <c r="D2" s="347"/>
      <c r="E2" s="347"/>
      <c r="F2" s="347"/>
      <c r="G2" s="347"/>
    </row>
    <row r="3" spans="1:9" ht="13.5" thickBot="1" x14ac:dyDescent="0.25">
      <c r="A3" s="143"/>
      <c r="C3" s="143"/>
      <c r="D3" s="143"/>
      <c r="E3" s="143"/>
      <c r="F3" s="143"/>
      <c r="G3" s="144" t="s">
        <v>1</v>
      </c>
      <c r="I3" s="142"/>
    </row>
    <row r="4" spans="1:9" ht="24.6" customHeight="1" x14ac:dyDescent="0.2">
      <c r="A4" s="296" t="s">
        <v>2</v>
      </c>
      <c r="B4" s="154"/>
      <c r="C4" s="349" t="s">
        <v>178</v>
      </c>
      <c r="D4" s="350"/>
      <c r="E4" s="350"/>
      <c r="F4" s="351"/>
      <c r="G4" s="352" t="s">
        <v>4</v>
      </c>
    </row>
    <row r="5" spans="1:9" ht="24.6" customHeight="1" thickBot="1" x14ac:dyDescent="0.25">
      <c r="A5" s="348"/>
      <c r="B5" s="155" t="s">
        <v>181</v>
      </c>
      <c r="C5" s="126">
        <v>2021</v>
      </c>
      <c r="D5" s="145">
        <v>2022</v>
      </c>
      <c r="E5" s="126">
        <v>2023</v>
      </c>
      <c r="F5" s="127">
        <v>2024</v>
      </c>
      <c r="G5" s="353"/>
    </row>
    <row r="6" spans="1:9" s="146" customFormat="1" ht="21" customHeight="1" x14ac:dyDescent="0.25">
      <c r="A6" s="301" t="s">
        <v>70</v>
      </c>
      <c r="B6" s="356"/>
      <c r="C6" s="341"/>
      <c r="D6" s="341"/>
      <c r="E6" s="341"/>
      <c r="F6" s="342"/>
      <c r="G6" s="343"/>
    </row>
    <row r="7" spans="1:9" s="147" customFormat="1" ht="18" customHeight="1" x14ac:dyDescent="0.25">
      <c r="A7" s="335" t="s">
        <v>6</v>
      </c>
      <c r="B7" s="354"/>
      <c r="C7" s="336"/>
      <c r="D7" s="336"/>
      <c r="E7" s="336"/>
      <c r="F7" s="336"/>
      <c r="G7" s="337"/>
    </row>
    <row r="8" spans="1:9" s="151" customFormat="1" ht="15" customHeight="1" x14ac:dyDescent="0.25">
      <c r="A8" s="148" t="s">
        <v>7</v>
      </c>
      <c r="B8" s="156">
        <v>3402</v>
      </c>
      <c r="C8" s="149">
        <v>5576.1411900000003</v>
      </c>
      <c r="D8" s="149">
        <v>91590.16</v>
      </c>
      <c r="E8" s="149">
        <v>60950</v>
      </c>
      <c r="F8" s="149">
        <v>0</v>
      </c>
      <c r="G8" s="150">
        <f>C8+D8+E8+F8</f>
        <v>158116.30119</v>
      </c>
    </row>
    <row r="9" spans="1:9" s="151" customFormat="1" ht="24" customHeight="1" x14ac:dyDescent="0.25">
      <c r="A9" s="148" t="s">
        <v>8</v>
      </c>
      <c r="B9" s="156" t="s">
        <v>182</v>
      </c>
      <c r="C9" s="149">
        <v>3541.7672600000001</v>
      </c>
      <c r="D9" s="149">
        <v>26967.23</v>
      </c>
      <c r="E9" s="149">
        <v>19995</v>
      </c>
      <c r="F9" s="149">
        <v>0</v>
      </c>
      <c r="G9" s="150">
        <f>C9+D9+E9+F9</f>
        <v>50503.997260000004</v>
      </c>
    </row>
    <row r="10" spans="1:9" s="146" customFormat="1" ht="15" customHeight="1" x14ac:dyDescent="0.25">
      <c r="A10" s="10" t="s">
        <v>9</v>
      </c>
      <c r="B10" s="157"/>
      <c r="C10" s="11">
        <f t="shared" ref="C10:F10" si="0">SUM(C8:C9)</f>
        <v>9117.9084500000008</v>
      </c>
      <c r="D10" s="11">
        <f t="shared" si="0"/>
        <v>118557.39</v>
      </c>
      <c r="E10" s="11">
        <f t="shared" si="0"/>
        <v>80945</v>
      </c>
      <c r="F10" s="11">
        <f t="shared" si="0"/>
        <v>0</v>
      </c>
      <c r="G10" s="12">
        <f>SUM(G8:G9)</f>
        <v>208620.29845</v>
      </c>
    </row>
    <row r="11" spans="1:9" s="147" customFormat="1" ht="18" customHeight="1" x14ac:dyDescent="0.25">
      <c r="A11" s="338" t="s">
        <v>32</v>
      </c>
      <c r="B11" s="355"/>
      <c r="C11" s="339"/>
      <c r="D11" s="339"/>
      <c r="E11" s="339"/>
      <c r="F11" s="339"/>
      <c r="G11" s="340"/>
    </row>
    <row r="12" spans="1:9" s="151" customFormat="1" ht="15" customHeight="1" x14ac:dyDescent="0.25">
      <c r="A12" s="148" t="s">
        <v>83</v>
      </c>
      <c r="B12" s="156" t="s">
        <v>183</v>
      </c>
      <c r="C12" s="149">
        <v>0</v>
      </c>
      <c r="D12" s="149">
        <v>26810</v>
      </c>
      <c r="E12" s="149">
        <v>0</v>
      </c>
      <c r="F12" s="149">
        <v>0</v>
      </c>
      <c r="G12" s="150">
        <f>C12+D12+E12+F12</f>
        <v>26810</v>
      </c>
    </row>
    <row r="13" spans="1:9" s="151" customFormat="1" ht="15" customHeight="1" x14ac:dyDescent="0.25">
      <c r="A13" s="148" t="s">
        <v>86</v>
      </c>
      <c r="B13" s="156" t="s">
        <v>184</v>
      </c>
      <c r="C13" s="149">
        <v>0</v>
      </c>
      <c r="D13" s="149">
        <v>10963</v>
      </c>
      <c r="E13" s="149">
        <v>0</v>
      </c>
      <c r="F13" s="149">
        <v>0</v>
      </c>
      <c r="G13" s="150">
        <f>C13+D13+E13+F13</f>
        <v>10963</v>
      </c>
    </row>
    <row r="14" spans="1:9" s="151" customFormat="1" ht="15" customHeight="1" x14ac:dyDescent="0.25">
      <c r="A14" s="148" t="s">
        <v>84</v>
      </c>
      <c r="B14" s="156" t="s">
        <v>185</v>
      </c>
      <c r="C14" s="149">
        <v>0</v>
      </c>
      <c r="D14" s="149">
        <v>21262</v>
      </c>
      <c r="E14" s="149">
        <v>0</v>
      </c>
      <c r="F14" s="149">
        <v>0</v>
      </c>
      <c r="G14" s="150">
        <f>C14+D14+E14+F14</f>
        <v>21262</v>
      </c>
    </row>
    <row r="15" spans="1:9" s="151" customFormat="1" ht="15" customHeight="1" x14ac:dyDescent="0.25">
      <c r="A15" s="148" t="s">
        <v>85</v>
      </c>
      <c r="B15" s="156" t="s">
        <v>186</v>
      </c>
      <c r="C15" s="149">
        <v>0</v>
      </c>
      <c r="D15" s="149">
        <v>50842</v>
      </c>
      <c r="E15" s="149">
        <v>0</v>
      </c>
      <c r="F15" s="149">
        <v>0</v>
      </c>
      <c r="G15" s="150">
        <f>C15+D15+E15+F15</f>
        <v>50842</v>
      </c>
    </row>
    <row r="16" spans="1:9" s="146" customFormat="1" ht="15" customHeight="1" x14ac:dyDescent="0.25">
      <c r="A16" s="10" t="s">
        <v>47</v>
      </c>
      <c r="B16" s="157"/>
      <c r="C16" s="11">
        <f>SUM(C12:C15)</f>
        <v>0</v>
      </c>
      <c r="D16" s="11">
        <f>SUM(D12:D15)</f>
        <v>109877</v>
      </c>
      <c r="E16" s="11">
        <f>SUM(E12:E15)</f>
        <v>0</v>
      </c>
      <c r="F16" s="11">
        <f>SUM(F12:F15)</f>
        <v>0</v>
      </c>
      <c r="G16" s="12">
        <f>SUM(G12:G15)</f>
        <v>109877</v>
      </c>
    </row>
    <row r="17" spans="1:7" s="147" customFormat="1" ht="18" customHeight="1" x14ac:dyDescent="0.25">
      <c r="A17" s="335" t="s">
        <v>10</v>
      </c>
      <c r="B17" s="354"/>
      <c r="C17" s="336"/>
      <c r="D17" s="336"/>
      <c r="E17" s="336"/>
      <c r="F17" s="336"/>
      <c r="G17" s="337"/>
    </row>
    <row r="18" spans="1:7" s="151" customFormat="1" ht="15" customHeight="1" x14ac:dyDescent="0.25">
      <c r="A18" s="148" t="s">
        <v>11</v>
      </c>
      <c r="B18" s="156" t="s">
        <v>187</v>
      </c>
      <c r="C18" s="149">
        <v>0</v>
      </c>
      <c r="D18" s="149">
        <v>8443</v>
      </c>
      <c r="E18" s="149">
        <v>27770</v>
      </c>
      <c r="F18" s="149">
        <v>0</v>
      </c>
      <c r="G18" s="150">
        <f>C18+D18+E18+F18</f>
        <v>36213</v>
      </c>
    </row>
    <row r="19" spans="1:7" s="146" customFormat="1" ht="23.45" customHeight="1" thickBot="1" x14ac:dyDescent="0.3">
      <c r="A19" s="10" t="s">
        <v>13</v>
      </c>
      <c r="B19" s="157"/>
      <c r="C19" s="11">
        <f t="shared" ref="C19:G19" si="1">SUM(C18:C18)</f>
        <v>0</v>
      </c>
      <c r="D19" s="11">
        <f t="shared" si="1"/>
        <v>8443</v>
      </c>
      <c r="E19" s="11">
        <f t="shared" si="1"/>
        <v>27770</v>
      </c>
      <c r="F19" s="11">
        <f t="shared" si="1"/>
        <v>0</v>
      </c>
      <c r="G19" s="12">
        <f t="shared" si="1"/>
        <v>36213</v>
      </c>
    </row>
    <row r="20" spans="1:7" s="146" customFormat="1" ht="25.5" customHeight="1" thickBot="1" x14ac:dyDescent="0.3">
      <c r="A20" s="14" t="s">
        <v>71</v>
      </c>
      <c r="B20" s="158"/>
      <c r="C20" s="15">
        <f>C10+C16+C19</f>
        <v>9117.9084500000008</v>
      </c>
      <c r="D20" s="15">
        <f>D10+D16+D19</f>
        <v>236877.39</v>
      </c>
      <c r="E20" s="15">
        <f>E10+E16+E19</f>
        <v>108715</v>
      </c>
      <c r="F20" s="15">
        <f>F10+F16+F19</f>
        <v>0</v>
      </c>
      <c r="G20" s="16">
        <f>G10+G16+G19</f>
        <v>354710.29845</v>
      </c>
    </row>
    <row r="21" spans="1:7" s="146" customFormat="1" ht="12" customHeight="1" thickBot="1" x14ac:dyDescent="0.3">
      <c r="A21" s="17"/>
      <c r="B21" s="159"/>
      <c r="C21" s="94"/>
      <c r="D21" s="94"/>
      <c r="E21" s="94"/>
      <c r="F21" s="94"/>
      <c r="G21" s="95"/>
    </row>
    <row r="22" spans="1:7" s="146" customFormat="1" ht="21" customHeight="1" x14ac:dyDescent="0.25">
      <c r="A22" s="301" t="s">
        <v>72</v>
      </c>
      <c r="B22" s="356"/>
      <c r="C22" s="341"/>
      <c r="D22" s="341"/>
      <c r="E22" s="341"/>
      <c r="F22" s="342"/>
      <c r="G22" s="343"/>
    </row>
    <row r="23" spans="1:7" s="147" customFormat="1" ht="18" customHeight="1" x14ac:dyDescent="0.25">
      <c r="A23" s="335" t="s">
        <v>48</v>
      </c>
      <c r="B23" s="354"/>
      <c r="C23" s="336"/>
      <c r="D23" s="336"/>
      <c r="E23" s="336"/>
      <c r="F23" s="336"/>
      <c r="G23" s="337"/>
    </row>
    <row r="24" spans="1:7" s="151" customFormat="1" ht="24" customHeight="1" x14ac:dyDescent="0.25">
      <c r="A24" s="148" t="s">
        <v>179</v>
      </c>
      <c r="B24" s="156" t="s">
        <v>188</v>
      </c>
      <c r="C24" s="149">
        <v>0</v>
      </c>
      <c r="D24" s="149">
        <v>40219</v>
      </c>
      <c r="E24" s="149">
        <v>0</v>
      </c>
      <c r="F24" s="149">
        <v>0</v>
      </c>
      <c r="G24" s="150">
        <f>C24+D24+E24+F24</f>
        <v>40219</v>
      </c>
    </row>
    <row r="25" spans="1:7" s="146" customFormat="1" ht="15" customHeight="1" thickBot="1" x14ac:dyDescent="0.3">
      <c r="A25" s="10" t="s">
        <v>53</v>
      </c>
      <c r="B25" s="157"/>
      <c r="C25" s="11">
        <f>SUM(C24:C24)</f>
        <v>0</v>
      </c>
      <c r="D25" s="11">
        <f>SUM(D24:D24)</f>
        <v>40219</v>
      </c>
      <c r="E25" s="11">
        <f>SUM(E24:E24)</f>
        <v>0</v>
      </c>
      <c r="F25" s="11">
        <f>SUM(F24:F24)</f>
        <v>0</v>
      </c>
      <c r="G25" s="12">
        <f>SUM(G24:G24)</f>
        <v>40219</v>
      </c>
    </row>
    <row r="26" spans="1:7" s="146" customFormat="1" ht="36" customHeight="1" thickBot="1" x14ac:dyDescent="0.3">
      <c r="A26" s="14" t="s">
        <v>79</v>
      </c>
      <c r="B26" s="158"/>
      <c r="C26" s="15">
        <f>C25</f>
        <v>0</v>
      </c>
      <c r="D26" s="15">
        <f>D25</f>
        <v>40219</v>
      </c>
      <c r="E26" s="15">
        <f t="shared" ref="E26:G26" si="2">E25</f>
        <v>0</v>
      </c>
      <c r="F26" s="15">
        <f t="shared" si="2"/>
        <v>0</v>
      </c>
      <c r="G26" s="16">
        <f t="shared" si="2"/>
        <v>40219</v>
      </c>
    </row>
    <row r="27" spans="1:7" s="146" customFormat="1" ht="12" customHeight="1" thickBot="1" x14ac:dyDescent="0.3">
      <c r="A27" s="17"/>
      <c r="B27" s="159"/>
      <c r="C27" s="94"/>
      <c r="D27" s="94"/>
      <c r="E27" s="94"/>
      <c r="F27" s="94"/>
      <c r="G27" s="95"/>
    </row>
    <row r="28" spans="1:7" s="146" customFormat="1" ht="21" customHeight="1" x14ac:dyDescent="0.25">
      <c r="A28" s="301" t="s">
        <v>15</v>
      </c>
      <c r="B28" s="356"/>
      <c r="C28" s="341"/>
      <c r="D28" s="341"/>
      <c r="E28" s="341"/>
      <c r="F28" s="344"/>
      <c r="G28" s="345"/>
    </row>
    <row r="29" spans="1:7" s="147" customFormat="1" ht="18" customHeight="1" x14ac:dyDescent="0.25">
      <c r="A29" s="338" t="s">
        <v>16</v>
      </c>
      <c r="B29" s="355"/>
      <c r="C29" s="339"/>
      <c r="D29" s="339"/>
      <c r="E29" s="339"/>
      <c r="F29" s="339"/>
      <c r="G29" s="340"/>
    </row>
    <row r="30" spans="1:7" s="151" customFormat="1" ht="24" customHeight="1" x14ac:dyDescent="0.25">
      <c r="A30" s="148" t="s">
        <v>162</v>
      </c>
      <c r="B30" s="156" t="s">
        <v>189</v>
      </c>
      <c r="C30" s="20">
        <v>0</v>
      </c>
      <c r="D30" s="20">
        <v>40000</v>
      </c>
      <c r="E30" s="20">
        <v>52000</v>
      </c>
      <c r="F30" s="20">
        <v>0</v>
      </c>
      <c r="G30" s="150">
        <f t="shared" ref="G30:G32" si="3">C30+D30+E30+F30</f>
        <v>92000</v>
      </c>
    </row>
    <row r="31" spans="1:7" s="151" customFormat="1" ht="24" customHeight="1" x14ac:dyDescent="0.25">
      <c r="A31" s="148" t="s">
        <v>164</v>
      </c>
      <c r="B31" s="156" t="s">
        <v>190</v>
      </c>
      <c r="C31" s="20">
        <v>0</v>
      </c>
      <c r="D31" s="20">
        <v>41000</v>
      </c>
      <c r="E31" s="20">
        <v>0</v>
      </c>
      <c r="F31" s="20">
        <v>0</v>
      </c>
      <c r="G31" s="150">
        <f t="shared" si="3"/>
        <v>41000</v>
      </c>
    </row>
    <row r="32" spans="1:7" s="151" customFormat="1" ht="24" customHeight="1" x14ac:dyDescent="0.25">
      <c r="A32" s="148" t="s">
        <v>165</v>
      </c>
      <c r="B32" s="156" t="s">
        <v>191</v>
      </c>
      <c r="C32" s="20">
        <v>0</v>
      </c>
      <c r="D32" s="20">
        <v>60000</v>
      </c>
      <c r="E32" s="20">
        <v>0</v>
      </c>
      <c r="F32" s="20">
        <v>0</v>
      </c>
      <c r="G32" s="150">
        <f t="shared" si="3"/>
        <v>60000</v>
      </c>
    </row>
    <row r="33" spans="1:7" s="151" customFormat="1" ht="15" customHeight="1" x14ac:dyDescent="0.25">
      <c r="A33" s="148" t="s">
        <v>180</v>
      </c>
      <c r="B33" s="156" t="s">
        <v>192</v>
      </c>
      <c r="C33" s="20">
        <v>0</v>
      </c>
      <c r="D33" s="20">
        <v>300</v>
      </c>
      <c r="E33" s="20">
        <v>75000</v>
      </c>
      <c r="F33" s="20">
        <v>15000</v>
      </c>
      <c r="G33" s="150">
        <f>C33+D33+E33+F33</f>
        <v>90300</v>
      </c>
    </row>
    <row r="34" spans="1:7" s="151" customFormat="1" ht="15" customHeight="1" x14ac:dyDescent="0.25">
      <c r="A34" s="148" t="s">
        <v>17</v>
      </c>
      <c r="B34" s="156" t="s">
        <v>193</v>
      </c>
      <c r="C34" s="20">
        <v>0</v>
      </c>
      <c r="D34" s="20">
        <v>30807</v>
      </c>
      <c r="E34" s="20">
        <f>277178+30993-52000</f>
        <v>256171</v>
      </c>
      <c r="F34" s="20">
        <v>0</v>
      </c>
      <c r="G34" s="150">
        <f>C34+D34+E34+F34</f>
        <v>286978</v>
      </c>
    </row>
    <row r="35" spans="1:7" s="151" customFormat="1" ht="24" customHeight="1" x14ac:dyDescent="0.25">
      <c r="A35" s="148" t="s">
        <v>92</v>
      </c>
      <c r="B35" s="156" t="s">
        <v>194</v>
      </c>
      <c r="C35" s="20">
        <v>0</v>
      </c>
      <c r="D35" s="20">
        <v>31298</v>
      </c>
      <c r="E35" s="20">
        <v>29000</v>
      </c>
      <c r="F35" s="20">
        <v>2702</v>
      </c>
      <c r="G35" s="150">
        <f>C35+D35+E35+F35</f>
        <v>63000</v>
      </c>
    </row>
    <row r="36" spans="1:7" s="146" customFormat="1" ht="15" customHeight="1" x14ac:dyDescent="0.25">
      <c r="A36" s="10" t="s">
        <v>19</v>
      </c>
      <c r="B36" s="157"/>
      <c r="C36" s="11">
        <f>SUM(C30:C35)</f>
        <v>0</v>
      </c>
      <c r="D36" s="11">
        <f t="shared" ref="D36:G36" si="4">SUM(D30:D35)</f>
        <v>203405</v>
      </c>
      <c r="E36" s="11">
        <f t="shared" si="4"/>
        <v>412171</v>
      </c>
      <c r="F36" s="11">
        <f t="shared" si="4"/>
        <v>17702</v>
      </c>
      <c r="G36" s="12">
        <f t="shared" si="4"/>
        <v>633278</v>
      </c>
    </row>
    <row r="37" spans="1:7" s="147" customFormat="1" ht="18" customHeight="1" x14ac:dyDescent="0.25">
      <c r="A37" s="332" t="s">
        <v>20</v>
      </c>
      <c r="B37" s="333"/>
      <c r="C37" s="333"/>
      <c r="D37" s="333"/>
      <c r="E37" s="333"/>
      <c r="F37" s="333"/>
      <c r="G37" s="334"/>
    </row>
    <row r="38" spans="1:7" s="151" customFormat="1" ht="24" customHeight="1" x14ac:dyDescent="0.25">
      <c r="A38" s="21" t="s">
        <v>24</v>
      </c>
      <c r="B38" s="160" t="s">
        <v>195</v>
      </c>
      <c r="C38" s="20">
        <v>375.1</v>
      </c>
      <c r="D38" s="20">
        <f>50000-30000</f>
        <v>20000</v>
      </c>
      <c r="E38" s="20">
        <v>55000</v>
      </c>
      <c r="F38" s="20">
        <f>37000-12443</f>
        <v>24557</v>
      </c>
      <c r="G38" s="150">
        <f>SUM(C38+D38+E38+F38)</f>
        <v>99932.1</v>
      </c>
    </row>
    <row r="39" spans="1:7" s="151" customFormat="1" ht="24" customHeight="1" x14ac:dyDescent="0.25">
      <c r="A39" s="21" t="s">
        <v>23</v>
      </c>
      <c r="B39" s="160" t="s">
        <v>196</v>
      </c>
      <c r="C39" s="20">
        <v>615</v>
      </c>
      <c r="D39" s="20">
        <v>40400</v>
      </c>
      <c r="E39" s="20">
        <v>10000</v>
      </c>
      <c r="F39" s="20">
        <v>0</v>
      </c>
      <c r="G39" s="150">
        <f>SUM(C39+D39+E39+F39)</f>
        <v>51015</v>
      </c>
    </row>
    <row r="40" spans="1:7" s="151" customFormat="1" ht="24" customHeight="1" x14ac:dyDescent="0.25">
      <c r="A40" s="21" t="s">
        <v>25</v>
      </c>
      <c r="B40" s="160" t="s">
        <v>197</v>
      </c>
      <c r="C40" s="20">
        <v>0</v>
      </c>
      <c r="D40" s="20">
        <v>0</v>
      </c>
      <c r="E40" s="20">
        <v>30000</v>
      </c>
      <c r="F40" s="20">
        <v>65000</v>
      </c>
      <c r="G40" s="150">
        <f>SUM(C40+D40+E40+F40)</f>
        <v>95000</v>
      </c>
    </row>
    <row r="41" spans="1:7" s="146" customFormat="1" ht="15" customHeight="1" x14ac:dyDescent="0.25">
      <c r="A41" s="10" t="s">
        <v>27</v>
      </c>
      <c r="B41" s="157"/>
      <c r="C41" s="11">
        <f>SUM(C38:C40)</f>
        <v>990.1</v>
      </c>
      <c r="D41" s="11">
        <f t="shared" ref="D41:G41" si="5">SUM(D38:D40)</f>
        <v>60400</v>
      </c>
      <c r="E41" s="11">
        <f t="shared" si="5"/>
        <v>95000</v>
      </c>
      <c r="F41" s="11">
        <f t="shared" si="5"/>
        <v>89557</v>
      </c>
      <c r="G41" s="12">
        <f t="shared" si="5"/>
        <v>245947.1</v>
      </c>
    </row>
    <row r="42" spans="1:7" s="147" customFormat="1" ht="18" customHeight="1" x14ac:dyDescent="0.25">
      <c r="A42" s="335" t="s">
        <v>6</v>
      </c>
      <c r="B42" s="354"/>
      <c r="C42" s="336"/>
      <c r="D42" s="336"/>
      <c r="E42" s="336"/>
      <c r="F42" s="336"/>
      <c r="G42" s="337"/>
    </row>
    <row r="43" spans="1:7" s="151" customFormat="1" ht="24" customHeight="1" x14ac:dyDescent="0.25">
      <c r="A43" s="148" t="s">
        <v>110</v>
      </c>
      <c r="B43" s="156" t="s">
        <v>198</v>
      </c>
      <c r="C43" s="20">
        <v>11814</v>
      </c>
      <c r="D43" s="20">
        <v>0</v>
      </c>
      <c r="E43" s="20">
        <v>0</v>
      </c>
      <c r="F43" s="20">
        <v>0</v>
      </c>
      <c r="G43" s="150">
        <f>C43+D43+E43+F43</f>
        <v>11814</v>
      </c>
    </row>
    <row r="44" spans="1:7" s="151" customFormat="1" ht="24" customHeight="1" x14ac:dyDescent="0.25">
      <c r="A44" s="23" t="s">
        <v>111</v>
      </c>
      <c r="B44" s="161" t="s">
        <v>199</v>
      </c>
      <c r="C44" s="20">
        <v>6329.88</v>
      </c>
      <c r="D44" s="20">
        <v>0</v>
      </c>
      <c r="E44" s="20">
        <v>0</v>
      </c>
      <c r="F44" s="20">
        <v>0</v>
      </c>
      <c r="G44" s="150">
        <f>C44+D44+E44+F44</f>
        <v>6329.88</v>
      </c>
    </row>
    <row r="45" spans="1:7" s="151" customFormat="1" ht="24" customHeight="1" x14ac:dyDescent="0.25">
      <c r="A45" s="23" t="s">
        <v>113</v>
      </c>
      <c r="B45" s="161" t="s">
        <v>200</v>
      </c>
      <c r="C45" s="20">
        <v>12143.58</v>
      </c>
      <c r="D45" s="20">
        <v>1042.1199999999999</v>
      </c>
      <c r="E45" s="20">
        <v>0</v>
      </c>
      <c r="F45" s="20">
        <v>0</v>
      </c>
      <c r="G45" s="150">
        <f>C45+D45+E45+F45</f>
        <v>13185.7</v>
      </c>
    </row>
    <row r="46" spans="1:7" s="151" customFormat="1" ht="24" customHeight="1" x14ac:dyDescent="0.25">
      <c r="A46" s="23" t="s">
        <v>31</v>
      </c>
      <c r="B46" s="161" t="s">
        <v>201</v>
      </c>
      <c r="C46" s="20">
        <v>10650</v>
      </c>
      <c r="D46" s="20">
        <f>5700-2850</f>
        <v>2850</v>
      </c>
      <c r="E46" s="20">
        <v>0</v>
      </c>
      <c r="F46" s="20">
        <v>0</v>
      </c>
      <c r="G46" s="150">
        <f>C46+D46+E46+F46</f>
        <v>13500</v>
      </c>
    </row>
    <row r="47" spans="1:7" s="151" customFormat="1" ht="24" customHeight="1" x14ac:dyDescent="0.25">
      <c r="A47" s="148" t="s">
        <v>29</v>
      </c>
      <c r="B47" s="156" t="s">
        <v>202</v>
      </c>
      <c r="C47" s="20">
        <v>0</v>
      </c>
      <c r="D47" s="20">
        <f>82731+15000</f>
        <v>97731</v>
      </c>
      <c r="E47" s="20">
        <v>19761</v>
      </c>
      <c r="F47" s="20">
        <v>0</v>
      </c>
      <c r="G47" s="150">
        <f t="shared" ref="G47:G48" si="6">C47+D47+E47+F47</f>
        <v>117492</v>
      </c>
    </row>
    <row r="48" spans="1:7" s="151" customFormat="1" ht="15" customHeight="1" x14ac:dyDescent="0.25">
      <c r="A48" s="23" t="s">
        <v>30</v>
      </c>
      <c r="B48" s="161" t="s">
        <v>203</v>
      </c>
      <c r="C48" s="20">
        <v>1446.18</v>
      </c>
      <c r="D48" s="20">
        <v>181514.85</v>
      </c>
      <c r="E48" s="20">
        <v>112039</v>
      </c>
      <c r="F48" s="20">
        <v>0</v>
      </c>
      <c r="G48" s="150">
        <f t="shared" si="6"/>
        <v>295000.03000000003</v>
      </c>
    </row>
    <row r="49" spans="1:7" s="146" customFormat="1" ht="15" customHeight="1" x14ac:dyDescent="0.25">
      <c r="A49" s="10" t="s">
        <v>9</v>
      </c>
      <c r="B49" s="157"/>
      <c r="C49" s="11">
        <f>SUM(C43:C48)</f>
        <v>42383.64</v>
      </c>
      <c r="D49" s="11">
        <f t="shared" ref="D49:G49" si="7">SUM(D43:D48)</f>
        <v>283137.96999999997</v>
      </c>
      <c r="E49" s="11">
        <f t="shared" si="7"/>
        <v>131800</v>
      </c>
      <c r="F49" s="11">
        <f t="shared" si="7"/>
        <v>0</v>
      </c>
      <c r="G49" s="12">
        <f t="shared" si="7"/>
        <v>457321.61000000004</v>
      </c>
    </row>
    <row r="50" spans="1:7" s="147" customFormat="1" ht="18" customHeight="1" x14ac:dyDescent="0.25">
      <c r="A50" s="335" t="s">
        <v>32</v>
      </c>
      <c r="B50" s="354"/>
      <c r="C50" s="336"/>
      <c r="D50" s="336"/>
      <c r="E50" s="336"/>
      <c r="F50" s="336"/>
      <c r="G50" s="337"/>
    </row>
    <row r="51" spans="1:7" s="147" customFormat="1" ht="24" customHeight="1" x14ac:dyDescent="0.25">
      <c r="A51" s="148" t="s">
        <v>33</v>
      </c>
      <c r="B51" s="156" t="s">
        <v>204</v>
      </c>
      <c r="C51" s="20">
        <v>95.59</v>
      </c>
      <c r="D51" s="20">
        <v>44904.41</v>
      </c>
      <c r="E51" s="20">
        <v>0</v>
      </c>
      <c r="F51" s="20">
        <v>0</v>
      </c>
      <c r="G51" s="150">
        <f t="shared" ref="G51:G73" si="8">C51+D51+E51+F51</f>
        <v>45000</v>
      </c>
    </row>
    <row r="52" spans="1:7" s="147" customFormat="1" ht="24" customHeight="1" x14ac:dyDescent="0.25">
      <c r="A52" s="23" t="s">
        <v>39</v>
      </c>
      <c r="B52" s="161" t="s">
        <v>205</v>
      </c>
      <c r="C52" s="20">
        <v>50386.47</v>
      </c>
      <c r="D52" s="20">
        <v>3269.53</v>
      </c>
      <c r="E52" s="20">
        <v>0</v>
      </c>
      <c r="F52" s="20">
        <v>0</v>
      </c>
      <c r="G52" s="150">
        <f t="shared" si="8"/>
        <v>53656</v>
      </c>
    </row>
    <row r="53" spans="1:7" s="147" customFormat="1" ht="24" customHeight="1" x14ac:dyDescent="0.25">
      <c r="A53" s="23" t="s">
        <v>43</v>
      </c>
      <c r="B53" s="161" t="s">
        <v>206</v>
      </c>
      <c r="C53" s="20">
        <v>30678.01</v>
      </c>
      <c r="D53" s="20">
        <v>0</v>
      </c>
      <c r="E53" s="20">
        <v>0</v>
      </c>
      <c r="F53" s="20">
        <v>0</v>
      </c>
      <c r="G53" s="150">
        <f t="shared" si="8"/>
        <v>30678.01</v>
      </c>
    </row>
    <row r="54" spans="1:7" s="147" customFormat="1" ht="24" customHeight="1" x14ac:dyDescent="0.25">
      <c r="A54" s="148" t="s">
        <v>44</v>
      </c>
      <c r="B54" s="156" t="s">
        <v>207</v>
      </c>
      <c r="C54" s="20">
        <v>40000</v>
      </c>
      <c r="D54" s="20">
        <v>0</v>
      </c>
      <c r="E54" s="20">
        <v>0</v>
      </c>
      <c r="F54" s="20">
        <v>0</v>
      </c>
      <c r="G54" s="150">
        <f t="shared" si="8"/>
        <v>40000</v>
      </c>
    </row>
    <row r="55" spans="1:7" s="147" customFormat="1" ht="24" customHeight="1" x14ac:dyDescent="0.25">
      <c r="A55" s="148" t="s">
        <v>208</v>
      </c>
      <c r="B55" s="156" t="s">
        <v>209</v>
      </c>
      <c r="C55" s="20">
        <v>6200</v>
      </c>
      <c r="D55" s="20">
        <v>0</v>
      </c>
      <c r="E55" s="20">
        <v>0</v>
      </c>
      <c r="F55" s="20">
        <v>0</v>
      </c>
      <c r="G55" s="150">
        <f t="shared" si="8"/>
        <v>6200</v>
      </c>
    </row>
    <row r="56" spans="1:7" s="147" customFormat="1" ht="24" customHeight="1" x14ac:dyDescent="0.25">
      <c r="A56" s="23" t="s">
        <v>89</v>
      </c>
      <c r="B56" s="161" t="s">
        <v>210</v>
      </c>
      <c r="C56" s="20">
        <v>7025.05</v>
      </c>
      <c r="D56" s="20">
        <v>2094.9499999999998</v>
      </c>
      <c r="E56" s="20">
        <v>0</v>
      </c>
      <c r="F56" s="20">
        <v>0</v>
      </c>
      <c r="G56" s="150">
        <f t="shared" si="8"/>
        <v>9120</v>
      </c>
    </row>
    <row r="57" spans="1:7" s="147" customFormat="1" ht="24" customHeight="1" x14ac:dyDescent="0.25">
      <c r="A57" s="148" t="s">
        <v>131</v>
      </c>
      <c r="B57" s="156" t="s">
        <v>211</v>
      </c>
      <c r="C57" s="20">
        <v>7949.67</v>
      </c>
      <c r="D57" s="20">
        <v>0</v>
      </c>
      <c r="E57" s="20">
        <v>0</v>
      </c>
      <c r="F57" s="20">
        <v>0</v>
      </c>
      <c r="G57" s="150">
        <f t="shared" si="8"/>
        <v>7949.67</v>
      </c>
    </row>
    <row r="58" spans="1:7" s="147" customFormat="1" ht="24" customHeight="1" x14ac:dyDescent="0.25">
      <c r="A58" s="148" t="s">
        <v>172</v>
      </c>
      <c r="B58" s="156" t="s">
        <v>212</v>
      </c>
      <c r="C58" s="20">
        <v>0</v>
      </c>
      <c r="D58" s="20">
        <v>15000</v>
      </c>
      <c r="E58" s="20">
        <v>0</v>
      </c>
      <c r="F58" s="20">
        <v>0</v>
      </c>
      <c r="G58" s="150">
        <f t="shared" si="8"/>
        <v>15000</v>
      </c>
    </row>
    <row r="59" spans="1:7" s="147" customFormat="1" ht="24" customHeight="1" x14ac:dyDescent="0.25">
      <c r="A59" s="23" t="s">
        <v>34</v>
      </c>
      <c r="B59" s="161" t="s">
        <v>213</v>
      </c>
      <c r="C59" s="20">
        <v>0</v>
      </c>
      <c r="D59" s="20">
        <v>500</v>
      </c>
      <c r="E59" s="20">
        <v>30000</v>
      </c>
      <c r="F59" s="20">
        <v>0</v>
      </c>
      <c r="G59" s="150">
        <f t="shared" si="8"/>
        <v>30500</v>
      </c>
    </row>
    <row r="60" spans="1:7" s="147" customFormat="1" ht="24" customHeight="1" x14ac:dyDescent="0.25">
      <c r="A60" s="148" t="s">
        <v>42</v>
      </c>
      <c r="B60" s="156" t="s">
        <v>214</v>
      </c>
      <c r="C60" s="20">
        <v>43980.06</v>
      </c>
      <c r="D60" s="20">
        <v>13719.93</v>
      </c>
      <c r="E60" s="20">
        <v>0</v>
      </c>
      <c r="F60" s="20">
        <v>0</v>
      </c>
      <c r="G60" s="150">
        <f>C60+D60+E60+F60</f>
        <v>57699.99</v>
      </c>
    </row>
    <row r="61" spans="1:7" s="147" customFormat="1" ht="24" customHeight="1" x14ac:dyDescent="0.25">
      <c r="A61" s="23" t="s">
        <v>45</v>
      </c>
      <c r="B61" s="161" t="s">
        <v>215</v>
      </c>
      <c r="C61" s="20">
        <v>500</v>
      </c>
      <c r="D61" s="20">
        <f>25639-15639</f>
        <v>10000</v>
      </c>
      <c r="E61" s="20">
        <f>49361+15639</f>
        <v>65000</v>
      </c>
      <c r="F61" s="20">
        <v>0</v>
      </c>
      <c r="G61" s="150">
        <f>C61+D61+E61+F61</f>
        <v>75500</v>
      </c>
    </row>
    <row r="62" spans="1:7" s="147" customFormat="1" ht="33.950000000000003" customHeight="1" x14ac:dyDescent="0.25">
      <c r="A62" s="23" t="s">
        <v>36</v>
      </c>
      <c r="B62" s="161" t="s">
        <v>216</v>
      </c>
      <c r="C62" s="24">
        <v>18811.419999999998</v>
      </c>
      <c r="D62" s="20">
        <v>27286.58</v>
      </c>
      <c r="E62" s="20">
        <v>0</v>
      </c>
      <c r="F62" s="20">
        <v>0</v>
      </c>
      <c r="G62" s="150">
        <f t="shared" si="8"/>
        <v>46098</v>
      </c>
    </row>
    <row r="63" spans="1:7" s="147" customFormat="1" ht="33.950000000000003" customHeight="1" x14ac:dyDescent="0.25">
      <c r="A63" s="23" t="s">
        <v>81</v>
      </c>
      <c r="B63" s="161" t="s">
        <v>217</v>
      </c>
      <c r="C63" s="24">
        <v>0</v>
      </c>
      <c r="D63" s="20">
        <v>11420</v>
      </c>
      <c r="E63" s="20">
        <v>0</v>
      </c>
      <c r="F63" s="20">
        <v>0</v>
      </c>
      <c r="G63" s="150">
        <f t="shared" si="8"/>
        <v>11420</v>
      </c>
    </row>
    <row r="64" spans="1:7" s="147" customFormat="1" ht="24" customHeight="1" x14ac:dyDescent="0.25">
      <c r="A64" s="148" t="s">
        <v>38</v>
      </c>
      <c r="B64" s="156" t="s">
        <v>218</v>
      </c>
      <c r="C64" s="20">
        <v>803.35</v>
      </c>
      <c r="D64" s="20">
        <v>123195.65</v>
      </c>
      <c r="E64" s="20">
        <v>52000</v>
      </c>
      <c r="F64" s="20">
        <v>0</v>
      </c>
      <c r="G64" s="150">
        <f t="shared" si="8"/>
        <v>175999</v>
      </c>
    </row>
    <row r="65" spans="1:7" s="147" customFormat="1" ht="33.950000000000003" customHeight="1" x14ac:dyDescent="0.25">
      <c r="A65" s="23" t="s">
        <v>41</v>
      </c>
      <c r="B65" s="161" t="s">
        <v>219</v>
      </c>
      <c r="C65" s="24">
        <v>0</v>
      </c>
      <c r="D65" s="20">
        <f>20250-5250</f>
        <v>15000</v>
      </c>
      <c r="E65" s="20">
        <f>17750+5250</f>
        <v>23000</v>
      </c>
      <c r="F65" s="20">
        <v>0</v>
      </c>
      <c r="G65" s="150">
        <f t="shared" si="8"/>
        <v>38000</v>
      </c>
    </row>
    <row r="66" spans="1:7" s="147" customFormat="1" ht="24" customHeight="1" x14ac:dyDescent="0.25">
      <c r="A66" s="148" t="s">
        <v>80</v>
      </c>
      <c r="B66" s="156" t="s">
        <v>220</v>
      </c>
      <c r="C66" s="20">
        <v>0</v>
      </c>
      <c r="D66" s="20">
        <v>14350</v>
      </c>
      <c r="E66" s="20">
        <v>4500</v>
      </c>
      <c r="F66" s="20">
        <v>0</v>
      </c>
      <c r="G66" s="150">
        <f t="shared" si="8"/>
        <v>18850</v>
      </c>
    </row>
    <row r="67" spans="1:7" s="147" customFormat="1" ht="24" customHeight="1" x14ac:dyDescent="0.25">
      <c r="A67" s="148" t="s">
        <v>68</v>
      </c>
      <c r="B67" s="156" t="s">
        <v>221</v>
      </c>
      <c r="C67" s="20">
        <v>0</v>
      </c>
      <c r="D67" s="20">
        <v>2090</v>
      </c>
      <c r="E67" s="20">
        <v>26000</v>
      </c>
      <c r="F67" s="20">
        <v>27610</v>
      </c>
      <c r="G67" s="150">
        <f t="shared" si="8"/>
        <v>55700</v>
      </c>
    </row>
    <row r="68" spans="1:7" s="147" customFormat="1" ht="24" customHeight="1" x14ac:dyDescent="0.25">
      <c r="A68" s="148" t="s">
        <v>40</v>
      </c>
      <c r="B68" s="156" t="s">
        <v>222</v>
      </c>
      <c r="C68" s="20">
        <v>0</v>
      </c>
      <c r="D68" s="20">
        <v>25000</v>
      </c>
      <c r="E68" s="20">
        <v>0</v>
      </c>
      <c r="F68" s="20">
        <v>0</v>
      </c>
      <c r="G68" s="150">
        <f t="shared" si="8"/>
        <v>25000</v>
      </c>
    </row>
    <row r="69" spans="1:7" s="147" customFormat="1" ht="33.950000000000003" customHeight="1" x14ac:dyDescent="0.25">
      <c r="A69" s="23" t="s">
        <v>37</v>
      </c>
      <c r="B69" s="161" t="s">
        <v>223</v>
      </c>
      <c r="C69" s="24">
        <v>0</v>
      </c>
      <c r="D69" s="20">
        <f>5500+3600</f>
        <v>9100</v>
      </c>
      <c r="E69" s="20">
        <v>0</v>
      </c>
      <c r="F69" s="20">
        <v>0</v>
      </c>
      <c r="G69" s="150">
        <f t="shared" si="8"/>
        <v>9100</v>
      </c>
    </row>
    <row r="70" spans="1:7" s="147" customFormat="1" ht="24" customHeight="1" x14ac:dyDescent="0.25">
      <c r="A70" s="23" t="s">
        <v>69</v>
      </c>
      <c r="B70" s="161" t="s">
        <v>224</v>
      </c>
      <c r="C70" s="20">
        <v>28.6</v>
      </c>
      <c r="D70" s="20">
        <v>11036</v>
      </c>
      <c r="E70" s="20">
        <v>0</v>
      </c>
      <c r="F70" s="20">
        <v>0</v>
      </c>
      <c r="G70" s="150">
        <f t="shared" si="8"/>
        <v>11064.6</v>
      </c>
    </row>
    <row r="71" spans="1:7" s="151" customFormat="1" ht="15" customHeight="1" x14ac:dyDescent="0.25">
      <c r="A71" s="21" t="s">
        <v>88</v>
      </c>
      <c r="B71" s="160" t="s">
        <v>225</v>
      </c>
      <c r="C71" s="152">
        <v>0</v>
      </c>
      <c r="D71" s="152">
        <f>50000-10000</f>
        <v>40000</v>
      </c>
      <c r="E71" s="152">
        <f>20500+10000</f>
        <v>30500</v>
      </c>
      <c r="F71" s="152">
        <v>0</v>
      </c>
      <c r="G71" s="150">
        <f t="shared" si="8"/>
        <v>70500</v>
      </c>
    </row>
    <row r="72" spans="1:7" s="147" customFormat="1" ht="24" customHeight="1" x14ac:dyDescent="0.25">
      <c r="A72" s="148" t="s">
        <v>90</v>
      </c>
      <c r="B72" s="156" t="s">
        <v>226</v>
      </c>
      <c r="C72" s="20">
        <v>127.05</v>
      </c>
      <c r="D72" s="20">
        <v>7373</v>
      </c>
      <c r="E72" s="20">
        <v>14000</v>
      </c>
      <c r="F72" s="20">
        <v>0</v>
      </c>
      <c r="G72" s="150">
        <f t="shared" si="8"/>
        <v>21500.05</v>
      </c>
    </row>
    <row r="73" spans="1:7" s="147" customFormat="1" ht="24" customHeight="1" x14ac:dyDescent="0.25">
      <c r="A73" s="23" t="s">
        <v>91</v>
      </c>
      <c r="B73" s="161" t="s">
        <v>227</v>
      </c>
      <c r="C73" s="20">
        <v>17970.75</v>
      </c>
      <c r="D73" s="20">
        <v>7029.25</v>
      </c>
      <c r="E73" s="20">
        <v>0</v>
      </c>
      <c r="F73" s="20">
        <v>0</v>
      </c>
      <c r="G73" s="150">
        <f t="shared" si="8"/>
        <v>25000</v>
      </c>
    </row>
    <row r="74" spans="1:7" s="146" customFormat="1" ht="15" customHeight="1" x14ac:dyDescent="0.25">
      <c r="A74" s="10" t="s">
        <v>47</v>
      </c>
      <c r="B74" s="157"/>
      <c r="C74" s="11">
        <f>SUM(C51:C73)</f>
        <v>224556.02000000002</v>
      </c>
      <c r="D74" s="11">
        <f t="shared" ref="D74:G74" si="9">SUM(D51:D73)</f>
        <v>382369.3</v>
      </c>
      <c r="E74" s="11">
        <f t="shared" si="9"/>
        <v>245000</v>
      </c>
      <c r="F74" s="11">
        <f t="shared" si="9"/>
        <v>27610</v>
      </c>
      <c r="G74" s="12">
        <f t="shared" si="9"/>
        <v>879535.32000000007</v>
      </c>
    </row>
    <row r="75" spans="1:7" s="147" customFormat="1" ht="18" customHeight="1" x14ac:dyDescent="0.25">
      <c r="A75" s="332" t="s">
        <v>48</v>
      </c>
      <c r="B75" s="333"/>
      <c r="C75" s="333"/>
      <c r="D75" s="333"/>
      <c r="E75" s="333"/>
      <c r="F75" s="333"/>
      <c r="G75" s="334"/>
    </row>
    <row r="76" spans="1:7" s="147" customFormat="1" ht="24" customHeight="1" x14ac:dyDescent="0.25">
      <c r="A76" s="21" t="s">
        <v>97</v>
      </c>
      <c r="B76" s="160" t="s">
        <v>228</v>
      </c>
      <c r="C76" s="20">
        <v>14723.48</v>
      </c>
      <c r="D76" s="20">
        <v>6976.53</v>
      </c>
      <c r="E76" s="20">
        <v>0</v>
      </c>
      <c r="F76" s="20">
        <v>0</v>
      </c>
      <c r="G76" s="150">
        <f t="shared" ref="G76:G84" si="10">C76+D76+E76+F76</f>
        <v>21700.01</v>
      </c>
    </row>
    <row r="77" spans="1:7" s="147" customFormat="1" ht="24" customHeight="1" x14ac:dyDescent="0.25">
      <c r="A77" s="21" t="s">
        <v>176</v>
      </c>
      <c r="B77" s="160" t="s">
        <v>229</v>
      </c>
      <c r="C77" s="24">
        <v>22241.64</v>
      </c>
      <c r="D77" s="24">
        <v>0</v>
      </c>
      <c r="E77" s="24">
        <v>0</v>
      </c>
      <c r="F77" s="24">
        <v>0</v>
      </c>
      <c r="G77" s="150">
        <f t="shared" si="10"/>
        <v>22241.64</v>
      </c>
    </row>
    <row r="78" spans="1:7" s="147" customFormat="1" ht="24" customHeight="1" x14ac:dyDescent="0.25">
      <c r="A78" s="21" t="s">
        <v>141</v>
      </c>
      <c r="B78" s="160" t="s">
        <v>230</v>
      </c>
      <c r="C78" s="20">
        <v>20898.27</v>
      </c>
      <c r="D78" s="20">
        <v>0</v>
      </c>
      <c r="E78" s="20">
        <v>0</v>
      </c>
      <c r="F78" s="20">
        <v>0</v>
      </c>
      <c r="G78" s="150">
        <f t="shared" si="10"/>
        <v>20898.27</v>
      </c>
    </row>
    <row r="79" spans="1:7" s="147" customFormat="1" ht="24" customHeight="1" x14ac:dyDescent="0.25">
      <c r="A79" s="21" t="s">
        <v>143</v>
      </c>
      <c r="B79" s="160" t="s">
        <v>231</v>
      </c>
      <c r="C79" s="20">
        <v>28727.64</v>
      </c>
      <c r="D79" s="20">
        <v>0</v>
      </c>
      <c r="E79" s="20">
        <v>0</v>
      </c>
      <c r="F79" s="20">
        <v>0</v>
      </c>
      <c r="G79" s="150">
        <f t="shared" si="10"/>
        <v>28727.64</v>
      </c>
    </row>
    <row r="80" spans="1:7" s="147" customFormat="1" ht="24" customHeight="1" x14ac:dyDescent="0.25">
      <c r="A80" s="21" t="s">
        <v>145</v>
      </c>
      <c r="B80" s="160" t="s">
        <v>232</v>
      </c>
      <c r="C80" s="20">
        <v>11437.7</v>
      </c>
      <c r="D80" s="20">
        <v>0</v>
      </c>
      <c r="E80" s="20">
        <v>0</v>
      </c>
      <c r="F80" s="20">
        <v>0</v>
      </c>
      <c r="G80" s="150">
        <f t="shared" si="10"/>
        <v>11437.7</v>
      </c>
    </row>
    <row r="81" spans="1:7" s="147" customFormat="1" ht="24" customHeight="1" x14ac:dyDescent="0.25">
      <c r="A81" s="21" t="s">
        <v>147</v>
      </c>
      <c r="B81" s="160" t="s">
        <v>233</v>
      </c>
      <c r="C81" s="20">
        <v>11567.78</v>
      </c>
      <c r="D81" s="20">
        <v>0</v>
      </c>
      <c r="E81" s="20">
        <v>0</v>
      </c>
      <c r="F81" s="20">
        <v>0</v>
      </c>
      <c r="G81" s="150">
        <f t="shared" si="10"/>
        <v>11567.78</v>
      </c>
    </row>
    <row r="82" spans="1:7" s="147" customFormat="1" ht="15" customHeight="1" x14ac:dyDescent="0.25">
      <c r="A82" s="21" t="s">
        <v>175</v>
      </c>
      <c r="B82" s="160" t="s">
        <v>234</v>
      </c>
      <c r="C82" s="20">
        <v>1099.1500000000001</v>
      </c>
      <c r="D82" s="20">
        <v>22900.85</v>
      </c>
      <c r="E82" s="20">
        <v>0</v>
      </c>
      <c r="F82" s="20">
        <v>0</v>
      </c>
      <c r="G82" s="150">
        <f t="shared" si="10"/>
        <v>24000</v>
      </c>
    </row>
    <row r="83" spans="1:7" s="147" customFormat="1" ht="24" customHeight="1" x14ac:dyDescent="0.25">
      <c r="A83" s="21" t="s">
        <v>50</v>
      </c>
      <c r="B83" s="160" t="s">
        <v>235</v>
      </c>
      <c r="C83" s="20">
        <v>34.11</v>
      </c>
      <c r="D83" s="20">
        <v>93382</v>
      </c>
      <c r="E83" s="20">
        <v>50000</v>
      </c>
      <c r="F83" s="20">
        <v>0</v>
      </c>
      <c r="G83" s="150">
        <f t="shared" si="10"/>
        <v>143416.10999999999</v>
      </c>
    </row>
    <row r="84" spans="1:7" s="147" customFormat="1" ht="24" customHeight="1" x14ac:dyDescent="0.25">
      <c r="A84" s="21" t="s">
        <v>49</v>
      </c>
      <c r="B84" s="160" t="s">
        <v>236</v>
      </c>
      <c r="C84" s="24">
        <v>29.04</v>
      </c>
      <c r="D84" s="24">
        <v>94970.96</v>
      </c>
      <c r="E84" s="24">
        <v>10000</v>
      </c>
      <c r="F84" s="24">
        <v>0</v>
      </c>
      <c r="G84" s="150">
        <f t="shared" si="10"/>
        <v>105000</v>
      </c>
    </row>
    <row r="85" spans="1:7" s="146" customFormat="1" ht="15" customHeight="1" thickBot="1" x14ac:dyDescent="0.3">
      <c r="A85" s="10" t="s">
        <v>53</v>
      </c>
      <c r="B85" s="157"/>
      <c r="C85" s="11">
        <f>SUM(C76:C84)</f>
        <v>110758.80999999998</v>
      </c>
      <c r="D85" s="11">
        <f t="shared" ref="D85:G85" si="11">SUM(D76:D84)</f>
        <v>218230.34000000003</v>
      </c>
      <c r="E85" s="11">
        <f t="shared" si="11"/>
        <v>60000</v>
      </c>
      <c r="F85" s="11">
        <f t="shared" si="11"/>
        <v>0</v>
      </c>
      <c r="G85" s="12">
        <f t="shared" si="11"/>
        <v>388989.14999999997</v>
      </c>
    </row>
    <row r="86" spans="1:7" s="146" customFormat="1" ht="25.5" customHeight="1" thickBot="1" x14ac:dyDescent="0.3">
      <c r="A86" s="14" t="s">
        <v>54</v>
      </c>
      <c r="B86" s="158"/>
      <c r="C86" s="15">
        <f>C85+C74+C49+C41+C36</f>
        <v>378688.57</v>
      </c>
      <c r="D86" s="15">
        <f>D85+D74+D49+D41+D36</f>
        <v>1147542.6099999999</v>
      </c>
      <c r="E86" s="15">
        <f>E85+E74+E49+E41+E36</f>
        <v>943971</v>
      </c>
      <c r="F86" s="15">
        <f>F85+F74+F49+F41+F36</f>
        <v>134869</v>
      </c>
      <c r="G86" s="16">
        <f>G85+G74+G49+G41+G36</f>
        <v>2605071.1800000002</v>
      </c>
    </row>
    <row r="87" spans="1:7" s="146" customFormat="1" ht="13.5" thickBot="1" x14ac:dyDescent="0.3">
      <c r="A87" s="17"/>
      <c r="B87" s="159"/>
      <c r="C87" s="94"/>
      <c r="D87" s="94"/>
      <c r="E87" s="94"/>
      <c r="F87" s="94"/>
      <c r="G87" s="119"/>
    </row>
    <row r="88" spans="1:7" s="146" customFormat="1" ht="21" customHeight="1" thickBot="1" x14ac:dyDescent="0.3">
      <c r="A88" s="14" t="s">
        <v>55</v>
      </c>
      <c r="B88" s="158"/>
      <c r="C88" s="15">
        <f>SUM(C20,C26,C86)</f>
        <v>387806.47845</v>
      </c>
      <c r="D88" s="15">
        <f>SUM(D20,D26,D86)</f>
        <v>1424639</v>
      </c>
      <c r="E88" s="15">
        <f>SUM(E20,E26,E86)</f>
        <v>1052686</v>
      </c>
      <c r="F88" s="15">
        <f>SUM(F20,F26,F86)</f>
        <v>134869</v>
      </c>
      <c r="G88" s="16">
        <f>SUM(G20,G26,G86)</f>
        <v>3000000.4784500003</v>
      </c>
    </row>
  </sheetData>
  <mergeCells count="16">
    <mergeCell ref="A7:G7"/>
    <mergeCell ref="A2:G2"/>
    <mergeCell ref="A4:A5"/>
    <mergeCell ref="C4:F4"/>
    <mergeCell ref="G4:G5"/>
    <mergeCell ref="A6:G6"/>
    <mergeCell ref="A37:G37"/>
    <mergeCell ref="A42:G42"/>
    <mergeCell ref="A50:G50"/>
    <mergeCell ref="A75:G75"/>
    <mergeCell ref="A11:G11"/>
    <mergeCell ref="A17:G17"/>
    <mergeCell ref="A22:G22"/>
    <mergeCell ref="A23:G23"/>
    <mergeCell ref="A28:G28"/>
    <mergeCell ref="A29:G29"/>
  </mergeCells>
  <phoneticPr fontId="25" type="noConversion"/>
  <conditionalFormatting sqref="C62:C69">
    <cfRule type="cellIs" dxfId="931" priority="113" operator="lessThan">
      <formula>#REF!</formula>
    </cfRule>
    <cfRule type="cellIs" dxfId="930" priority="114" operator="greaterThan">
      <formula>#REF!</formula>
    </cfRule>
  </conditionalFormatting>
  <conditionalFormatting sqref="C65:C68">
    <cfRule type="cellIs" dxfId="929" priority="105" operator="lessThan">
      <formula>#REF!</formula>
    </cfRule>
    <cfRule type="cellIs" dxfId="928" priority="106" operator="greaterThan">
      <formula>#REF!</formula>
    </cfRule>
  </conditionalFormatting>
  <conditionalFormatting sqref="C82:C83">
    <cfRule type="cellIs" dxfId="927" priority="207" operator="lessThan">
      <formula>#REF!</formula>
    </cfRule>
    <cfRule type="cellIs" dxfId="926" priority="208" operator="greaterThan">
      <formula>#REF!</formula>
    </cfRule>
  </conditionalFormatting>
  <conditionalFormatting sqref="C83:C84">
    <cfRule type="cellIs" dxfId="925" priority="211" operator="lessThan">
      <formula>#REF!</formula>
    </cfRule>
    <cfRule type="cellIs" dxfId="924" priority="212" operator="greaterThan">
      <formula>#REF!</formula>
    </cfRule>
  </conditionalFormatting>
  <conditionalFormatting sqref="C51:F56 C57:G58 C59:F60 C61:G61 C64:G68">
    <cfRule type="cellIs" dxfId="923" priority="260" operator="greaterThan">
      <formula>#REF!</formula>
    </cfRule>
  </conditionalFormatting>
  <conditionalFormatting sqref="C8:G10">
    <cfRule type="cellIs" dxfId="922" priority="183" operator="lessThan">
      <formula>#REF!</formula>
    </cfRule>
    <cfRule type="cellIs" dxfId="921" priority="184" operator="greaterThan">
      <formula>#REF!</formula>
    </cfRule>
  </conditionalFormatting>
  <conditionalFormatting sqref="C12:G13">
    <cfRule type="cellIs" dxfId="920" priority="173" operator="lessThan">
      <formula>#REF!</formula>
    </cfRule>
    <cfRule type="cellIs" dxfId="919" priority="174" operator="greaterThan">
      <formula>#REF!</formula>
    </cfRule>
  </conditionalFormatting>
  <conditionalFormatting sqref="C13:G16">
    <cfRule type="cellIs" dxfId="918" priority="153" operator="lessThan">
      <formula>#REF!</formula>
    </cfRule>
    <cfRule type="cellIs" dxfId="917" priority="154" operator="greaterThan">
      <formula>#REF!</formula>
    </cfRule>
  </conditionalFormatting>
  <conditionalFormatting sqref="C18:G19">
    <cfRule type="cellIs" dxfId="916" priority="133" operator="lessThan">
      <formula>#REF!</formula>
    </cfRule>
    <cfRule type="cellIs" dxfId="915" priority="134" operator="greaterThan">
      <formula>#REF!</formula>
    </cfRule>
  </conditionalFormatting>
  <conditionalFormatting sqref="C24:G25">
    <cfRule type="cellIs" dxfId="914" priority="241" operator="lessThan">
      <formula>#REF!</formula>
    </cfRule>
    <cfRule type="cellIs" dxfId="913" priority="242" operator="greaterThan">
      <formula>#REF!</formula>
    </cfRule>
  </conditionalFormatting>
  <conditionalFormatting sqref="C30:G36">
    <cfRule type="cellIs" dxfId="912" priority="235" operator="lessThan">
      <formula>#REF!</formula>
    </cfRule>
    <cfRule type="cellIs" dxfId="911" priority="236" operator="greaterThan">
      <formula>#REF!</formula>
    </cfRule>
  </conditionalFormatting>
  <conditionalFormatting sqref="C38:G41">
    <cfRule type="cellIs" dxfId="910" priority="225" operator="lessThan">
      <formula>#REF!</formula>
    </cfRule>
    <cfRule type="cellIs" dxfId="909" priority="226" operator="greaterThan">
      <formula>#REF!</formula>
    </cfRule>
  </conditionalFormatting>
  <conditionalFormatting sqref="C43:G48">
    <cfRule type="cellIs" dxfId="908" priority="121" operator="lessThan">
      <formula>#REF!</formula>
    </cfRule>
    <cfRule type="cellIs" dxfId="907" priority="122" operator="greaterThan">
      <formula>#REF!</formula>
    </cfRule>
  </conditionalFormatting>
  <conditionalFormatting sqref="C57:G58 C64:G68 C61:G61 C51:F56 C59:F60">
    <cfRule type="cellIs" dxfId="906" priority="259" operator="lessThan">
      <formula>#REF!</formula>
    </cfRule>
  </conditionalFormatting>
  <conditionalFormatting sqref="C63:G68">
    <cfRule type="cellIs" dxfId="905" priority="93" operator="lessThan">
      <formula>#REF!</formula>
    </cfRule>
    <cfRule type="cellIs" dxfId="904" priority="94" operator="greaterThan">
      <formula>#REF!</formula>
    </cfRule>
  </conditionalFormatting>
  <conditionalFormatting sqref="C70:G74">
    <cfRule type="cellIs" dxfId="903" priority="73" operator="lessThan">
      <formula>#REF!</formula>
    </cfRule>
    <cfRule type="cellIs" dxfId="902" priority="74" operator="greaterThan">
      <formula>#REF!</formula>
    </cfRule>
  </conditionalFormatting>
  <conditionalFormatting sqref="C76:G83">
    <cfRule type="cellIs" dxfId="901" priority="75" operator="lessThan">
      <formula>#REF!</formula>
    </cfRule>
    <cfRule type="cellIs" dxfId="900" priority="76" operator="greaterThan">
      <formula>#REF!</formula>
    </cfRule>
  </conditionalFormatting>
  <conditionalFormatting sqref="D62:F68 D82:F84">
    <cfRule type="cellIs" dxfId="899" priority="261" operator="lessThan">
      <formula>#REF!</formula>
    </cfRule>
    <cfRule type="cellIs" dxfId="898" priority="262" operator="greaterThan">
      <formula>#REF!</formula>
    </cfRule>
  </conditionalFormatting>
  <conditionalFormatting sqref="D65:F69">
    <cfRule type="cellIs" dxfId="897" priority="107" operator="lessThan">
      <formula>#REF!</formula>
    </cfRule>
    <cfRule type="cellIs" dxfId="896" priority="108" operator="greaterThan">
      <formula>#REF!</formula>
    </cfRule>
  </conditionalFormatting>
  <conditionalFormatting sqref="G51:G60">
    <cfRule type="cellIs" dxfId="895" priority="117" operator="lessThan">
      <formula>#REF!</formula>
    </cfRule>
    <cfRule type="cellIs" dxfId="894" priority="118" operator="greaterThan">
      <formula>#REF!</formula>
    </cfRule>
  </conditionalFormatting>
  <conditionalFormatting sqref="G52:G58 G60:G61">
    <cfRule type="cellIs" dxfId="893" priority="99" operator="lessThan">
      <formula>#REF!</formula>
    </cfRule>
    <cfRule type="cellIs" dxfId="892" priority="100" operator="greaterThan">
      <formula>#REF!</formula>
    </cfRule>
  </conditionalFormatting>
  <conditionalFormatting sqref="G56:G58">
    <cfRule type="cellIs" dxfId="891" priority="83" operator="lessThan">
      <formula>#REF!</formula>
    </cfRule>
    <cfRule type="cellIs" dxfId="890" priority="84" operator="greaterThan">
      <formula>#REF!</formula>
    </cfRule>
  </conditionalFormatting>
  <conditionalFormatting sqref="G62:G69">
    <cfRule type="cellIs" dxfId="889" priority="111" operator="lessThan">
      <formula>#REF!</formula>
    </cfRule>
    <cfRule type="cellIs" dxfId="888" priority="112" operator="greaterThan">
      <formula>#REF!</formula>
    </cfRule>
  </conditionalFormatting>
  <conditionalFormatting sqref="G65:G68">
    <cfRule type="cellIs" dxfId="887" priority="103" operator="lessThan">
      <formula>#REF!</formula>
    </cfRule>
    <cfRule type="cellIs" dxfId="886" priority="104" operator="greaterThan">
      <formula>#REF!</formula>
    </cfRule>
  </conditionalFormatting>
  <conditionalFormatting sqref="G66:G68">
    <cfRule type="cellIs" dxfId="885" priority="101" operator="lessThan">
      <formula>#REF!</formula>
    </cfRule>
    <cfRule type="cellIs" dxfId="884" priority="102" operator="greaterThan">
      <formula>#REF!</formula>
    </cfRule>
  </conditionalFormatting>
  <conditionalFormatting sqref="G82:G83">
    <cfRule type="cellIs" dxfId="883" priority="205" operator="lessThan">
      <formula>#REF!</formula>
    </cfRule>
    <cfRule type="cellIs" dxfId="882" priority="206" operator="greaterThan">
      <formula>#REF!</formula>
    </cfRule>
  </conditionalFormatting>
  <conditionalFormatting sqref="G83:G84">
    <cfRule type="cellIs" dxfId="881" priority="209" operator="lessThan">
      <formula>#REF!</formula>
    </cfRule>
    <cfRule type="cellIs" dxfId="880" priority="210" operator="greaterThan">
      <formula>#REF!</formula>
    </cfRule>
  </conditionalFormatting>
  <printOptions horizontalCentered="1"/>
  <pageMargins left="0.39370078740157483" right="0.39370078740157483" top="0.59055118110236227" bottom="0.39370078740157483" header="0.31496062992125984" footer="0.11811023622047245"/>
  <pageSetup paperSize="9" firstPageNumber="38" fitToHeight="0" orientation="landscape" useFirstPageNumber="1" r:id="rId1"/>
  <headerFooter>
    <oddHeader>&amp;L&amp;"Tahoma,Kurzíva"Střednědobý výhled rozpočtu kraje na léta 2023 - 2025&amp;R&amp;"Tahoma,Kurzíva"Přehled akcí financovaných z úvěru České spořitelny, a. s.</oddHeader>
    <oddFooter>&amp;C&amp;"Tahoma,Obyčejné"&amp;P</oddFooter>
  </headerFooter>
  <rowBreaks count="2" manualBreakCount="2">
    <brk id="47" max="5" man="1"/>
    <brk id="83" max="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0A101-9B08-4BF9-9B75-B03E45C23511}">
  <sheetPr>
    <pageSetUpPr fitToPage="1"/>
  </sheetPr>
  <dimension ref="A1:J95"/>
  <sheetViews>
    <sheetView zoomScaleNormal="100" zoomScaleSheetLayoutView="100" workbookViewId="0">
      <pane ySplit="5" topLeftCell="A54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3" width="7.7109375" style="163" customWidth="1"/>
    <col min="4" max="7" width="12.7109375" style="141" customWidth="1"/>
    <col min="8" max="8" width="14.140625" style="141" customWidth="1"/>
    <col min="9" max="9" width="48" style="140" customWidth="1"/>
    <col min="10" max="16384" width="9.140625" style="140"/>
  </cols>
  <sheetData>
    <row r="1" spans="1:10" ht="15" customHeight="1" x14ac:dyDescent="0.2">
      <c r="A1" s="140" t="s">
        <v>177</v>
      </c>
      <c r="J1" s="140" t="s">
        <v>237</v>
      </c>
    </row>
    <row r="2" spans="1:10" s="1" customFormat="1" ht="23.25" customHeight="1" x14ac:dyDescent="0.25">
      <c r="A2" s="346" t="s">
        <v>98</v>
      </c>
      <c r="B2" s="346"/>
      <c r="C2" s="346"/>
      <c r="D2" s="347"/>
      <c r="E2" s="347"/>
      <c r="F2" s="347"/>
      <c r="G2" s="347"/>
      <c r="H2" s="347"/>
    </row>
    <row r="3" spans="1:10" ht="13.5" thickBot="1" x14ac:dyDescent="0.25">
      <c r="A3" s="143"/>
      <c r="D3" s="143"/>
      <c r="E3" s="143"/>
      <c r="F3" s="143"/>
      <c r="G3" s="143"/>
      <c r="H3" s="144" t="s">
        <v>1</v>
      </c>
      <c r="J3" s="142"/>
    </row>
    <row r="4" spans="1:10" ht="24.6" customHeight="1" x14ac:dyDescent="0.2">
      <c r="A4" s="296" t="s">
        <v>2</v>
      </c>
      <c r="B4" s="154"/>
      <c r="C4" s="154"/>
      <c r="D4" s="349" t="s">
        <v>178</v>
      </c>
      <c r="E4" s="350"/>
      <c r="F4" s="350"/>
      <c r="G4" s="351"/>
      <c r="H4" s="352" t="s">
        <v>4</v>
      </c>
    </row>
    <row r="5" spans="1:10" ht="24.6" customHeight="1" thickBot="1" x14ac:dyDescent="0.25">
      <c r="A5" s="348"/>
      <c r="B5" s="155" t="s">
        <v>181</v>
      </c>
      <c r="C5" s="155" t="s">
        <v>238</v>
      </c>
      <c r="D5" s="126">
        <v>2021</v>
      </c>
      <c r="E5" s="145">
        <v>2022</v>
      </c>
      <c r="F5" s="126">
        <v>2023</v>
      </c>
      <c r="G5" s="127">
        <v>2024</v>
      </c>
      <c r="H5" s="353"/>
    </row>
    <row r="6" spans="1:10" s="146" customFormat="1" ht="21" customHeight="1" x14ac:dyDescent="0.25">
      <c r="A6" s="301" t="s">
        <v>70</v>
      </c>
      <c r="B6" s="356"/>
      <c r="C6" s="356"/>
      <c r="D6" s="341"/>
      <c r="E6" s="341"/>
      <c r="F6" s="341"/>
      <c r="G6" s="342"/>
      <c r="H6" s="343"/>
    </row>
    <row r="7" spans="1:10" s="147" customFormat="1" ht="18" customHeight="1" x14ac:dyDescent="0.25">
      <c r="A7" s="335" t="s">
        <v>6</v>
      </c>
      <c r="B7" s="354"/>
      <c r="C7" s="354"/>
      <c r="D7" s="336"/>
      <c r="E7" s="336"/>
      <c r="F7" s="336"/>
      <c r="G7" s="336"/>
      <c r="H7" s="337"/>
    </row>
    <row r="8" spans="1:10" s="151" customFormat="1" ht="15" customHeight="1" x14ac:dyDescent="0.25">
      <c r="A8" s="148" t="s">
        <v>7</v>
      </c>
      <c r="B8" s="156">
        <v>3402</v>
      </c>
      <c r="C8" s="164" t="s">
        <v>239</v>
      </c>
      <c r="D8" s="149">
        <v>5576.1411900000003</v>
      </c>
      <c r="E8" s="149">
        <v>91590.16</v>
      </c>
      <c r="F8" s="149">
        <v>60950</v>
      </c>
      <c r="G8" s="149">
        <v>0</v>
      </c>
      <c r="H8" s="150">
        <f>D8+E8+F8+G8</f>
        <v>158116.30119</v>
      </c>
    </row>
    <row r="9" spans="1:10" s="151" customFormat="1" ht="24" customHeight="1" x14ac:dyDescent="0.25">
      <c r="A9" s="148" t="s">
        <v>8</v>
      </c>
      <c r="B9" s="156" t="s">
        <v>182</v>
      </c>
      <c r="C9" s="164" t="s">
        <v>239</v>
      </c>
      <c r="D9" s="149">
        <v>3541.7672600000001</v>
      </c>
      <c r="E9" s="149">
        <v>26967.23</v>
      </c>
      <c r="F9" s="149">
        <v>19995</v>
      </c>
      <c r="G9" s="149">
        <v>0</v>
      </c>
      <c r="H9" s="150">
        <f>D9+E9+F9+G9</f>
        <v>50503.997260000004</v>
      </c>
    </row>
    <row r="10" spans="1:10" s="146" customFormat="1" ht="15" customHeight="1" x14ac:dyDescent="0.25">
      <c r="A10" s="10" t="s">
        <v>9</v>
      </c>
      <c r="B10" s="157"/>
      <c r="C10" s="165"/>
      <c r="D10" s="11">
        <f t="shared" ref="D10:G10" si="0">SUM(D8:D9)</f>
        <v>9117.9084500000008</v>
      </c>
      <c r="E10" s="11">
        <f t="shared" si="0"/>
        <v>118557.39</v>
      </c>
      <c r="F10" s="11">
        <f t="shared" si="0"/>
        <v>80945</v>
      </c>
      <c r="G10" s="11">
        <f t="shared" si="0"/>
        <v>0</v>
      </c>
      <c r="H10" s="12">
        <f>SUM(H8:H9)</f>
        <v>208620.29845</v>
      </c>
    </row>
    <row r="11" spans="1:10" s="147" customFormat="1" ht="18" customHeight="1" x14ac:dyDescent="0.25">
      <c r="A11" s="338" t="s">
        <v>32</v>
      </c>
      <c r="B11" s="355"/>
      <c r="C11" s="355"/>
      <c r="D11" s="339"/>
      <c r="E11" s="339"/>
      <c r="F11" s="339"/>
      <c r="G11" s="339"/>
      <c r="H11" s="340"/>
    </row>
    <row r="12" spans="1:10" s="151" customFormat="1" ht="15" customHeight="1" x14ac:dyDescent="0.25">
      <c r="A12" s="148" t="s">
        <v>83</v>
      </c>
      <c r="B12" s="156" t="s">
        <v>183</v>
      </c>
      <c r="C12" s="164" t="s">
        <v>239</v>
      </c>
      <c r="D12" s="149">
        <v>0</v>
      </c>
      <c r="E12" s="149">
        <v>26810</v>
      </c>
      <c r="F12" s="149">
        <v>0</v>
      </c>
      <c r="G12" s="149">
        <v>0</v>
      </c>
      <c r="H12" s="150">
        <f>D12+E12+F12+G12</f>
        <v>26810</v>
      </c>
    </row>
    <row r="13" spans="1:10" s="151" customFormat="1" ht="15" customHeight="1" x14ac:dyDescent="0.25">
      <c r="A13" s="148" t="s">
        <v>86</v>
      </c>
      <c r="B13" s="156" t="s">
        <v>184</v>
      </c>
      <c r="C13" s="164" t="s">
        <v>239</v>
      </c>
      <c r="D13" s="149">
        <v>0</v>
      </c>
      <c r="E13" s="149">
        <v>10963</v>
      </c>
      <c r="F13" s="149">
        <v>0</v>
      </c>
      <c r="G13" s="149">
        <v>0</v>
      </c>
      <c r="H13" s="150">
        <f>D13+E13+F13+G13</f>
        <v>10963</v>
      </c>
    </row>
    <row r="14" spans="1:10" s="151" customFormat="1" ht="15" customHeight="1" x14ac:dyDescent="0.25">
      <c r="A14" s="148" t="s">
        <v>84</v>
      </c>
      <c r="B14" s="156" t="s">
        <v>185</v>
      </c>
      <c r="C14" s="164" t="s">
        <v>239</v>
      </c>
      <c r="D14" s="149">
        <v>0</v>
      </c>
      <c r="E14" s="149">
        <v>21262</v>
      </c>
      <c r="F14" s="149">
        <v>0</v>
      </c>
      <c r="G14" s="149">
        <v>0</v>
      </c>
      <c r="H14" s="150">
        <f>D14+E14+F14+G14</f>
        <v>21262</v>
      </c>
    </row>
    <row r="15" spans="1:10" s="151" customFormat="1" ht="15" customHeight="1" x14ac:dyDescent="0.25">
      <c r="A15" s="148" t="s">
        <v>85</v>
      </c>
      <c r="B15" s="156" t="s">
        <v>186</v>
      </c>
      <c r="C15" s="164" t="s">
        <v>239</v>
      </c>
      <c r="D15" s="149">
        <v>0</v>
      </c>
      <c r="E15" s="149">
        <v>50842</v>
      </c>
      <c r="F15" s="149">
        <v>0</v>
      </c>
      <c r="G15" s="149">
        <v>0</v>
      </c>
      <c r="H15" s="150">
        <f>D15+E15+F15+G15</f>
        <v>50842</v>
      </c>
    </row>
    <row r="16" spans="1:10" s="146" customFormat="1" ht="15" customHeight="1" x14ac:dyDescent="0.25">
      <c r="A16" s="10" t="s">
        <v>47</v>
      </c>
      <c r="B16" s="157"/>
      <c r="C16" s="165"/>
      <c r="D16" s="11">
        <f>SUM(D12:D15)</f>
        <v>0</v>
      </c>
      <c r="E16" s="11">
        <f>SUM(E12:E15)</f>
        <v>109877</v>
      </c>
      <c r="F16" s="11">
        <f>SUM(F12:F15)</f>
        <v>0</v>
      </c>
      <c r="G16" s="11">
        <f>SUM(G12:G15)</f>
        <v>0</v>
      </c>
      <c r="H16" s="12">
        <f>SUM(H12:H15)</f>
        <v>109877</v>
      </c>
    </row>
    <row r="17" spans="1:10" s="147" customFormat="1" ht="18" customHeight="1" x14ac:dyDescent="0.25">
      <c r="A17" s="335" t="s">
        <v>10</v>
      </c>
      <c r="B17" s="354"/>
      <c r="C17" s="354"/>
      <c r="D17" s="336"/>
      <c r="E17" s="336"/>
      <c r="F17" s="336"/>
      <c r="G17" s="336"/>
      <c r="H17" s="337"/>
    </row>
    <row r="18" spans="1:10" s="151" customFormat="1" ht="15" customHeight="1" x14ac:dyDescent="0.25">
      <c r="A18" s="148" t="s">
        <v>11</v>
      </c>
      <c r="B18" s="156" t="s">
        <v>187</v>
      </c>
      <c r="C18" s="164" t="s">
        <v>239</v>
      </c>
      <c r="D18" s="149">
        <v>0</v>
      </c>
      <c r="E18" s="149">
        <v>8443</v>
      </c>
      <c r="F18" s="149">
        <v>27770</v>
      </c>
      <c r="G18" s="149">
        <v>0</v>
      </c>
      <c r="H18" s="150">
        <f>D18+E18+F18+G18</f>
        <v>36213</v>
      </c>
    </row>
    <row r="19" spans="1:10" s="146" customFormat="1" ht="23.45" customHeight="1" thickBot="1" x14ac:dyDescent="0.3">
      <c r="A19" s="10" t="s">
        <v>13</v>
      </c>
      <c r="B19" s="157"/>
      <c r="C19" s="165"/>
      <c r="D19" s="11">
        <f t="shared" ref="D19:H19" si="1">SUM(D18:D18)</f>
        <v>0</v>
      </c>
      <c r="E19" s="11">
        <f t="shared" si="1"/>
        <v>8443</v>
      </c>
      <c r="F19" s="11">
        <f t="shared" si="1"/>
        <v>27770</v>
      </c>
      <c r="G19" s="11">
        <f t="shared" si="1"/>
        <v>0</v>
      </c>
      <c r="H19" s="12">
        <f t="shared" si="1"/>
        <v>36213</v>
      </c>
    </row>
    <row r="20" spans="1:10" s="146" customFormat="1" ht="25.5" customHeight="1" thickBot="1" x14ac:dyDescent="0.3">
      <c r="A20" s="14" t="s">
        <v>71</v>
      </c>
      <c r="B20" s="158"/>
      <c r="C20" s="166"/>
      <c r="D20" s="15">
        <f>D10+D16+D19</f>
        <v>9117.9084500000008</v>
      </c>
      <c r="E20" s="15">
        <f>E10+E16+E19</f>
        <v>236877.39</v>
      </c>
      <c r="F20" s="15">
        <f>F10+F16+F19</f>
        <v>108715</v>
      </c>
      <c r="G20" s="15">
        <f>G10+G16+G19</f>
        <v>0</v>
      </c>
      <c r="H20" s="16">
        <f>H10+H16+H19</f>
        <v>354710.29845</v>
      </c>
    </row>
    <row r="21" spans="1:10" s="146" customFormat="1" ht="12" customHeight="1" thickBot="1" x14ac:dyDescent="0.3">
      <c r="A21" s="17"/>
      <c r="B21" s="159"/>
      <c r="C21" s="167"/>
      <c r="D21" s="94"/>
      <c r="E21" s="94"/>
      <c r="F21" s="94"/>
      <c r="G21" s="94"/>
      <c r="H21" s="95"/>
    </row>
    <row r="22" spans="1:10" s="146" customFormat="1" ht="21" customHeight="1" x14ac:dyDescent="0.25">
      <c r="A22" s="301" t="s">
        <v>72</v>
      </c>
      <c r="B22" s="356"/>
      <c r="C22" s="356"/>
      <c r="D22" s="341"/>
      <c r="E22" s="341"/>
      <c r="F22" s="341"/>
      <c r="G22" s="342"/>
      <c r="H22" s="343"/>
      <c r="J22" s="146">
        <v>40219</v>
      </c>
    </row>
    <row r="23" spans="1:10" s="147" customFormat="1" ht="18" customHeight="1" x14ac:dyDescent="0.25">
      <c r="A23" s="335" t="s">
        <v>48</v>
      </c>
      <c r="B23" s="354"/>
      <c r="C23" s="354"/>
      <c r="D23" s="336"/>
      <c r="E23" s="336"/>
      <c r="F23" s="336"/>
      <c r="G23" s="336"/>
      <c r="H23" s="337"/>
      <c r="J23" s="169">
        <f>J22-E24-E25</f>
        <v>4719</v>
      </c>
    </row>
    <row r="24" spans="1:10" s="151" customFormat="1" ht="24" customHeight="1" x14ac:dyDescent="0.25">
      <c r="A24" s="170" t="s">
        <v>240</v>
      </c>
      <c r="B24" s="156"/>
      <c r="C24" s="164"/>
      <c r="D24" s="149"/>
      <c r="E24" s="162">
        <v>15500</v>
      </c>
      <c r="F24" s="149"/>
      <c r="G24" s="149"/>
      <c r="H24" s="150"/>
      <c r="I24" s="151" t="s">
        <v>241</v>
      </c>
    </row>
    <row r="25" spans="1:10" s="151" customFormat="1" ht="24" customHeight="1" x14ac:dyDescent="0.25">
      <c r="A25" s="170" t="s">
        <v>242</v>
      </c>
      <c r="B25" s="156"/>
      <c r="C25" s="164"/>
      <c r="D25" s="149"/>
      <c r="E25" s="162">
        <v>20000</v>
      </c>
      <c r="F25" s="149"/>
      <c r="G25" s="149"/>
      <c r="H25" s="150"/>
      <c r="I25" s="151" t="s">
        <v>241</v>
      </c>
    </row>
    <row r="26" spans="1:10" s="151" customFormat="1" ht="24" customHeight="1" x14ac:dyDescent="0.25">
      <c r="A26" s="171" t="s">
        <v>179</v>
      </c>
      <c r="B26" s="156" t="s">
        <v>188</v>
      </c>
      <c r="C26" s="164" t="s">
        <v>243</v>
      </c>
      <c r="D26" s="149">
        <v>0</v>
      </c>
      <c r="E26" s="162">
        <f>40219-40219</f>
        <v>0</v>
      </c>
      <c r="F26" s="149">
        <v>0</v>
      </c>
      <c r="G26" s="149">
        <v>0</v>
      </c>
      <c r="H26" s="150">
        <f>D26+E26+F26+G26</f>
        <v>0</v>
      </c>
      <c r="I26" s="151" t="s">
        <v>244</v>
      </c>
    </row>
    <row r="27" spans="1:10" s="146" customFormat="1" ht="15" customHeight="1" thickBot="1" x14ac:dyDescent="0.3">
      <c r="A27" s="10" t="s">
        <v>53</v>
      </c>
      <c r="B27" s="157"/>
      <c r="C27" s="165"/>
      <c r="D27" s="11">
        <f>SUM(D26:D26)</f>
        <v>0</v>
      </c>
      <c r="E27" s="11">
        <f>SUM(E24:E26)</f>
        <v>35500</v>
      </c>
      <c r="F27" s="11">
        <f>SUM(F26:F26)</f>
        <v>0</v>
      </c>
      <c r="G27" s="11">
        <f>SUM(G26:G26)</f>
        <v>0</v>
      </c>
      <c r="H27" s="12">
        <f>SUM(H26:H26)</f>
        <v>0</v>
      </c>
    </row>
    <row r="28" spans="1:10" s="146" customFormat="1" ht="36" customHeight="1" thickBot="1" x14ac:dyDescent="0.3">
      <c r="A28" s="14" t="s">
        <v>79</v>
      </c>
      <c r="B28" s="158"/>
      <c r="C28" s="166"/>
      <c r="D28" s="15">
        <f>D27</f>
        <v>0</v>
      </c>
      <c r="E28" s="15">
        <f t="shared" ref="E28:H28" si="2">E27</f>
        <v>35500</v>
      </c>
      <c r="F28" s="15">
        <f>F27</f>
        <v>0</v>
      </c>
      <c r="G28" s="15">
        <f t="shared" si="2"/>
        <v>0</v>
      </c>
      <c r="H28" s="16">
        <f t="shared" si="2"/>
        <v>0</v>
      </c>
    </row>
    <row r="29" spans="1:10" s="146" customFormat="1" ht="12" customHeight="1" thickBot="1" x14ac:dyDescent="0.3">
      <c r="A29" s="17"/>
      <c r="B29" s="159"/>
      <c r="C29" s="167"/>
      <c r="D29" s="94"/>
      <c r="E29" s="94"/>
      <c r="F29" s="94"/>
      <c r="G29" s="94"/>
      <c r="H29" s="95"/>
    </row>
    <row r="30" spans="1:10" s="146" customFormat="1" ht="21" customHeight="1" x14ac:dyDescent="0.25">
      <c r="A30" s="301" t="s">
        <v>15</v>
      </c>
      <c r="B30" s="356"/>
      <c r="C30" s="356"/>
      <c r="D30" s="341"/>
      <c r="E30" s="341"/>
      <c r="F30" s="341"/>
      <c r="G30" s="344"/>
      <c r="H30" s="345"/>
    </row>
    <row r="31" spans="1:10" s="147" customFormat="1" ht="18" customHeight="1" x14ac:dyDescent="0.25">
      <c r="A31" s="338" t="s">
        <v>16</v>
      </c>
      <c r="B31" s="355"/>
      <c r="C31" s="355"/>
      <c r="D31" s="339"/>
      <c r="E31" s="339"/>
      <c r="F31" s="339"/>
      <c r="G31" s="339"/>
      <c r="H31" s="340"/>
    </row>
    <row r="32" spans="1:10" s="151" customFormat="1" ht="24" customHeight="1" x14ac:dyDescent="0.25">
      <c r="A32" s="148" t="s">
        <v>162</v>
      </c>
      <c r="B32" s="156" t="s">
        <v>189</v>
      </c>
      <c r="C32" s="164" t="s">
        <v>245</v>
      </c>
      <c r="D32" s="20">
        <v>0</v>
      </c>
      <c r="E32" s="20">
        <v>40000</v>
      </c>
      <c r="F32" s="20">
        <v>52000</v>
      </c>
      <c r="G32" s="20">
        <v>0</v>
      </c>
      <c r="H32" s="150">
        <f t="shared" ref="H32:H34" si="3">D32+E32+F32+G32</f>
        <v>92000</v>
      </c>
      <c r="I32" s="151" t="s">
        <v>163</v>
      </c>
    </row>
    <row r="33" spans="1:10" s="151" customFormat="1" ht="24" customHeight="1" x14ac:dyDescent="0.25">
      <c r="A33" s="148" t="s">
        <v>164</v>
      </c>
      <c r="B33" s="156" t="s">
        <v>190</v>
      </c>
      <c r="C33" s="164" t="s">
        <v>245</v>
      </c>
      <c r="D33" s="20">
        <v>0</v>
      </c>
      <c r="E33" s="31">
        <f>41000-41000</f>
        <v>0</v>
      </c>
      <c r="F33" s="31">
        <v>41000</v>
      </c>
      <c r="G33" s="20">
        <v>0</v>
      </c>
      <c r="H33" s="150">
        <f t="shared" si="3"/>
        <v>41000</v>
      </c>
      <c r="I33" s="151" t="s">
        <v>246</v>
      </c>
    </row>
    <row r="34" spans="1:10" s="151" customFormat="1" ht="24" customHeight="1" x14ac:dyDescent="0.25">
      <c r="A34" s="148" t="s">
        <v>165</v>
      </c>
      <c r="B34" s="156" t="s">
        <v>191</v>
      </c>
      <c r="C34" s="164" t="s">
        <v>245</v>
      </c>
      <c r="D34" s="20">
        <v>0</v>
      </c>
      <c r="E34" s="20">
        <v>60000</v>
      </c>
      <c r="F34" s="20">
        <v>0</v>
      </c>
      <c r="G34" s="20">
        <v>0</v>
      </c>
      <c r="H34" s="150">
        <f t="shared" si="3"/>
        <v>60000</v>
      </c>
      <c r="I34" s="151" t="s">
        <v>163</v>
      </c>
    </row>
    <row r="35" spans="1:10" s="151" customFormat="1" ht="15" customHeight="1" x14ac:dyDescent="0.25">
      <c r="A35" s="148" t="s">
        <v>180</v>
      </c>
      <c r="B35" s="156" t="s">
        <v>192</v>
      </c>
      <c r="C35" s="164" t="s">
        <v>247</v>
      </c>
      <c r="D35" s="20">
        <v>0</v>
      </c>
      <c r="E35" s="20">
        <v>300</v>
      </c>
      <c r="F35" s="20">
        <v>75000</v>
      </c>
      <c r="G35" s="20">
        <v>15000</v>
      </c>
      <c r="H35" s="150">
        <f>D35+E35+F35+G35</f>
        <v>90300</v>
      </c>
      <c r="I35" s="151" t="s">
        <v>248</v>
      </c>
    </row>
    <row r="36" spans="1:10" s="151" customFormat="1" ht="15" customHeight="1" x14ac:dyDescent="0.25">
      <c r="A36" s="148" t="s">
        <v>17</v>
      </c>
      <c r="B36" s="156" t="s">
        <v>193</v>
      </c>
      <c r="C36" s="164" t="s">
        <v>247</v>
      </c>
      <c r="D36" s="20">
        <v>0</v>
      </c>
      <c r="E36" s="31">
        <f>30807-29500</f>
        <v>1307</v>
      </c>
      <c r="F36" s="20">
        <f>277178+30993-52000</f>
        <v>256171</v>
      </c>
      <c r="G36" s="20">
        <v>0</v>
      </c>
      <c r="H36" s="150">
        <f>D36+E36+F36+G36</f>
        <v>257478</v>
      </c>
      <c r="I36" s="151" t="s">
        <v>249</v>
      </c>
      <c r="J36" s="179">
        <v>29500</v>
      </c>
    </row>
    <row r="37" spans="1:10" s="151" customFormat="1" ht="24" customHeight="1" x14ac:dyDescent="0.25">
      <c r="A37" s="148" t="s">
        <v>92</v>
      </c>
      <c r="B37" s="156" t="s">
        <v>194</v>
      </c>
      <c r="C37" s="164" t="s">
        <v>247</v>
      </c>
      <c r="D37" s="20">
        <v>0</v>
      </c>
      <c r="E37" s="20">
        <v>31298</v>
      </c>
      <c r="F37" s="20">
        <v>29000</v>
      </c>
      <c r="G37" s="20">
        <v>2702</v>
      </c>
      <c r="H37" s="150">
        <f>D37+E37+F37+G37</f>
        <v>63000</v>
      </c>
      <c r="I37" s="151" t="s">
        <v>248</v>
      </c>
    </row>
    <row r="38" spans="1:10" s="146" customFormat="1" ht="15" customHeight="1" x14ac:dyDescent="0.25">
      <c r="A38" s="10" t="s">
        <v>19</v>
      </c>
      <c r="B38" s="157"/>
      <c r="C38" s="165"/>
      <c r="D38" s="11">
        <f>SUM(D32:D37)</f>
        <v>0</v>
      </c>
      <c r="E38" s="11">
        <f>SUM(E32:E37)</f>
        <v>132905</v>
      </c>
      <c r="F38" s="11">
        <f>SUM(F32:F37)</f>
        <v>453171</v>
      </c>
      <c r="G38" s="11">
        <f>SUM(G32:G37)</f>
        <v>17702</v>
      </c>
      <c r="H38" s="12">
        <f t="shared" ref="H38" si="4">SUM(H32:H37)</f>
        <v>603778</v>
      </c>
    </row>
    <row r="39" spans="1:10" s="147" customFormat="1" ht="18" customHeight="1" x14ac:dyDescent="0.25">
      <c r="A39" s="332" t="s">
        <v>20</v>
      </c>
      <c r="B39" s="333"/>
      <c r="C39" s="333"/>
      <c r="D39" s="333"/>
      <c r="E39" s="333"/>
      <c r="F39" s="333"/>
      <c r="G39" s="333"/>
      <c r="H39" s="334"/>
    </row>
    <row r="40" spans="1:10" s="151" customFormat="1" ht="24" customHeight="1" x14ac:dyDescent="0.25">
      <c r="A40" s="21" t="s">
        <v>24</v>
      </c>
      <c r="B40" s="160" t="s">
        <v>195</v>
      </c>
      <c r="C40" s="164" t="s">
        <v>247</v>
      </c>
      <c r="D40" s="20">
        <v>375.1</v>
      </c>
      <c r="E40" s="31">
        <f>50000-30000-20000</f>
        <v>0</v>
      </c>
      <c r="F40" s="20">
        <v>55000</v>
      </c>
      <c r="G40" s="31">
        <f>37000-12443+20000</f>
        <v>44557</v>
      </c>
      <c r="H40" s="150">
        <f>SUM(D40+E40+F40+G40)</f>
        <v>99932.1</v>
      </c>
      <c r="I40" s="151" t="s">
        <v>250</v>
      </c>
    </row>
    <row r="41" spans="1:10" s="151" customFormat="1" ht="24" customHeight="1" x14ac:dyDescent="0.25">
      <c r="A41" s="21" t="s">
        <v>23</v>
      </c>
      <c r="B41" s="160" t="s">
        <v>196</v>
      </c>
      <c r="C41" s="164" t="s">
        <v>247</v>
      </c>
      <c r="D41" s="20">
        <v>615</v>
      </c>
      <c r="E41" s="20">
        <v>40400</v>
      </c>
      <c r="F41" s="20">
        <v>10000</v>
      </c>
      <c r="G41" s="20">
        <v>0</v>
      </c>
      <c r="H41" s="150">
        <f>SUM(D41+E41+F41+G41)</f>
        <v>51015</v>
      </c>
      <c r="I41" s="151" t="s">
        <v>248</v>
      </c>
    </row>
    <row r="42" spans="1:10" s="151" customFormat="1" ht="24" customHeight="1" x14ac:dyDescent="0.25">
      <c r="A42" s="21" t="s">
        <v>25</v>
      </c>
      <c r="B42" s="160" t="s">
        <v>197</v>
      </c>
      <c r="C42" s="164" t="s">
        <v>247</v>
      </c>
      <c r="D42" s="20">
        <v>0</v>
      </c>
      <c r="E42" s="20">
        <v>0</v>
      </c>
      <c r="F42" s="20">
        <v>30000</v>
      </c>
      <c r="G42" s="20">
        <v>65000</v>
      </c>
      <c r="H42" s="150">
        <f>SUM(D42+E42+F42+G42)</f>
        <v>95000</v>
      </c>
      <c r="I42" s="151" t="s">
        <v>248</v>
      </c>
    </row>
    <row r="43" spans="1:10" s="146" customFormat="1" ht="15" customHeight="1" x14ac:dyDescent="0.25">
      <c r="A43" s="10" t="s">
        <v>27</v>
      </c>
      <c r="B43" s="157"/>
      <c r="C43" s="165"/>
      <c r="D43" s="11">
        <f>SUM(D40:D42)</f>
        <v>990.1</v>
      </c>
      <c r="E43" s="11">
        <f>SUM(E40:E42)</f>
        <v>40400</v>
      </c>
      <c r="F43" s="11">
        <f>SUM(F40:F42)</f>
        <v>95000</v>
      </c>
      <c r="G43" s="11">
        <f>SUM(G40:G42)</f>
        <v>109557</v>
      </c>
      <c r="H43" s="12">
        <f>SUM(H40:H42)</f>
        <v>245947.1</v>
      </c>
    </row>
    <row r="44" spans="1:10" s="147" customFormat="1" ht="18" customHeight="1" x14ac:dyDescent="0.25">
      <c r="A44" s="335" t="s">
        <v>6</v>
      </c>
      <c r="B44" s="354"/>
      <c r="C44" s="354"/>
      <c r="D44" s="336"/>
      <c r="E44" s="336"/>
      <c r="F44" s="336"/>
      <c r="G44" s="336"/>
      <c r="H44" s="337"/>
    </row>
    <row r="45" spans="1:10" s="151" customFormat="1" ht="24" customHeight="1" x14ac:dyDescent="0.25">
      <c r="A45" s="148" t="s">
        <v>110</v>
      </c>
      <c r="B45" s="156" t="s">
        <v>198</v>
      </c>
      <c r="C45" s="164" t="s">
        <v>247</v>
      </c>
      <c r="D45" s="20">
        <v>11814</v>
      </c>
      <c r="E45" s="20">
        <v>0</v>
      </c>
      <c r="F45" s="20">
        <v>0</v>
      </c>
      <c r="G45" s="20">
        <v>0</v>
      </c>
      <c r="H45" s="150">
        <f>D45+E45+F45+G45</f>
        <v>11814</v>
      </c>
      <c r="I45" s="151" t="s">
        <v>251</v>
      </c>
    </row>
    <row r="46" spans="1:10" s="151" customFormat="1" ht="24" customHeight="1" x14ac:dyDescent="0.25">
      <c r="A46" s="23" t="s">
        <v>111</v>
      </c>
      <c r="B46" s="161" t="s">
        <v>199</v>
      </c>
      <c r="C46" s="164" t="s">
        <v>247</v>
      </c>
      <c r="D46" s="20">
        <v>6329.88</v>
      </c>
      <c r="E46" s="20">
        <v>0</v>
      </c>
      <c r="F46" s="20">
        <v>0</v>
      </c>
      <c r="G46" s="20">
        <v>0</v>
      </c>
      <c r="H46" s="150">
        <f>D46+E46+F46+G46</f>
        <v>6329.88</v>
      </c>
      <c r="I46" s="151" t="s">
        <v>251</v>
      </c>
    </row>
    <row r="47" spans="1:10" s="151" customFormat="1" ht="24" customHeight="1" x14ac:dyDescent="0.25">
      <c r="A47" s="23" t="s">
        <v>113</v>
      </c>
      <c r="B47" s="161" t="s">
        <v>200</v>
      </c>
      <c r="C47" s="164" t="s">
        <v>247</v>
      </c>
      <c r="D47" s="20">
        <v>12143.58</v>
      </c>
      <c r="E47" s="20">
        <v>1042.1199999999999</v>
      </c>
      <c r="F47" s="20">
        <v>0</v>
      </c>
      <c r="G47" s="20">
        <v>0</v>
      </c>
      <c r="H47" s="150">
        <f>D47+E47+F47+G47</f>
        <v>13185.7</v>
      </c>
      <c r="I47" s="151" t="s">
        <v>248</v>
      </c>
    </row>
    <row r="48" spans="1:10" s="151" customFormat="1" ht="24" customHeight="1" x14ac:dyDescent="0.25">
      <c r="A48" s="23" t="s">
        <v>31</v>
      </c>
      <c r="B48" s="161" t="s">
        <v>201</v>
      </c>
      <c r="C48" s="164" t="s">
        <v>247</v>
      </c>
      <c r="D48" s="20">
        <v>10650</v>
      </c>
      <c r="E48" s="20">
        <f>5700-2850</f>
        <v>2850</v>
      </c>
      <c r="F48" s="20">
        <v>0</v>
      </c>
      <c r="G48" s="20">
        <v>0</v>
      </c>
      <c r="H48" s="150">
        <f>D48+E48+F48+G48</f>
        <v>13500</v>
      </c>
      <c r="I48" s="151" t="s">
        <v>248</v>
      </c>
    </row>
    <row r="49" spans="1:9" s="151" customFormat="1" ht="24" customHeight="1" x14ac:dyDescent="0.25">
      <c r="A49" s="148" t="s">
        <v>29</v>
      </c>
      <c r="B49" s="156" t="s">
        <v>202</v>
      </c>
      <c r="C49" s="164" t="s">
        <v>239</v>
      </c>
      <c r="D49" s="20">
        <v>0</v>
      </c>
      <c r="E49" s="172">
        <f>82731+15000</f>
        <v>97731</v>
      </c>
      <c r="F49" s="20">
        <v>19761</v>
      </c>
      <c r="G49" s="20">
        <v>0</v>
      </c>
      <c r="H49" s="150">
        <f t="shared" ref="H49:H50" si="5">D49+E49+F49+G49</f>
        <v>117492</v>
      </c>
      <c r="I49" s="151" t="s">
        <v>252</v>
      </c>
    </row>
    <row r="50" spans="1:9" s="151" customFormat="1" ht="15" customHeight="1" x14ac:dyDescent="0.25">
      <c r="A50" s="23" t="s">
        <v>30</v>
      </c>
      <c r="B50" s="161" t="s">
        <v>203</v>
      </c>
      <c r="C50" s="168" t="s">
        <v>239</v>
      </c>
      <c r="D50" s="20">
        <v>1446.18</v>
      </c>
      <c r="E50" s="20">
        <v>181514.85</v>
      </c>
      <c r="F50" s="20">
        <v>112039</v>
      </c>
      <c r="G50" s="20">
        <v>0</v>
      </c>
      <c r="H50" s="150">
        <f t="shared" si="5"/>
        <v>295000.03000000003</v>
      </c>
      <c r="I50" s="151" t="s">
        <v>253</v>
      </c>
    </row>
    <row r="51" spans="1:9" s="146" customFormat="1" ht="15" customHeight="1" x14ac:dyDescent="0.25">
      <c r="A51" s="10" t="s">
        <v>9</v>
      </c>
      <c r="B51" s="157"/>
      <c r="C51" s="165"/>
      <c r="D51" s="11">
        <f>SUM(D45:D50)</f>
        <v>42383.64</v>
      </c>
      <c r="E51" s="11">
        <f>SUM(E45:E50)</f>
        <v>283137.96999999997</v>
      </c>
      <c r="F51" s="11">
        <f>SUM(F45:F50)</f>
        <v>131800</v>
      </c>
      <c r="G51" s="11">
        <f t="shared" ref="G51:H51" si="6">SUM(G45:G50)</f>
        <v>0</v>
      </c>
      <c r="H51" s="12">
        <f t="shared" si="6"/>
        <v>457321.61000000004</v>
      </c>
    </row>
    <row r="52" spans="1:9" s="147" customFormat="1" ht="18" customHeight="1" x14ac:dyDescent="0.25">
      <c r="A52" s="335" t="s">
        <v>32</v>
      </c>
      <c r="B52" s="354"/>
      <c r="C52" s="354"/>
      <c r="D52" s="336"/>
      <c r="E52" s="336"/>
      <c r="F52" s="336"/>
      <c r="G52" s="336"/>
      <c r="H52" s="337"/>
    </row>
    <row r="53" spans="1:9" s="147" customFormat="1" ht="24" customHeight="1" x14ac:dyDescent="0.25">
      <c r="A53" s="148" t="s">
        <v>33</v>
      </c>
      <c r="B53" s="156" t="s">
        <v>204</v>
      </c>
      <c r="C53" s="164" t="s">
        <v>247</v>
      </c>
      <c r="D53" s="20">
        <v>95.59</v>
      </c>
      <c r="E53" s="20">
        <v>44904.41</v>
      </c>
      <c r="F53" s="20">
        <v>0</v>
      </c>
      <c r="G53" s="20">
        <v>0</v>
      </c>
      <c r="H53" s="150">
        <f t="shared" ref="H53:H77" si="7">D53+E53+F53+G53</f>
        <v>45000</v>
      </c>
      <c r="I53" s="147" t="s">
        <v>248</v>
      </c>
    </row>
    <row r="54" spans="1:9" s="147" customFormat="1" ht="24" customHeight="1" x14ac:dyDescent="0.25">
      <c r="A54" s="23" t="s">
        <v>39</v>
      </c>
      <c r="B54" s="161" t="s">
        <v>205</v>
      </c>
      <c r="C54" s="164" t="s">
        <v>247</v>
      </c>
      <c r="D54" s="20">
        <v>50386.47</v>
      </c>
      <c r="E54" s="20">
        <v>3269.53</v>
      </c>
      <c r="F54" s="20">
        <v>0</v>
      </c>
      <c r="G54" s="20">
        <v>0</v>
      </c>
      <c r="H54" s="150">
        <f t="shared" si="7"/>
        <v>53656</v>
      </c>
      <c r="I54" s="147" t="s">
        <v>248</v>
      </c>
    </row>
    <row r="55" spans="1:9" s="147" customFormat="1" ht="24" customHeight="1" x14ac:dyDescent="0.25">
      <c r="A55" s="23" t="s">
        <v>43</v>
      </c>
      <c r="B55" s="161" t="s">
        <v>206</v>
      </c>
      <c r="C55" s="164" t="s">
        <v>247</v>
      </c>
      <c r="D55" s="20">
        <v>30678.01</v>
      </c>
      <c r="E55" s="20">
        <v>0</v>
      </c>
      <c r="F55" s="20">
        <v>0</v>
      </c>
      <c r="G55" s="20">
        <v>0</v>
      </c>
      <c r="H55" s="150">
        <f t="shared" si="7"/>
        <v>30678.01</v>
      </c>
      <c r="I55" s="147" t="s">
        <v>251</v>
      </c>
    </row>
    <row r="56" spans="1:9" s="147" customFormat="1" ht="24" customHeight="1" x14ac:dyDescent="0.25">
      <c r="A56" s="148" t="s">
        <v>44</v>
      </c>
      <c r="B56" s="156" t="s">
        <v>207</v>
      </c>
      <c r="C56" s="164" t="s">
        <v>247</v>
      </c>
      <c r="D56" s="20">
        <v>40000</v>
      </c>
      <c r="E56" s="20">
        <v>0</v>
      </c>
      <c r="F56" s="20">
        <v>0</v>
      </c>
      <c r="G56" s="20">
        <v>0</v>
      </c>
      <c r="H56" s="150">
        <f t="shared" si="7"/>
        <v>40000</v>
      </c>
      <c r="I56" s="147" t="s">
        <v>251</v>
      </c>
    </row>
    <row r="57" spans="1:9" s="147" customFormat="1" ht="24" customHeight="1" x14ac:dyDescent="0.25">
      <c r="A57" s="148" t="s">
        <v>208</v>
      </c>
      <c r="B57" s="156" t="s">
        <v>209</v>
      </c>
      <c r="C57" s="164" t="s">
        <v>247</v>
      </c>
      <c r="D57" s="20">
        <v>6200</v>
      </c>
      <c r="E57" s="20">
        <v>0</v>
      </c>
      <c r="F57" s="20">
        <v>0</v>
      </c>
      <c r="G57" s="20">
        <v>0</v>
      </c>
      <c r="H57" s="150">
        <f t="shared" si="7"/>
        <v>6200</v>
      </c>
      <c r="I57" s="147" t="s">
        <v>251</v>
      </c>
    </row>
    <row r="58" spans="1:9" s="147" customFormat="1" ht="24" customHeight="1" x14ac:dyDescent="0.25">
      <c r="A58" s="23" t="s">
        <v>89</v>
      </c>
      <c r="B58" s="161" t="s">
        <v>210</v>
      </c>
      <c r="C58" s="164" t="s">
        <v>247</v>
      </c>
      <c r="D58" s="20">
        <v>7025.05</v>
      </c>
      <c r="E58" s="20">
        <v>2094.9499999999998</v>
      </c>
      <c r="F58" s="20">
        <v>0</v>
      </c>
      <c r="G58" s="20">
        <v>0</v>
      </c>
      <c r="H58" s="150">
        <f t="shared" si="7"/>
        <v>9120</v>
      </c>
      <c r="I58" s="147" t="s">
        <v>248</v>
      </c>
    </row>
    <row r="59" spans="1:9" s="147" customFormat="1" ht="24" customHeight="1" x14ac:dyDescent="0.25">
      <c r="A59" s="148" t="s">
        <v>131</v>
      </c>
      <c r="B59" s="156" t="s">
        <v>211</v>
      </c>
      <c r="C59" s="164" t="s">
        <v>247</v>
      </c>
      <c r="D59" s="20">
        <v>7949.67</v>
      </c>
      <c r="E59" s="20">
        <v>0</v>
      </c>
      <c r="F59" s="20">
        <v>0</v>
      </c>
      <c r="G59" s="20">
        <v>0</v>
      </c>
      <c r="H59" s="150">
        <f t="shared" si="7"/>
        <v>7949.67</v>
      </c>
      <c r="I59" s="147" t="s">
        <v>251</v>
      </c>
    </row>
    <row r="60" spans="1:9" s="147" customFormat="1" ht="24" customHeight="1" x14ac:dyDescent="0.25">
      <c r="A60" s="148" t="s">
        <v>172</v>
      </c>
      <c r="B60" s="156" t="s">
        <v>212</v>
      </c>
      <c r="C60" s="164" t="s">
        <v>247</v>
      </c>
      <c r="D60" s="20">
        <v>0</v>
      </c>
      <c r="E60" s="20">
        <v>15000</v>
      </c>
      <c r="F60" s="20">
        <v>0</v>
      </c>
      <c r="G60" s="20">
        <v>0</v>
      </c>
      <c r="H60" s="150">
        <f t="shared" si="7"/>
        <v>15000</v>
      </c>
      <c r="I60" s="147" t="s">
        <v>248</v>
      </c>
    </row>
    <row r="61" spans="1:9" s="147" customFormat="1" ht="24" customHeight="1" x14ac:dyDescent="0.25">
      <c r="A61" s="23" t="s">
        <v>34</v>
      </c>
      <c r="B61" s="161" t="s">
        <v>213</v>
      </c>
      <c r="C61" s="164" t="s">
        <v>247</v>
      </c>
      <c r="D61" s="20">
        <v>0</v>
      </c>
      <c r="E61" s="39">
        <f>500+213</f>
        <v>713</v>
      </c>
      <c r="F61" s="39">
        <f>30000-213</f>
        <v>29787</v>
      </c>
      <c r="G61" s="20">
        <v>0</v>
      </c>
      <c r="H61" s="150">
        <f t="shared" si="7"/>
        <v>30500</v>
      </c>
      <c r="I61" s="173" t="s">
        <v>254</v>
      </c>
    </row>
    <row r="62" spans="1:9" s="147" customFormat="1" ht="24" customHeight="1" x14ac:dyDescent="0.25">
      <c r="A62" s="148" t="s">
        <v>42</v>
      </c>
      <c r="B62" s="156" t="s">
        <v>214</v>
      </c>
      <c r="C62" s="164" t="s">
        <v>247</v>
      </c>
      <c r="D62" s="20">
        <v>43980.06</v>
      </c>
      <c r="E62" s="20">
        <v>13719.93</v>
      </c>
      <c r="F62" s="20">
        <v>0</v>
      </c>
      <c r="G62" s="20">
        <v>0</v>
      </c>
      <c r="H62" s="150">
        <f>D62+E62+F62+G62</f>
        <v>57699.99</v>
      </c>
      <c r="I62" s="174" t="s">
        <v>248</v>
      </c>
    </row>
    <row r="63" spans="1:9" s="147" customFormat="1" ht="24" customHeight="1" x14ac:dyDescent="0.25">
      <c r="A63" s="23" t="s">
        <v>45</v>
      </c>
      <c r="B63" s="161" t="s">
        <v>215</v>
      </c>
      <c r="C63" s="164" t="s">
        <v>247</v>
      </c>
      <c r="D63" s="20">
        <v>500</v>
      </c>
      <c r="E63" s="31">
        <f>25639-15639-4000</f>
        <v>6000</v>
      </c>
      <c r="F63" s="31">
        <f>49361+15639+4000</f>
        <v>69000</v>
      </c>
      <c r="G63" s="20">
        <v>0</v>
      </c>
      <c r="H63" s="150">
        <f>D63+E63+F63+G63</f>
        <v>75500</v>
      </c>
      <c r="I63" s="147" t="s">
        <v>255</v>
      </c>
    </row>
    <row r="64" spans="1:9" s="147" customFormat="1" ht="33.950000000000003" customHeight="1" x14ac:dyDescent="0.25">
      <c r="A64" s="23" t="s">
        <v>36</v>
      </c>
      <c r="B64" s="161" t="s">
        <v>216</v>
      </c>
      <c r="C64" s="164" t="s">
        <v>256</v>
      </c>
      <c r="D64" s="24">
        <v>18811.419999999998</v>
      </c>
      <c r="E64" s="31">
        <f>27286.58-1000</f>
        <v>26286.58</v>
      </c>
      <c r="F64" s="20">
        <v>0</v>
      </c>
      <c r="G64" s="20">
        <v>0</v>
      </c>
      <c r="H64" s="150">
        <f t="shared" si="7"/>
        <v>45098</v>
      </c>
      <c r="I64" s="147" t="s">
        <v>257</v>
      </c>
    </row>
    <row r="65" spans="1:9" s="147" customFormat="1" ht="33.950000000000003" customHeight="1" x14ac:dyDescent="0.25">
      <c r="A65" s="23" t="s">
        <v>81</v>
      </c>
      <c r="B65" s="161" t="s">
        <v>217</v>
      </c>
      <c r="C65" s="164" t="s">
        <v>256</v>
      </c>
      <c r="D65" s="24">
        <v>0</v>
      </c>
      <c r="E65" s="20">
        <v>11420</v>
      </c>
      <c r="F65" s="20">
        <v>0</v>
      </c>
      <c r="G65" s="20">
        <v>0</v>
      </c>
      <c r="H65" s="150">
        <f t="shared" si="7"/>
        <v>11420</v>
      </c>
      <c r="I65" s="147" t="s">
        <v>258</v>
      </c>
    </row>
    <row r="66" spans="1:9" s="147" customFormat="1" ht="24" customHeight="1" x14ac:dyDescent="0.25">
      <c r="A66" s="148" t="s">
        <v>38</v>
      </c>
      <c r="B66" s="156" t="s">
        <v>218</v>
      </c>
      <c r="C66" s="164" t="s">
        <v>247</v>
      </c>
      <c r="D66" s="20">
        <v>803.35</v>
      </c>
      <c r="E66" s="20">
        <v>123195.65</v>
      </c>
      <c r="F66" s="20">
        <v>52000</v>
      </c>
      <c r="G66" s="20">
        <v>0</v>
      </c>
      <c r="H66" s="150">
        <f t="shared" si="7"/>
        <v>175999</v>
      </c>
      <c r="I66" s="147" t="s">
        <v>248</v>
      </c>
    </row>
    <row r="67" spans="1:9" s="147" customFormat="1" ht="33.950000000000003" customHeight="1" x14ac:dyDescent="0.25">
      <c r="A67" s="23" t="s">
        <v>41</v>
      </c>
      <c r="B67" s="161" t="s">
        <v>219</v>
      </c>
      <c r="C67" s="164" t="s">
        <v>247</v>
      </c>
      <c r="D67" s="24">
        <v>0</v>
      </c>
      <c r="E67" s="20">
        <f>20250-5250</f>
        <v>15000</v>
      </c>
      <c r="F67" s="20">
        <f>17750+5250</f>
        <v>23000</v>
      </c>
      <c r="G67" s="20">
        <v>0</v>
      </c>
      <c r="H67" s="150">
        <f t="shared" si="7"/>
        <v>38000</v>
      </c>
      <c r="I67" s="147" t="s">
        <v>248</v>
      </c>
    </row>
    <row r="68" spans="1:9" s="147" customFormat="1" ht="24" customHeight="1" x14ac:dyDescent="0.25">
      <c r="A68" s="148" t="s">
        <v>80</v>
      </c>
      <c r="B68" s="156" t="s">
        <v>220</v>
      </c>
      <c r="C68" s="164" t="s">
        <v>247</v>
      </c>
      <c r="D68" s="20">
        <v>0</v>
      </c>
      <c r="E68" s="20">
        <v>14350</v>
      </c>
      <c r="F68" s="20">
        <v>4500</v>
      </c>
      <c r="G68" s="20">
        <v>0</v>
      </c>
      <c r="H68" s="150">
        <f t="shared" si="7"/>
        <v>18850</v>
      </c>
      <c r="I68" s="147" t="s">
        <v>259</v>
      </c>
    </row>
    <row r="69" spans="1:9" s="147" customFormat="1" ht="24" customHeight="1" x14ac:dyDescent="0.25">
      <c r="A69" s="148" t="s">
        <v>68</v>
      </c>
      <c r="B69" s="156" t="s">
        <v>221</v>
      </c>
      <c r="C69" s="164" t="s">
        <v>247</v>
      </c>
      <c r="D69" s="20">
        <v>0</v>
      </c>
      <c r="E69" s="31">
        <v>2090</v>
      </c>
      <c r="F69" s="31">
        <f>26000</f>
        <v>26000</v>
      </c>
      <c r="G69" s="20">
        <v>27610</v>
      </c>
      <c r="H69" s="150">
        <f t="shared" si="7"/>
        <v>55700</v>
      </c>
      <c r="I69" s="147" t="s">
        <v>260</v>
      </c>
    </row>
    <row r="70" spans="1:9" s="147" customFormat="1" ht="24" customHeight="1" x14ac:dyDescent="0.25">
      <c r="A70" s="148" t="s">
        <v>40</v>
      </c>
      <c r="B70" s="156" t="s">
        <v>222</v>
      </c>
      <c r="C70" s="164" t="s">
        <v>247</v>
      </c>
      <c r="D70" s="20">
        <v>0</v>
      </c>
      <c r="E70" s="20">
        <v>25000</v>
      </c>
      <c r="F70" s="20">
        <v>0</v>
      </c>
      <c r="G70" s="20">
        <v>0</v>
      </c>
      <c r="H70" s="150">
        <f t="shared" si="7"/>
        <v>25000</v>
      </c>
      <c r="I70" s="147" t="s">
        <v>248</v>
      </c>
    </row>
    <row r="71" spans="1:9" s="147" customFormat="1" ht="33.950000000000003" customHeight="1" x14ac:dyDescent="0.25">
      <c r="A71" s="23" t="s">
        <v>37</v>
      </c>
      <c r="B71" s="161" t="s">
        <v>223</v>
      </c>
      <c r="C71" s="164" t="s">
        <v>247</v>
      </c>
      <c r="D71" s="24">
        <v>0</v>
      </c>
      <c r="E71" s="31">
        <f>5500+3600-8965</f>
        <v>135</v>
      </c>
      <c r="F71" s="31">
        <f>8965+2035</f>
        <v>11000</v>
      </c>
      <c r="G71" s="20">
        <v>0</v>
      </c>
      <c r="H71" s="150">
        <f t="shared" si="7"/>
        <v>11135</v>
      </c>
      <c r="I71" s="147" t="s">
        <v>261</v>
      </c>
    </row>
    <row r="72" spans="1:9" s="147" customFormat="1" ht="24" customHeight="1" x14ac:dyDescent="0.25">
      <c r="A72" s="23" t="s">
        <v>69</v>
      </c>
      <c r="B72" s="161" t="s">
        <v>224</v>
      </c>
      <c r="C72" s="164" t="s">
        <v>247</v>
      </c>
      <c r="D72" s="20">
        <v>28.6</v>
      </c>
      <c r="E72" s="31">
        <f>11036-1000</f>
        <v>10036</v>
      </c>
      <c r="F72" s="20">
        <v>0</v>
      </c>
      <c r="G72" s="20">
        <v>0</v>
      </c>
      <c r="H72" s="150">
        <f t="shared" si="7"/>
        <v>10064.6</v>
      </c>
      <c r="I72" s="147" t="s">
        <v>257</v>
      </c>
    </row>
    <row r="73" spans="1:9" s="151" customFormat="1" ht="15" customHeight="1" x14ac:dyDescent="0.25">
      <c r="A73" s="21" t="s">
        <v>88</v>
      </c>
      <c r="B73" s="160" t="s">
        <v>225</v>
      </c>
      <c r="C73" s="164" t="s">
        <v>247</v>
      </c>
      <c r="D73" s="152">
        <v>0</v>
      </c>
      <c r="E73" s="152">
        <f>50000-10000</f>
        <v>40000</v>
      </c>
      <c r="F73" s="152">
        <f>20500+10000</f>
        <v>30500</v>
      </c>
      <c r="G73" s="152">
        <v>0</v>
      </c>
      <c r="H73" s="150">
        <f t="shared" si="7"/>
        <v>70500</v>
      </c>
      <c r="I73" s="147" t="s">
        <v>248</v>
      </c>
    </row>
    <row r="74" spans="1:9" s="147" customFormat="1" ht="24" customHeight="1" x14ac:dyDescent="0.25">
      <c r="A74" s="148" t="s">
        <v>90</v>
      </c>
      <c r="B74" s="156" t="s">
        <v>226</v>
      </c>
      <c r="C74" s="164" t="s">
        <v>247</v>
      </c>
      <c r="D74" s="20">
        <v>127.05</v>
      </c>
      <c r="E74" s="20">
        <v>7373</v>
      </c>
      <c r="F74" s="20">
        <v>14000</v>
      </c>
      <c r="G74" s="20">
        <v>0</v>
      </c>
      <c r="H74" s="150">
        <f t="shared" si="7"/>
        <v>21500.05</v>
      </c>
      <c r="I74" s="147" t="s">
        <v>248</v>
      </c>
    </row>
    <row r="75" spans="1:9" s="147" customFormat="1" ht="24" customHeight="1" x14ac:dyDescent="0.25">
      <c r="A75" s="23" t="s">
        <v>91</v>
      </c>
      <c r="B75" s="161" t="s">
        <v>227</v>
      </c>
      <c r="C75" s="164" t="s">
        <v>247</v>
      </c>
      <c r="D75" s="20">
        <v>17970.75</v>
      </c>
      <c r="E75" s="20">
        <v>7029.25</v>
      </c>
      <c r="F75" s="20">
        <v>0</v>
      </c>
      <c r="G75" s="20">
        <v>0</v>
      </c>
      <c r="H75" s="150">
        <f t="shared" si="7"/>
        <v>25000</v>
      </c>
      <c r="I75" s="147" t="s">
        <v>248</v>
      </c>
    </row>
    <row r="76" spans="1:9" s="147" customFormat="1" ht="24" customHeight="1" x14ac:dyDescent="0.25">
      <c r="A76" s="175" t="s">
        <v>262</v>
      </c>
      <c r="B76" s="161" t="s">
        <v>263</v>
      </c>
      <c r="C76" s="164" t="s">
        <v>247</v>
      </c>
      <c r="D76" s="20">
        <v>0</v>
      </c>
      <c r="E76" s="31">
        <v>11116.01</v>
      </c>
      <c r="F76" s="20">
        <v>0</v>
      </c>
      <c r="G76" s="20">
        <v>0</v>
      </c>
      <c r="H76" s="150">
        <f t="shared" si="7"/>
        <v>11116.01</v>
      </c>
      <c r="I76" s="176" t="s">
        <v>264</v>
      </c>
    </row>
    <row r="77" spans="1:9" s="147" customFormat="1" ht="24" customHeight="1" x14ac:dyDescent="0.25">
      <c r="A77" s="175" t="s">
        <v>265</v>
      </c>
      <c r="B77" s="161" t="s">
        <v>266</v>
      </c>
      <c r="C77" s="164" t="s">
        <v>247</v>
      </c>
      <c r="D77" s="20">
        <v>0</v>
      </c>
      <c r="E77" s="31">
        <v>9350</v>
      </c>
      <c r="F77" s="20">
        <v>0</v>
      </c>
      <c r="G77" s="20">
        <v>0</v>
      </c>
      <c r="H77" s="150">
        <f t="shared" si="7"/>
        <v>9350</v>
      </c>
      <c r="I77" s="176" t="s">
        <v>264</v>
      </c>
    </row>
    <row r="78" spans="1:9" s="146" customFormat="1" ht="15" customHeight="1" x14ac:dyDescent="0.25">
      <c r="A78" s="10" t="s">
        <v>47</v>
      </c>
      <c r="B78" s="157"/>
      <c r="C78" s="165"/>
      <c r="D78" s="11">
        <f>SUM(D53:D77)</f>
        <v>224556.02000000002</v>
      </c>
      <c r="E78" s="11">
        <f>SUM(E53:E77)</f>
        <v>388083.31</v>
      </c>
      <c r="F78" s="11">
        <f>SUM(F53:F77)</f>
        <v>259787</v>
      </c>
      <c r="G78" s="11">
        <f>SUM(G53:G77)</f>
        <v>27610</v>
      </c>
      <c r="H78" s="12">
        <f>SUM(H53:H77)</f>
        <v>900036.33000000007</v>
      </c>
    </row>
    <row r="79" spans="1:9" s="147" customFormat="1" ht="18" customHeight="1" x14ac:dyDescent="0.25">
      <c r="A79" s="332" t="s">
        <v>48</v>
      </c>
      <c r="B79" s="333"/>
      <c r="C79" s="333"/>
      <c r="D79" s="333"/>
      <c r="E79" s="333"/>
      <c r="F79" s="333"/>
      <c r="G79" s="333"/>
      <c r="H79" s="334"/>
    </row>
    <row r="80" spans="1:9" s="147" customFormat="1" ht="24" customHeight="1" x14ac:dyDescent="0.25">
      <c r="A80" s="21" t="s">
        <v>97</v>
      </c>
      <c r="B80" s="160" t="s">
        <v>228</v>
      </c>
      <c r="C80" s="164" t="s">
        <v>247</v>
      </c>
      <c r="D80" s="20">
        <v>14723.48</v>
      </c>
      <c r="E80" s="20">
        <v>6976.53</v>
      </c>
      <c r="F80" s="20">
        <v>0</v>
      </c>
      <c r="G80" s="20">
        <v>0</v>
      </c>
      <c r="H80" s="150">
        <f t="shared" ref="H80:H88" si="8">D80+E80+F80+G80</f>
        <v>21700.01</v>
      </c>
      <c r="I80" s="147" t="s">
        <v>248</v>
      </c>
    </row>
    <row r="81" spans="1:9" s="147" customFormat="1" ht="24" customHeight="1" x14ac:dyDescent="0.25">
      <c r="A81" s="21" t="s">
        <v>176</v>
      </c>
      <c r="B81" s="160" t="s">
        <v>229</v>
      </c>
      <c r="C81" s="164" t="s">
        <v>247</v>
      </c>
      <c r="D81" s="24">
        <v>22241.64</v>
      </c>
      <c r="E81" s="24">
        <v>0</v>
      </c>
      <c r="F81" s="24">
        <v>0</v>
      </c>
      <c r="G81" s="24">
        <v>0</v>
      </c>
      <c r="H81" s="150">
        <f t="shared" si="8"/>
        <v>22241.64</v>
      </c>
    </row>
    <row r="82" spans="1:9" s="147" customFormat="1" ht="24" customHeight="1" x14ac:dyDescent="0.25">
      <c r="A82" s="21" t="s">
        <v>141</v>
      </c>
      <c r="B82" s="160" t="s">
        <v>230</v>
      </c>
      <c r="C82" s="164" t="s">
        <v>247</v>
      </c>
      <c r="D82" s="20">
        <v>20898.27</v>
      </c>
      <c r="E82" s="20">
        <v>0</v>
      </c>
      <c r="F82" s="20">
        <v>0</v>
      </c>
      <c r="G82" s="20">
        <v>0</v>
      </c>
      <c r="H82" s="150">
        <f t="shared" si="8"/>
        <v>20898.27</v>
      </c>
    </row>
    <row r="83" spans="1:9" s="147" customFormat="1" ht="24" customHeight="1" x14ac:dyDescent="0.25">
      <c r="A83" s="21" t="s">
        <v>143</v>
      </c>
      <c r="B83" s="160" t="s">
        <v>231</v>
      </c>
      <c r="C83" s="164" t="s">
        <v>247</v>
      </c>
      <c r="D83" s="20">
        <v>28727.64</v>
      </c>
      <c r="E83" s="20">
        <v>0</v>
      </c>
      <c r="F83" s="20">
        <v>0</v>
      </c>
      <c r="G83" s="20">
        <v>0</v>
      </c>
      <c r="H83" s="150">
        <f t="shared" si="8"/>
        <v>28727.64</v>
      </c>
    </row>
    <row r="84" spans="1:9" s="147" customFormat="1" ht="24" customHeight="1" x14ac:dyDescent="0.25">
      <c r="A84" s="21" t="s">
        <v>145</v>
      </c>
      <c r="B84" s="160" t="s">
        <v>232</v>
      </c>
      <c r="C84" s="164" t="s">
        <v>247</v>
      </c>
      <c r="D84" s="20">
        <v>11437.7</v>
      </c>
      <c r="E84" s="20">
        <v>0</v>
      </c>
      <c r="F84" s="20">
        <v>0</v>
      </c>
      <c r="G84" s="20">
        <v>0</v>
      </c>
      <c r="H84" s="150">
        <f t="shared" si="8"/>
        <v>11437.7</v>
      </c>
    </row>
    <row r="85" spans="1:9" s="147" customFormat="1" ht="24" customHeight="1" x14ac:dyDescent="0.25">
      <c r="A85" s="21" t="s">
        <v>147</v>
      </c>
      <c r="B85" s="160" t="s">
        <v>233</v>
      </c>
      <c r="C85" s="164" t="s">
        <v>247</v>
      </c>
      <c r="D85" s="20">
        <v>11567.78</v>
      </c>
      <c r="E85" s="20">
        <v>0</v>
      </c>
      <c r="F85" s="20">
        <v>0</v>
      </c>
      <c r="G85" s="20">
        <v>0</v>
      </c>
      <c r="H85" s="150">
        <f t="shared" si="8"/>
        <v>11567.78</v>
      </c>
    </row>
    <row r="86" spans="1:9" s="147" customFormat="1" ht="15" customHeight="1" x14ac:dyDescent="0.25">
      <c r="A86" s="21" t="s">
        <v>175</v>
      </c>
      <c r="B86" s="160" t="s">
        <v>234</v>
      </c>
      <c r="C86" s="164" t="s">
        <v>247</v>
      </c>
      <c r="D86" s="20">
        <v>1099.1500000000001</v>
      </c>
      <c r="E86" s="20">
        <v>22900.85</v>
      </c>
      <c r="F86" s="20">
        <v>0</v>
      </c>
      <c r="G86" s="20">
        <v>0</v>
      </c>
      <c r="H86" s="150">
        <f t="shared" si="8"/>
        <v>24000</v>
      </c>
      <c r="I86" s="147" t="s">
        <v>248</v>
      </c>
    </row>
    <row r="87" spans="1:9" s="147" customFormat="1" ht="24" customHeight="1" x14ac:dyDescent="0.25">
      <c r="A87" s="21" t="s">
        <v>50</v>
      </c>
      <c r="B87" s="160" t="s">
        <v>235</v>
      </c>
      <c r="C87" s="164" t="s">
        <v>247</v>
      </c>
      <c r="D87" s="20">
        <v>34.11</v>
      </c>
      <c r="E87" s="20">
        <v>93382</v>
      </c>
      <c r="F87" s="20">
        <v>50000</v>
      </c>
      <c r="G87" s="20">
        <v>0</v>
      </c>
      <c r="H87" s="150">
        <f t="shared" si="8"/>
        <v>143416.10999999999</v>
      </c>
      <c r="I87" s="147" t="s">
        <v>248</v>
      </c>
    </row>
    <row r="88" spans="1:9" s="147" customFormat="1" ht="24" customHeight="1" x14ac:dyDescent="0.25">
      <c r="A88" s="21" t="s">
        <v>49</v>
      </c>
      <c r="B88" s="160" t="s">
        <v>236</v>
      </c>
      <c r="C88" s="164" t="s">
        <v>247</v>
      </c>
      <c r="D88" s="24">
        <v>29.04</v>
      </c>
      <c r="E88" s="55">
        <f>94970.96-80000</f>
        <v>14970.960000000006</v>
      </c>
      <c r="F88" s="55">
        <f>10000+80000</f>
        <v>90000</v>
      </c>
      <c r="G88" s="24">
        <v>0</v>
      </c>
      <c r="H88" s="150">
        <f t="shared" si="8"/>
        <v>105000</v>
      </c>
      <c r="I88" s="147" t="s">
        <v>267</v>
      </c>
    </row>
    <row r="89" spans="1:9" s="146" customFormat="1" ht="15" customHeight="1" thickBot="1" x14ac:dyDescent="0.3">
      <c r="A89" s="10" t="s">
        <v>53</v>
      </c>
      <c r="B89" s="157"/>
      <c r="C89" s="165"/>
      <c r="D89" s="11">
        <f>SUM(D80:D88)</f>
        <v>110758.80999999998</v>
      </c>
      <c r="E89" s="11">
        <f>SUM(E80:E88)</f>
        <v>138230.34000000003</v>
      </c>
      <c r="F89" s="11">
        <f>SUM(F80:F88)</f>
        <v>140000</v>
      </c>
      <c r="G89" s="11">
        <f t="shared" ref="G89" si="9">SUM(G80:G88)</f>
        <v>0</v>
      </c>
      <c r="H89" s="12">
        <f>SUM(H80:H88)</f>
        <v>388989.14999999997</v>
      </c>
    </row>
    <row r="90" spans="1:9" s="146" customFormat="1" ht="25.5" customHeight="1" thickBot="1" x14ac:dyDescent="0.3">
      <c r="A90" s="14" t="s">
        <v>54</v>
      </c>
      <c r="B90" s="158"/>
      <c r="C90" s="166"/>
      <c r="D90" s="15">
        <f>D89+D78+D51+D43+D38</f>
        <v>378688.57</v>
      </c>
      <c r="E90" s="15">
        <f>E89+E78+E51+E43+E38</f>
        <v>982756.62</v>
      </c>
      <c r="F90" s="15">
        <f>F89+F78+F51+F43+F38</f>
        <v>1079758</v>
      </c>
      <c r="G90" s="15">
        <f>G89+G78+G51+G43+G38</f>
        <v>154869</v>
      </c>
      <c r="H90" s="16">
        <f>H89+H78+H51+H43+H38</f>
        <v>2596072.1900000004</v>
      </c>
    </row>
    <row r="91" spans="1:9" s="146" customFormat="1" ht="13.5" thickBot="1" x14ac:dyDescent="0.3">
      <c r="A91" s="17"/>
      <c r="B91" s="159"/>
      <c r="C91" s="167"/>
      <c r="D91" s="94"/>
      <c r="E91" s="94"/>
      <c r="F91" s="94"/>
      <c r="G91" s="94"/>
      <c r="H91" s="119"/>
    </row>
    <row r="92" spans="1:9" s="146" customFormat="1" ht="21" customHeight="1" thickBot="1" x14ac:dyDescent="0.3">
      <c r="A92" s="14" t="s">
        <v>55</v>
      </c>
      <c r="B92" s="158"/>
      <c r="C92" s="166"/>
      <c r="D92" s="15">
        <f>SUM(D20,D28,D90)</f>
        <v>387806.47845</v>
      </c>
      <c r="E92" s="15">
        <f>SUM(E20,E28,E90)</f>
        <v>1255134.01</v>
      </c>
      <c r="F92" s="15">
        <f>SUM(F20,F28,F90)</f>
        <v>1188473</v>
      </c>
      <c r="G92" s="15">
        <f>SUM(G20,G28,G90)</f>
        <v>154869</v>
      </c>
      <c r="H92" s="16">
        <f>SUM(H20,H28,H90)</f>
        <v>2950782.4884500005</v>
      </c>
    </row>
    <row r="95" spans="1:9" x14ac:dyDescent="0.2">
      <c r="A95" s="140" t="s">
        <v>268</v>
      </c>
      <c r="H95" s="177"/>
      <c r="I95" s="143"/>
    </row>
  </sheetData>
  <mergeCells count="16">
    <mergeCell ref="A7:H7"/>
    <mergeCell ref="A2:H2"/>
    <mergeCell ref="A4:A5"/>
    <mergeCell ref="D4:G4"/>
    <mergeCell ref="H4:H5"/>
    <mergeCell ref="A6:H6"/>
    <mergeCell ref="A79:H79"/>
    <mergeCell ref="A11:H11"/>
    <mergeCell ref="A17:H17"/>
    <mergeCell ref="A22:H22"/>
    <mergeCell ref="A23:H23"/>
    <mergeCell ref="A30:H30"/>
    <mergeCell ref="A31:H31"/>
    <mergeCell ref="A39:H39"/>
    <mergeCell ref="A44:H44"/>
    <mergeCell ref="A52:H52"/>
  </mergeCells>
  <conditionalFormatting sqref="D64:D71">
    <cfRule type="cellIs" dxfId="879" priority="47" operator="lessThan">
      <formula>#REF!</formula>
    </cfRule>
    <cfRule type="cellIs" dxfId="878" priority="48" operator="greaterThan">
      <formula>#REF!</formula>
    </cfRule>
  </conditionalFormatting>
  <conditionalFormatting sqref="D67:D70">
    <cfRule type="cellIs" dxfId="877" priority="39" operator="lessThan">
      <formula>#REF!</formula>
    </cfRule>
    <cfRule type="cellIs" dxfId="876" priority="40" operator="greaterThan">
      <formula>#REF!</formula>
    </cfRule>
  </conditionalFormatting>
  <conditionalFormatting sqref="D86:D87">
    <cfRule type="cellIs" dxfId="875" priority="141" operator="lessThan">
      <formula>#REF!</formula>
    </cfRule>
    <cfRule type="cellIs" dxfId="874" priority="142" operator="greaterThan">
      <formula>#REF!</formula>
    </cfRule>
  </conditionalFormatting>
  <conditionalFormatting sqref="D87:D88">
    <cfRule type="cellIs" dxfId="873" priority="145" operator="lessThan">
      <formula>#REF!</formula>
    </cfRule>
    <cfRule type="cellIs" dxfId="872" priority="146" operator="greaterThan">
      <formula>#REF!</formula>
    </cfRule>
  </conditionalFormatting>
  <conditionalFormatting sqref="D53:G58 D59:H60 D61:G62 D63:H63 D66:H70">
    <cfRule type="cellIs" dxfId="871" priority="194" operator="greaterThan">
      <formula>#REF!</formula>
    </cfRule>
  </conditionalFormatting>
  <conditionalFormatting sqref="D8:H10">
    <cfRule type="cellIs" dxfId="870" priority="117" operator="lessThan">
      <formula>#REF!</formula>
    </cfRule>
    <cfRule type="cellIs" dxfId="869" priority="118" operator="greaterThan">
      <formula>#REF!</formula>
    </cfRule>
  </conditionalFormatting>
  <conditionalFormatting sqref="D12:H13">
    <cfRule type="cellIs" dxfId="868" priority="107" operator="lessThan">
      <formula>#REF!</formula>
    </cfRule>
    <cfRule type="cellIs" dxfId="867" priority="108" operator="greaterThan">
      <formula>#REF!</formula>
    </cfRule>
  </conditionalFormatting>
  <conditionalFormatting sqref="D13:H16">
    <cfRule type="cellIs" dxfId="866" priority="87" operator="lessThan">
      <formula>#REF!</formula>
    </cfRule>
    <cfRule type="cellIs" dxfId="865" priority="88" operator="greaterThan">
      <formula>#REF!</formula>
    </cfRule>
  </conditionalFormatting>
  <conditionalFormatting sqref="D18:H19">
    <cfRule type="cellIs" dxfId="864" priority="67" operator="lessThan">
      <formula>#REF!</formula>
    </cfRule>
    <cfRule type="cellIs" dxfId="863" priority="68" operator="greaterThan">
      <formula>#REF!</formula>
    </cfRule>
  </conditionalFormatting>
  <conditionalFormatting sqref="D24:H27">
    <cfRule type="cellIs" dxfId="862" priority="1" operator="lessThan">
      <formula>#REF!</formula>
    </cfRule>
    <cfRule type="cellIs" dxfId="861" priority="2" operator="greaterThan">
      <formula>#REF!</formula>
    </cfRule>
  </conditionalFormatting>
  <conditionalFormatting sqref="D32:H38">
    <cfRule type="cellIs" dxfId="860" priority="169" operator="lessThan">
      <formula>#REF!</formula>
    </cfRule>
    <cfRule type="cellIs" dxfId="859" priority="170" operator="greaterThan">
      <formula>#REF!</formula>
    </cfRule>
  </conditionalFormatting>
  <conditionalFormatting sqref="D40:H43">
    <cfRule type="cellIs" dxfId="858" priority="159" operator="lessThan">
      <formula>#REF!</formula>
    </cfRule>
    <cfRule type="cellIs" dxfId="857" priority="160" operator="greaterThan">
      <formula>#REF!</formula>
    </cfRule>
  </conditionalFormatting>
  <conditionalFormatting sqref="D45:H50">
    <cfRule type="cellIs" dxfId="856" priority="55" operator="lessThan">
      <formula>#REF!</formula>
    </cfRule>
    <cfRule type="cellIs" dxfId="855" priority="56" operator="greaterThan">
      <formula>#REF!</formula>
    </cfRule>
  </conditionalFormatting>
  <conditionalFormatting sqref="D59:H60 D66:H70 D63:H63 D53:G58 D61:G62">
    <cfRule type="cellIs" dxfId="854" priority="193" operator="lessThan">
      <formula>#REF!</formula>
    </cfRule>
  </conditionalFormatting>
  <conditionalFormatting sqref="D65:H70">
    <cfRule type="cellIs" dxfId="853" priority="27" operator="lessThan">
      <formula>#REF!</formula>
    </cfRule>
    <cfRule type="cellIs" dxfId="852" priority="28" operator="greaterThan">
      <formula>#REF!</formula>
    </cfRule>
  </conditionalFormatting>
  <conditionalFormatting sqref="D72:H78">
    <cfRule type="cellIs" dxfId="851" priority="7" operator="lessThan">
      <formula>#REF!</formula>
    </cfRule>
    <cfRule type="cellIs" dxfId="850" priority="8" operator="greaterThan">
      <formula>#REF!</formula>
    </cfRule>
  </conditionalFormatting>
  <conditionalFormatting sqref="D80:H87">
    <cfRule type="cellIs" dxfId="849" priority="9" operator="lessThan">
      <formula>#REF!</formula>
    </cfRule>
    <cfRule type="cellIs" dxfId="848" priority="10" operator="greaterThan">
      <formula>#REF!</formula>
    </cfRule>
  </conditionalFormatting>
  <conditionalFormatting sqref="E64:G70 E86:G88">
    <cfRule type="cellIs" dxfId="847" priority="195" operator="lessThan">
      <formula>#REF!</formula>
    </cfRule>
    <cfRule type="cellIs" dxfId="846" priority="196" operator="greaterThan">
      <formula>#REF!</formula>
    </cfRule>
  </conditionalFormatting>
  <conditionalFormatting sqref="E67:G71">
    <cfRule type="cellIs" dxfId="845" priority="41" operator="lessThan">
      <formula>#REF!</formula>
    </cfRule>
    <cfRule type="cellIs" dxfId="844" priority="42" operator="greaterThan">
      <formula>#REF!</formula>
    </cfRule>
  </conditionalFormatting>
  <conditionalFormatting sqref="H53:H62">
    <cfRule type="cellIs" dxfId="843" priority="51" operator="lessThan">
      <formula>#REF!</formula>
    </cfRule>
    <cfRule type="cellIs" dxfId="842" priority="52" operator="greaterThan">
      <formula>#REF!</formula>
    </cfRule>
  </conditionalFormatting>
  <conditionalFormatting sqref="H54:H60 H62:H63">
    <cfRule type="cellIs" dxfId="841" priority="33" operator="lessThan">
      <formula>#REF!</formula>
    </cfRule>
    <cfRule type="cellIs" dxfId="840" priority="34" operator="greaterThan">
      <formula>#REF!</formula>
    </cfRule>
  </conditionalFormatting>
  <conditionalFormatting sqref="H58:H60">
    <cfRule type="cellIs" dxfId="839" priority="17" operator="lessThan">
      <formula>#REF!</formula>
    </cfRule>
    <cfRule type="cellIs" dxfId="838" priority="18" operator="greaterThan">
      <formula>#REF!</formula>
    </cfRule>
  </conditionalFormatting>
  <conditionalFormatting sqref="H64:H71">
    <cfRule type="cellIs" dxfId="837" priority="45" operator="lessThan">
      <formula>#REF!</formula>
    </cfRule>
    <cfRule type="cellIs" dxfId="836" priority="46" operator="greaterThan">
      <formula>#REF!</formula>
    </cfRule>
  </conditionalFormatting>
  <conditionalFormatting sqref="H67:H70">
    <cfRule type="cellIs" dxfId="835" priority="37" operator="lessThan">
      <formula>#REF!</formula>
    </cfRule>
    <cfRule type="cellIs" dxfId="834" priority="38" operator="greaterThan">
      <formula>#REF!</formula>
    </cfRule>
  </conditionalFormatting>
  <conditionalFormatting sqref="H68:H70">
    <cfRule type="cellIs" dxfId="833" priority="35" operator="lessThan">
      <formula>#REF!</formula>
    </cfRule>
    <cfRule type="cellIs" dxfId="832" priority="36" operator="greaterThan">
      <formula>#REF!</formula>
    </cfRule>
  </conditionalFormatting>
  <conditionalFormatting sqref="H86:H87">
    <cfRule type="cellIs" dxfId="831" priority="139" operator="lessThan">
      <formula>#REF!</formula>
    </cfRule>
    <cfRule type="cellIs" dxfId="830" priority="140" operator="greaterThan">
      <formula>#REF!</formula>
    </cfRule>
  </conditionalFormatting>
  <conditionalFormatting sqref="H87:H88">
    <cfRule type="cellIs" dxfId="829" priority="143" operator="lessThan">
      <formula>#REF!</formula>
    </cfRule>
    <cfRule type="cellIs" dxfId="828" priority="144" operator="greaterThan">
      <formula>#REF!</formula>
    </cfRule>
  </conditionalFormatting>
  <printOptions horizontalCentered="1"/>
  <pageMargins left="0.39370078740157483" right="0.39370078740157483" top="0.59055118110236227" bottom="0.39370078740157483" header="0.31496062992125984" footer="0.11811023622047245"/>
  <pageSetup paperSize="9" scale="72" firstPageNumber="38" fitToHeight="0" orientation="portrait" useFirstPageNumber="1" r:id="rId1"/>
  <headerFooter>
    <oddHeader>&amp;L&amp;"Tahoma,Kurzíva"Střednědobý výhled rozpočtu kraje na léta 2023 - 2025&amp;R&amp;"Tahoma,Kurzíva"Přehled akcí financovaných z úvěru České spořitelny, a. s.</oddHeader>
    <oddFooter>&amp;C&amp;"Tahoma,Obyčejné"&amp;P</oddFooter>
  </headerFooter>
  <rowBreaks count="2" manualBreakCount="2">
    <brk id="47" max="5" man="1"/>
    <brk id="83" max="5" man="1"/>
  </rowBreaks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BDBA8-87E4-42FB-A318-A293376E5627}">
  <sheetPr>
    <pageSetUpPr fitToPage="1"/>
  </sheetPr>
  <dimension ref="A1:P97"/>
  <sheetViews>
    <sheetView zoomScaleNormal="100" workbookViewId="0">
      <pane ySplit="5" topLeftCell="A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3" width="7.7109375" style="163" customWidth="1"/>
    <col min="4" max="11" width="12.7109375" style="141" customWidth="1"/>
    <col min="12" max="12" width="13" style="141" customWidth="1"/>
    <col min="13" max="13" width="48" style="140" customWidth="1"/>
    <col min="14" max="16384" width="9.140625" style="140"/>
  </cols>
  <sheetData>
    <row r="1" spans="1:14" ht="15" customHeight="1" x14ac:dyDescent="0.2">
      <c r="A1" s="140" t="s">
        <v>177</v>
      </c>
      <c r="N1" s="140" t="s">
        <v>237</v>
      </c>
    </row>
    <row r="2" spans="1:14" s="1" customFormat="1" ht="23.25" customHeight="1" x14ac:dyDescent="0.25">
      <c r="A2" s="346" t="s">
        <v>98</v>
      </c>
      <c r="B2" s="346"/>
      <c r="C2" s="346"/>
      <c r="D2" s="347"/>
      <c r="E2" s="347"/>
      <c r="F2" s="347"/>
      <c r="G2" s="347"/>
      <c r="H2" s="347"/>
      <c r="I2" s="347"/>
      <c r="J2" s="347"/>
      <c r="K2" s="347"/>
      <c r="L2" s="347"/>
    </row>
    <row r="3" spans="1:14" ht="13.5" thickBot="1" x14ac:dyDescent="0.25">
      <c r="A3" s="143"/>
      <c r="D3" s="143"/>
      <c r="E3" s="143"/>
      <c r="F3" s="143"/>
      <c r="G3" s="143"/>
      <c r="H3" s="143"/>
      <c r="I3" s="143"/>
      <c r="J3" s="143"/>
      <c r="K3" s="143"/>
      <c r="L3" s="144" t="s">
        <v>1</v>
      </c>
      <c r="N3" s="142"/>
    </row>
    <row r="4" spans="1:14" ht="24.6" customHeight="1" x14ac:dyDescent="0.2">
      <c r="A4" s="296" t="s">
        <v>2</v>
      </c>
      <c r="B4" s="154"/>
      <c r="C4" s="154"/>
      <c r="D4" s="349" t="s">
        <v>178</v>
      </c>
      <c r="E4" s="350"/>
      <c r="F4" s="350"/>
      <c r="G4" s="350"/>
      <c r="H4" s="350"/>
      <c r="I4" s="351"/>
      <c r="J4" s="180"/>
      <c r="K4" s="352" t="s">
        <v>269</v>
      </c>
      <c r="L4" s="352" t="s">
        <v>270</v>
      </c>
    </row>
    <row r="5" spans="1:14" ht="24.6" customHeight="1" thickBot="1" x14ac:dyDescent="0.25">
      <c r="A5" s="348"/>
      <c r="B5" s="155" t="s">
        <v>181</v>
      </c>
      <c r="C5" s="155" t="s">
        <v>238</v>
      </c>
      <c r="D5" s="126">
        <v>2021</v>
      </c>
      <c r="E5" s="184">
        <v>2022</v>
      </c>
      <c r="F5" s="145" t="s">
        <v>271</v>
      </c>
      <c r="G5" s="185">
        <v>2023</v>
      </c>
      <c r="H5" s="127" t="s">
        <v>272</v>
      </c>
      <c r="I5" s="127">
        <v>2024</v>
      </c>
      <c r="J5" s="181" t="s">
        <v>273</v>
      </c>
      <c r="K5" s="353"/>
      <c r="L5" s="353"/>
    </row>
    <row r="6" spans="1:14" s="146" customFormat="1" ht="21" customHeight="1" x14ac:dyDescent="0.25">
      <c r="A6" s="301" t="s">
        <v>70</v>
      </c>
      <c r="B6" s="356"/>
      <c r="C6" s="356"/>
      <c r="D6" s="341"/>
      <c r="E6" s="341"/>
      <c r="F6" s="341"/>
      <c r="G6" s="341"/>
      <c r="H6" s="357"/>
      <c r="I6" s="342"/>
      <c r="J6" s="342"/>
      <c r="K6" s="342"/>
      <c r="L6" s="343"/>
    </row>
    <row r="7" spans="1:14" s="147" customFormat="1" ht="18" customHeight="1" x14ac:dyDescent="0.25">
      <c r="A7" s="335" t="s">
        <v>6</v>
      </c>
      <c r="B7" s="354"/>
      <c r="C7" s="354"/>
      <c r="D7" s="336"/>
      <c r="E7" s="336"/>
      <c r="F7" s="336"/>
      <c r="G7" s="336"/>
      <c r="H7" s="336"/>
      <c r="I7" s="336"/>
      <c r="J7" s="336"/>
      <c r="K7" s="336"/>
      <c r="L7" s="337"/>
    </row>
    <row r="8" spans="1:14" s="151" customFormat="1" ht="15" customHeight="1" x14ac:dyDescent="0.25">
      <c r="A8" s="148" t="s">
        <v>7</v>
      </c>
      <c r="B8" s="156">
        <v>3402</v>
      </c>
      <c r="C8" s="164" t="s">
        <v>239</v>
      </c>
      <c r="D8" s="149">
        <v>5576.1411900000003</v>
      </c>
      <c r="E8" s="186">
        <v>91590.16</v>
      </c>
      <c r="F8" s="149">
        <v>91590.16</v>
      </c>
      <c r="G8" s="186">
        <v>60950</v>
      </c>
      <c r="H8" s="149">
        <v>60950</v>
      </c>
      <c r="I8" s="186">
        <v>0</v>
      </c>
      <c r="J8" s="149">
        <v>0</v>
      </c>
      <c r="K8" s="150">
        <f>D8+E8+G8+I8</f>
        <v>158116.30119</v>
      </c>
      <c r="L8" s="150">
        <f>D8+F8+H8+J8</f>
        <v>158116.30119</v>
      </c>
    </row>
    <row r="9" spans="1:14" s="151" customFormat="1" ht="24" customHeight="1" x14ac:dyDescent="0.25">
      <c r="A9" s="148" t="s">
        <v>8</v>
      </c>
      <c r="B9" s="156" t="s">
        <v>182</v>
      </c>
      <c r="C9" s="164" t="s">
        <v>239</v>
      </c>
      <c r="D9" s="149">
        <v>3541.7672600000001</v>
      </c>
      <c r="E9" s="186">
        <v>26967.23</v>
      </c>
      <c r="F9" s="149">
        <v>26967.23</v>
      </c>
      <c r="G9" s="186">
        <v>19995</v>
      </c>
      <c r="H9" s="149">
        <v>19995</v>
      </c>
      <c r="I9" s="186">
        <v>0</v>
      </c>
      <c r="J9" s="149">
        <v>0</v>
      </c>
      <c r="K9" s="150">
        <f>D9+E9+G9+I9</f>
        <v>50503.997260000004</v>
      </c>
      <c r="L9" s="150">
        <f t="shared" ref="L9" si="0">D9+F9+H9+J9</f>
        <v>50503.997260000004</v>
      </c>
    </row>
    <row r="10" spans="1:14" s="146" customFormat="1" ht="15" customHeight="1" x14ac:dyDescent="0.25">
      <c r="A10" s="10" t="s">
        <v>9</v>
      </c>
      <c r="B10" s="157"/>
      <c r="C10" s="165"/>
      <c r="D10" s="11">
        <f t="shared" ref="D10:J10" si="1">SUM(D8:D9)</f>
        <v>9117.9084500000008</v>
      </c>
      <c r="E10" s="11">
        <f t="shared" si="1"/>
        <v>118557.39</v>
      </c>
      <c r="F10" s="11">
        <f t="shared" si="1"/>
        <v>118557.39</v>
      </c>
      <c r="G10" s="11">
        <f t="shared" si="1"/>
        <v>80945</v>
      </c>
      <c r="H10" s="11">
        <f t="shared" si="1"/>
        <v>80945</v>
      </c>
      <c r="I10" s="11">
        <f t="shared" si="1"/>
        <v>0</v>
      </c>
      <c r="J10" s="11">
        <f t="shared" si="1"/>
        <v>0</v>
      </c>
      <c r="K10" s="12">
        <f>SUM(K8:K9)</f>
        <v>208620.29845</v>
      </c>
      <c r="L10" s="12">
        <f>SUM(L8:L9)</f>
        <v>208620.29845</v>
      </c>
    </row>
    <row r="11" spans="1:14" s="147" customFormat="1" ht="18" customHeight="1" x14ac:dyDescent="0.25">
      <c r="A11" s="338" t="s">
        <v>32</v>
      </c>
      <c r="B11" s="355"/>
      <c r="C11" s="355"/>
      <c r="D11" s="339"/>
      <c r="E11" s="339"/>
      <c r="F11" s="339"/>
      <c r="G11" s="339"/>
      <c r="H11" s="339"/>
      <c r="I11" s="339"/>
      <c r="J11" s="339"/>
      <c r="K11" s="339"/>
      <c r="L11" s="340"/>
    </row>
    <row r="12" spans="1:14" s="151" customFormat="1" ht="15" customHeight="1" x14ac:dyDescent="0.25">
      <c r="A12" s="148" t="s">
        <v>83</v>
      </c>
      <c r="B12" s="156" t="s">
        <v>183</v>
      </c>
      <c r="C12" s="164" t="s">
        <v>239</v>
      </c>
      <c r="D12" s="149">
        <v>0</v>
      </c>
      <c r="E12" s="186">
        <v>26810</v>
      </c>
      <c r="F12" s="149">
        <v>26810</v>
      </c>
      <c r="G12" s="186">
        <v>0</v>
      </c>
      <c r="H12" s="149">
        <v>0</v>
      </c>
      <c r="I12" s="186">
        <v>0</v>
      </c>
      <c r="J12" s="182">
        <v>0</v>
      </c>
      <c r="K12" s="150">
        <f>D12+E12+G12+I12</f>
        <v>26810</v>
      </c>
      <c r="L12" s="150">
        <f>D12+F12+H12+J12</f>
        <v>26810</v>
      </c>
    </row>
    <row r="13" spans="1:14" s="151" customFormat="1" ht="15" customHeight="1" x14ac:dyDescent="0.25">
      <c r="A13" s="148" t="s">
        <v>86</v>
      </c>
      <c r="B13" s="156" t="s">
        <v>184</v>
      </c>
      <c r="C13" s="164" t="s">
        <v>239</v>
      </c>
      <c r="D13" s="149">
        <v>0</v>
      </c>
      <c r="E13" s="186">
        <v>10963</v>
      </c>
      <c r="F13" s="149">
        <v>10963</v>
      </c>
      <c r="G13" s="186">
        <v>0</v>
      </c>
      <c r="H13" s="149">
        <v>0</v>
      </c>
      <c r="I13" s="186">
        <v>0</v>
      </c>
      <c r="J13" s="182">
        <v>0</v>
      </c>
      <c r="K13" s="150">
        <f>D13+E13+G13+I13</f>
        <v>10963</v>
      </c>
      <c r="L13" s="150">
        <f t="shared" ref="L13:L15" si="2">D13+F13+H13+J13</f>
        <v>10963</v>
      </c>
    </row>
    <row r="14" spans="1:14" s="151" customFormat="1" ht="15" customHeight="1" x14ac:dyDescent="0.25">
      <c r="A14" s="148" t="s">
        <v>84</v>
      </c>
      <c r="B14" s="156" t="s">
        <v>185</v>
      </c>
      <c r="C14" s="164" t="s">
        <v>239</v>
      </c>
      <c r="D14" s="149">
        <v>0</v>
      </c>
      <c r="E14" s="186">
        <v>21262</v>
      </c>
      <c r="F14" s="149">
        <v>21262</v>
      </c>
      <c r="G14" s="186">
        <v>0</v>
      </c>
      <c r="H14" s="149">
        <v>0</v>
      </c>
      <c r="I14" s="186">
        <v>0</v>
      </c>
      <c r="J14" s="182">
        <v>0</v>
      </c>
      <c r="K14" s="150">
        <f>D14+E14+G14+I14</f>
        <v>21262</v>
      </c>
      <c r="L14" s="150">
        <f t="shared" si="2"/>
        <v>21262</v>
      </c>
    </row>
    <row r="15" spans="1:14" s="151" customFormat="1" ht="15" customHeight="1" x14ac:dyDescent="0.25">
      <c r="A15" s="148" t="s">
        <v>85</v>
      </c>
      <c r="B15" s="156" t="s">
        <v>186</v>
      </c>
      <c r="C15" s="164" t="s">
        <v>239</v>
      </c>
      <c r="D15" s="149">
        <v>0</v>
      </c>
      <c r="E15" s="186">
        <v>50842</v>
      </c>
      <c r="F15" s="149">
        <v>50842</v>
      </c>
      <c r="G15" s="186">
        <v>0</v>
      </c>
      <c r="H15" s="149">
        <v>0</v>
      </c>
      <c r="I15" s="186">
        <v>0</v>
      </c>
      <c r="J15" s="182">
        <v>0</v>
      </c>
      <c r="K15" s="150">
        <f>D15+E15+G15+I15</f>
        <v>50842</v>
      </c>
      <c r="L15" s="150">
        <f t="shared" si="2"/>
        <v>50842</v>
      </c>
    </row>
    <row r="16" spans="1:14" s="146" customFormat="1" ht="15" customHeight="1" x14ac:dyDescent="0.25">
      <c r="A16" s="10" t="s">
        <v>47</v>
      </c>
      <c r="B16" s="157"/>
      <c r="C16" s="165"/>
      <c r="D16" s="11">
        <f>SUM(D12:D15)</f>
        <v>0</v>
      </c>
      <c r="E16" s="11">
        <f>SUM(E12:E15)</f>
        <v>109877</v>
      </c>
      <c r="F16" s="11">
        <f t="shared" ref="F16:J16" si="3">SUM(F12:F15)</f>
        <v>109877</v>
      </c>
      <c r="G16" s="11">
        <f t="shared" si="3"/>
        <v>0</v>
      </c>
      <c r="H16" s="11">
        <f t="shared" si="3"/>
        <v>0</v>
      </c>
      <c r="I16" s="11">
        <f t="shared" si="3"/>
        <v>0</v>
      </c>
      <c r="J16" s="11">
        <f t="shared" si="3"/>
        <v>0</v>
      </c>
      <c r="K16" s="11">
        <f>SUM(K12:K15)</f>
        <v>109877</v>
      </c>
      <c r="L16" s="11">
        <f>SUM(L12:L15)</f>
        <v>109877</v>
      </c>
    </row>
    <row r="17" spans="1:14" s="147" customFormat="1" ht="18" customHeight="1" x14ac:dyDescent="0.25">
      <c r="A17" s="335" t="s">
        <v>10</v>
      </c>
      <c r="B17" s="354"/>
      <c r="C17" s="354"/>
      <c r="D17" s="336"/>
      <c r="E17" s="336"/>
      <c r="F17" s="336"/>
      <c r="G17" s="336"/>
      <c r="H17" s="336"/>
      <c r="I17" s="336"/>
      <c r="J17" s="336"/>
      <c r="K17" s="336"/>
      <c r="L17" s="337"/>
    </row>
    <row r="18" spans="1:14" s="151" customFormat="1" ht="15" customHeight="1" x14ac:dyDescent="0.25">
      <c r="A18" s="148" t="s">
        <v>11</v>
      </c>
      <c r="B18" s="156" t="s">
        <v>187</v>
      </c>
      <c r="C18" s="164" t="s">
        <v>239</v>
      </c>
      <c r="D18" s="149">
        <v>0</v>
      </c>
      <c r="E18" s="186">
        <v>8443</v>
      </c>
      <c r="F18" s="149">
        <v>8443</v>
      </c>
      <c r="G18" s="189">
        <v>27770</v>
      </c>
      <c r="H18" s="149">
        <v>27770</v>
      </c>
      <c r="I18" s="186">
        <v>0</v>
      </c>
      <c r="J18" s="182">
        <v>0</v>
      </c>
      <c r="K18" s="150">
        <f>D18+E18+G18+I18</f>
        <v>36213</v>
      </c>
      <c r="L18" s="150">
        <f>D18+F18+H18+J18</f>
        <v>36213</v>
      </c>
    </row>
    <row r="19" spans="1:14" s="146" customFormat="1" ht="23.45" customHeight="1" thickBot="1" x14ac:dyDescent="0.3">
      <c r="A19" s="10" t="s">
        <v>13</v>
      </c>
      <c r="B19" s="157"/>
      <c r="C19" s="165"/>
      <c r="D19" s="11">
        <f t="shared" ref="D19:J19" si="4">SUM(D18:D18)</f>
        <v>0</v>
      </c>
      <c r="E19" s="11">
        <f t="shared" si="4"/>
        <v>8443</v>
      </c>
      <c r="F19" s="11">
        <f t="shared" si="4"/>
        <v>8443</v>
      </c>
      <c r="G19" s="11">
        <f t="shared" si="4"/>
        <v>27770</v>
      </c>
      <c r="H19" s="11">
        <f t="shared" si="4"/>
        <v>27770</v>
      </c>
      <c r="I19" s="11">
        <f t="shared" si="4"/>
        <v>0</v>
      </c>
      <c r="J19" s="11">
        <f t="shared" si="4"/>
        <v>0</v>
      </c>
      <c r="K19" s="12">
        <f>SUM(K18:K18)</f>
        <v>36213</v>
      </c>
      <c r="L19" s="12">
        <f>SUM(L18:L18)</f>
        <v>36213</v>
      </c>
    </row>
    <row r="20" spans="1:14" s="146" customFormat="1" ht="25.5" customHeight="1" thickBot="1" x14ac:dyDescent="0.3">
      <c r="A20" s="14" t="s">
        <v>71</v>
      </c>
      <c r="B20" s="158"/>
      <c r="C20" s="166"/>
      <c r="D20" s="15">
        <f t="shared" ref="D20:L20" si="5">D10+D16+D19</f>
        <v>9117.9084500000008</v>
      </c>
      <c r="E20" s="15">
        <f t="shared" si="5"/>
        <v>236877.39</v>
      </c>
      <c r="F20" s="15">
        <f t="shared" si="5"/>
        <v>236877.39</v>
      </c>
      <c r="G20" s="15">
        <f t="shared" si="5"/>
        <v>108715</v>
      </c>
      <c r="H20" s="15">
        <f t="shared" si="5"/>
        <v>108715</v>
      </c>
      <c r="I20" s="15">
        <f t="shared" si="5"/>
        <v>0</v>
      </c>
      <c r="J20" s="15">
        <f t="shared" si="5"/>
        <v>0</v>
      </c>
      <c r="K20" s="16">
        <f t="shared" si="5"/>
        <v>354710.29845</v>
      </c>
      <c r="L20" s="16">
        <f t="shared" si="5"/>
        <v>354710.29845</v>
      </c>
    </row>
    <row r="21" spans="1:14" s="146" customFormat="1" ht="12" customHeight="1" thickBot="1" x14ac:dyDescent="0.3">
      <c r="A21" s="17"/>
      <c r="B21" s="159"/>
      <c r="C21" s="167"/>
      <c r="D21" s="94"/>
      <c r="E21" s="94"/>
      <c r="F21" s="94"/>
      <c r="G21" s="94"/>
      <c r="H21" s="94"/>
      <c r="I21" s="94"/>
      <c r="J21" s="94"/>
      <c r="K21" s="94"/>
      <c r="L21" s="95"/>
    </row>
    <row r="22" spans="1:14" s="146" customFormat="1" ht="21" customHeight="1" x14ac:dyDescent="0.25">
      <c r="A22" s="301" t="s">
        <v>72</v>
      </c>
      <c r="B22" s="356"/>
      <c r="C22" s="356"/>
      <c r="D22" s="341"/>
      <c r="E22" s="341"/>
      <c r="F22" s="341"/>
      <c r="G22" s="341"/>
      <c r="H22" s="357"/>
      <c r="I22" s="342"/>
      <c r="J22" s="342"/>
      <c r="K22" s="342"/>
      <c r="L22" s="343"/>
    </row>
    <row r="23" spans="1:14" s="147" customFormat="1" ht="18" customHeight="1" x14ac:dyDescent="0.25">
      <c r="A23" s="335" t="s">
        <v>48</v>
      </c>
      <c r="B23" s="354"/>
      <c r="C23" s="354"/>
      <c r="D23" s="336"/>
      <c r="E23" s="336"/>
      <c r="F23" s="336"/>
      <c r="G23" s="336"/>
      <c r="H23" s="336"/>
      <c r="I23" s="336"/>
      <c r="J23" s="336"/>
      <c r="K23" s="336"/>
      <c r="L23" s="337"/>
      <c r="N23" s="169"/>
    </row>
    <row r="24" spans="1:14" s="151" customFormat="1" ht="24" customHeight="1" x14ac:dyDescent="0.25">
      <c r="A24" s="148" t="s">
        <v>179</v>
      </c>
      <c r="B24" s="156" t="s">
        <v>188</v>
      </c>
      <c r="C24" s="164" t="s">
        <v>243</v>
      </c>
      <c r="D24" s="149">
        <v>0</v>
      </c>
      <c r="E24" s="186">
        <f>40219</f>
        <v>40219</v>
      </c>
      <c r="F24" s="149">
        <v>0</v>
      </c>
      <c r="G24" s="186">
        <v>0</v>
      </c>
      <c r="H24" s="149">
        <v>0</v>
      </c>
      <c r="I24" s="186">
        <v>0</v>
      </c>
      <c r="J24" s="182">
        <v>0</v>
      </c>
      <c r="K24" s="150">
        <f>D24+E24+G24+I24</f>
        <v>40219</v>
      </c>
      <c r="L24" s="150">
        <f t="shared" ref="L24" si="6">D24+F24+H24+J24</f>
        <v>0</v>
      </c>
    </row>
    <row r="25" spans="1:14" s="146" customFormat="1" ht="15" customHeight="1" thickBot="1" x14ac:dyDescent="0.3">
      <c r="A25" s="10" t="s">
        <v>53</v>
      </c>
      <c r="B25" s="157"/>
      <c r="C25" s="165"/>
      <c r="D25" s="11">
        <f>SUM(D24:D24)</f>
        <v>0</v>
      </c>
      <c r="E25" s="11">
        <f>SUM(E24:E24)</f>
        <v>40219</v>
      </c>
      <c r="F25" s="11">
        <f>SUM(F24:F24)</f>
        <v>0</v>
      </c>
      <c r="G25" s="11">
        <f>SUM(G24:G24)</f>
        <v>0</v>
      </c>
      <c r="H25" s="11">
        <f t="shared" ref="H25:J25" si="7">SUM(H24:H24)</f>
        <v>0</v>
      </c>
      <c r="I25" s="11">
        <f t="shared" si="7"/>
        <v>0</v>
      </c>
      <c r="J25" s="11">
        <f t="shared" si="7"/>
        <v>0</v>
      </c>
      <c r="K25" s="12">
        <f>SUM(K24:K24)</f>
        <v>40219</v>
      </c>
      <c r="L25" s="12">
        <f>SUM(L24:L24)</f>
        <v>0</v>
      </c>
    </row>
    <row r="26" spans="1:14" s="146" customFormat="1" ht="36" customHeight="1" thickBot="1" x14ac:dyDescent="0.3">
      <c r="A26" s="14" t="s">
        <v>79</v>
      </c>
      <c r="B26" s="158"/>
      <c r="C26" s="166"/>
      <c r="D26" s="15">
        <f>D25</f>
        <v>0</v>
      </c>
      <c r="E26" s="15">
        <f>E25</f>
        <v>40219</v>
      </c>
      <c r="F26" s="15">
        <f>F25</f>
        <v>0</v>
      </c>
      <c r="G26" s="15">
        <f>G25</f>
        <v>0</v>
      </c>
      <c r="H26" s="15">
        <f t="shared" ref="H26:J26" si="8">H25</f>
        <v>0</v>
      </c>
      <c r="I26" s="15">
        <f t="shared" si="8"/>
        <v>0</v>
      </c>
      <c r="J26" s="15">
        <f t="shared" si="8"/>
        <v>0</v>
      </c>
      <c r="K26" s="16">
        <f>K25</f>
        <v>40219</v>
      </c>
      <c r="L26" s="196">
        <f>L25</f>
        <v>0</v>
      </c>
      <c r="N26" s="188">
        <f>K26-L26</f>
        <v>40219</v>
      </c>
    </row>
    <row r="27" spans="1:14" s="146" customFormat="1" ht="12" customHeight="1" thickBot="1" x14ac:dyDescent="0.3">
      <c r="A27" s="17"/>
      <c r="B27" s="159"/>
      <c r="C27" s="167"/>
      <c r="D27" s="94"/>
      <c r="E27" s="94"/>
      <c r="F27" s="94"/>
      <c r="G27" s="94"/>
      <c r="H27" s="94"/>
      <c r="I27" s="94"/>
      <c r="J27" s="94"/>
      <c r="K27" s="94"/>
      <c r="L27" s="95"/>
    </row>
    <row r="28" spans="1:14" s="146" customFormat="1" ht="21" customHeight="1" x14ac:dyDescent="0.25">
      <c r="A28" s="301" t="s">
        <v>15</v>
      </c>
      <c r="B28" s="356"/>
      <c r="C28" s="356"/>
      <c r="D28" s="341"/>
      <c r="E28" s="341"/>
      <c r="F28" s="341"/>
      <c r="G28" s="341"/>
      <c r="H28" s="341"/>
      <c r="I28" s="344"/>
      <c r="J28" s="358"/>
      <c r="K28" s="358"/>
      <c r="L28" s="345"/>
    </row>
    <row r="29" spans="1:14" s="147" customFormat="1" ht="18" customHeight="1" x14ac:dyDescent="0.25">
      <c r="A29" s="338" t="s">
        <v>16</v>
      </c>
      <c r="B29" s="355"/>
      <c r="C29" s="355"/>
      <c r="D29" s="339"/>
      <c r="E29" s="339"/>
      <c r="F29" s="339"/>
      <c r="G29" s="339"/>
      <c r="H29" s="339"/>
      <c r="I29" s="339"/>
      <c r="J29" s="339"/>
      <c r="K29" s="339"/>
      <c r="L29" s="340"/>
    </row>
    <row r="30" spans="1:14" s="151" customFormat="1" ht="24" customHeight="1" x14ac:dyDescent="0.25">
      <c r="A30" s="148" t="s">
        <v>162</v>
      </c>
      <c r="B30" s="156" t="s">
        <v>189</v>
      </c>
      <c r="C30" s="164" t="s">
        <v>245</v>
      </c>
      <c r="D30" s="20">
        <v>0</v>
      </c>
      <c r="E30" s="187">
        <v>40000</v>
      </c>
      <c r="F30" s="172">
        <v>40000</v>
      </c>
      <c r="G30" s="187">
        <v>52000</v>
      </c>
      <c r="H30" s="172">
        <v>52000</v>
      </c>
      <c r="I30" s="20">
        <v>0</v>
      </c>
      <c r="J30" s="20">
        <v>0</v>
      </c>
      <c r="K30" s="150">
        <f t="shared" ref="K30:K35" si="9">D30+E30+G30+I30</f>
        <v>92000</v>
      </c>
      <c r="L30" s="150">
        <f>D30+F30+H30+J30</f>
        <v>92000</v>
      </c>
      <c r="M30" s="151" t="s">
        <v>163</v>
      </c>
    </row>
    <row r="31" spans="1:14" s="151" customFormat="1" ht="24" customHeight="1" x14ac:dyDescent="0.25">
      <c r="A31" s="21" t="s">
        <v>164</v>
      </c>
      <c r="B31" s="156" t="s">
        <v>190</v>
      </c>
      <c r="C31" s="164" t="s">
        <v>245</v>
      </c>
      <c r="D31" s="20">
        <v>0</v>
      </c>
      <c r="E31" s="187">
        <v>41000</v>
      </c>
      <c r="F31" s="172">
        <v>0</v>
      </c>
      <c r="G31" s="187">
        <v>0</v>
      </c>
      <c r="H31" s="194">
        <v>0</v>
      </c>
      <c r="I31" s="20">
        <v>0</v>
      </c>
      <c r="J31" s="20">
        <v>0</v>
      </c>
      <c r="K31" s="150">
        <f t="shared" si="9"/>
        <v>41000</v>
      </c>
      <c r="L31" s="150">
        <f t="shared" ref="L31:L35" si="10">D31+F31+H31+J31</f>
        <v>0</v>
      </c>
      <c r="M31" s="197" t="s">
        <v>274</v>
      </c>
    </row>
    <row r="32" spans="1:14" s="151" customFormat="1" ht="24" customHeight="1" x14ac:dyDescent="0.25">
      <c r="A32" s="148" t="s">
        <v>165</v>
      </c>
      <c r="B32" s="156" t="s">
        <v>191</v>
      </c>
      <c r="C32" s="164" t="s">
        <v>245</v>
      </c>
      <c r="D32" s="20">
        <v>0</v>
      </c>
      <c r="E32" s="187">
        <v>60000</v>
      </c>
      <c r="F32" s="172">
        <v>60000</v>
      </c>
      <c r="G32" s="187">
        <v>0</v>
      </c>
      <c r="H32" s="172">
        <v>0</v>
      </c>
      <c r="I32" s="20">
        <v>0</v>
      </c>
      <c r="J32" s="20">
        <v>0</v>
      </c>
      <c r="K32" s="150">
        <f t="shared" si="9"/>
        <v>60000</v>
      </c>
      <c r="L32" s="150">
        <f t="shared" si="10"/>
        <v>60000</v>
      </c>
      <c r="M32" s="151" t="s">
        <v>163</v>
      </c>
    </row>
    <row r="33" spans="1:16" s="151" customFormat="1" ht="15" customHeight="1" x14ac:dyDescent="0.25">
      <c r="A33" s="148" t="s">
        <v>180</v>
      </c>
      <c r="B33" s="156" t="s">
        <v>192</v>
      </c>
      <c r="C33" s="164" t="s">
        <v>247</v>
      </c>
      <c r="D33" s="20">
        <v>0</v>
      </c>
      <c r="E33" s="187">
        <v>300</v>
      </c>
      <c r="F33" s="172">
        <v>300</v>
      </c>
      <c r="G33" s="187">
        <v>75000</v>
      </c>
      <c r="H33" s="20">
        <v>75000</v>
      </c>
      <c r="I33" s="20">
        <v>15000</v>
      </c>
      <c r="J33" s="20">
        <v>15000</v>
      </c>
      <c r="K33" s="150">
        <f t="shared" si="9"/>
        <v>90300</v>
      </c>
      <c r="L33" s="150">
        <f t="shared" si="10"/>
        <v>90300</v>
      </c>
      <c r="M33" s="151" t="s">
        <v>248</v>
      </c>
    </row>
    <row r="34" spans="1:16" s="151" customFormat="1" ht="15" customHeight="1" x14ac:dyDescent="0.25">
      <c r="A34" s="148" t="s">
        <v>17</v>
      </c>
      <c r="B34" s="156" t="s">
        <v>193</v>
      </c>
      <c r="C34" s="164" t="s">
        <v>247</v>
      </c>
      <c r="D34" s="20">
        <v>0</v>
      </c>
      <c r="E34" s="187">
        <v>30807</v>
      </c>
      <c r="F34" s="172">
        <f>30807-29500</f>
        <v>1307</v>
      </c>
      <c r="G34" s="187">
        <f>277178+30993-52000</f>
        <v>256171</v>
      </c>
      <c r="H34" s="20">
        <f>277178+30993-52000</f>
        <v>256171</v>
      </c>
      <c r="I34" s="20">
        <v>0</v>
      </c>
      <c r="J34" s="20">
        <v>0</v>
      </c>
      <c r="K34" s="150">
        <f t="shared" si="9"/>
        <v>286978</v>
      </c>
      <c r="L34" s="150">
        <f t="shared" si="10"/>
        <v>257478</v>
      </c>
      <c r="M34" s="151" t="s">
        <v>249</v>
      </c>
      <c r="N34" s="179">
        <v>29500</v>
      </c>
    </row>
    <row r="35" spans="1:16" s="151" customFormat="1" ht="24" customHeight="1" x14ac:dyDescent="0.25">
      <c r="A35" s="148" t="s">
        <v>92</v>
      </c>
      <c r="B35" s="156" t="s">
        <v>194</v>
      </c>
      <c r="C35" s="164" t="s">
        <v>247</v>
      </c>
      <c r="D35" s="20">
        <v>0</v>
      </c>
      <c r="E35" s="187">
        <v>31298</v>
      </c>
      <c r="F35" s="172">
        <v>31298</v>
      </c>
      <c r="G35" s="187">
        <v>29000</v>
      </c>
      <c r="H35" s="20">
        <v>29000</v>
      </c>
      <c r="I35" s="20">
        <v>2702</v>
      </c>
      <c r="J35" s="20">
        <v>2702</v>
      </c>
      <c r="K35" s="150">
        <f t="shared" si="9"/>
        <v>63000</v>
      </c>
      <c r="L35" s="150">
        <f t="shared" si="10"/>
        <v>63000</v>
      </c>
      <c r="M35" s="151" t="s">
        <v>248</v>
      </c>
    </row>
    <row r="36" spans="1:16" s="146" customFormat="1" ht="15" customHeight="1" x14ac:dyDescent="0.25">
      <c r="A36" s="10" t="s">
        <v>19</v>
      </c>
      <c r="B36" s="157"/>
      <c r="C36" s="165"/>
      <c r="D36" s="11">
        <f t="shared" ref="D36" si="11">SUM(D30:D35)</f>
        <v>0</v>
      </c>
      <c r="E36" s="11">
        <f t="shared" ref="E36:L36" si="12">SUM(E30:E35)</f>
        <v>203405</v>
      </c>
      <c r="F36" s="11">
        <f t="shared" si="12"/>
        <v>132905</v>
      </c>
      <c r="G36" s="11">
        <f t="shared" si="12"/>
        <v>412171</v>
      </c>
      <c r="H36" s="11">
        <f t="shared" si="12"/>
        <v>412171</v>
      </c>
      <c r="I36" s="11">
        <f t="shared" si="12"/>
        <v>17702</v>
      </c>
      <c r="J36" s="11">
        <f t="shared" si="12"/>
        <v>17702</v>
      </c>
      <c r="K36" s="12">
        <f t="shared" si="12"/>
        <v>633278</v>
      </c>
      <c r="L36" s="12">
        <f t="shared" si="12"/>
        <v>562778</v>
      </c>
      <c r="N36" s="188">
        <f>H36-G36</f>
        <v>0</v>
      </c>
      <c r="O36" s="188">
        <f>L36-K36</f>
        <v>-70500</v>
      </c>
      <c r="P36" s="188">
        <f>F36-E36</f>
        <v>-70500</v>
      </c>
    </row>
    <row r="37" spans="1:16" s="147" customFormat="1" ht="18" customHeight="1" x14ac:dyDescent="0.25">
      <c r="A37" s="332" t="s">
        <v>20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4"/>
      <c r="N37" s="169"/>
    </row>
    <row r="38" spans="1:16" s="151" customFormat="1" ht="24" customHeight="1" x14ac:dyDescent="0.25">
      <c r="A38" s="21" t="s">
        <v>24</v>
      </c>
      <c r="B38" s="160" t="s">
        <v>195</v>
      </c>
      <c r="C38" s="164" t="s">
        <v>247</v>
      </c>
      <c r="D38" s="20">
        <v>375.1</v>
      </c>
      <c r="E38" s="187">
        <f>50000-30000</f>
        <v>20000</v>
      </c>
      <c r="F38" s="172">
        <v>5000</v>
      </c>
      <c r="G38" s="178">
        <v>55000</v>
      </c>
      <c r="H38" s="20">
        <v>55000</v>
      </c>
      <c r="I38" s="178">
        <f>37000-12443</f>
        <v>24557</v>
      </c>
      <c r="J38" s="172">
        <v>39557</v>
      </c>
      <c r="K38" s="150">
        <f>SUM(D38+E38+G38+I38)</f>
        <v>99932.1</v>
      </c>
      <c r="L38" s="150">
        <f>D38+F38+H38+J38</f>
        <v>99932.1</v>
      </c>
      <c r="M38" s="146"/>
    </row>
    <row r="39" spans="1:16" s="151" customFormat="1" ht="24" customHeight="1" x14ac:dyDescent="0.25">
      <c r="A39" s="21" t="s">
        <v>23</v>
      </c>
      <c r="B39" s="160" t="s">
        <v>196</v>
      </c>
      <c r="C39" s="164" t="s">
        <v>247</v>
      </c>
      <c r="D39" s="20">
        <v>615</v>
      </c>
      <c r="E39" s="187">
        <v>40400</v>
      </c>
      <c r="F39" s="172">
        <v>40400</v>
      </c>
      <c r="G39" s="178">
        <v>10000</v>
      </c>
      <c r="H39" s="20">
        <v>10000</v>
      </c>
      <c r="I39" s="178">
        <v>0</v>
      </c>
      <c r="J39" s="172">
        <v>0</v>
      </c>
      <c r="K39" s="150">
        <f>SUM(D39+E39+G39+I39)</f>
        <v>51015</v>
      </c>
      <c r="L39" s="150">
        <f t="shared" ref="L39:L40" si="13">D39+F39+H39+J39</f>
        <v>51015</v>
      </c>
      <c r="M39" s="151" t="s">
        <v>248</v>
      </c>
    </row>
    <row r="40" spans="1:16" s="151" customFormat="1" ht="24" customHeight="1" x14ac:dyDescent="0.25">
      <c r="A40" s="21" t="s">
        <v>25</v>
      </c>
      <c r="B40" s="160" t="s">
        <v>197</v>
      </c>
      <c r="C40" s="164" t="s">
        <v>247</v>
      </c>
      <c r="D40" s="20">
        <v>0</v>
      </c>
      <c r="E40" s="187">
        <v>0</v>
      </c>
      <c r="F40" s="172">
        <v>0</v>
      </c>
      <c r="G40" s="178">
        <v>30000</v>
      </c>
      <c r="H40" s="20">
        <v>0</v>
      </c>
      <c r="I40" s="178">
        <v>65000</v>
      </c>
      <c r="J40" s="172">
        <v>0</v>
      </c>
      <c r="K40" s="150">
        <f>SUM(D40+E40+G40+I40)</f>
        <v>95000</v>
      </c>
      <c r="L40" s="150">
        <f t="shared" si="13"/>
        <v>0</v>
      </c>
      <c r="M40" s="197" t="s">
        <v>275</v>
      </c>
    </row>
    <row r="41" spans="1:16" s="146" customFormat="1" ht="15" customHeight="1" x14ac:dyDescent="0.25">
      <c r="A41" s="10" t="s">
        <v>27</v>
      </c>
      <c r="B41" s="157"/>
      <c r="C41" s="165"/>
      <c r="D41" s="11">
        <f>SUM(D38:D40)</f>
        <v>990.1</v>
      </c>
      <c r="E41" s="11">
        <f>SUM(E38:E40)</f>
        <v>60400</v>
      </c>
      <c r="F41" s="11">
        <f t="shared" ref="F41:J41" si="14">SUM(F38:F40)</f>
        <v>45400</v>
      </c>
      <c r="G41" s="11">
        <f t="shared" si="14"/>
        <v>95000</v>
      </c>
      <c r="H41" s="11">
        <f t="shared" si="14"/>
        <v>65000</v>
      </c>
      <c r="I41" s="11">
        <f t="shared" si="14"/>
        <v>89557</v>
      </c>
      <c r="J41" s="11">
        <f t="shared" si="14"/>
        <v>39557</v>
      </c>
      <c r="K41" s="12">
        <f>SUM(K38:K40)</f>
        <v>245947.1</v>
      </c>
      <c r="L41" s="12">
        <f>SUM(L38:L40)</f>
        <v>150947.1</v>
      </c>
      <c r="N41" s="188">
        <f>F41-E41</f>
        <v>-15000</v>
      </c>
      <c r="O41" s="188">
        <f>J41-I41</f>
        <v>-50000</v>
      </c>
    </row>
    <row r="42" spans="1:16" s="147" customFormat="1" ht="18" customHeight="1" x14ac:dyDescent="0.25">
      <c r="A42" s="335" t="s">
        <v>6</v>
      </c>
      <c r="B42" s="354"/>
      <c r="C42" s="354"/>
      <c r="D42" s="336"/>
      <c r="E42" s="336"/>
      <c r="F42" s="336"/>
      <c r="G42" s="336"/>
      <c r="H42" s="336"/>
      <c r="I42" s="336"/>
      <c r="J42" s="336"/>
      <c r="K42" s="336"/>
      <c r="L42" s="337"/>
    </row>
    <row r="43" spans="1:16" s="151" customFormat="1" ht="24" customHeight="1" x14ac:dyDescent="0.25">
      <c r="A43" s="148" t="s">
        <v>110</v>
      </c>
      <c r="B43" s="156" t="s">
        <v>198</v>
      </c>
      <c r="C43" s="164" t="s">
        <v>247</v>
      </c>
      <c r="D43" s="20">
        <v>11814</v>
      </c>
      <c r="E43" s="178">
        <v>0</v>
      </c>
      <c r="F43" s="172">
        <v>0</v>
      </c>
      <c r="G43" s="178">
        <v>0</v>
      </c>
      <c r="H43" s="172">
        <v>0</v>
      </c>
      <c r="I43" s="178">
        <v>0</v>
      </c>
      <c r="J43" s="172">
        <v>0</v>
      </c>
      <c r="K43" s="150">
        <f t="shared" ref="K43:K48" si="15">D43+E43+G43+I43</f>
        <v>11814</v>
      </c>
      <c r="L43" s="150">
        <f>D43+F43+H43+J43</f>
        <v>11814</v>
      </c>
      <c r="M43" s="151" t="s">
        <v>251</v>
      </c>
    </row>
    <row r="44" spans="1:16" s="151" customFormat="1" ht="24" customHeight="1" x14ac:dyDescent="0.25">
      <c r="A44" s="23" t="s">
        <v>111</v>
      </c>
      <c r="B44" s="161" t="s">
        <v>199</v>
      </c>
      <c r="C44" s="164" t="s">
        <v>247</v>
      </c>
      <c r="D44" s="20">
        <v>6329.88</v>
      </c>
      <c r="E44" s="178">
        <v>0</v>
      </c>
      <c r="F44" s="172">
        <v>0</v>
      </c>
      <c r="G44" s="178">
        <v>0</v>
      </c>
      <c r="H44" s="172">
        <v>0</v>
      </c>
      <c r="I44" s="178">
        <v>0</v>
      </c>
      <c r="J44" s="172">
        <v>0</v>
      </c>
      <c r="K44" s="150">
        <f t="shared" si="15"/>
        <v>6329.88</v>
      </c>
      <c r="L44" s="150">
        <f t="shared" ref="L44:L48" si="16">D44+F44+H44+J44</f>
        <v>6329.88</v>
      </c>
      <c r="M44" s="151" t="s">
        <v>251</v>
      </c>
    </row>
    <row r="45" spans="1:16" s="151" customFormat="1" ht="24" customHeight="1" x14ac:dyDescent="0.25">
      <c r="A45" s="23" t="s">
        <v>113</v>
      </c>
      <c r="B45" s="161" t="s">
        <v>200</v>
      </c>
      <c r="C45" s="164" t="s">
        <v>247</v>
      </c>
      <c r="D45" s="20">
        <v>12143.58</v>
      </c>
      <c r="E45" s="178">
        <v>1042.1199999999999</v>
      </c>
      <c r="F45" s="172">
        <v>1042.1199999999999</v>
      </c>
      <c r="G45" s="178">
        <v>0</v>
      </c>
      <c r="H45" s="172">
        <v>0</v>
      </c>
      <c r="I45" s="178">
        <v>0</v>
      </c>
      <c r="J45" s="172">
        <v>0</v>
      </c>
      <c r="K45" s="150">
        <f t="shared" si="15"/>
        <v>13185.7</v>
      </c>
      <c r="L45" s="150">
        <f t="shared" si="16"/>
        <v>13185.7</v>
      </c>
      <c r="M45" s="151" t="s">
        <v>248</v>
      </c>
    </row>
    <row r="46" spans="1:16" s="151" customFormat="1" ht="24" customHeight="1" x14ac:dyDescent="0.25">
      <c r="A46" s="23" t="s">
        <v>31</v>
      </c>
      <c r="B46" s="161" t="s">
        <v>201</v>
      </c>
      <c r="C46" s="164" t="s">
        <v>247</v>
      </c>
      <c r="D46" s="20">
        <v>10650</v>
      </c>
      <c r="E46" s="178">
        <f>5700-2850</f>
        <v>2850</v>
      </c>
      <c r="F46" s="172">
        <f>5700-2850</f>
        <v>2850</v>
      </c>
      <c r="G46" s="178">
        <v>0</v>
      </c>
      <c r="H46" s="172">
        <v>0</v>
      </c>
      <c r="I46" s="178">
        <v>0</v>
      </c>
      <c r="J46" s="172">
        <v>0</v>
      </c>
      <c r="K46" s="150">
        <f t="shared" si="15"/>
        <v>13500</v>
      </c>
      <c r="L46" s="150">
        <f t="shared" si="16"/>
        <v>13500</v>
      </c>
      <c r="M46" s="151" t="s">
        <v>248</v>
      </c>
    </row>
    <row r="47" spans="1:16" s="151" customFormat="1" ht="24" customHeight="1" x14ac:dyDescent="0.25">
      <c r="A47" s="148" t="s">
        <v>29</v>
      </c>
      <c r="B47" s="156" t="s">
        <v>202</v>
      </c>
      <c r="C47" s="164" t="s">
        <v>239</v>
      </c>
      <c r="D47" s="20">
        <v>0</v>
      </c>
      <c r="E47" s="178">
        <f>82731+15000</f>
        <v>97731</v>
      </c>
      <c r="F47" s="172">
        <f>82731+15000</f>
        <v>97731</v>
      </c>
      <c r="G47" s="178">
        <v>19761</v>
      </c>
      <c r="H47" s="172">
        <v>19761</v>
      </c>
      <c r="I47" s="178">
        <v>0</v>
      </c>
      <c r="J47" s="172">
        <v>0</v>
      </c>
      <c r="K47" s="150">
        <f t="shared" si="15"/>
        <v>117492</v>
      </c>
      <c r="L47" s="150">
        <f t="shared" si="16"/>
        <v>117492</v>
      </c>
      <c r="M47" s="151" t="s">
        <v>252</v>
      </c>
    </row>
    <row r="48" spans="1:16" s="151" customFormat="1" ht="15" customHeight="1" x14ac:dyDescent="0.25">
      <c r="A48" s="23" t="s">
        <v>30</v>
      </c>
      <c r="B48" s="161" t="s">
        <v>203</v>
      </c>
      <c r="C48" s="168" t="s">
        <v>239</v>
      </c>
      <c r="D48" s="20">
        <v>1446.18</v>
      </c>
      <c r="E48" s="178">
        <v>181515</v>
      </c>
      <c r="F48" s="172">
        <v>181515</v>
      </c>
      <c r="G48" s="178">
        <v>112039</v>
      </c>
      <c r="H48" s="172">
        <v>112039</v>
      </c>
      <c r="I48" s="178">
        <v>0</v>
      </c>
      <c r="J48" s="172">
        <v>0</v>
      </c>
      <c r="K48" s="150">
        <f t="shared" si="15"/>
        <v>295000.18</v>
      </c>
      <c r="L48" s="150">
        <f t="shared" si="16"/>
        <v>295000.18</v>
      </c>
      <c r="M48" s="151" t="s">
        <v>253</v>
      </c>
    </row>
    <row r="49" spans="1:15" s="146" customFormat="1" ht="15" customHeight="1" x14ac:dyDescent="0.25">
      <c r="A49" s="10" t="s">
        <v>9</v>
      </c>
      <c r="B49" s="157"/>
      <c r="C49" s="165"/>
      <c r="D49" s="11">
        <f>SUM(D43:D48)</f>
        <v>42383.64</v>
      </c>
      <c r="E49" s="11">
        <f>SUM(E43:E48)</f>
        <v>283138.12</v>
      </c>
      <c r="F49" s="11">
        <f>SUM(F43:F48)</f>
        <v>283138.12</v>
      </c>
      <c r="G49" s="11">
        <f>SUM(G43:G48)</f>
        <v>131800</v>
      </c>
      <c r="H49" s="11">
        <f>SUM(H43:H48)</f>
        <v>131800</v>
      </c>
      <c r="I49" s="11">
        <f t="shared" ref="I49" si="17">SUM(I43:I48)</f>
        <v>0</v>
      </c>
      <c r="J49" s="11">
        <f t="shared" ref="J49" si="18">SUM(J43:J48)</f>
        <v>0</v>
      </c>
      <c r="K49" s="12">
        <f>SUM(K43:K48)</f>
        <v>457321.76</v>
      </c>
      <c r="L49" s="12">
        <f>SUM(L43:L48)</f>
        <v>457321.76</v>
      </c>
    </row>
    <row r="50" spans="1:15" s="147" customFormat="1" ht="18" customHeight="1" x14ac:dyDescent="0.25">
      <c r="A50" s="335" t="s">
        <v>32</v>
      </c>
      <c r="B50" s="354"/>
      <c r="C50" s="354"/>
      <c r="D50" s="336"/>
      <c r="E50" s="336"/>
      <c r="F50" s="336"/>
      <c r="G50" s="336"/>
      <c r="H50" s="336"/>
      <c r="I50" s="336"/>
      <c r="J50" s="336"/>
      <c r="K50" s="336"/>
      <c r="L50" s="337"/>
    </row>
    <row r="51" spans="1:15" s="147" customFormat="1" ht="24" customHeight="1" x14ac:dyDescent="0.25">
      <c r="A51" s="148" t="s">
        <v>33</v>
      </c>
      <c r="B51" s="156" t="s">
        <v>204</v>
      </c>
      <c r="C51" s="164" t="s">
        <v>247</v>
      </c>
      <c r="D51" s="20">
        <v>95.59</v>
      </c>
      <c r="E51" s="178">
        <v>44904.41</v>
      </c>
      <c r="F51" s="172">
        <v>44904.41</v>
      </c>
      <c r="G51" s="178">
        <v>0</v>
      </c>
      <c r="H51" s="172">
        <v>0</v>
      </c>
      <c r="I51" s="178">
        <v>0</v>
      </c>
      <c r="J51" s="172">
        <v>0</v>
      </c>
      <c r="K51" s="150">
        <f t="shared" ref="K51:K75" si="19">D51+E51+G51+I51</f>
        <v>45000</v>
      </c>
      <c r="L51" s="150">
        <f>D51+F51+H51+J51</f>
        <v>45000</v>
      </c>
      <c r="M51" s="147" t="s">
        <v>248</v>
      </c>
    </row>
    <row r="52" spans="1:15" s="147" customFormat="1" ht="24" customHeight="1" x14ac:dyDescent="0.25">
      <c r="A52" s="23" t="s">
        <v>39</v>
      </c>
      <c r="B52" s="161" t="s">
        <v>205</v>
      </c>
      <c r="C52" s="164" t="s">
        <v>247</v>
      </c>
      <c r="D52" s="20">
        <v>50386.47</v>
      </c>
      <c r="E52" s="178">
        <v>3269.53</v>
      </c>
      <c r="F52" s="172">
        <v>3269.53</v>
      </c>
      <c r="G52" s="178">
        <v>0</v>
      </c>
      <c r="H52" s="172">
        <v>0</v>
      </c>
      <c r="I52" s="178">
        <v>0</v>
      </c>
      <c r="J52" s="172">
        <v>0</v>
      </c>
      <c r="K52" s="150">
        <f t="shared" si="19"/>
        <v>53656</v>
      </c>
      <c r="L52" s="150">
        <f t="shared" ref="L52:L75" si="20">D52+F52+H52+J52</f>
        <v>53656</v>
      </c>
      <c r="M52" s="147" t="s">
        <v>248</v>
      </c>
    </row>
    <row r="53" spans="1:15" s="147" customFormat="1" ht="24" customHeight="1" x14ac:dyDescent="0.25">
      <c r="A53" s="23" t="s">
        <v>43</v>
      </c>
      <c r="B53" s="161" t="s">
        <v>206</v>
      </c>
      <c r="C53" s="164" t="s">
        <v>247</v>
      </c>
      <c r="D53" s="20">
        <v>30678.01</v>
      </c>
      <c r="E53" s="178">
        <v>0</v>
      </c>
      <c r="F53" s="172">
        <v>0</v>
      </c>
      <c r="G53" s="178">
        <v>0</v>
      </c>
      <c r="H53" s="172">
        <v>0</v>
      </c>
      <c r="I53" s="178">
        <v>0</v>
      </c>
      <c r="J53" s="172">
        <v>0</v>
      </c>
      <c r="K53" s="150">
        <f t="shared" si="19"/>
        <v>30678.01</v>
      </c>
      <c r="L53" s="150">
        <f t="shared" si="20"/>
        <v>30678.01</v>
      </c>
      <c r="M53" s="147" t="s">
        <v>251</v>
      </c>
    </row>
    <row r="54" spans="1:15" s="147" customFormat="1" ht="24" customHeight="1" x14ac:dyDescent="0.25">
      <c r="A54" s="148" t="s">
        <v>44</v>
      </c>
      <c r="B54" s="156" t="s">
        <v>207</v>
      </c>
      <c r="C54" s="164" t="s">
        <v>247</v>
      </c>
      <c r="D54" s="20">
        <v>40000</v>
      </c>
      <c r="E54" s="178">
        <v>0</v>
      </c>
      <c r="F54" s="172">
        <v>0</v>
      </c>
      <c r="G54" s="178">
        <v>0</v>
      </c>
      <c r="H54" s="172">
        <v>0</v>
      </c>
      <c r="I54" s="178">
        <v>0</v>
      </c>
      <c r="J54" s="172">
        <v>0</v>
      </c>
      <c r="K54" s="150">
        <f t="shared" si="19"/>
        <v>40000</v>
      </c>
      <c r="L54" s="150">
        <f t="shared" si="20"/>
        <v>40000</v>
      </c>
      <c r="M54" s="147" t="s">
        <v>251</v>
      </c>
    </row>
    <row r="55" spans="1:15" s="147" customFormat="1" ht="24" customHeight="1" x14ac:dyDescent="0.25">
      <c r="A55" s="148" t="s">
        <v>208</v>
      </c>
      <c r="B55" s="156" t="s">
        <v>209</v>
      </c>
      <c r="C55" s="164" t="s">
        <v>247</v>
      </c>
      <c r="D55" s="20">
        <v>6200</v>
      </c>
      <c r="E55" s="178">
        <v>0</v>
      </c>
      <c r="F55" s="172">
        <v>0</v>
      </c>
      <c r="G55" s="178">
        <v>0</v>
      </c>
      <c r="H55" s="172">
        <v>0</v>
      </c>
      <c r="I55" s="178">
        <v>0</v>
      </c>
      <c r="J55" s="172">
        <v>0</v>
      </c>
      <c r="K55" s="150">
        <f t="shared" si="19"/>
        <v>6200</v>
      </c>
      <c r="L55" s="150">
        <f t="shared" si="20"/>
        <v>6200</v>
      </c>
      <c r="M55" s="147" t="s">
        <v>251</v>
      </c>
    </row>
    <row r="56" spans="1:15" s="147" customFormat="1" ht="24" customHeight="1" x14ac:dyDescent="0.25">
      <c r="A56" s="23" t="s">
        <v>89</v>
      </c>
      <c r="B56" s="161" t="s">
        <v>210</v>
      </c>
      <c r="C56" s="164" t="s">
        <v>247</v>
      </c>
      <c r="D56" s="20">
        <v>7025.05</v>
      </c>
      <c r="E56" s="178">
        <v>2094.9499999999998</v>
      </c>
      <c r="F56" s="172">
        <v>2094.9499999999998</v>
      </c>
      <c r="G56" s="178">
        <v>0</v>
      </c>
      <c r="H56" s="172">
        <v>0</v>
      </c>
      <c r="I56" s="178">
        <v>0</v>
      </c>
      <c r="J56" s="172">
        <v>0</v>
      </c>
      <c r="K56" s="150">
        <f t="shared" si="19"/>
        <v>9120</v>
      </c>
      <c r="L56" s="150">
        <f t="shared" si="20"/>
        <v>9120</v>
      </c>
      <c r="M56" s="147" t="s">
        <v>248</v>
      </c>
    </row>
    <row r="57" spans="1:15" s="147" customFormat="1" ht="24" customHeight="1" x14ac:dyDescent="0.25">
      <c r="A57" s="148" t="s">
        <v>131</v>
      </c>
      <c r="B57" s="156" t="s">
        <v>211</v>
      </c>
      <c r="C57" s="164" t="s">
        <v>247</v>
      </c>
      <c r="D57" s="20">
        <v>7949.67</v>
      </c>
      <c r="E57" s="178">
        <v>0</v>
      </c>
      <c r="F57" s="172">
        <v>0</v>
      </c>
      <c r="G57" s="178">
        <v>0</v>
      </c>
      <c r="H57" s="172">
        <v>0</v>
      </c>
      <c r="I57" s="178">
        <v>0</v>
      </c>
      <c r="J57" s="172">
        <v>0</v>
      </c>
      <c r="K57" s="150">
        <f t="shared" si="19"/>
        <v>7949.67</v>
      </c>
      <c r="L57" s="150">
        <f t="shared" si="20"/>
        <v>7949.67</v>
      </c>
      <c r="M57" s="147" t="s">
        <v>251</v>
      </c>
    </row>
    <row r="58" spans="1:15" s="147" customFormat="1" ht="24" customHeight="1" x14ac:dyDescent="0.25">
      <c r="A58" s="148" t="s">
        <v>172</v>
      </c>
      <c r="B58" s="156" t="s">
        <v>212</v>
      </c>
      <c r="C58" s="164" t="s">
        <v>247</v>
      </c>
      <c r="D58" s="20">
        <v>0</v>
      </c>
      <c r="E58" s="178">
        <v>15000</v>
      </c>
      <c r="F58" s="172">
        <v>15000</v>
      </c>
      <c r="G58" s="178">
        <v>0</v>
      </c>
      <c r="H58" s="172">
        <v>0</v>
      </c>
      <c r="I58" s="178">
        <v>0</v>
      </c>
      <c r="J58" s="172">
        <v>0</v>
      </c>
      <c r="K58" s="150">
        <f t="shared" si="19"/>
        <v>15000</v>
      </c>
      <c r="L58" s="150">
        <f t="shared" si="20"/>
        <v>15000</v>
      </c>
      <c r="M58" s="147" t="s">
        <v>248</v>
      </c>
    </row>
    <row r="59" spans="1:15" s="147" customFormat="1" ht="24" customHeight="1" x14ac:dyDescent="0.25">
      <c r="A59" s="148" t="s">
        <v>34</v>
      </c>
      <c r="B59" s="195" t="s">
        <v>213</v>
      </c>
      <c r="C59" s="164" t="s">
        <v>247</v>
      </c>
      <c r="D59" s="20">
        <v>0</v>
      </c>
      <c r="E59" s="178">
        <f>500+213</f>
        <v>713</v>
      </c>
      <c r="F59" s="172">
        <f>500+213</f>
        <v>713</v>
      </c>
      <c r="G59" s="178">
        <f>30000-213</f>
        <v>29787</v>
      </c>
      <c r="H59" s="172">
        <v>0</v>
      </c>
      <c r="I59" s="178">
        <v>0</v>
      </c>
      <c r="J59" s="172">
        <v>0</v>
      </c>
      <c r="K59" s="150">
        <f t="shared" si="19"/>
        <v>30500</v>
      </c>
      <c r="L59" s="150">
        <f>D59+F59+H59+J59</f>
        <v>713</v>
      </c>
      <c r="M59" s="173" t="s">
        <v>254</v>
      </c>
    </row>
    <row r="60" spans="1:15" s="147" customFormat="1" ht="24" customHeight="1" x14ac:dyDescent="0.25">
      <c r="A60" s="148" t="s">
        <v>42</v>
      </c>
      <c r="B60" s="156" t="s">
        <v>214</v>
      </c>
      <c r="C60" s="164" t="s">
        <v>247</v>
      </c>
      <c r="D60" s="20">
        <v>43980.06</v>
      </c>
      <c r="E60" s="178">
        <v>13719.93</v>
      </c>
      <c r="F60" s="20">
        <v>13719.93</v>
      </c>
      <c r="G60" s="178">
        <v>0</v>
      </c>
      <c r="H60" s="172">
        <v>0</v>
      </c>
      <c r="I60" s="178">
        <v>0</v>
      </c>
      <c r="J60" s="172">
        <v>0</v>
      </c>
      <c r="K60" s="150">
        <f t="shared" si="19"/>
        <v>57699.99</v>
      </c>
      <c r="L60" s="150">
        <f t="shared" si="20"/>
        <v>57699.99</v>
      </c>
      <c r="M60" s="174" t="s">
        <v>248</v>
      </c>
    </row>
    <row r="61" spans="1:15" s="147" customFormat="1" ht="24" customHeight="1" x14ac:dyDescent="0.25">
      <c r="A61" s="148" t="s">
        <v>45</v>
      </c>
      <c r="B61" s="161" t="s">
        <v>215</v>
      </c>
      <c r="C61" s="164" t="s">
        <v>247</v>
      </c>
      <c r="D61" s="20">
        <v>500</v>
      </c>
      <c r="E61" s="178">
        <f>25639-15639</f>
        <v>10000</v>
      </c>
      <c r="F61" s="20">
        <v>900</v>
      </c>
      <c r="G61" s="178">
        <f>49361+15639</f>
        <v>65000</v>
      </c>
      <c r="H61" s="172">
        <v>60000</v>
      </c>
      <c r="I61" s="178">
        <v>0</v>
      </c>
      <c r="J61" s="172">
        <v>11950</v>
      </c>
      <c r="K61" s="150">
        <f t="shared" si="19"/>
        <v>75500</v>
      </c>
      <c r="L61" s="150">
        <f t="shared" si="20"/>
        <v>73350</v>
      </c>
      <c r="M61" s="147" t="s">
        <v>276</v>
      </c>
    </row>
    <row r="62" spans="1:15" s="147" customFormat="1" ht="33.950000000000003" customHeight="1" x14ac:dyDescent="0.25">
      <c r="A62" s="148" t="s">
        <v>36</v>
      </c>
      <c r="B62" s="161" t="s">
        <v>216</v>
      </c>
      <c r="C62" s="164" t="s">
        <v>256</v>
      </c>
      <c r="D62" s="24">
        <v>18811.419999999998</v>
      </c>
      <c r="E62" s="178">
        <f>27286.58</f>
        <v>27286.58</v>
      </c>
      <c r="F62" s="20">
        <f>27286.58-1000</f>
        <v>26286.58</v>
      </c>
      <c r="G62" s="178">
        <v>0</v>
      </c>
      <c r="H62" s="20">
        <v>0</v>
      </c>
      <c r="I62" s="178">
        <v>0</v>
      </c>
      <c r="J62" s="172">
        <v>0</v>
      </c>
      <c r="K62" s="150">
        <f t="shared" si="19"/>
        <v>46098</v>
      </c>
      <c r="L62" s="150">
        <f t="shared" si="20"/>
        <v>45098</v>
      </c>
      <c r="M62" s="147" t="s">
        <v>257</v>
      </c>
    </row>
    <row r="63" spans="1:15" s="147" customFormat="1" ht="33.950000000000003" customHeight="1" x14ac:dyDescent="0.25">
      <c r="A63" s="148" t="s">
        <v>81</v>
      </c>
      <c r="B63" s="161" t="s">
        <v>217</v>
      </c>
      <c r="C63" s="164" t="s">
        <v>277</v>
      </c>
      <c r="D63" s="24">
        <v>0</v>
      </c>
      <c r="E63" s="178">
        <v>11420</v>
      </c>
      <c r="F63" s="20">
        <v>6500</v>
      </c>
      <c r="G63" s="178">
        <v>0</v>
      </c>
      <c r="H63" s="172">
        <v>0</v>
      </c>
      <c r="I63" s="178">
        <v>0</v>
      </c>
      <c r="J63" s="172">
        <v>0</v>
      </c>
      <c r="K63" s="150">
        <f t="shared" si="19"/>
        <v>11420</v>
      </c>
      <c r="L63" s="150">
        <f>D63+F63+H63+J63</f>
        <v>6500</v>
      </c>
      <c r="M63" s="147" t="s">
        <v>278</v>
      </c>
    </row>
    <row r="64" spans="1:15" s="147" customFormat="1" ht="24" customHeight="1" x14ac:dyDescent="0.25">
      <c r="A64" s="148" t="s">
        <v>38</v>
      </c>
      <c r="B64" s="156" t="s">
        <v>218</v>
      </c>
      <c r="C64" s="164" t="s">
        <v>247</v>
      </c>
      <c r="D64" s="20">
        <v>803.35</v>
      </c>
      <c r="E64" s="178">
        <v>123195.65</v>
      </c>
      <c r="F64" s="172">
        <v>128196</v>
      </c>
      <c r="G64" s="178">
        <v>52000</v>
      </c>
      <c r="H64" s="172">
        <v>77000</v>
      </c>
      <c r="I64" s="178">
        <v>0</v>
      </c>
      <c r="J64" s="172">
        <v>0</v>
      </c>
      <c r="K64" s="150">
        <f t="shared" si="19"/>
        <v>175999</v>
      </c>
      <c r="L64" s="150">
        <f t="shared" si="20"/>
        <v>205999.35</v>
      </c>
      <c r="M64" s="147" t="s">
        <v>279</v>
      </c>
      <c r="N64" s="169"/>
      <c r="O64" s="169"/>
    </row>
    <row r="65" spans="1:16" s="147" customFormat="1" ht="33.950000000000003" customHeight="1" x14ac:dyDescent="0.25">
      <c r="A65" s="148" t="s">
        <v>41</v>
      </c>
      <c r="B65" s="161" t="s">
        <v>219</v>
      </c>
      <c r="C65" s="164" t="s">
        <v>247</v>
      </c>
      <c r="D65" s="24">
        <v>0</v>
      </c>
      <c r="E65" s="178">
        <f>20250-5250</f>
        <v>15000</v>
      </c>
      <c r="F65" s="172">
        <f>20250-5250</f>
        <v>15000</v>
      </c>
      <c r="G65" s="178">
        <f>17750+5250</f>
        <v>23000</v>
      </c>
      <c r="H65" s="172">
        <f>17750+5250</f>
        <v>23000</v>
      </c>
      <c r="I65" s="178">
        <v>0</v>
      </c>
      <c r="J65" s="172">
        <v>0</v>
      </c>
      <c r="K65" s="150">
        <f t="shared" si="19"/>
        <v>38000</v>
      </c>
      <c r="L65" s="150">
        <f t="shared" si="20"/>
        <v>38000</v>
      </c>
      <c r="M65" s="147" t="s">
        <v>248</v>
      </c>
    </row>
    <row r="66" spans="1:16" s="147" customFormat="1" ht="24" customHeight="1" x14ac:dyDescent="0.25">
      <c r="A66" s="148" t="s">
        <v>80</v>
      </c>
      <c r="B66" s="156" t="s">
        <v>220</v>
      </c>
      <c r="C66" s="164" t="s">
        <v>247</v>
      </c>
      <c r="D66" s="20">
        <v>0</v>
      </c>
      <c r="E66" s="178">
        <v>14350</v>
      </c>
      <c r="F66" s="172">
        <v>14350</v>
      </c>
      <c r="G66" s="178">
        <v>4500</v>
      </c>
      <c r="H66" s="172">
        <v>4500</v>
      </c>
      <c r="I66" s="178">
        <v>0</v>
      </c>
      <c r="J66" s="172">
        <v>0</v>
      </c>
      <c r="K66" s="150">
        <f t="shared" si="19"/>
        <v>18850</v>
      </c>
      <c r="L66" s="150">
        <f t="shared" si="20"/>
        <v>18850</v>
      </c>
      <c r="M66" s="147" t="s">
        <v>259</v>
      </c>
    </row>
    <row r="67" spans="1:16" s="147" customFormat="1" ht="24" customHeight="1" x14ac:dyDescent="0.25">
      <c r="A67" s="148" t="s">
        <v>68</v>
      </c>
      <c r="B67" s="156" t="s">
        <v>221</v>
      </c>
      <c r="C67" s="164" t="s">
        <v>247</v>
      </c>
      <c r="D67" s="20">
        <v>0</v>
      </c>
      <c r="E67" s="178">
        <f>2090</f>
        <v>2090</v>
      </c>
      <c r="F67" s="172">
        <f>E67</f>
        <v>2090</v>
      </c>
      <c r="G67" s="178">
        <f>26000</f>
        <v>26000</v>
      </c>
      <c r="H67" s="172">
        <v>0</v>
      </c>
      <c r="I67" s="178">
        <v>27610</v>
      </c>
      <c r="J67" s="172">
        <v>0</v>
      </c>
      <c r="K67" s="150">
        <f t="shared" si="19"/>
        <v>55700</v>
      </c>
      <c r="L67" s="150">
        <f>D67+F67+H67+J67</f>
        <v>2090</v>
      </c>
      <c r="M67" s="147" t="s">
        <v>280</v>
      </c>
    </row>
    <row r="68" spans="1:16" s="147" customFormat="1" ht="24" customHeight="1" x14ac:dyDescent="0.25">
      <c r="A68" s="148" t="s">
        <v>40</v>
      </c>
      <c r="B68" s="156" t="s">
        <v>222</v>
      </c>
      <c r="C68" s="164" t="s">
        <v>247</v>
      </c>
      <c r="D68" s="20">
        <v>0</v>
      </c>
      <c r="E68" s="178">
        <v>25000</v>
      </c>
      <c r="F68" s="20">
        <v>25000</v>
      </c>
      <c r="G68" s="178">
        <v>0</v>
      </c>
      <c r="H68" s="20">
        <v>0</v>
      </c>
      <c r="I68" s="178">
        <v>0</v>
      </c>
      <c r="J68" s="172">
        <v>0</v>
      </c>
      <c r="K68" s="150">
        <f t="shared" si="19"/>
        <v>25000</v>
      </c>
      <c r="L68" s="150">
        <f t="shared" si="20"/>
        <v>25000</v>
      </c>
      <c r="M68" s="147" t="s">
        <v>248</v>
      </c>
    </row>
    <row r="69" spans="1:16" s="147" customFormat="1" ht="33.950000000000003" customHeight="1" x14ac:dyDescent="0.25">
      <c r="A69" s="148" t="s">
        <v>37</v>
      </c>
      <c r="B69" s="161" t="s">
        <v>223</v>
      </c>
      <c r="C69" s="164" t="s">
        <v>247</v>
      </c>
      <c r="D69" s="24">
        <v>0</v>
      </c>
      <c r="E69" s="178">
        <f>5500+3600</f>
        <v>9100</v>
      </c>
      <c r="F69" s="192">
        <f>5500+3600-8965</f>
        <v>135</v>
      </c>
      <c r="G69" s="178">
        <v>0</v>
      </c>
      <c r="H69" s="192">
        <f>8965+2035</f>
        <v>11000</v>
      </c>
      <c r="I69" s="178">
        <v>0</v>
      </c>
      <c r="J69" s="172">
        <v>0</v>
      </c>
      <c r="K69" s="150">
        <f t="shared" si="19"/>
        <v>9100</v>
      </c>
      <c r="L69" s="150">
        <f t="shared" si="20"/>
        <v>11135</v>
      </c>
      <c r="M69" s="147" t="s">
        <v>261</v>
      </c>
    </row>
    <row r="70" spans="1:16" s="147" customFormat="1" ht="24" customHeight="1" x14ac:dyDescent="0.25">
      <c r="A70" s="148" t="s">
        <v>69</v>
      </c>
      <c r="B70" s="161" t="s">
        <v>224</v>
      </c>
      <c r="C70" s="164" t="s">
        <v>247</v>
      </c>
      <c r="D70" s="20">
        <v>28.6</v>
      </c>
      <c r="E70" s="178">
        <f>11036</f>
        <v>11036</v>
      </c>
      <c r="F70" s="192">
        <f>11036-1000</f>
        <v>10036</v>
      </c>
      <c r="G70" s="178">
        <v>0</v>
      </c>
      <c r="H70" s="20">
        <v>0</v>
      </c>
      <c r="I70" s="178">
        <v>0</v>
      </c>
      <c r="J70" s="172">
        <v>0</v>
      </c>
      <c r="K70" s="150">
        <f t="shared" si="19"/>
        <v>11064.6</v>
      </c>
      <c r="L70" s="150">
        <f t="shared" si="20"/>
        <v>10064.6</v>
      </c>
      <c r="M70" s="147" t="s">
        <v>257</v>
      </c>
    </row>
    <row r="71" spans="1:16" s="151" customFormat="1" ht="15" customHeight="1" x14ac:dyDescent="0.25">
      <c r="A71" s="148" t="s">
        <v>88</v>
      </c>
      <c r="B71" s="160" t="s">
        <v>225</v>
      </c>
      <c r="C71" s="164" t="s">
        <v>247</v>
      </c>
      <c r="D71" s="152">
        <v>0</v>
      </c>
      <c r="E71" s="190">
        <f>50000-10000</f>
        <v>40000</v>
      </c>
      <c r="F71" s="191">
        <f>50000-10000</f>
        <v>40000</v>
      </c>
      <c r="G71" s="190">
        <f>20500+10000</f>
        <v>30500</v>
      </c>
      <c r="H71" s="191">
        <f>20500+10000</f>
        <v>30500</v>
      </c>
      <c r="I71" s="190">
        <v>0</v>
      </c>
      <c r="J71" s="172">
        <v>0</v>
      </c>
      <c r="K71" s="150">
        <f t="shared" si="19"/>
        <v>70500</v>
      </c>
      <c r="L71" s="150">
        <f t="shared" si="20"/>
        <v>70500</v>
      </c>
      <c r="M71" s="147" t="s">
        <v>248</v>
      </c>
    </row>
    <row r="72" spans="1:16" s="147" customFormat="1" ht="24" customHeight="1" x14ac:dyDescent="0.25">
      <c r="A72" s="148" t="s">
        <v>90</v>
      </c>
      <c r="B72" s="156" t="s">
        <v>226</v>
      </c>
      <c r="C72" s="164" t="s">
        <v>247</v>
      </c>
      <c r="D72" s="20">
        <v>127.05</v>
      </c>
      <c r="E72" s="178">
        <v>7373</v>
      </c>
      <c r="F72" s="172">
        <v>7373</v>
      </c>
      <c r="G72" s="178">
        <v>14000</v>
      </c>
      <c r="H72" s="172">
        <v>14000</v>
      </c>
      <c r="I72" s="178">
        <v>0</v>
      </c>
      <c r="J72" s="172">
        <v>0</v>
      </c>
      <c r="K72" s="150">
        <f t="shared" si="19"/>
        <v>21500.05</v>
      </c>
      <c r="L72" s="150">
        <f t="shared" si="20"/>
        <v>21500.05</v>
      </c>
      <c r="M72" s="147" t="s">
        <v>248</v>
      </c>
    </row>
    <row r="73" spans="1:16" s="147" customFormat="1" ht="24" customHeight="1" x14ac:dyDescent="0.25">
      <c r="A73" s="148" t="s">
        <v>91</v>
      </c>
      <c r="B73" s="161" t="s">
        <v>227</v>
      </c>
      <c r="C73" s="164" t="s">
        <v>247</v>
      </c>
      <c r="D73" s="20">
        <v>17970.75</v>
      </c>
      <c r="E73" s="178">
        <v>7029.25</v>
      </c>
      <c r="F73" s="172">
        <v>7029.25</v>
      </c>
      <c r="G73" s="178">
        <v>0</v>
      </c>
      <c r="H73" s="172">
        <v>0</v>
      </c>
      <c r="I73" s="178">
        <v>0</v>
      </c>
      <c r="J73" s="183">
        <v>0</v>
      </c>
      <c r="K73" s="150">
        <f t="shared" si="19"/>
        <v>25000</v>
      </c>
      <c r="L73" s="150">
        <f t="shared" si="20"/>
        <v>25000</v>
      </c>
      <c r="M73" s="147" t="s">
        <v>248</v>
      </c>
    </row>
    <row r="74" spans="1:16" s="147" customFormat="1" ht="24" customHeight="1" x14ac:dyDescent="0.25">
      <c r="A74" s="148" t="s">
        <v>262</v>
      </c>
      <c r="B74" s="161" t="s">
        <v>263</v>
      </c>
      <c r="C74" s="164" t="s">
        <v>247</v>
      </c>
      <c r="D74" s="20">
        <v>0</v>
      </c>
      <c r="E74" s="178">
        <v>0</v>
      </c>
      <c r="F74" s="192">
        <v>11100</v>
      </c>
      <c r="G74" s="178">
        <v>0</v>
      </c>
      <c r="H74" s="172">
        <v>0</v>
      </c>
      <c r="I74" s="178">
        <v>0</v>
      </c>
      <c r="J74" s="183">
        <v>0</v>
      </c>
      <c r="K74" s="150">
        <f t="shared" si="19"/>
        <v>0</v>
      </c>
      <c r="L74" s="150">
        <f t="shared" si="20"/>
        <v>11100</v>
      </c>
      <c r="M74" s="176" t="s">
        <v>281</v>
      </c>
    </row>
    <row r="75" spans="1:16" s="147" customFormat="1" ht="24" customHeight="1" x14ac:dyDescent="0.25">
      <c r="A75" s="148" t="s">
        <v>265</v>
      </c>
      <c r="B75" s="161" t="s">
        <v>266</v>
      </c>
      <c r="C75" s="164" t="s">
        <v>247</v>
      </c>
      <c r="D75" s="20">
        <v>0</v>
      </c>
      <c r="E75" s="178">
        <v>0</v>
      </c>
      <c r="F75" s="192">
        <v>9350</v>
      </c>
      <c r="G75" s="178">
        <v>0</v>
      </c>
      <c r="H75" s="172">
        <v>0</v>
      </c>
      <c r="I75" s="178">
        <v>0</v>
      </c>
      <c r="J75" s="183">
        <v>0</v>
      </c>
      <c r="K75" s="150">
        <f t="shared" si="19"/>
        <v>0</v>
      </c>
      <c r="L75" s="150">
        <f t="shared" si="20"/>
        <v>9350</v>
      </c>
      <c r="M75" s="176" t="s">
        <v>281</v>
      </c>
    </row>
    <row r="76" spans="1:16" s="146" customFormat="1" ht="15" customHeight="1" x14ac:dyDescent="0.25">
      <c r="A76" s="10" t="s">
        <v>47</v>
      </c>
      <c r="B76" s="157"/>
      <c r="C76" s="165"/>
      <c r="D76" s="11">
        <f t="shared" ref="D76:L76" si="21">SUM(D51:D75)</f>
        <v>224556.02000000002</v>
      </c>
      <c r="E76" s="11">
        <f t="shared" si="21"/>
        <v>382582.3</v>
      </c>
      <c r="F76" s="11">
        <f t="shared" si="21"/>
        <v>383047.65</v>
      </c>
      <c r="G76" s="11">
        <f t="shared" si="21"/>
        <v>244787</v>
      </c>
      <c r="H76" s="11">
        <f t="shared" si="21"/>
        <v>220000</v>
      </c>
      <c r="I76" s="11">
        <f t="shared" si="21"/>
        <v>27610</v>
      </c>
      <c r="J76" s="11">
        <f t="shared" si="21"/>
        <v>11950</v>
      </c>
      <c r="K76" s="11">
        <f t="shared" si="21"/>
        <v>879535.32000000007</v>
      </c>
      <c r="L76" s="11">
        <f t="shared" si="21"/>
        <v>839553.67</v>
      </c>
      <c r="N76" s="188">
        <f>E76-F76</f>
        <v>-465.35000000003492</v>
      </c>
      <c r="O76" s="188">
        <f>G76-H76</f>
        <v>24787</v>
      </c>
      <c r="P76" s="188">
        <f>K76-L76</f>
        <v>39981.650000000023</v>
      </c>
    </row>
    <row r="77" spans="1:16" s="147" customFormat="1" ht="18" customHeight="1" x14ac:dyDescent="0.25">
      <c r="A77" s="332" t="s">
        <v>48</v>
      </c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4"/>
      <c r="N77" s="169"/>
      <c r="O77" s="169"/>
    </row>
    <row r="78" spans="1:16" s="147" customFormat="1" ht="24" customHeight="1" x14ac:dyDescent="0.25">
      <c r="A78" s="21" t="s">
        <v>97</v>
      </c>
      <c r="B78" s="160" t="s">
        <v>228</v>
      </c>
      <c r="C78" s="164" t="s">
        <v>247</v>
      </c>
      <c r="D78" s="20">
        <v>14723.48</v>
      </c>
      <c r="E78" s="178">
        <v>6976.53</v>
      </c>
      <c r="F78" s="172">
        <v>6976.53</v>
      </c>
      <c r="G78" s="178">
        <v>0</v>
      </c>
      <c r="H78" s="172">
        <v>0</v>
      </c>
      <c r="I78" s="178">
        <v>0</v>
      </c>
      <c r="J78" s="20">
        <v>0</v>
      </c>
      <c r="K78" s="150">
        <f t="shared" ref="K78:K85" si="22">D78+E78+G78+I78</f>
        <v>21700.01</v>
      </c>
      <c r="L78" s="150">
        <f>D78+F78+H78+J78</f>
        <v>21700.01</v>
      </c>
      <c r="M78" s="147" t="s">
        <v>248</v>
      </c>
      <c r="N78" s="169"/>
    </row>
    <row r="79" spans="1:16" s="147" customFormat="1" ht="24" customHeight="1" x14ac:dyDescent="0.25">
      <c r="A79" s="21" t="s">
        <v>176</v>
      </c>
      <c r="B79" s="160" t="s">
        <v>229</v>
      </c>
      <c r="C79" s="164" t="s">
        <v>247</v>
      </c>
      <c r="D79" s="24">
        <v>22241.64</v>
      </c>
      <c r="E79" s="193">
        <v>0</v>
      </c>
      <c r="F79" s="192">
        <v>0</v>
      </c>
      <c r="G79" s="193">
        <v>0</v>
      </c>
      <c r="H79" s="192">
        <v>0</v>
      </c>
      <c r="I79" s="193">
        <v>0</v>
      </c>
      <c r="J79" s="24">
        <v>0</v>
      </c>
      <c r="K79" s="150">
        <f t="shared" si="22"/>
        <v>22241.64</v>
      </c>
      <c r="L79" s="150">
        <f t="shared" ref="L79:L86" si="23">D79+F79+H79+J79</f>
        <v>22241.64</v>
      </c>
    </row>
    <row r="80" spans="1:16" s="147" customFormat="1" ht="24" customHeight="1" x14ac:dyDescent="0.25">
      <c r="A80" s="21" t="s">
        <v>141</v>
      </c>
      <c r="B80" s="160" t="s">
        <v>230</v>
      </c>
      <c r="C80" s="164" t="s">
        <v>247</v>
      </c>
      <c r="D80" s="20">
        <v>20898.27</v>
      </c>
      <c r="E80" s="178">
        <v>0</v>
      </c>
      <c r="F80" s="172">
        <v>0</v>
      </c>
      <c r="G80" s="178">
        <v>0</v>
      </c>
      <c r="H80" s="172">
        <v>0</v>
      </c>
      <c r="I80" s="178">
        <v>0</v>
      </c>
      <c r="J80" s="20">
        <v>0</v>
      </c>
      <c r="K80" s="150">
        <f t="shared" si="22"/>
        <v>20898.27</v>
      </c>
      <c r="L80" s="150">
        <f t="shared" si="23"/>
        <v>20898.27</v>
      </c>
    </row>
    <row r="81" spans="1:16" s="147" customFormat="1" ht="24" customHeight="1" x14ac:dyDescent="0.25">
      <c r="A81" s="21" t="s">
        <v>143</v>
      </c>
      <c r="B81" s="160" t="s">
        <v>231</v>
      </c>
      <c r="C81" s="164" t="s">
        <v>247</v>
      </c>
      <c r="D81" s="20">
        <v>28727.64</v>
      </c>
      <c r="E81" s="178">
        <v>0</v>
      </c>
      <c r="F81" s="172">
        <v>0</v>
      </c>
      <c r="G81" s="178">
        <v>0</v>
      </c>
      <c r="H81" s="172">
        <v>0</v>
      </c>
      <c r="I81" s="178">
        <v>0</v>
      </c>
      <c r="J81" s="20">
        <v>0</v>
      </c>
      <c r="K81" s="150">
        <f t="shared" si="22"/>
        <v>28727.64</v>
      </c>
      <c r="L81" s="150">
        <f t="shared" si="23"/>
        <v>28727.64</v>
      </c>
    </row>
    <row r="82" spans="1:16" s="147" customFormat="1" ht="24" customHeight="1" x14ac:dyDescent="0.25">
      <c r="A82" s="21" t="s">
        <v>145</v>
      </c>
      <c r="B82" s="160" t="s">
        <v>232</v>
      </c>
      <c r="C82" s="164" t="s">
        <v>247</v>
      </c>
      <c r="D82" s="20">
        <v>11437.7</v>
      </c>
      <c r="E82" s="178">
        <v>0</v>
      </c>
      <c r="F82" s="172">
        <v>0</v>
      </c>
      <c r="G82" s="178">
        <v>0</v>
      </c>
      <c r="H82" s="172">
        <v>0</v>
      </c>
      <c r="I82" s="178">
        <v>0</v>
      </c>
      <c r="J82" s="20">
        <v>0</v>
      </c>
      <c r="K82" s="150">
        <f t="shared" si="22"/>
        <v>11437.7</v>
      </c>
      <c r="L82" s="150">
        <f t="shared" si="23"/>
        <v>11437.7</v>
      </c>
    </row>
    <row r="83" spans="1:16" s="147" customFormat="1" ht="24" customHeight="1" x14ac:dyDescent="0.25">
      <c r="A83" s="21" t="s">
        <v>147</v>
      </c>
      <c r="B83" s="160" t="s">
        <v>233</v>
      </c>
      <c r="C83" s="164" t="s">
        <v>247</v>
      </c>
      <c r="D83" s="20">
        <v>11567.78</v>
      </c>
      <c r="E83" s="178">
        <v>0</v>
      </c>
      <c r="F83" s="172">
        <v>0</v>
      </c>
      <c r="G83" s="178">
        <v>0</v>
      </c>
      <c r="H83" s="172">
        <v>0</v>
      </c>
      <c r="I83" s="178">
        <v>0</v>
      </c>
      <c r="J83" s="20">
        <v>0</v>
      </c>
      <c r="K83" s="150">
        <f t="shared" si="22"/>
        <v>11567.78</v>
      </c>
      <c r="L83" s="150">
        <f t="shared" si="23"/>
        <v>11567.78</v>
      </c>
    </row>
    <row r="84" spans="1:16" s="147" customFormat="1" ht="15" customHeight="1" x14ac:dyDescent="0.25">
      <c r="A84" s="21" t="s">
        <v>175</v>
      </c>
      <c r="B84" s="160" t="s">
        <v>234</v>
      </c>
      <c r="C84" s="164" t="s">
        <v>247</v>
      </c>
      <c r="D84" s="20">
        <v>1099.1500000000001</v>
      </c>
      <c r="E84" s="178">
        <v>22900.85</v>
      </c>
      <c r="F84" s="172">
        <v>22900.85</v>
      </c>
      <c r="G84" s="178">
        <v>0</v>
      </c>
      <c r="H84" s="172">
        <v>0</v>
      </c>
      <c r="I84" s="178">
        <v>0</v>
      </c>
      <c r="J84" s="20">
        <v>0</v>
      </c>
      <c r="K84" s="150">
        <f t="shared" si="22"/>
        <v>24000</v>
      </c>
      <c r="L84" s="150">
        <f t="shared" si="23"/>
        <v>24000</v>
      </c>
      <c r="M84" s="147" t="s">
        <v>248</v>
      </c>
    </row>
    <row r="85" spans="1:16" s="147" customFormat="1" ht="24" customHeight="1" x14ac:dyDescent="0.25">
      <c r="A85" s="21" t="s">
        <v>50</v>
      </c>
      <c r="B85" s="160" t="s">
        <v>235</v>
      </c>
      <c r="C85" s="164" t="s">
        <v>247</v>
      </c>
      <c r="D85" s="20">
        <v>34.11</v>
      </c>
      <c r="E85" s="178">
        <v>93382</v>
      </c>
      <c r="F85" s="172">
        <v>93382</v>
      </c>
      <c r="G85" s="178">
        <v>50000</v>
      </c>
      <c r="H85" s="172">
        <v>50000</v>
      </c>
      <c r="I85" s="178">
        <v>0</v>
      </c>
      <c r="J85" s="20">
        <v>0</v>
      </c>
      <c r="K85" s="150">
        <f t="shared" si="22"/>
        <v>143416.10999999999</v>
      </c>
      <c r="L85" s="150">
        <f t="shared" si="23"/>
        <v>143416.10999999999</v>
      </c>
      <c r="M85" s="147" t="s">
        <v>248</v>
      </c>
    </row>
    <row r="86" spans="1:16" s="147" customFormat="1" ht="24" customHeight="1" x14ac:dyDescent="0.25">
      <c r="A86" s="23" t="s">
        <v>49</v>
      </c>
      <c r="B86" s="160" t="s">
        <v>236</v>
      </c>
      <c r="C86" s="164" t="s">
        <v>247</v>
      </c>
      <c r="D86" s="24">
        <v>29.04</v>
      </c>
      <c r="E86" s="193">
        <f>94970.96</f>
        <v>94970.96</v>
      </c>
      <c r="F86" s="172">
        <f>94970.96-80000</f>
        <v>14970.960000000006</v>
      </c>
      <c r="G86" s="193">
        <f>10000</f>
        <v>10000</v>
      </c>
      <c r="H86" s="192">
        <f>10000+80000</f>
        <v>90000</v>
      </c>
      <c r="I86" s="193">
        <v>0</v>
      </c>
      <c r="J86" s="24">
        <v>0</v>
      </c>
      <c r="K86" s="150">
        <f>D86+E86+G86+I86</f>
        <v>105000</v>
      </c>
      <c r="L86" s="150">
        <f t="shared" si="23"/>
        <v>105000</v>
      </c>
      <c r="M86" s="147" t="s">
        <v>267</v>
      </c>
    </row>
    <row r="87" spans="1:16" s="147" customFormat="1" ht="24" customHeight="1" x14ac:dyDescent="0.25">
      <c r="A87" s="23" t="s">
        <v>282</v>
      </c>
      <c r="B87" s="160" t="s">
        <v>251</v>
      </c>
      <c r="C87" s="164" t="s">
        <v>247</v>
      </c>
      <c r="D87" s="24">
        <v>0</v>
      </c>
      <c r="E87" s="193">
        <v>0</v>
      </c>
      <c r="F87" s="172">
        <v>30200</v>
      </c>
      <c r="G87" s="193">
        <v>0</v>
      </c>
      <c r="H87" s="192">
        <v>0</v>
      </c>
      <c r="I87" s="193">
        <v>0</v>
      </c>
      <c r="J87" s="24">
        <v>0</v>
      </c>
      <c r="K87" s="150">
        <f>D87+E87+G87+I87</f>
        <v>0</v>
      </c>
      <c r="L87" s="150">
        <f>D87+F87+H87+J87</f>
        <v>30200</v>
      </c>
      <c r="M87" s="176" t="s">
        <v>264</v>
      </c>
    </row>
    <row r="88" spans="1:16" s="147" customFormat="1" ht="24" customHeight="1" x14ac:dyDescent="0.25">
      <c r="A88" s="23" t="s">
        <v>283</v>
      </c>
      <c r="B88" s="160" t="s">
        <v>284</v>
      </c>
      <c r="C88" s="164" t="s">
        <v>247</v>
      </c>
      <c r="D88" s="24">
        <v>0</v>
      </c>
      <c r="E88" s="193">
        <v>0</v>
      </c>
      <c r="F88" s="172">
        <v>40000</v>
      </c>
      <c r="G88" s="193">
        <v>0</v>
      </c>
      <c r="H88" s="192">
        <v>140000</v>
      </c>
      <c r="I88" s="193">
        <v>0</v>
      </c>
      <c r="J88" s="24">
        <v>0</v>
      </c>
      <c r="K88" s="150">
        <f>D88+E88+G88+I88</f>
        <v>0</v>
      </c>
      <c r="L88" s="150">
        <f>D88+F88+H88+J88</f>
        <v>180000</v>
      </c>
      <c r="M88" s="176" t="s">
        <v>264</v>
      </c>
    </row>
    <row r="89" spans="1:16" s="151" customFormat="1" ht="24" customHeight="1" x14ac:dyDescent="0.25">
      <c r="A89" s="148" t="s">
        <v>240</v>
      </c>
      <c r="B89" s="156" t="s">
        <v>251</v>
      </c>
      <c r="C89" s="164" t="s">
        <v>243</v>
      </c>
      <c r="D89" s="149">
        <v>0</v>
      </c>
      <c r="E89" s="186">
        <v>0</v>
      </c>
      <c r="F89" s="149">
        <v>15500</v>
      </c>
      <c r="G89" s="186">
        <v>0</v>
      </c>
      <c r="H89" s="149">
        <v>0</v>
      </c>
      <c r="I89" s="186">
        <v>0</v>
      </c>
      <c r="J89" s="182">
        <v>0</v>
      </c>
      <c r="K89" s="150">
        <f>D89+E89+G89+I89</f>
        <v>0</v>
      </c>
      <c r="L89" s="150">
        <f>D89+F89+H89+J89</f>
        <v>15500</v>
      </c>
      <c r="M89" s="151" t="s">
        <v>241</v>
      </c>
    </row>
    <row r="90" spans="1:16" s="151" customFormat="1" ht="24" customHeight="1" x14ac:dyDescent="0.25">
      <c r="A90" s="148" t="s">
        <v>242</v>
      </c>
      <c r="B90" s="156" t="s">
        <v>251</v>
      </c>
      <c r="C90" s="164" t="s">
        <v>243</v>
      </c>
      <c r="D90" s="149">
        <v>0</v>
      </c>
      <c r="E90" s="186">
        <v>0</v>
      </c>
      <c r="F90" s="149">
        <v>20000</v>
      </c>
      <c r="G90" s="186">
        <v>0</v>
      </c>
      <c r="H90" s="149">
        <v>0</v>
      </c>
      <c r="I90" s="186">
        <v>0</v>
      </c>
      <c r="J90" s="182">
        <v>0</v>
      </c>
      <c r="K90" s="150">
        <f>D90+E90+G90+I90</f>
        <v>0</v>
      </c>
      <c r="L90" s="150">
        <f>D90+F90+H90+J90</f>
        <v>20000</v>
      </c>
      <c r="M90" s="151" t="s">
        <v>241</v>
      </c>
    </row>
    <row r="91" spans="1:16" s="146" customFormat="1" ht="15" customHeight="1" thickBot="1" x14ac:dyDescent="0.3">
      <c r="A91" s="10" t="s">
        <v>53</v>
      </c>
      <c r="B91" s="157"/>
      <c r="C91" s="165"/>
      <c r="D91" s="11">
        <f t="shared" ref="D91:K91" si="24">SUM(D78:D90)</f>
        <v>110758.80999999998</v>
      </c>
      <c r="E91" s="11">
        <f t="shared" si="24"/>
        <v>218230.34000000003</v>
      </c>
      <c r="F91" s="11">
        <f t="shared" si="24"/>
        <v>243930.34000000003</v>
      </c>
      <c r="G91" s="11">
        <f t="shared" si="24"/>
        <v>60000</v>
      </c>
      <c r="H91" s="11">
        <f t="shared" si="24"/>
        <v>280000</v>
      </c>
      <c r="I91" s="11">
        <f t="shared" si="24"/>
        <v>0</v>
      </c>
      <c r="J91" s="11">
        <f t="shared" si="24"/>
        <v>0</v>
      </c>
      <c r="K91" s="11">
        <f t="shared" si="24"/>
        <v>388989.14999999997</v>
      </c>
      <c r="L91" s="11">
        <f>SUM(L78:L90)</f>
        <v>634689.14999999991</v>
      </c>
      <c r="N91" s="188">
        <f>E91-F91</f>
        <v>-25700</v>
      </c>
      <c r="O91" s="188">
        <f>G91-H91</f>
        <v>-220000</v>
      </c>
      <c r="P91" s="188">
        <f>K91-L91</f>
        <v>-245699.99999999994</v>
      </c>
    </row>
    <row r="92" spans="1:16" s="146" customFormat="1" ht="25.5" customHeight="1" thickBot="1" x14ac:dyDescent="0.3">
      <c r="A92" s="14" t="s">
        <v>54</v>
      </c>
      <c r="B92" s="158"/>
      <c r="C92" s="166"/>
      <c r="D92" s="15">
        <f t="shared" ref="D92:L92" si="25">D91+D76+D49+D41+D36</f>
        <v>378688.57</v>
      </c>
      <c r="E92" s="15">
        <f t="shared" si="25"/>
        <v>1147755.76</v>
      </c>
      <c r="F92" s="15">
        <f t="shared" si="25"/>
        <v>1088421.1099999999</v>
      </c>
      <c r="G92" s="15">
        <f t="shared" si="25"/>
        <v>943758</v>
      </c>
      <c r="H92" s="15">
        <f t="shared" si="25"/>
        <v>1108971</v>
      </c>
      <c r="I92" s="15">
        <f t="shared" si="25"/>
        <v>134869</v>
      </c>
      <c r="J92" s="15">
        <f t="shared" si="25"/>
        <v>69209</v>
      </c>
      <c r="K92" s="15">
        <f t="shared" si="25"/>
        <v>2605071.33</v>
      </c>
      <c r="L92" s="15">
        <f t="shared" si="25"/>
        <v>2645289.6799999997</v>
      </c>
    </row>
    <row r="93" spans="1:16" s="146" customFormat="1" ht="13.5" thickBot="1" x14ac:dyDescent="0.3">
      <c r="A93" s="17"/>
      <c r="B93" s="159"/>
      <c r="C93" s="167"/>
      <c r="D93" s="94"/>
      <c r="E93" s="94"/>
      <c r="F93" s="94"/>
      <c r="G93" s="94"/>
      <c r="H93" s="94"/>
      <c r="I93" s="94"/>
      <c r="J93" s="94"/>
      <c r="K93" s="94"/>
      <c r="L93" s="119"/>
    </row>
    <row r="94" spans="1:16" s="146" customFormat="1" ht="21" customHeight="1" thickBot="1" x14ac:dyDescent="0.3">
      <c r="A94" s="14" t="s">
        <v>55</v>
      </c>
      <c r="B94" s="158"/>
      <c r="C94" s="166"/>
      <c r="D94" s="15">
        <f t="shared" ref="D94:L94" si="26">SUM(D20,D26,D92)</f>
        <v>387806.47845</v>
      </c>
      <c r="E94" s="15">
        <f t="shared" si="26"/>
        <v>1424852.15</v>
      </c>
      <c r="F94" s="15">
        <f t="shared" si="26"/>
        <v>1325298.5</v>
      </c>
      <c r="G94" s="15">
        <f t="shared" si="26"/>
        <v>1052473</v>
      </c>
      <c r="H94" s="15">
        <f t="shared" si="26"/>
        <v>1217686</v>
      </c>
      <c r="I94" s="15">
        <f t="shared" si="26"/>
        <v>134869</v>
      </c>
      <c r="J94" s="15">
        <f t="shared" si="26"/>
        <v>69209</v>
      </c>
      <c r="K94" s="15">
        <f t="shared" si="26"/>
        <v>3000000.6284500002</v>
      </c>
      <c r="L94" s="15">
        <f t="shared" si="26"/>
        <v>2999999.9784499998</v>
      </c>
      <c r="N94" s="188"/>
    </row>
    <row r="97" spans="1:13" x14ac:dyDescent="0.2">
      <c r="A97" s="140" t="s">
        <v>268</v>
      </c>
      <c r="L97" s="177">
        <f>K94-L94</f>
        <v>0.65000000037252903</v>
      </c>
      <c r="M97" s="143"/>
    </row>
  </sheetData>
  <mergeCells count="17">
    <mergeCell ref="A2:L2"/>
    <mergeCell ref="A4:A5"/>
    <mergeCell ref="D4:I4"/>
    <mergeCell ref="L4:L5"/>
    <mergeCell ref="A6:L6"/>
    <mergeCell ref="A37:L37"/>
    <mergeCell ref="A42:L42"/>
    <mergeCell ref="A50:L50"/>
    <mergeCell ref="A77:L77"/>
    <mergeCell ref="K4:K5"/>
    <mergeCell ref="A11:L11"/>
    <mergeCell ref="A17:L17"/>
    <mergeCell ref="A22:L22"/>
    <mergeCell ref="A23:L23"/>
    <mergeCell ref="A28:L28"/>
    <mergeCell ref="A29:L29"/>
    <mergeCell ref="A7:L7"/>
  </mergeCells>
  <conditionalFormatting sqref="D43:D48">
    <cfRule type="cellIs" dxfId="827" priority="247" operator="lessThan">
      <formula>#REF!</formula>
    </cfRule>
    <cfRule type="cellIs" dxfId="826" priority="248" operator="greaterThan">
      <formula>#REF!</formula>
    </cfRule>
  </conditionalFormatting>
  <conditionalFormatting sqref="D62:D69">
    <cfRule type="cellIs" dxfId="825" priority="235" operator="lessThan">
      <formula>#REF!</formula>
    </cfRule>
    <cfRule type="cellIs" dxfId="824" priority="236" operator="greaterThan">
      <formula>#REF!</formula>
    </cfRule>
  </conditionalFormatting>
  <conditionalFormatting sqref="D63:D68">
    <cfRule type="cellIs" dxfId="823" priority="217" operator="lessThan">
      <formula>#REF!</formula>
    </cfRule>
    <cfRule type="cellIs" dxfId="822" priority="218" operator="greaterThan">
      <formula>#REF!</formula>
    </cfRule>
  </conditionalFormatting>
  <conditionalFormatting sqref="D65:D68">
    <cfRule type="cellIs" dxfId="821" priority="227" operator="lessThan">
      <formula>#REF!</formula>
    </cfRule>
    <cfRule type="cellIs" dxfId="820" priority="228" operator="greaterThan">
      <formula>#REF!</formula>
    </cfRule>
  </conditionalFormatting>
  <conditionalFormatting sqref="D84:D85">
    <cfRule type="cellIs" dxfId="819" priority="329" operator="lessThan">
      <formula>#REF!</formula>
    </cfRule>
    <cfRule type="cellIs" dxfId="818" priority="330" operator="greaterThan">
      <formula>#REF!</formula>
    </cfRule>
  </conditionalFormatting>
  <conditionalFormatting sqref="D85:D90">
    <cfRule type="cellIs" dxfId="817" priority="333" operator="lessThan">
      <formula>#REF!</formula>
    </cfRule>
    <cfRule type="cellIs" dxfId="816" priority="334" operator="greaterThan">
      <formula>#REF!</formula>
    </cfRule>
  </conditionalFormatting>
  <conditionalFormatting sqref="D89:E90">
    <cfRule type="cellIs" dxfId="815" priority="191" operator="lessThan">
      <formula>#REF!</formula>
    </cfRule>
    <cfRule type="cellIs" dxfId="814" priority="192" operator="greaterThan">
      <formula>#REF!</formula>
    </cfRule>
  </conditionalFormatting>
  <conditionalFormatting sqref="D34:F34">
    <cfRule type="cellIs" dxfId="813" priority="61" operator="lessThan">
      <formula>#REF!</formula>
    </cfRule>
    <cfRule type="cellIs" dxfId="812" priority="62" operator="greaterThan">
      <formula>#REF!</formula>
    </cfRule>
  </conditionalFormatting>
  <conditionalFormatting sqref="D38:F40">
    <cfRule type="cellIs" dxfId="811" priority="41" operator="lessThan">
      <formula>#REF!</formula>
    </cfRule>
    <cfRule type="cellIs" dxfId="810" priority="42" operator="greaterThan">
      <formula>#REF!</formula>
    </cfRule>
  </conditionalFormatting>
  <conditionalFormatting sqref="D78:H85">
    <cfRule type="cellIs" dxfId="809" priority="199" operator="lessThan">
      <formula>#REF!</formula>
    </cfRule>
    <cfRule type="cellIs" dxfId="808" priority="200" operator="greaterThan">
      <formula>#REF!</formula>
    </cfRule>
  </conditionalFormatting>
  <conditionalFormatting sqref="D70:I71">
    <cfRule type="cellIs" dxfId="807" priority="211" operator="lessThan">
      <formula>#REF!</formula>
    </cfRule>
    <cfRule type="cellIs" dxfId="806" priority="212" operator="greaterThan">
      <formula>#REF!</formula>
    </cfRule>
  </conditionalFormatting>
  <conditionalFormatting sqref="D30:J33 D36:L36 E43:K48 D51:K58 D60:G60 K60:K68 D61:E61 G61 G63:K63 D64:K66 D67 D68:I68 J68:J72 K70:K75 I72 D72:H75 I73:J75 I78:K85 L78:L90 K89:L90">
    <cfRule type="cellIs" dxfId="805" priority="382" operator="greaterThan">
      <formula>#REF!</formula>
    </cfRule>
  </conditionalFormatting>
  <conditionalFormatting sqref="D35:J35">
    <cfRule type="cellIs" dxfId="804" priority="361" operator="lessThan">
      <formula>#REF!</formula>
    </cfRule>
    <cfRule type="cellIs" dxfId="803" priority="362" operator="greaterThan">
      <formula>#REF!</formula>
    </cfRule>
  </conditionalFormatting>
  <conditionalFormatting sqref="D12:K13">
    <cfRule type="cellIs" dxfId="802" priority="295" operator="lessThan">
      <formula>#REF!</formula>
    </cfRule>
    <cfRule type="cellIs" dxfId="801" priority="296" operator="greaterThan">
      <formula>#REF!</formula>
    </cfRule>
  </conditionalFormatting>
  <conditionalFormatting sqref="D13:K15">
    <cfRule type="cellIs" dxfId="800" priority="285" operator="lessThan">
      <formula>#REF!</formula>
    </cfRule>
    <cfRule type="cellIs" dxfId="799" priority="286" operator="greaterThan">
      <formula>#REF!</formula>
    </cfRule>
  </conditionalFormatting>
  <conditionalFormatting sqref="D18:K19">
    <cfRule type="cellIs" dxfId="798" priority="255" operator="lessThan">
      <formula>#REF!</formula>
    </cfRule>
    <cfRule type="cellIs" dxfId="797" priority="256" operator="greaterThan">
      <formula>#REF!</formula>
    </cfRule>
  </conditionalFormatting>
  <conditionalFormatting sqref="D59:K59">
    <cfRule type="cellIs" dxfId="796" priority="9" operator="lessThan">
      <formula>#REF!</formula>
    </cfRule>
    <cfRule type="cellIs" dxfId="795" priority="10" operator="greaterThan">
      <formula>#REF!</formula>
    </cfRule>
  </conditionalFormatting>
  <conditionalFormatting sqref="D8:L10">
    <cfRule type="cellIs" dxfId="794" priority="187" operator="lessThan">
      <formula>#REF!</formula>
    </cfRule>
    <cfRule type="cellIs" dxfId="793" priority="188" operator="greaterThan">
      <formula>#REF!</formula>
    </cfRule>
  </conditionalFormatting>
  <conditionalFormatting sqref="D16:L16">
    <cfRule type="cellIs" dxfId="792" priority="275" operator="lessThan">
      <formula>#REF!</formula>
    </cfRule>
    <cfRule type="cellIs" dxfId="791" priority="276" operator="greaterThan">
      <formula>#REF!</formula>
    </cfRule>
  </conditionalFormatting>
  <conditionalFormatting sqref="D24:L25">
    <cfRule type="cellIs" dxfId="790" priority="371" operator="lessThan">
      <formula>#REF!</formula>
    </cfRule>
    <cfRule type="cellIs" dxfId="789" priority="372" operator="greaterThan">
      <formula>#REF!</formula>
    </cfRule>
  </conditionalFormatting>
  <conditionalFormatting sqref="D41:L41">
    <cfRule type="cellIs" dxfId="788" priority="349" operator="lessThan">
      <formula>#REF!</formula>
    </cfRule>
    <cfRule type="cellIs" dxfId="787" priority="350" operator="greaterThan">
      <formula>#REF!</formula>
    </cfRule>
  </conditionalFormatting>
  <conditionalFormatting sqref="D76:L76">
    <cfRule type="cellIs" dxfId="786" priority="375" operator="lessThan">
      <formula>#REF!</formula>
    </cfRule>
    <cfRule type="cellIs" dxfId="785" priority="376" operator="greaterThan">
      <formula>#REF!</formula>
    </cfRule>
  </conditionalFormatting>
  <conditionalFormatting sqref="E62:E63">
    <cfRule type="cellIs" dxfId="784" priority="113" operator="lessThan">
      <formula>#REF!</formula>
    </cfRule>
    <cfRule type="cellIs" dxfId="783" priority="114" operator="greaterThan">
      <formula>#REF!</formula>
    </cfRule>
  </conditionalFormatting>
  <conditionalFormatting sqref="E69:I69">
    <cfRule type="cellIs" dxfId="782" priority="237" operator="lessThan">
      <formula>#REF!</formula>
    </cfRule>
    <cfRule type="cellIs" dxfId="781" priority="238" operator="greaterThan">
      <formula>#REF!</formula>
    </cfRule>
  </conditionalFormatting>
  <conditionalFormatting sqref="E67:J67">
    <cfRule type="cellIs" dxfId="780" priority="93" operator="lessThan">
      <formula>#REF!</formula>
    </cfRule>
    <cfRule type="cellIs" dxfId="779" priority="94" operator="greaterThan">
      <formula>#REF!</formula>
    </cfRule>
    <cfRule type="cellIs" dxfId="778" priority="95" operator="lessThan">
      <formula>#REF!</formula>
    </cfRule>
    <cfRule type="cellIs" dxfId="777" priority="96" operator="greaterThan">
      <formula>#REF!</formula>
    </cfRule>
  </conditionalFormatting>
  <conditionalFormatting sqref="F61:F63">
    <cfRule type="cellIs" dxfId="776" priority="89" operator="lessThan">
      <formula>#REF!</formula>
    </cfRule>
    <cfRule type="cellIs" dxfId="775" priority="90" operator="greaterThan">
      <formula>#REF!</formula>
    </cfRule>
  </conditionalFormatting>
  <conditionalFormatting sqref="F86:F90">
    <cfRule type="cellIs" dxfId="774" priority="75" operator="lessThan">
      <formula>#REF!</formula>
    </cfRule>
    <cfRule type="cellIs" dxfId="773" priority="76" operator="greaterThan">
      <formula>#REF!</formula>
    </cfRule>
  </conditionalFormatting>
  <conditionalFormatting sqref="G89:J90">
    <cfRule type="cellIs" dxfId="772" priority="194" operator="greaterThan">
      <formula>#REF!</formula>
    </cfRule>
  </conditionalFormatting>
  <conditionalFormatting sqref="G38:K38">
    <cfRule type="cellIs" dxfId="771" priority="35" operator="lessThan">
      <formula>#REF!</formula>
    </cfRule>
    <cfRule type="cellIs" dxfId="770" priority="36" operator="greaterThan">
      <formula>#REF!</formula>
    </cfRule>
  </conditionalFormatting>
  <conditionalFormatting sqref="G39:K39">
    <cfRule type="cellIs" dxfId="769" priority="59" operator="lessThan">
      <formula>#REF!</formula>
    </cfRule>
    <cfRule type="cellIs" dxfId="768" priority="60" operator="greaterThan">
      <formula>#REF!</formula>
    </cfRule>
  </conditionalFormatting>
  <conditionalFormatting sqref="G40:K40">
    <cfRule type="cellIs" dxfId="767" priority="19" operator="lessThan">
      <formula>#REF!</formula>
    </cfRule>
    <cfRule type="cellIs" dxfId="766" priority="20" operator="greaterThan">
      <formula>#REF!</formula>
    </cfRule>
  </conditionalFormatting>
  <conditionalFormatting sqref="G62:K63 E63 E64:K66 K67 E68:K68 J69 J70:K72 E84:K90">
    <cfRule type="cellIs" dxfId="765" priority="384" operator="greaterThan">
      <formula>#REF!</formula>
    </cfRule>
  </conditionalFormatting>
  <conditionalFormatting sqref="G62:K63 E64:K66 K67 E68:K68 J69 J70:K72 E84:K90 E63">
    <cfRule type="cellIs" dxfId="764" priority="383" operator="lessThan">
      <formula>#REF!</formula>
    </cfRule>
  </conditionalFormatting>
  <conditionalFormatting sqref="G34:L34">
    <cfRule type="cellIs" dxfId="763" priority="169" operator="lessThan">
      <formula>#REF!</formula>
    </cfRule>
    <cfRule type="cellIs" dxfId="762" priority="170" operator="greaterThan">
      <formula>#REF!</formula>
    </cfRule>
  </conditionalFormatting>
  <conditionalFormatting sqref="G89:L90">
    <cfRule type="cellIs" dxfId="761" priority="193" operator="lessThan">
      <formula>#REF!</formula>
    </cfRule>
  </conditionalFormatting>
  <conditionalFormatting sqref="H60:K61">
    <cfRule type="cellIs" dxfId="760" priority="87" operator="lessThan">
      <formula>#REF!</formula>
    </cfRule>
    <cfRule type="cellIs" dxfId="759" priority="88" operator="greaterThan">
      <formula>#REF!</formula>
    </cfRule>
  </conditionalFormatting>
  <conditionalFormatting sqref="I78:K85 E43:K48 D51:K58 K60:K68 D64:K66 D67 D68:I68 K70:K75 D30:J33 D36:L36 D60:G60 D61:E61 G61 G63:K63 J68:J72 I72 D72:H75 I73:J75 L78:L90">
    <cfRule type="cellIs" dxfId="758" priority="381" operator="lessThan">
      <formula>#REF!</formula>
    </cfRule>
  </conditionalFormatting>
  <conditionalFormatting sqref="K43:K45">
    <cfRule type="cellIs" dxfId="757" priority="243" operator="lessThan">
      <formula>#REF!</formula>
    </cfRule>
    <cfRule type="cellIs" dxfId="756" priority="244" operator="greaterThan">
      <formula>#REF!</formula>
    </cfRule>
  </conditionalFormatting>
  <conditionalFormatting sqref="K46 K78">
    <cfRule type="cellIs" dxfId="755" priority="385" operator="lessThan">
      <formula>#REF!</formula>
    </cfRule>
    <cfRule type="cellIs" dxfId="754" priority="386" operator="greaterThan">
      <formula>#REF!</formula>
    </cfRule>
  </conditionalFormatting>
  <conditionalFormatting sqref="K47:K48">
    <cfRule type="cellIs" dxfId="753" priority="315" operator="lessThan">
      <formula>#REF!</formula>
    </cfRule>
    <cfRule type="cellIs" dxfId="752" priority="316" operator="greaterThan">
      <formula>#REF!</formula>
    </cfRule>
  </conditionalFormatting>
  <conditionalFormatting sqref="K51:K58">
    <cfRule type="cellIs" dxfId="751" priority="241" operator="lessThan">
      <formula>#REF!</formula>
    </cfRule>
    <cfRule type="cellIs" dxfId="750" priority="242" operator="greaterThan">
      <formula>#REF!</formula>
    </cfRule>
  </conditionalFormatting>
  <conditionalFormatting sqref="K52:K58">
    <cfRule type="cellIs" dxfId="749" priority="221" operator="lessThan">
      <formula>#REF!</formula>
    </cfRule>
    <cfRule type="cellIs" dxfId="748" priority="222" operator="greaterThan">
      <formula>#REF!</formula>
    </cfRule>
  </conditionalFormatting>
  <conditionalFormatting sqref="K56:K59">
    <cfRule type="cellIs" dxfId="747" priority="11" operator="lessThan">
      <formula>#REF!</formula>
    </cfRule>
    <cfRule type="cellIs" dxfId="746" priority="12" operator="greaterThan">
      <formula>#REF!</formula>
    </cfRule>
  </conditionalFormatting>
  <conditionalFormatting sqref="K59">
    <cfRule type="cellIs" dxfId="745" priority="7" operator="lessThan">
      <formula>#REF!</formula>
    </cfRule>
    <cfRule type="cellIs" dxfId="744" priority="8" operator="greaterThan">
      <formula>#REF!</formula>
    </cfRule>
  </conditionalFormatting>
  <conditionalFormatting sqref="K60">
    <cfRule type="cellIs" dxfId="743" priority="239" operator="lessThan">
      <formula>#REF!</formula>
    </cfRule>
    <cfRule type="cellIs" dxfId="742" priority="240" operator="greaterThan">
      <formula>#REF!</formula>
    </cfRule>
  </conditionalFormatting>
  <conditionalFormatting sqref="K69">
    <cfRule type="cellIs" dxfId="741" priority="85" operator="lessThan">
      <formula>#REF!</formula>
    </cfRule>
    <cfRule type="cellIs" dxfId="740" priority="86" operator="greaterThan">
      <formula>#REF!</formula>
    </cfRule>
  </conditionalFormatting>
  <conditionalFormatting sqref="K79:K85">
    <cfRule type="cellIs" dxfId="739" priority="201" operator="lessThan">
      <formula>#REF!</formula>
    </cfRule>
    <cfRule type="cellIs" dxfId="738" priority="202" operator="greaterThan">
      <formula>#REF!</formula>
    </cfRule>
  </conditionalFormatting>
  <conditionalFormatting sqref="K84:K85">
    <cfRule type="cellIs" dxfId="737" priority="327" operator="lessThan">
      <formula>#REF!</formula>
    </cfRule>
    <cfRule type="cellIs" dxfId="736" priority="328" operator="greaterThan">
      <formula>#REF!</formula>
    </cfRule>
  </conditionalFormatting>
  <conditionalFormatting sqref="K85:K90">
    <cfRule type="cellIs" dxfId="735" priority="331" operator="lessThan">
      <formula>#REF!</formula>
    </cfRule>
    <cfRule type="cellIs" dxfId="734" priority="332" operator="greaterThan">
      <formula>#REF!</formula>
    </cfRule>
  </conditionalFormatting>
  <conditionalFormatting sqref="K18:L19">
    <cfRule type="cellIs" dxfId="733" priority="175" operator="lessThan">
      <formula>#REF!</formula>
    </cfRule>
    <cfRule type="cellIs" dxfId="732" priority="176" operator="greaterThan">
      <formula>#REF!</formula>
    </cfRule>
  </conditionalFormatting>
  <conditionalFormatting sqref="K25:L25">
    <cfRule type="cellIs" dxfId="731" priority="365" operator="lessThan">
      <formula>#REF!</formula>
    </cfRule>
    <cfRule type="cellIs" dxfId="730" priority="366" operator="greaterThan">
      <formula>#REF!</formula>
    </cfRule>
  </conditionalFormatting>
  <conditionalFormatting sqref="K30:L35">
    <cfRule type="cellIs" dxfId="729" priority="167" operator="lessThan">
      <formula>#REF!</formula>
    </cfRule>
    <cfRule type="cellIs" dxfId="728" priority="168" operator="greaterThan">
      <formula>#REF!</formula>
    </cfRule>
  </conditionalFormatting>
  <conditionalFormatting sqref="K38:L38">
    <cfRule type="cellIs" dxfId="727" priority="29" operator="lessThan">
      <formula>#REF!</formula>
    </cfRule>
    <cfRule type="cellIs" dxfId="726" priority="30" operator="greaterThan">
      <formula>#REF!</formula>
    </cfRule>
  </conditionalFormatting>
  <conditionalFormatting sqref="K39:L39">
    <cfRule type="cellIs" dxfId="725" priority="47" operator="lessThan">
      <formula>#REF!</formula>
    </cfRule>
    <cfRule type="cellIs" dxfId="724" priority="48" operator="greaterThan">
      <formula>#REF!</formula>
    </cfRule>
  </conditionalFormatting>
  <conditionalFormatting sqref="K40:L40">
    <cfRule type="cellIs" dxfId="723" priority="15" operator="lessThan">
      <formula>#REF!</formula>
    </cfRule>
    <cfRule type="cellIs" dxfId="722" priority="16" operator="greaterThan">
      <formula>#REF!</formula>
    </cfRule>
  </conditionalFormatting>
  <conditionalFormatting sqref="K59:L59">
    <cfRule type="cellIs" dxfId="721" priority="1" operator="lessThan">
      <formula>#REF!</formula>
    </cfRule>
    <cfRule type="cellIs" dxfId="720" priority="2" operator="greaterThan">
      <formula>#REF!</formula>
    </cfRule>
  </conditionalFormatting>
  <conditionalFormatting sqref="K69:L69">
    <cfRule type="cellIs" dxfId="719" priority="79" operator="lessThan">
      <formula>#REF!</formula>
    </cfRule>
    <cfRule type="cellIs" dxfId="718" priority="80" operator="greaterThan">
      <formula>#REF!</formula>
    </cfRule>
  </conditionalFormatting>
  <conditionalFormatting sqref="L12:L15">
    <cfRule type="cellIs" dxfId="717" priority="183" operator="lessThan">
      <formula>#REF!</formula>
    </cfRule>
    <cfRule type="cellIs" dxfId="716" priority="184" operator="greaterThan">
      <formula>#REF!</formula>
    </cfRule>
  </conditionalFormatting>
  <conditionalFormatting sqref="L18:L19">
    <cfRule type="cellIs" dxfId="715" priority="171" operator="lessThan">
      <formula>#REF!</formula>
    </cfRule>
    <cfRule type="cellIs" dxfId="714" priority="172" operator="greaterThan">
      <formula>#REF!</formula>
    </cfRule>
  </conditionalFormatting>
  <conditionalFormatting sqref="L38:L39">
    <cfRule type="cellIs" dxfId="713" priority="31" operator="lessThan">
      <formula>#REF!</formula>
    </cfRule>
    <cfRule type="cellIs" dxfId="712" priority="32" operator="greaterThan">
      <formula>#REF!</formula>
    </cfRule>
  </conditionalFormatting>
  <conditionalFormatting sqref="L40">
    <cfRule type="cellIs" dxfId="711" priority="13" operator="lessThan">
      <formula>#REF!</formula>
    </cfRule>
    <cfRule type="cellIs" dxfId="710" priority="14" operator="greaterThan">
      <formula>#REF!</formula>
    </cfRule>
  </conditionalFormatting>
  <conditionalFormatting sqref="L43:L48">
    <cfRule type="cellIs" dxfId="709" priority="147" operator="lessThan">
      <formula>#REF!</formula>
    </cfRule>
    <cfRule type="cellIs" dxfId="708" priority="148" operator="greaterThan">
      <formula>#REF!</formula>
    </cfRule>
    <cfRule type="cellIs" dxfId="707" priority="155" operator="lessThan">
      <formula>#REF!</formula>
    </cfRule>
    <cfRule type="cellIs" dxfId="706" priority="156" operator="greaterThan">
      <formula>#REF!</formula>
    </cfRule>
  </conditionalFormatting>
  <conditionalFormatting sqref="L51:L58 L60:L68 K70:L75">
    <cfRule type="cellIs" dxfId="705" priority="142" operator="greaterThan">
      <formula>#REF!</formula>
    </cfRule>
  </conditionalFormatting>
  <conditionalFormatting sqref="L51:L59">
    <cfRule type="cellIs" dxfId="704" priority="3" operator="lessThan">
      <formula>#REF!</formula>
    </cfRule>
    <cfRule type="cellIs" dxfId="703" priority="4" operator="greaterThan">
      <formula>#REF!</formula>
    </cfRule>
  </conditionalFormatting>
  <conditionalFormatting sqref="L60:L68 K70:L75 L51:L58">
    <cfRule type="cellIs" dxfId="702" priority="141" operator="lessThan">
      <formula>#REF!</formula>
    </cfRule>
  </conditionalFormatting>
  <conditionalFormatting sqref="L60:L75">
    <cfRule type="cellIs" dxfId="701" priority="81" operator="lessThan">
      <formula>#REF!</formula>
    </cfRule>
    <cfRule type="cellIs" dxfId="700" priority="82" operator="greaterThan">
      <formula>#REF!</formula>
    </cfRule>
  </conditionalFormatting>
  <pageMargins left="0.70866141732283472" right="0.70866141732283472" top="0.78740157480314965" bottom="0.78740157480314965" header="0.31496062992125984" footer="0.31496062992125984"/>
  <pageSetup paperSize="8" scale="8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D1092-00B1-4491-9BDA-625A7651DE2C}">
  <sheetPr>
    <tabColor rgb="FF00B0F0"/>
    <pageSetUpPr fitToPage="1"/>
  </sheetPr>
  <dimension ref="A1:G62"/>
  <sheetViews>
    <sheetView view="pageBreakPreview" topLeftCell="A43" zoomScaleNormal="100" zoomScaleSheetLayoutView="100" workbookViewId="0">
      <selection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7" s="1" customFormat="1" ht="23.25" customHeight="1" x14ac:dyDescent="0.25">
      <c r="A1" s="294" t="s">
        <v>59</v>
      </c>
      <c r="B1" s="295"/>
      <c r="C1" s="295"/>
      <c r="D1" s="295"/>
      <c r="E1" s="295"/>
      <c r="F1" s="295"/>
    </row>
    <row r="2" spans="1:7" ht="13.5" thickBot="1" x14ac:dyDescent="0.25">
      <c r="A2" s="2"/>
      <c r="B2" s="2"/>
      <c r="C2" s="2"/>
      <c r="D2" s="2"/>
      <c r="E2" s="2"/>
      <c r="F2" s="3" t="s">
        <v>1</v>
      </c>
    </row>
    <row r="3" spans="1:7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7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7" s="6" customFormat="1" ht="21" customHeight="1" x14ac:dyDescent="0.25">
      <c r="A5" s="301" t="s">
        <v>5</v>
      </c>
      <c r="B5" s="302"/>
      <c r="C5" s="302"/>
      <c r="D5" s="302"/>
      <c r="E5" s="303"/>
      <c r="F5" s="304"/>
    </row>
    <row r="6" spans="1:7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7" s="9" customFormat="1" ht="15" customHeight="1" x14ac:dyDescent="0.25">
      <c r="A7" s="7" t="s">
        <v>7</v>
      </c>
      <c r="B7" s="28">
        <v>74216</v>
      </c>
      <c r="C7" s="43">
        <v>41359</v>
      </c>
      <c r="D7" s="43">
        <v>61637</v>
      </c>
      <c r="E7" s="28">
        <v>0</v>
      </c>
      <c r="F7" s="41">
        <f>SUM(B7:E7)</f>
        <v>177212</v>
      </c>
      <c r="G7" s="9" t="s">
        <v>60</v>
      </c>
    </row>
    <row r="8" spans="1:7" s="9" customFormat="1" ht="21" x14ac:dyDescent="0.25">
      <c r="A8" s="7" t="s">
        <v>8</v>
      </c>
      <c r="B8" s="28">
        <v>35734</v>
      </c>
      <c r="C8" s="28">
        <v>25770</v>
      </c>
      <c r="D8" s="28">
        <v>0</v>
      </c>
      <c r="E8" s="28">
        <v>0</v>
      </c>
      <c r="F8" s="8">
        <f>SUM(B8:E8)</f>
        <v>61504</v>
      </c>
    </row>
    <row r="9" spans="1:7" s="6" customFormat="1" ht="15" customHeight="1" x14ac:dyDescent="0.25">
      <c r="A9" s="10" t="s">
        <v>9</v>
      </c>
      <c r="B9" s="11">
        <f t="shared" ref="B9:F9" si="0">SUM(B7:B8)</f>
        <v>109950</v>
      </c>
      <c r="C9" s="11">
        <f t="shared" si="0"/>
        <v>67129</v>
      </c>
      <c r="D9" s="11">
        <f t="shared" si="0"/>
        <v>61637</v>
      </c>
      <c r="E9" s="11">
        <f t="shared" si="0"/>
        <v>0</v>
      </c>
      <c r="F9" s="12">
        <f t="shared" si="0"/>
        <v>238716</v>
      </c>
    </row>
    <row r="10" spans="1:7" s="13" customFormat="1" ht="18" customHeight="1" x14ac:dyDescent="0.25">
      <c r="A10" s="305" t="s">
        <v>10</v>
      </c>
      <c r="B10" s="306"/>
      <c r="C10" s="306"/>
      <c r="D10" s="306"/>
      <c r="E10" s="306"/>
      <c r="F10" s="307"/>
    </row>
    <row r="11" spans="1:7" s="9" customFormat="1" ht="15" customHeight="1" x14ac:dyDescent="0.25">
      <c r="A11" s="33" t="s">
        <v>11</v>
      </c>
      <c r="B11" s="34">
        <v>0</v>
      </c>
      <c r="C11" s="34">
        <v>15000</v>
      </c>
      <c r="D11" s="34">
        <v>20915</v>
      </c>
      <c r="E11" s="34">
        <v>0</v>
      </c>
      <c r="F11" s="8">
        <f>SUM(B11:E11)</f>
        <v>35915</v>
      </c>
      <c r="G11" s="9" t="s">
        <v>12</v>
      </c>
    </row>
    <row r="12" spans="1:7" s="6" customFormat="1" ht="15" customHeight="1" thickBot="1" x14ac:dyDescent="0.3">
      <c r="A12" s="10" t="s">
        <v>13</v>
      </c>
      <c r="B12" s="11">
        <f t="shared" ref="B12:F12" si="1">SUM(B11:B11)</f>
        <v>0</v>
      </c>
      <c r="C12" s="11">
        <f t="shared" si="1"/>
        <v>15000</v>
      </c>
      <c r="D12" s="11">
        <f t="shared" si="1"/>
        <v>20915</v>
      </c>
      <c r="E12" s="11">
        <f t="shared" si="1"/>
        <v>0</v>
      </c>
      <c r="F12" s="12">
        <f t="shared" si="1"/>
        <v>35915</v>
      </c>
    </row>
    <row r="13" spans="1:7" s="6" customFormat="1" ht="25.5" customHeight="1" thickBot="1" x14ac:dyDescent="0.3">
      <c r="A13" s="14" t="s">
        <v>14</v>
      </c>
      <c r="B13" s="15">
        <f t="shared" ref="B13:F13" si="2">B9+B12</f>
        <v>109950</v>
      </c>
      <c r="C13" s="15">
        <f t="shared" si="2"/>
        <v>82129</v>
      </c>
      <c r="D13" s="15">
        <f t="shared" si="2"/>
        <v>82552</v>
      </c>
      <c r="E13" s="15">
        <f t="shared" si="2"/>
        <v>0</v>
      </c>
      <c r="F13" s="16">
        <f t="shared" si="2"/>
        <v>274631</v>
      </c>
    </row>
    <row r="14" spans="1:7" s="6" customFormat="1" ht="24" customHeight="1" thickBot="1" x14ac:dyDescent="0.3">
      <c r="A14" s="17"/>
      <c r="B14" s="38"/>
      <c r="C14" s="38"/>
      <c r="D14" s="38"/>
      <c r="E14" s="38"/>
      <c r="F14" s="29"/>
    </row>
    <row r="15" spans="1:7" s="6" customFormat="1" ht="21" customHeight="1" x14ac:dyDescent="0.25">
      <c r="A15" s="301" t="s">
        <v>15</v>
      </c>
      <c r="B15" s="302"/>
      <c r="C15" s="302"/>
      <c r="D15" s="302"/>
      <c r="E15" s="303"/>
      <c r="F15" s="304"/>
    </row>
    <row r="16" spans="1:7" ht="18" customHeight="1" x14ac:dyDescent="0.2">
      <c r="A16" s="305" t="s">
        <v>16</v>
      </c>
      <c r="B16" s="306"/>
      <c r="C16" s="306"/>
      <c r="D16" s="306"/>
      <c r="E16" s="306"/>
      <c r="F16" s="307"/>
    </row>
    <row r="17" spans="1:7" s="13" customFormat="1" ht="15" customHeight="1" x14ac:dyDescent="0.25">
      <c r="A17" s="19" t="s">
        <v>17</v>
      </c>
      <c r="B17" s="39">
        <v>807</v>
      </c>
      <c r="C17" s="39">
        <v>130993</v>
      </c>
      <c r="D17" s="20">
        <v>0</v>
      </c>
      <c r="E17" s="20">
        <v>0</v>
      </c>
      <c r="F17" s="8">
        <f t="shared" ref="F17:F18" si="3">SUM(B17:E17)</f>
        <v>131800</v>
      </c>
      <c r="G17" s="32" t="s">
        <v>61</v>
      </c>
    </row>
    <row r="18" spans="1:7" s="13" customFormat="1" ht="24" customHeight="1" x14ac:dyDescent="0.25">
      <c r="A18" s="19" t="s">
        <v>18</v>
      </c>
      <c r="B18" s="39">
        <v>27298</v>
      </c>
      <c r="C18" s="39">
        <v>29993</v>
      </c>
      <c r="D18" s="39">
        <v>64999</v>
      </c>
      <c r="E18" s="39">
        <v>3710</v>
      </c>
      <c r="F18" s="8">
        <f t="shared" si="3"/>
        <v>126000</v>
      </c>
      <c r="G18" s="32" t="s">
        <v>61</v>
      </c>
    </row>
    <row r="19" spans="1:7" s="6" customFormat="1" ht="15" customHeight="1" x14ac:dyDescent="0.25">
      <c r="A19" s="10" t="s">
        <v>19</v>
      </c>
      <c r="B19" s="11">
        <f t="shared" ref="B19:F19" si="4">SUM(B17:B18)</f>
        <v>28105</v>
      </c>
      <c r="C19" s="11">
        <f t="shared" si="4"/>
        <v>160986</v>
      </c>
      <c r="D19" s="11">
        <f t="shared" si="4"/>
        <v>64999</v>
      </c>
      <c r="E19" s="11">
        <f t="shared" si="4"/>
        <v>3710</v>
      </c>
      <c r="F19" s="12">
        <f t="shared" si="4"/>
        <v>257800</v>
      </c>
    </row>
    <row r="20" spans="1:7" s="13" customFormat="1" ht="18" customHeight="1" x14ac:dyDescent="0.25">
      <c r="A20" s="308" t="s">
        <v>20</v>
      </c>
      <c r="B20" s="309"/>
      <c r="C20" s="309"/>
      <c r="D20" s="309"/>
      <c r="E20" s="309"/>
      <c r="F20" s="310"/>
    </row>
    <row r="21" spans="1:7" s="13" customFormat="1" ht="24" customHeight="1" x14ac:dyDescent="0.25">
      <c r="A21" s="21" t="s">
        <v>21</v>
      </c>
      <c r="B21" s="22">
        <v>17174</v>
      </c>
      <c r="C21" s="22">
        <v>50000</v>
      </c>
      <c r="D21" s="22">
        <v>50000</v>
      </c>
      <c r="E21" s="22">
        <v>382334</v>
      </c>
      <c r="F21" s="8">
        <f t="shared" ref="F21:F25" si="5">SUM(B21:E21)</f>
        <v>499508</v>
      </c>
      <c r="G21" s="32"/>
    </row>
    <row r="22" spans="1:7" s="13" customFormat="1" ht="24" customHeight="1" x14ac:dyDescent="0.25">
      <c r="A22" s="21" t="s">
        <v>22</v>
      </c>
      <c r="B22" s="20">
        <v>2760</v>
      </c>
      <c r="C22" s="20">
        <v>9940</v>
      </c>
      <c r="D22" s="20">
        <v>60448</v>
      </c>
      <c r="E22" s="20">
        <v>220000</v>
      </c>
      <c r="F22" s="8">
        <f t="shared" si="5"/>
        <v>293148</v>
      </c>
      <c r="G22" s="32"/>
    </row>
    <row r="23" spans="1:7" s="13" customFormat="1" ht="24" customHeight="1" x14ac:dyDescent="0.25">
      <c r="A23" s="21" t="s">
        <v>23</v>
      </c>
      <c r="B23" s="39">
        <v>22000</v>
      </c>
      <c r="C23" s="39">
        <v>13215</v>
      </c>
      <c r="D23" s="20">
        <v>0</v>
      </c>
      <c r="E23" s="20">
        <v>0</v>
      </c>
      <c r="F23" s="8">
        <f t="shared" si="5"/>
        <v>35215</v>
      </c>
      <c r="G23" s="32" t="s">
        <v>61</v>
      </c>
    </row>
    <row r="24" spans="1:7" s="13" customFormat="1" ht="24" customHeight="1" x14ac:dyDescent="0.25">
      <c r="A24" s="21" t="s">
        <v>24</v>
      </c>
      <c r="B24" s="39">
        <v>25000</v>
      </c>
      <c r="C24" s="39">
        <v>70000</v>
      </c>
      <c r="D24" s="20">
        <v>0</v>
      </c>
      <c r="E24" s="20">
        <v>0</v>
      </c>
      <c r="F24" s="8">
        <f t="shared" si="5"/>
        <v>95000</v>
      </c>
      <c r="G24" s="32" t="s">
        <v>61</v>
      </c>
    </row>
    <row r="25" spans="1:7" s="13" customFormat="1" ht="24" customHeight="1" x14ac:dyDescent="0.25">
      <c r="A25" s="30" t="s">
        <v>25</v>
      </c>
      <c r="B25" s="31">
        <v>0</v>
      </c>
      <c r="C25" s="31">
        <v>0</v>
      </c>
      <c r="D25" s="31">
        <v>30000</v>
      </c>
      <c r="E25" s="31">
        <v>65000</v>
      </c>
      <c r="F25" s="8">
        <f t="shared" si="5"/>
        <v>95000</v>
      </c>
      <c r="G25" s="32" t="s">
        <v>26</v>
      </c>
    </row>
    <row r="26" spans="1:7" s="6" customFormat="1" ht="15" customHeight="1" x14ac:dyDescent="0.25">
      <c r="A26" s="10" t="s">
        <v>27</v>
      </c>
      <c r="B26" s="11">
        <f t="shared" ref="B26:E26" si="6">SUM(B21:B25)</f>
        <v>66934</v>
      </c>
      <c r="C26" s="11">
        <f t="shared" si="6"/>
        <v>143155</v>
      </c>
      <c r="D26" s="11">
        <f t="shared" si="6"/>
        <v>140448</v>
      </c>
      <c r="E26" s="11">
        <f t="shared" si="6"/>
        <v>667334</v>
      </c>
      <c r="F26" s="12">
        <f>SUM(F21:F25)</f>
        <v>1017871</v>
      </c>
    </row>
    <row r="27" spans="1:7" s="13" customFormat="1" ht="18" customHeight="1" x14ac:dyDescent="0.25">
      <c r="A27" s="308" t="s">
        <v>6</v>
      </c>
      <c r="B27" s="309"/>
      <c r="C27" s="309"/>
      <c r="D27" s="309"/>
      <c r="E27" s="309"/>
      <c r="F27" s="310"/>
    </row>
    <row r="28" spans="1:7" s="13" customFormat="1" ht="15" customHeight="1" x14ac:dyDescent="0.25">
      <c r="A28" s="21" t="s">
        <v>28</v>
      </c>
      <c r="B28" s="22">
        <v>10000</v>
      </c>
      <c r="C28" s="22">
        <v>0</v>
      </c>
      <c r="D28" s="22">
        <v>0</v>
      </c>
      <c r="E28" s="22">
        <v>0</v>
      </c>
      <c r="F28" s="8">
        <f t="shared" ref="F28:F31" si="7">SUM(B28:E28)</f>
        <v>10000</v>
      </c>
    </row>
    <row r="29" spans="1:7" s="13" customFormat="1" ht="24" customHeight="1" x14ac:dyDescent="0.25">
      <c r="A29" s="19" t="s">
        <v>29</v>
      </c>
      <c r="B29" s="20">
        <v>30452</v>
      </c>
      <c r="C29" s="20">
        <v>62206</v>
      </c>
      <c r="D29" s="20">
        <v>25698</v>
      </c>
      <c r="E29" s="20">
        <v>0</v>
      </c>
      <c r="F29" s="8">
        <f t="shared" si="7"/>
        <v>118356</v>
      </c>
      <c r="G29" s="32" t="s">
        <v>62</v>
      </c>
    </row>
    <row r="30" spans="1:7" s="13" customFormat="1" ht="15" customHeight="1" x14ac:dyDescent="0.25">
      <c r="A30" s="23" t="s">
        <v>30</v>
      </c>
      <c r="B30" s="42">
        <v>28230</v>
      </c>
      <c r="C30" s="42">
        <v>187500</v>
      </c>
      <c r="D30" s="42">
        <v>90531</v>
      </c>
      <c r="E30" s="20">
        <v>0</v>
      </c>
      <c r="F30" s="41">
        <f t="shared" si="7"/>
        <v>306261</v>
      </c>
      <c r="G30" s="32" t="s">
        <v>62</v>
      </c>
    </row>
    <row r="31" spans="1:7" s="13" customFormat="1" ht="24" customHeight="1" x14ac:dyDescent="0.25">
      <c r="A31" s="36" t="s">
        <v>31</v>
      </c>
      <c r="B31" s="37">
        <v>7800</v>
      </c>
      <c r="C31" s="37">
        <v>5700</v>
      </c>
      <c r="D31" s="37">
        <v>0</v>
      </c>
      <c r="E31" s="37">
        <v>0</v>
      </c>
      <c r="F31" s="8">
        <f t="shared" si="7"/>
        <v>13500</v>
      </c>
      <c r="G31" s="32"/>
    </row>
    <row r="32" spans="1:7" s="6" customFormat="1" ht="15" customHeight="1" x14ac:dyDescent="0.25">
      <c r="A32" s="10" t="s">
        <v>9</v>
      </c>
      <c r="B32" s="11">
        <f t="shared" ref="B32:F32" si="8">SUM(B28:B31)</f>
        <v>76482</v>
      </c>
      <c r="C32" s="11">
        <f t="shared" si="8"/>
        <v>255406</v>
      </c>
      <c r="D32" s="11">
        <f t="shared" si="8"/>
        <v>116229</v>
      </c>
      <c r="E32" s="11">
        <f t="shared" si="8"/>
        <v>0</v>
      </c>
      <c r="F32" s="12">
        <f t="shared" si="8"/>
        <v>448117</v>
      </c>
    </row>
    <row r="33" spans="1:7" s="13" customFormat="1" ht="18" customHeight="1" x14ac:dyDescent="0.25">
      <c r="A33" s="308" t="s">
        <v>32</v>
      </c>
      <c r="B33" s="309"/>
      <c r="C33" s="309"/>
      <c r="D33" s="309"/>
      <c r="E33" s="309"/>
      <c r="F33" s="310"/>
    </row>
    <row r="34" spans="1:7" s="13" customFormat="1" ht="24" customHeight="1" x14ac:dyDescent="0.25">
      <c r="A34" s="21" t="s">
        <v>33</v>
      </c>
      <c r="B34" s="39">
        <v>45000</v>
      </c>
      <c r="C34" s="39">
        <v>0</v>
      </c>
      <c r="D34" s="20">
        <v>0</v>
      </c>
      <c r="E34" s="20">
        <v>0</v>
      </c>
      <c r="F34" s="40">
        <f t="shared" ref="F34:F47" si="9">SUM(B34:E34)</f>
        <v>45000</v>
      </c>
      <c r="G34" s="32" t="s">
        <v>63</v>
      </c>
    </row>
    <row r="35" spans="1:7" s="13" customFormat="1" ht="24" customHeight="1" x14ac:dyDescent="0.25">
      <c r="A35" s="21" t="s">
        <v>34</v>
      </c>
      <c r="B35" s="39">
        <v>0</v>
      </c>
      <c r="C35" s="39">
        <v>5500</v>
      </c>
      <c r="D35" s="39">
        <v>25000</v>
      </c>
      <c r="E35" s="20">
        <v>0</v>
      </c>
      <c r="F35" s="8">
        <f t="shared" si="9"/>
        <v>30500</v>
      </c>
      <c r="G35" s="32" t="s">
        <v>61</v>
      </c>
    </row>
    <row r="36" spans="1:7" s="13" customFormat="1" ht="24" customHeight="1" x14ac:dyDescent="0.25">
      <c r="A36" s="21" t="s">
        <v>35</v>
      </c>
      <c r="B36" s="39">
        <v>0</v>
      </c>
      <c r="C36" s="39">
        <v>52090</v>
      </c>
      <c r="D36" s="20">
        <v>0</v>
      </c>
      <c r="E36" s="20">
        <v>0</v>
      </c>
      <c r="F36" s="8">
        <f t="shared" si="9"/>
        <v>52090</v>
      </c>
      <c r="G36" s="32" t="s">
        <v>64</v>
      </c>
    </row>
    <row r="37" spans="1:7" s="13" customFormat="1" ht="31.5" x14ac:dyDescent="0.25">
      <c r="A37" s="21" t="s">
        <v>36</v>
      </c>
      <c r="B37" s="39">
        <v>34598</v>
      </c>
      <c r="C37" s="39">
        <v>16000</v>
      </c>
      <c r="D37" s="39">
        <v>0</v>
      </c>
      <c r="E37" s="20">
        <v>0</v>
      </c>
      <c r="F37" s="8">
        <f t="shared" si="9"/>
        <v>50598</v>
      </c>
      <c r="G37" s="32" t="s">
        <v>61</v>
      </c>
    </row>
    <row r="38" spans="1:7" s="13" customFormat="1" ht="31.5" x14ac:dyDescent="0.25">
      <c r="A38" s="21" t="s">
        <v>37</v>
      </c>
      <c r="B38" s="20">
        <v>5500</v>
      </c>
      <c r="C38" s="20">
        <v>0</v>
      </c>
      <c r="D38" s="20">
        <v>0</v>
      </c>
      <c r="E38" s="20">
        <v>0</v>
      </c>
      <c r="F38" s="8">
        <f t="shared" si="9"/>
        <v>5500</v>
      </c>
    </row>
    <row r="39" spans="1:7" s="13" customFormat="1" ht="24" customHeight="1" x14ac:dyDescent="0.25">
      <c r="A39" s="21" t="s">
        <v>38</v>
      </c>
      <c r="B39" s="39">
        <v>20571</v>
      </c>
      <c r="C39" s="39">
        <v>113428</v>
      </c>
      <c r="D39" s="39">
        <v>42000</v>
      </c>
      <c r="E39" s="20">
        <v>0</v>
      </c>
      <c r="F39" s="8">
        <f t="shared" si="9"/>
        <v>175999</v>
      </c>
      <c r="G39" s="32" t="s">
        <v>61</v>
      </c>
    </row>
    <row r="40" spans="1:7" s="13" customFormat="1" ht="24" customHeight="1" x14ac:dyDescent="0.25">
      <c r="A40" s="21" t="s">
        <v>39</v>
      </c>
      <c r="B40" s="20">
        <v>51000</v>
      </c>
      <c r="C40" s="20">
        <v>0</v>
      </c>
      <c r="D40" s="20">
        <v>0</v>
      </c>
      <c r="E40" s="20">
        <v>0</v>
      </c>
      <c r="F40" s="8">
        <f t="shared" si="9"/>
        <v>51000</v>
      </c>
    </row>
    <row r="41" spans="1:7" s="13" customFormat="1" ht="24" customHeight="1" x14ac:dyDescent="0.25">
      <c r="A41" s="21" t="s">
        <v>40</v>
      </c>
      <c r="B41" s="20">
        <v>15000</v>
      </c>
      <c r="C41" s="20">
        <v>0</v>
      </c>
      <c r="D41" s="20">
        <v>0</v>
      </c>
      <c r="E41" s="20">
        <v>0</v>
      </c>
      <c r="F41" s="8">
        <f t="shared" si="9"/>
        <v>15000</v>
      </c>
    </row>
    <row r="42" spans="1:7" s="13" customFormat="1" ht="34.5" customHeight="1" x14ac:dyDescent="0.25">
      <c r="A42" s="21" t="s">
        <v>41</v>
      </c>
      <c r="B42" s="39">
        <v>10000</v>
      </c>
      <c r="C42" s="39">
        <v>28000</v>
      </c>
      <c r="D42" s="20">
        <v>0</v>
      </c>
      <c r="E42" s="20">
        <v>0</v>
      </c>
      <c r="F42" s="8">
        <f t="shared" si="9"/>
        <v>38000</v>
      </c>
      <c r="G42" s="32" t="s">
        <v>61</v>
      </c>
    </row>
    <row r="43" spans="1:7" s="13" customFormat="1" ht="24" customHeight="1" x14ac:dyDescent="0.25">
      <c r="A43" s="21" t="s">
        <v>42</v>
      </c>
      <c r="B43" s="20">
        <v>22700</v>
      </c>
      <c r="C43" s="20">
        <v>500</v>
      </c>
      <c r="D43" s="20">
        <v>0</v>
      </c>
      <c r="E43" s="20">
        <v>0</v>
      </c>
      <c r="F43" s="8">
        <f t="shared" si="9"/>
        <v>23200</v>
      </c>
      <c r="G43" s="32"/>
    </row>
    <row r="44" spans="1:7" s="13" customFormat="1" ht="24" customHeight="1" x14ac:dyDescent="0.25">
      <c r="A44" s="21" t="s">
        <v>43</v>
      </c>
      <c r="B44" s="20">
        <v>30200</v>
      </c>
      <c r="C44" s="20">
        <v>0</v>
      </c>
      <c r="D44" s="20">
        <v>0</v>
      </c>
      <c r="E44" s="20">
        <v>0</v>
      </c>
      <c r="F44" s="8">
        <f t="shared" si="9"/>
        <v>30200</v>
      </c>
    </row>
    <row r="45" spans="1:7" s="13" customFormat="1" ht="24" customHeight="1" x14ac:dyDescent="0.25">
      <c r="A45" s="21" t="s">
        <v>44</v>
      </c>
      <c r="B45" s="39">
        <v>40000</v>
      </c>
      <c r="C45" s="39">
        <v>0</v>
      </c>
      <c r="D45" s="20">
        <v>0</v>
      </c>
      <c r="E45" s="20">
        <v>0</v>
      </c>
      <c r="F45" s="8">
        <f t="shared" si="9"/>
        <v>40000</v>
      </c>
      <c r="G45" s="32" t="s">
        <v>65</v>
      </c>
    </row>
    <row r="46" spans="1:7" s="13" customFormat="1" ht="24" customHeight="1" x14ac:dyDescent="0.25">
      <c r="A46" s="23" t="s">
        <v>45</v>
      </c>
      <c r="B46" s="39">
        <v>5000</v>
      </c>
      <c r="C46" s="39">
        <v>46139</v>
      </c>
      <c r="D46" s="20">
        <v>0</v>
      </c>
      <c r="E46" s="20">
        <v>0</v>
      </c>
      <c r="F46" s="8">
        <f t="shared" si="9"/>
        <v>51139</v>
      </c>
      <c r="G46" s="32" t="s">
        <v>61</v>
      </c>
    </row>
    <row r="47" spans="1:7" s="13" customFormat="1" ht="24" customHeight="1" x14ac:dyDescent="0.25">
      <c r="A47" s="21" t="s">
        <v>46</v>
      </c>
      <c r="B47" s="20">
        <v>6200</v>
      </c>
      <c r="C47" s="20">
        <v>0</v>
      </c>
      <c r="D47" s="20">
        <v>0</v>
      </c>
      <c r="E47" s="20">
        <v>0</v>
      </c>
      <c r="F47" s="8">
        <f t="shared" si="9"/>
        <v>6200</v>
      </c>
    </row>
    <row r="48" spans="1:7" s="6" customFormat="1" ht="15" customHeight="1" x14ac:dyDescent="0.25">
      <c r="A48" s="10" t="s">
        <v>47</v>
      </c>
      <c r="B48" s="11">
        <f t="shared" ref="B48:F48" si="10">SUM(B34:B47)</f>
        <v>285769</v>
      </c>
      <c r="C48" s="11">
        <f t="shared" si="10"/>
        <v>261657</v>
      </c>
      <c r="D48" s="11">
        <f t="shared" si="10"/>
        <v>67000</v>
      </c>
      <c r="E48" s="11">
        <f t="shared" si="10"/>
        <v>0</v>
      </c>
      <c r="F48" s="12">
        <f t="shared" si="10"/>
        <v>614426</v>
      </c>
    </row>
    <row r="49" spans="1:7" s="13" customFormat="1" ht="18" customHeight="1" x14ac:dyDescent="0.25">
      <c r="A49" s="308" t="s">
        <v>48</v>
      </c>
      <c r="B49" s="309"/>
      <c r="C49" s="309"/>
      <c r="D49" s="309"/>
      <c r="E49" s="309"/>
      <c r="F49" s="310"/>
    </row>
    <row r="50" spans="1:7" s="13" customFormat="1" ht="24" customHeight="1" x14ac:dyDescent="0.25">
      <c r="A50" s="21" t="s">
        <v>49</v>
      </c>
      <c r="B50" s="24">
        <v>41000</v>
      </c>
      <c r="C50" s="24">
        <v>0</v>
      </c>
      <c r="D50" s="24">
        <v>0</v>
      </c>
      <c r="E50" s="24">
        <v>0</v>
      </c>
      <c r="F50" s="8">
        <f t="shared" ref="F50:F53" si="11">SUM(B50:E50)</f>
        <v>41000</v>
      </c>
    </row>
    <row r="51" spans="1:7" s="13" customFormat="1" ht="24" customHeight="1" x14ac:dyDescent="0.25">
      <c r="A51" s="21" t="s">
        <v>50</v>
      </c>
      <c r="B51" s="20">
        <v>115000</v>
      </c>
      <c r="C51" s="20">
        <v>69416</v>
      </c>
      <c r="D51" s="20">
        <v>0</v>
      </c>
      <c r="E51" s="20">
        <v>0</v>
      </c>
      <c r="F51" s="8">
        <f t="shared" si="11"/>
        <v>184416</v>
      </c>
      <c r="G51" s="32"/>
    </row>
    <row r="52" spans="1:7" s="13" customFormat="1" ht="24" customHeight="1" x14ac:dyDescent="0.25">
      <c r="A52" s="21" t="s">
        <v>51</v>
      </c>
      <c r="B52" s="20">
        <v>3500</v>
      </c>
      <c r="C52" s="20">
        <v>15500</v>
      </c>
      <c r="D52" s="20">
        <v>0</v>
      </c>
      <c r="E52" s="20">
        <v>0</v>
      </c>
      <c r="F52" s="8">
        <f t="shared" si="11"/>
        <v>19000</v>
      </c>
      <c r="G52" s="32"/>
    </row>
    <row r="53" spans="1:7" s="13" customFormat="1" ht="24" customHeight="1" x14ac:dyDescent="0.25">
      <c r="A53" s="21" t="s">
        <v>52</v>
      </c>
      <c r="B53" s="20">
        <f>1000+2500</f>
        <v>3500</v>
      </c>
      <c r="C53" s="20">
        <v>30000</v>
      </c>
      <c r="D53" s="20">
        <v>0</v>
      </c>
      <c r="E53" s="20">
        <v>0</v>
      </c>
      <c r="F53" s="8">
        <f t="shared" si="11"/>
        <v>33500</v>
      </c>
      <c r="G53" s="32"/>
    </row>
    <row r="54" spans="1:7" s="6" customFormat="1" ht="15" customHeight="1" thickBot="1" x14ac:dyDescent="0.3">
      <c r="A54" s="10" t="s">
        <v>53</v>
      </c>
      <c r="B54" s="11">
        <f t="shared" ref="B54:F54" si="12">SUM(B50:B53)</f>
        <v>163000</v>
      </c>
      <c r="C54" s="11">
        <f t="shared" si="12"/>
        <v>114916</v>
      </c>
      <c r="D54" s="11">
        <f t="shared" si="12"/>
        <v>0</v>
      </c>
      <c r="E54" s="11">
        <f t="shared" si="12"/>
        <v>0</v>
      </c>
      <c r="F54" s="12">
        <f t="shared" si="12"/>
        <v>277916</v>
      </c>
    </row>
    <row r="55" spans="1:7" s="6" customFormat="1" ht="25.5" customHeight="1" thickBot="1" x14ac:dyDescent="0.3">
      <c r="A55" s="14" t="s">
        <v>54</v>
      </c>
      <c r="B55" s="15">
        <f>B54+B48+B32+B26+B19</f>
        <v>620290</v>
      </c>
      <c r="C55" s="15">
        <f>C54+C48+C32+C26+C19</f>
        <v>936120</v>
      </c>
      <c r="D55" s="15">
        <f>D54+D48+D32+D26+D19</f>
        <v>388676</v>
      </c>
      <c r="E55" s="15">
        <f>E54+E48+E32+E26+E19</f>
        <v>671044</v>
      </c>
      <c r="F55" s="16">
        <f>F54+F48+F32+F26+F19</f>
        <v>2616130</v>
      </c>
    </row>
    <row r="56" spans="1:7" s="6" customFormat="1" ht="13.5" thickBot="1" x14ac:dyDescent="0.3">
      <c r="A56" s="17"/>
      <c r="B56" s="38"/>
      <c r="C56" s="38"/>
      <c r="D56" s="38"/>
      <c r="E56" s="38"/>
      <c r="F56" s="18"/>
    </row>
    <row r="57" spans="1:7" s="6" customFormat="1" ht="21" customHeight="1" thickBot="1" x14ac:dyDescent="0.3">
      <c r="A57" s="14" t="s">
        <v>55</v>
      </c>
      <c r="B57" s="15">
        <f>SUM(B13,B55)</f>
        <v>730240</v>
      </c>
      <c r="C57" s="15">
        <f t="shared" ref="C57:F57" si="13">SUM(C13,C55)</f>
        <v>1018249</v>
      </c>
      <c r="D57" s="15">
        <f t="shared" si="13"/>
        <v>471228</v>
      </c>
      <c r="E57" s="15">
        <f t="shared" si="13"/>
        <v>671044</v>
      </c>
      <c r="F57" s="16">
        <f t="shared" si="13"/>
        <v>2890761</v>
      </c>
    </row>
    <row r="59" spans="1:7" x14ac:dyDescent="0.2">
      <c r="A59" s="35" t="s">
        <v>56</v>
      </c>
    </row>
    <row r="60" spans="1:7" x14ac:dyDescent="0.2">
      <c r="A60" s="35" t="s">
        <v>57</v>
      </c>
    </row>
    <row r="61" spans="1:7" x14ac:dyDescent="0.2">
      <c r="A61" s="35" t="s">
        <v>66</v>
      </c>
    </row>
    <row r="62" spans="1:7" x14ac:dyDescent="0.2">
      <c r="A62" s="35" t="s">
        <v>67</v>
      </c>
    </row>
  </sheetData>
  <mergeCells count="12">
    <mergeCell ref="A49:F49"/>
    <mergeCell ref="A10:F10"/>
    <mergeCell ref="A15:F15"/>
    <mergeCell ref="A16:F16"/>
    <mergeCell ref="A20:F20"/>
    <mergeCell ref="A27:F27"/>
    <mergeCell ref="A33:F33"/>
    <mergeCell ref="A6:F6"/>
    <mergeCell ref="A1:F1"/>
    <mergeCell ref="A3:A4"/>
    <mergeCell ref="B3:F3"/>
    <mergeCell ref="A5:F5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Footer>&amp;C&amp;"Tahoma,Obyčejné"&amp;10&amp;P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5E521-72E9-4677-97EE-67A666F1D2C1}">
  <sheetPr>
    <tabColor rgb="FF92D050"/>
    <pageSetUpPr fitToPage="1"/>
  </sheetPr>
  <dimension ref="A1:P97"/>
  <sheetViews>
    <sheetView zoomScaleNormal="100" workbookViewId="0">
      <pane ySplit="5" topLeftCell="A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3" width="7.7109375" style="163" customWidth="1"/>
    <col min="4" max="11" width="12.7109375" style="141" customWidth="1"/>
    <col min="12" max="12" width="13" style="141" customWidth="1"/>
    <col min="13" max="13" width="48" style="140" customWidth="1"/>
    <col min="14" max="16384" width="9.140625" style="140"/>
  </cols>
  <sheetData>
    <row r="1" spans="1:14" ht="15" customHeight="1" x14ac:dyDescent="0.2">
      <c r="A1" s="140" t="s">
        <v>177</v>
      </c>
      <c r="N1" s="140" t="s">
        <v>237</v>
      </c>
    </row>
    <row r="2" spans="1:14" s="1" customFormat="1" ht="23.25" customHeight="1" x14ac:dyDescent="0.25">
      <c r="A2" s="346" t="s">
        <v>98</v>
      </c>
      <c r="B2" s="346"/>
      <c r="C2" s="346"/>
      <c r="D2" s="347"/>
      <c r="E2" s="347"/>
      <c r="F2" s="347"/>
      <c r="G2" s="347"/>
      <c r="H2" s="347"/>
      <c r="I2" s="347"/>
      <c r="J2" s="347"/>
      <c r="K2" s="347"/>
      <c r="L2" s="347"/>
    </row>
    <row r="3" spans="1:14" ht="13.5" thickBot="1" x14ac:dyDescent="0.25">
      <c r="A3" s="143"/>
      <c r="D3" s="143"/>
      <c r="E3" s="143"/>
      <c r="F3" s="143"/>
      <c r="G3" s="143"/>
      <c r="H3" s="143"/>
      <c r="I3" s="143"/>
      <c r="J3" s="143"/>
      <c r="K3" s="143"/>
      <c r="L3" s="144" t="s">
        <v>1</v>
      </c>
      <c r="N3" s="142"/>
    </row>
    <row r="4" spans="1:14" ht="24.6" customHeight="1" x14ac:dyDescent="0.2">
      <c r="A4" s="296" t="s">
        <v>2</v>
      </c>
      <c r="B4" s="154"/>
      <c r="C4" s="154"/>
      <c r="D4" s="349" t="s">
        <v>178</v>
      </c>
      <c r="E4" s="350"/>
      <c r="F4" s="350"/>
      <c r="G4" s="350"/>
      <c r="H4" s="350"/>
      <c r="I4" s="350"/>
      <c r="J4" s="351"/>
      <c r="K4" s="352" t="s">
        <v>269</v>
      </c>
      <c r="L4" s="352" t="s">
        <v>270</v>
      </c>
    </row>
    <row r="5" spans="1:14" ht="24.6" customHeight="1" thickBot="1" x14ac:dyDescent="0.25">
      <c r="A5" s="348"/>
      <c r="B5" s="155" t="s">
        <v>181</v>
      </c>
      <c r="C5" s="155" t="s">
        <v>238</v>
      </c>
      <c r="D5" s="126">
        <v>2021</v>
      </c>
      <c r="E5" s="184">
        <v>2022</v>
      </c>
      <c r="F5" s="145" t="s">
        <v>271</v>
      </c>
      <c r="G5" s="185">
        <v>2023</v>
      </c>
      <c r="H5" s="127" t="s">
        <v>272</v>
      </c>
      <c r="I5" s="185">
        <v>2024</v>
      </c>
      <c r="J5" s="126" t="s">
        <v>273</v>
      </c>
      <c r="K5" s="353"/>
      <c r="L5" s="353"/>
    </row>
    <row r="6" spans="1:14" s="146" customFormat="1" ht="21" customHeight="1" x14ac:dyDescent="0.25">
      <c r="A6" s="301" t="s">
        <v>70</v>
      </c>
      <c r="B6" s="356"/>
      <c r="C6" s="356"/>
      <c r="D6" s="341"/>
      <c r="E6" s="341"/>
      <c r="F6" s="341"/>
      <c r="G6" s="341"/>
      <c r="H6" s="357"/>
      <c r="I6" s="342"/>
      <c r="J6" s="342"/>
      <c r="K6" s="342"/>
      <c r="L6" s="343"/>
    </row>
    <row r="7" spans="1:14" s="147" customFormat="1" ht="18" customHeight="1" x14ac:dyDescent="0.25">
      <c r="A7" s="335" t="s">
        <v>6</v>
      </c>
      <c r="B7" s="354"/>
      <c r="C7" s="354"/>
      <c r="D7" s="336"/>
      <c r="E7" s="336"/>
      <c r="F7" s="336"/>
      <c r="G7" s="336"/>
      <c r="H7" s="336"/>
      <c r="I7" s="336"/>
      <c r="J7" s="336"/>
      <c r="K7" s="336"/>
      <c r="L7" s="337"/>
    </row>
    <row r="8" spans="1:14" s="151" customFormat="1" ht="15" customHeight="1" x14ac:dyDescent="0.25">
      <c r="A8" s="148" t="s">
        <v>7</v>
      </c>
      <c r="B8" s="156">
        <v>3402</v>
      </c>
      <c r="C8" s="164" t="s">
        <v>239</v>
      </c>
      <c r="D8" s="149">
        <v>5576.1411900000003</v>
      </c>
      <c r="E8" s="186">
        <v>91590.16</v>
      </c>
      <c r="F8" s="149">
        <v>91590.16</v>
      </c>
      <c r="G8" s="186">
        <v>60950</v>
      </c>
      <c r="H8" s="149">
        <v>60950</v>
      </c>
      <c r="I8" s="186">
        <v>0</v>
      </c>
      <c r="J8" s="149">
        <v>0</v>
      </c>
      <c r="K8" s="150">
        <f>D8+E8+G8+I8</f>
        <v>158116.30119</v>
      </c>
      <c r="L8" s="150">
        <f>D8+F8+H8+J8</f>
        <v>158116.30119</v>
      </c>
    </row>
    <row r="9" spans="1:14" s="151" customFormat="1" ht="24" customHeight="1" x14ac:dyDescent="0.25">
      <c r="A9" s="148" t="s">
        <v>8</v>
      </c>
      <c r="B9" s="156" t="s">
        <v>182</v>
      </c>
      <c r="C9" s="164" t="s">
        <v>239</v>
      </c>
      <c r="D9" s="149">
        <v>3541.7672600000001</v>
      </c>
      <c r="E9" s="186">
        <v>26967.23</v>
      </c>
      <c r="F9" s="149">
        <v>26967.23</v>
      </c>
      <c r="G9" s="186">
        <v>19995</v>
      </c>
      <c r="H9" s="149">
        <v>19995</v>
      </c>
      <c r="I9" s="186">
        <v>0</v>
      </c>
      <c r="J9" s="149">
        <v>0</v>
      </c>
      <c r="K9" s="150">
        <f>D9+E9+G9+I9</f>
        <v>50503.997260000004</v>
      </c>
      <c r="L9" s="150">
        <f t="shared" ref="L9" si="0">D9+F9+H9+J9</f>
        <v>50503.997260000004</v>
      </c>
    </row>
    <row r="10" spans="1:14" s="146" customFormat="1" ht="15" customHeight="1" x14ac:dyDescent="0.25">
      <c r="A10" s="10" t="s">
        <v>9</v>
      </c>
      <c r="B10" s="157"/>
      <c r="C10" s="165"/>
      <c r="D10" s="11">
        <f t="shared" ref="D10:J10" si="1">SUM(D8:D9)</f>
        <v>9117.9084500000008</v>
      </c>
      <c r="E10" s="11">
        <f t="shared" si="1"/>
        <v>118557.39</v>
      </c>
      <c r="F10" s="11">
        <f t="shared" si="1"/>
        <v>118557.39</v>
      </c>
      <c r="G10" s="11">
        <f t="shared" si="1"/>
        <v>80945</v>
      </c>
      <c r="H10" s="11">
        <f t="shared" si="1"/>
        <v>80945</v>
      </c>
      <c r="I10" s="11">
        <f t="shared" si="1"/>
        <v>0</v>
      </c>
      <c r="J10" s="11">
        <f t="shared" si="1"/>
        <v>0</v>
      </c>
      <c r="K10" s="12">
        <f>SUM(K8:K9)</f>
        <v>208620.29845</v>
      </c>
      <c r="L10" s="12">
        <f>SUM(L8:L9)</f>
        <v>208620.29845</v>
      </c>
    </row>
    <row r="11" spans="1:14" s="147" customFormat="1" ht="18" customHeight="1" x14ac:dyDescent="0.25">
      <c r="A11" s="338" t="s">
        <v>32</v>
      </c>
      <c r="B11" s="355"/>
      <c r="C11" s="355"/>
      <c r="D11" s="339"/>
      <c r="E11" s="339"/>
      <c r="F11" s="339"/>
      <c r="G11" s="339"/>
      <c r="H11" s="339"/>
      <c r="I11" s="339"/>
      <c r="J11" s="339"/>
      <c r="K11" s="339"/>
      <c r="L11" s="340"/>
    </row>
    <row r="12" spans="1:14" s="151" customFormat="1" ht="15" customHeight="1" x14ac:dyDescent="0.25">
      <c r="A12" s="148" t="s">
        <v>83</v>
      </c>
      <c r="B12" s="156" t="s">
        <v>183</v>
      </c>
      <c r="C12" s="164" t="s">
        <v>239</v>
      </c>
      <c r="D12" s="149">
        <v>0</v>
      </c>
      <c r="E12" s="186">
        <v>26810</v>
      </c>
      <c r="F12" s="149">
        <v>26810</v>
      </c>
      <c r="G12" s="186">
        <v>0</v>
      </c>
      <c r="H12" s="149">
        <v>0</v>
      </c>
      <c r="I12" s="186">
        <v>0</v>
      </c>
      <c r="J12" s="182">
        <v>0</v>
      </c>
      <c r="K12" s="150">
        <f>D12+E12+G12+I12</f>
        <v>26810</v>
      </c>
      <c r="L12" s="150">
        <f>D12+F12+H12+J12</f>
        <v>26810</v>
      </c>
    </row>
    <row r="13" spans="1:14" s="151" customFormat="1" ht="15" customHeight="1" x14ac:dyDescent="0.25">
      <c r="A13" s="148" t="s">
        <v>86</v>
      </c>
      <c r="B13" s="156" t="s">
        <v>184</v>
      </c>
      <c r="C13" s="164" t="s">
        <v>239</v>
      </c>
      <c r="D13" s="149">
        <v>0</v>
      </c>
      <c r="E13" s="186">
        <v>10963</v>
      </c>
      <c r="F13" s="149">
        <v>10963</v>
      </c>
      <c r="G13" s="186">
        <v>0</v>
      </c>
      <c r="H13" s="149">
        <v>0</v>
      </c>
      <c r="I13" s="186">
        <v>0</v>
      </c>
      <c r="J13" s="182">
        <v>0</v>
      </c>
      <c r="K13" s="150">
        <f>D13+E13+G13+I13</f>
        <v>10963</v>
      </c>
      <c r="L13" s="150">
        <f t="shared" ref="L13:L15" si="2">D13+F13+H13+J13</f>
        <v>10963</v>
      </c>
    </row>
    <row r="14" spans="1:14" s="151" customFormat="1" ht="15" customHeight="1" x14ac:dyDescent="0.25">
      <c r="A14" s="148" t="s">
        <v>84</v>
      </c>
      <c r="B14" s="156" t="s">
        <v>185</v>
      </c>
      <c r="C14" s="164" t="s">
        <v>239</v>
      </c>
      <c r="D14" s="149">
        <v>0</v>
      </c>
      <c r="E14" s="186">
        <v>21262</v>
      </c>
      <c r="F14" s="149">
        <v>21262</v>
      </c>
      <c r="G14" s="186">
        <v>0</v>
      </c>
      <c r="H14" s="149">
        <v>0</v>
      </c>
      <c r="I14" s="186">
        <v>0</v>
      </c>
      <c r="J14" s="182">
        <v>0</v>
      </c>
      <c r="K14" s="150">
        <f>D14+E14+G14+I14</f>
        <v>21262</v>
      </c>
      <c r="L14" s="150">
        <f t="shared" si="2"/>
        <v>21262</v>
      </c>
    </row>
    <row r="15" spans="1:14" s="151" customFormat="1" ht="15" customHeight="1" x14ac:dyDescent="0.25">
      <c r="A15" s="148" t="s">
        <v>85</v>
      </c>
      <c r="B15" s="156" t="s">
        <v>186</v>
      </c>
      <c r="C15" s="164" t="s">
        <v>239</v>
      </c>
      <c r="D15" s="149">
        <v>0</v>
      </c>
      <c r="E15" s="186">
        <v>50842</v>
      </c>
      <c r="F15" s="149">
        <v>50842</v>
      </c>
      <c r="G15" s="186">
        <v>0</v>
      </c>
      <c r="H15" s="149">
        <v>0</v>
      </c>
      <c r="I15" s="186">
        <v>0</v>
      </c>
      <c r="J15" s="182">
        <v>0</v>
      </c>
      <c r="K15" s="150">
        <f>D15+E15+G15+I15</f>
        <v>50842</v>
      </c>
      <c r="L15" s="150">
        <f t="shared" si="2"/>
        <v>50842</v>
      </c>
    </row>
    <row r="16" spans="1:14" s="146" customFormat="1" ht="15" customHeight="1" x14ac:dyDescent="0.25">
      <c r="A16" s="10" t="s">
        <v>47</v>
      </c>
      <c r="B16" s="157"/>
      <c r="C16" s="165"/>
      <c r="D16" s="11">
        <f>SUM(D12:D15)</f>
        <v>0</v>
      </c>
      <c r="E16" s="11">
        <f>SUM(E12:E15)</f>
        <v>109877</v>
      </c>
      <c r="F16" s="11">
        <f t="shared" ref="F16:J16" si="3">SUM(F12:F15)</f>
        <v>109877</v>
      </c>
      <c r="G16" s="11">
        <f t="shared" si="3"/>
        <v>0</v>
      </c>
      <c r="H16" s="11">
        <f t="shared" si="3"/>
        <v>0</v>
      </c>
      <c r="I16" s="11">
        <f t="shared" si="3"/>
        <v>0</v>
      </c>
      <c r="J16" s="11">
        <f t="shared" si="3"/>
        <v>0</v>
      </c>
      <c r="K16" s="11">
        <f>SUM(K12:K15)</f>
        <v>109877</v>
      </c>
      <c r="L16" s="11">
        <f>SUM(L12:L15)</f>
        <v>109877</v>
      </c>
    </row>
    <row r="17" spans="1:14" s="147" customFormat="1" ht="18" customHeight="1" x14ac:dyDescent="0.25">
      <c r="A17" s="335" t="s">
        <v>10</v>
      </c>
      <c r="B17" s="354"/>
      <c r="C17" s="354"/>
      <c r="D17" s="336"/>
      <c r="E17" s="336"/>
      <c r="F17" s="336"/>
      <c r="G17" s="336"/>
      <c r="H17" s="336"/>
      <c r="I17" s="336"/>
      <c r="J17" s="336"/>
      <c r="K17" s="336"/>
      <c r="L17" s="337"/>
    </row>
    <row r="18" spans="1:14" s="151" customFormat="1" ht="15" customHeight="1" x14ac:dyDescent="0.25">
      <c r="A18" s="148" t="s">
        <v>11</v>
      </c>
      <c r="B18" s="156" t="s">
        <v>187</v>
      </c>
      <c r="C18" s="164" t="s">
        <v>239</v>
      </c>
      <c r="D18" s="149">
        <v>0</v>
      </c>
      <c r="E18" s="186">
        <v>8443</v>
      </c>
      <c r="F18" s="149">
        <v>8443</v>
      </c>
      <c r="G18" s="189">
        <v>27770</v>
      </c>
      <c r="H18" s="149">
        <v>27770</v>
      </c>
      <c r="I18" s="186">
        <v>0</v>
      </c>
      <c r="J18" s="182">
        <v>0</v>
      </c>
      <c r="K18" s="150">
        <f>D18+E18+G18+I18</f>
        <v>36213</v>
      </c>
      <c r="L18" s="150">
        <f>D18+F18+H18+J18</f>
        <v>36213</v>
      </c>
    </row>
    <row r="19" spans="1:14" s="146" customFormat="1" ht="23.45" customHeight="1" thickBot="1" x14ac:dyDescent="0.3">
      <c r="A19" s="10" t="s">
        <v>13</v>
      </c>
      <c r="B19" s="157"/>
      <c r="C19" s="165"/>
      <c r="D19" s="11">
        <f t="shared" ref="D19:J19" si="4">SUM(D18:D18)</f>
        <v>0</v>
      </c>
      <c r="E19" s="11">
        <f t="shared" si="4"/>
        <v>8443</v>
      </c>
      <c r="F19" s="11">
        <f t="shared" si="4"/>
        <v>8443</v>
      </c>
      <c r="G19" s="11">
        <f t="shared" si="4"/>
        <v>27770</v>
      </c>
      <c r="H19" s="11">
        <f t="shared" si="4"/>
        <v>27770</v>
      </c>
      <c r="I19" s="11">
        <f t="shared" si="4"/>
        <v>0</v>
      </c>
      <c r="J19" s="11">
        <f t="shared" si="4"/>
        <v>0</v>
      </c>
      <c r="K19" s="12">
        <f>SUM(K18:K18)</f>
        <v>36213</v>
      </c>
      <c r="L19" s="12">
        <f>SUM(L18:L18)</f>
        <v>36213</v>
      </c>
    </row>
    <row r="20" spans="1:14" s="146" customFormat="1" ht="25.5" customHeight="1" thickBot="1" x14ac:dyDescent="0.3">
      <c r="A20" s="14" t="s">
        <v>71</v>
      </c>
      <c r="B20" s="158"/>
      <c r="C20" s="166"/>
      <c r="D20" s="15">
        <f t="shared" ref="D20:L20" si="5">D10+D16+D19</f>
        <v>9117.9084500000008</v>
      </c>
      <c r="E20" s="15">
        <f t="shared" si="5"/>
        <v>236877.39</v>
      </c>
      <c r="F20" s="15">
        <f t="shared" si="5"/>
        <v>236877.39</v>
      </c>
      <c r="G20" s="15">
        <f t="shared" si="5"/>
        <v>108715</v>
      </c>
      <c r="H20" s="15">
        <f t="shared" si="5"/>
        <v>108715</v>
      </c>
      <c r="I20" s="15">
        <f t="shared" si="5"/>
        <v>0</v>
      </c>
      <c r="J20" s="15">
        <f t="shared" si="5"/>
        <v>0</v>
      </c>
      <c r="K20" s="16">
        <f t="shared" si="5"/>
        <v>354710.29845</v>
      </c>
      <c r="L20" s="16">
        <f t="shared" si="5"/>
        <v>354710.29845</v>
      </c>
    </row>
    <row r="21" spans="1:14" s="146" customFormat="1" ht="12" customHeight="1" thickBot="1" x14ac:dyDescent="0.3">
      <c r="A21" s="17"/>
      <c r="B21" s="159"/>
      <c r="C21" s="167"/>
      <c r="D21" s="94"/>
      <c r="E21" s="94"/>
      <c r="F21" s="94"/>
      <c r="G21" s="94"/>
      <c r="H21" s="94"/>
      <c r="I21" s="94"/>
      <c r="J21" s="94"/>
      <c r="K21" s="94"/>
      <c r="L21" s="95"/>
    </row>
    <row r="22" spans="1:14" s="146" customFormat="1" ht="21" customHeight="1" x14ac:dyDescent="0.25">
      <c r="A22" s="301" t="s">
        <v>72</v>
      </c>
      <c r="B22" s="356"/>
      <c r="C22" s="356"/>
      <c r="D22" s="341"/>
      <c r="E22" s="341"/>
      <c r="F22" s="341"/>
      <c r="G22" s="341"/>
      <c r="H22" s="357"/>
      <c r="I22" s="342"/>
      <c r="J22" s="342"/>
      <c r="K22" s="342"/>
      <c r="L22" s="343"/>
    </row>
    <row r="23" spans="1:14" s="147" customFormat="1" ht="18" customHeight="1" x14ac:dyDescent="0.25">
      <c r="A23" s="335" t="s">
        <v>48</v>
      </c>
      <c r="B23" s="354"/>
      <c r="C23" s="354"/>
      <c r="D23" s="336"/>
      <c r="E23" s="336"/>
      <c r="F23" s="336"/>
      <c r="G23" s="336"/>
      <c r="H23" s="336"/>
      <c r="I23" s="336"/>
      <c r="J23" s="336"/>
      <c r="K23" s="336"/>
      <c r="L23" s="337"/>
      <c r="N23" s="169"/>
    </row>
    <row r="24" spans="1:14" s="151" customFormat="1" ht="24" customHeight="1" x14ac:dyDescent="0.25">
      <c r="A24" s="148" t="s">
        <v>179</v>
      </c>
      <c r="B24" s="156" t="s">
        <v>188</v>
      </c>
      <c r="C24" s="164" t="s">
        <v>243</v>
      </c>
      <c r="D24" s="149">
        <v>0</v>
      </c>
      <c r="E24" s="186">
        <f>40219</f>
        <v>40219</v>
      </c>
      <c r="F24" s="149">
        <v>0</v>
      </c>
      <c r="G24" s="186">
        <v>0</v>
      </c>
      <c r="H24" s="149">
        <v>0</v>
      </c>
      <c r="I24" s="186">
        <v>0</v>
      </c>
      <c r="J24" s="182">
        <v>0</v>
      </c>
      <c r="K24" s="150">
        <f>D24+E24+G24+I24</f>
        <v>40219</v>
      </c>
      <c r="L24" s="150">
        <f t="shared" ref="L24" si="6">D24+F24+H24+J24</f>
        <v>0</v>
      </c>
    </row>
    <row r="25" spans="1:14" s="146" customFormat="1" ht="15" customHeight="1" thickBot="1" x14ac:dyDescent="0.3">
      <c r="A25" s="10" t="s">
        <v>53</v>
      </c>
      <c r="B25" s="157"/>
      <c r="C25" s="165"/>
      <c r="D25" s="11">
        <f>SUM(D24:D24)</f>
        <v>0</v>
      </c>
      <c r="E25" s="11">
        <f>SUM(E24:E24)</f>
        <v>40219</v>
      </c>
      <c r="F25" s="11">
        <f>SUM(F24:F24)</f>
        <v>0</v>
      </c>
      <c r="G25" s="11">
        <f>SUM(G24:G24)</f>
        <v>0</v>
      </c>
      <c r="H25" s="11">
        <f t="shared" ref="H25:J25" si="7">SUM(H24:H24)</f>
        <v>0</v>
      </c>
      <c r="I25" s="11">
        <f t="shared" si="7"/>
        <v>0</v>
      </c>
      <c r="J25" s="11">
        <f t="shared" si="7"/>
        <v>0</v>
      </c>
      <c r="K25" s="12">
        <f>SUM(K24:K24)</f>
        <v>40219</v>
      </c>
      <c r="L25" s="12">
        <f>SUM(L24:L24)</f>
        <v>0</v>
      </c>
    </row>
    <row r="26" spans="1:14" s="146" customFormat="1" ht="36" customHeight="1" thickBot="1" x14ac:dyDescent="0.3">
      <c r="A26" s="14" t="s">
        <v>79</v>
      </c>
      <c r="B26" s="158"/>
      <c r="C26" s="166"/>
      <c r="D26" s="15">
        <f>D25</f>
        <v>0</v>
      </c>
      <c r="E26" s="15">
        <f>E25</f>
        <v>40219</v>
      </c>
      <c r="F26" s="15">
        <f>F25</f>
        <v>0</v>
      </c>
      <c r="G26" s="15">
        <f>G25</f>
        <v>0</v>
      </c>
      <c r="H26" s="15">
        <f t="shared" ref="H26:J26" si="8">H25</f>
        <v>0</v>
      </c>
      <c r="I26" s="15">
        <f t="shared" si="8"/>
        <v>0</v>
      </c>
      <c r="J26" s="15">
        <f t="shared" si="8"/>
        <v>0</v>
      </c>
      <c r="K26" s="16">
        <f>K25</f>
        <v>40219</v>
      </c>
      <c r="L26" s="196">
        <f>L25</f>
        <v>0</v>
      </c>
      <c r="N26" s="188"/>
    </row>
    <row r="27" spans="1:14" s="146" customFormat="1" ht="12" customHeight="1" thickBot="1" x14ac:dyDescent="0.3">
      <c r="A27" s="17"/>
      <c r="B27" s="159"/>
      <c r="C27" s="167"/>
      <c r="D27" s="94"/>
      <c r="E27" s="94"/>
      <c r="F27" s="94"/>
      <c r="G27" s="94"/>
      <c r="H27" s="94"/>
      <c r="I27" s="94"/>
      <c r="J27" s="94"/>
      <c r="K27" s="94"/>
      <c r="L27" s="95"/>
    </row>
    <row r="28" spans="1:14" s="146" customFormat="1" ht="21" customHeight="1" x14ac:dyDescent="0.25">
      <c r="A28" s="301" t="s">
        <v>15</v>
      </c>
      <c r="B28" s="356"/>
      <c r="C28" s="356"/>
      <c r="D28" s="341"/>
      <c r="E28" s="341"/>
      <c r="F28" s="341"/>
      <c r="G28" s="341"/>
      <c r="H28" s="341"/>
      <c r="I28" s="344"/>
      <c r="J28" s="358"/>
      <c r="K28" s="358"/>
      <c r="L28" s="345"/>
    </row>
    <row r="29" spans="1:14" s="147" customFormat="1" ht="18" customHeight="1" x14ac:dyDescent="0.25">
      <c r="A29" s="338" t="s">
        <v>16</v>
      </c>
      <c r="B29" s="355"/>
      <c r="C29" s="355"/>
      <c r="D29" s="339"/>
      <c r="E29" s="339"/>
      <c r="F29" s="339"/>
      <c r="G29" s="339"/>
      <c r="H29" s="339"/>
      <c r="I29" s="339"/>
      <c r="J29" s="339"/>
      <c r="K29" s="339"/>
      <c r="L29" s="340"/>
    </row>
    <row r="30" spans="1:14" s="151" customFormat="1" ht="24" customHeight="1" x14ac:dyDescent="0.25">
      <c r="A30" s="148" t="s">
        <v>162</v>
      </c>
      <c r="B30" s="156" t="s">
        <v>189</v>
      </c>
      <c r="C30" s="164" t="s">
        <v>245</v>
      </c>
      <c r="D30" s="20">
        <v>0</v>
      </c>
      <c r="E30" s="187">
        <v>40000</v>
      </c>
      <c r="F30" s="172">
        <v>40000</v>
      </c>
      <c r="G30" s="187">
        <v>52000</v>
      </c>
      <c r="H30" s="172">
        <v>52000</v>
      </c>
      <c r="I30" s="178">
        <v>0</v>
      </c>
      <c r="J30" s="20">
        <v>0</v>
      </c>
      <c r="K30" s="150">
        <f t="shared" ref="K30:K35" si="9">D30+E30+G30+I30</f>
        <v>92000</v>
      </c>
      <c r="L30" s="150">
        <f>D30+F30+H30+J30</f>
        <v>92000</v>
      </c>
    </row>
    <row r="31" spans="1:14" s="151" customFormat="1" ht="24" customHeight="1" x14ac:dyDescent="0.25">
      <c r="A31" s="21" t="s">
        <v>164</v>
      </c>
      <c r="B31" s="156" t="s">
        <v>190</v>
      </c>
      <c r="C31" s="164" t="s">
        <v>245</v>
      </c>
      <c r="D31" s="20">
        <v>0</v>
      </c>
      <c r="E31" s="187">
        <v>41000</v>
      </c>
      <c r="F31" s="172">
        <v>0</v>
      </c>
      <c r="G31" s="187">
        <v>0</v>
      </c>
      <c r="H31" s="192">
        <v>0</v>
      </c>
      <c r="I31" s="178">
        <v>0</v>
      </c>
      <c r="J31" s="20">
        <v>0</v>
      </c>
      <c r="K31" s="150">
        <f t="shared" si="9"/>
        <v>41000</v>
      </c>
      <c r="L31" s="150">
        <f t="shared" ref="L31:L35" si="10">D31+F31+H31+J31</f>
        <v>0</v>
      </c>
      <c r="M31" s="197"/>
    </row>
    <row r="32" spans="1:14" s="151" customFormat="1" ht="24" customHeight="1" x14ac:dyDescent="0.25">
      <c r="A32" s="148" t="s">
        <v>165</v>
      </c>
      <c r="B32" s="156" t="s">
        <v>191</v>
      </c>
      <c r="C32" s="164" t="s">
        <v>245</v>
      </c>
      <c r="D32" s="20">
        <v>0</v>
      </c>
      <c r="E32" s="187">
        <v>60000</v>
      </c>
      <c r="F32" s="172">
        <v>60000</v>
      </c>
      <c r="G32" s="187">
        <v>0</v>
      </c>
      <c r="H32" s="172">
        <v>0</v>
      </c>
      <c r="I32" s="178">
        <v>0</v>
      </c>
      <c r="J32" s="20">
        <v>0</v>
      </c>
      <c r="K32" s="150">
        <f t="shared" si="9"/>
        <v>60000</v>
      </c>
      <c r="L32" s="150">
        <f t="shared" si="10"/>
        <v>60000</v>
      </c>
    </row>
    <row r="33" spans="1:16" s="151" customFormat="1" ht="15" customHeight="1" x14ac:dyDescent="0.25">
      <c r="A33" s="148" t="s">
        <v>180</v>
      </c>
      <c r="B33" s="156" t="s">
        <v>192</v>
      </c>
      <c r="C33" s="164" t="s">
        <v>247</v>
      </c>
      <c r="D33" s="20">
        <v>0</v>
      </c>
      <c r="E33" s="187">
        <v>300</v>
      </c>
      <c r="F33" s="172">
        <v>300</v>
      </c>
      <c r="G33" s="187">
        <v>75000</v>
      </c>
      <c r="H33" s="20">
        <v>75000</v>
      </c>
      <c r="I33" s="178">
        <v>15000</v>
      </c>
      <c r="J33" s="20">
        <v>15000</v>
      </c>
      <c r="K33" s="150">
        <f t="shared" si="9"/>
        <v>90300</v>
      </c>
      <c r="L33" s="150">
        <f t="shared" si="10"/>
        <v>90300</v>
      </c>
    </row>
    <row r="34" spans="1:16" s="151" customFormat="1" ht="15" customHeight="1" x14ac:dyDescent="0.25">
      <c r="A34" s="148" t="s">
        <v>17</v>
      </c>
      <c r="B34" s="156" t="s">
        <v>193</v>
      </c>
      <c r="C34" s="164" t="s">
        <v>247</v>
      </c>
      <c r="D34" s="20">
        <v>0</v>
      </c>
      <c r="E34" s="187">
        <v>30807</v>
      </c>
      <c r="F34" s="172">
        <f>30807-29500</f>
        <v>1307</v>
      </c>
      <c r="G34" s="187">
        <f>277178+30993-52000</f>
        <v>256171</v>
      </c>
      <c r="H34" s="20">
        <f>277178+30993-52000</f>
        <v>256171</v>
      </c>
      <c r="I34" s="178">
        <v>0</v>
      </c>
      <c r="J34" s="20">
        <v>0</v>
      </c>
      <c r="K34" s="150">
        <f t="shared" si="9"/>
        <v>286978</v>
      </c>
      <c r="L34" s="150">
        <f t="shared" si="10"/>
        <v>257478</v>
      </c>
      <c r="N34" s="179"/>
    </row>
    <row r="35" spans="1:16" s="151" customFormat="1" ht="24" customHeight="1" x14ac:dyDescent="0.25">
      <c r="A35" s="148" t="s">
        <v>92</v>
      </c>
      <c r="B35" s="156" t="s">
        <v>194</v>
      </c>
      <c r="C35" s="164" t="s">
        <v>247</v>
      </c>
      <c r="D35" s="20">
        <v>0</v>
      </c>
      <c r="E35" s="187">
        <v>31298</v>
      </c>
      <c r="F35" s="172">
        <v>31298</v>
      </c>
      <c r="G35" s="187">
        <v>29000</v>
      </c>
      <c r="H35" s="20">
        <v>29000</v>
      </c>
      <c r="I35" s="178">
        <v>2702</v>
      </c>
      <c r="J35" s="20">
        <v>2702</v>
      </c>
      <c r="K35" s="150">
        <f t="shared" si="9"/>
        <v>63000</v>
      </c>
      <c r="L35" s="150">
        <f t="shared" si="10"/>
        <v>63000</v>
      </c>
    </row>
    <row r="36" spans="1:16" s="146" customFormat="1" ht="15" customHeight="1" x14ac:dyDescent="0.25">
      <c r="A36" s="10" t="s">
        <v>19</v>
      </c>
      <c r="B36" s="157"/>
      <c r="C36" s="165"/>
      <c r="D36" s="11">
        <f t="shared" ref="D36" si="11">SUM(D30:D35)</f>
        <v>0</v>
      </c>
      <c r="E36" s="11">
        <f t="shared" ref="E36:L36" si="12">SUM(E30:E35)</f>
        <v>203405</v>
      </c>
      <c r="F36" s="11">
        <f t="shared" si="12"/>
        <v>132905</v>
      </c>
      <c r="G36" s="11">
        <f t="shared" si="12"/>
        <v>412171</v>
      </c>
      <c r="H36" s="11">
        <f t="shared" si="12"/>
        <v>412171</v>
      </c>
      <c r="I36" s="11">
        <f t="shared" si="12"/>
        <v>17702</v>
      </c>
      <c r="J36" s="11">
        <f t="shared" si="12"/>
        <v>17702</v>
      </c>
      <c r="K36" s="12">
        <f t="shared" si="12"/>
        <v>633278</v>
      </c>
      <c r="L36" s="12">
        <f t="shared" si="12"/>
        <v>562778</v>
      </c>
      <c r="N36" s="188"/>
      <c r="O36" s="188"/>
      <c r="P36" s="188"/>
    </row>
    <row r="37" spans="1:16" s="147" customFormat="1" ht="18" customHeight="1" x14ac:dyDescent="0.25">
      <c r="A37" s="332" t="s">
        <v>20</v>
      </c>
      <c r="B37" s="333"/>
      <c r="C37" s="333"/>
      <c r="D37" s="333"/>
      <c r="E37" s="333"/>
      <c r="F37" s="333"/>
      <c r="G37" s="333"/>
      <c r="H37" s="333"/>
      <c r="I37" s="333"/>
      <c r="J37" s="333"/>
      <c r="K37" s="333"/>
      <c r="L37" s="334"/>
      <c r="N37" s="169"/>
    </row>
    <row r="38" spans="1:16" s="151" customFormat="1" ht="24" customHeight="1" x14ac:dyDescent="0.25">
      <c r="A38" s="21" t="s">
        <v>24</v>
      </c>
      <c r="B38" s="160" t="s">
        <v>195</v>
      </c>
      <c r="C38" s="164" t="s">
        <v>247</v>
      </c>
      <c r="D38" s="20">
        <v>375.1</v>
      </c>
      <c r="E38" s="187">
        <f>50000-30000</f>
        <v>20000</v>
      </c>
      <c r="F38" s="172">
        <v>5000</v>
      </c>
      <c r="G38" s="178">
        <v>55000</v>
      </c>
      <c r="H38" s="20">
        <v>55000</v>
      </c>
      <c r="I38" s="178">
        <f>37000-12443</f>
        <v>24557</v>
      </c>
      <c r="J38" s="172">
        <v>39557</v>
      </c>
      <c r="K38" s="150">
        <f>SUM(D38+E38+G38+I38)</f>
        <v>99932.1</v>
      </c>
      <c r="L38" s="150">
        <f>D38+F38+H38+J38</f>
        <v>99932.1</v>
      </c>
      <c r="M38" s="146"/>
    </row>
    <row r="39" spans="1:16" s="151" customFormat="1" ht="24" customHeight="1" x14ac:dyDescent="0.25">
      <c r="A39" s="21" t="s">
        <v>23</v>
      </c>
      <c r="B39" s="160" t="s">
        <v>196</v>
      </c>
      <c r="C39" s="164" t="s">
        <v>247</v>
      </c>
      <c r="D39" s="20">
        <v>615</v>
      </c>
      <c r="E39" s="187">
        <v>40400</v>
      </c>
      <c r="F39" s="172">
        <v>40400</v>
      </c>
      <c r="G39" s="178">
        <v>10000</v>
      </c>
      <c r="H39" s="20">
        <v>10000</v>
      </c>
      <c r="I39" s="178">
        <v>0</v>
      </c>
      <c r="J39" s="172">
        <v>0</v>
      </c>
      <c r="K39" s="150">
        <f>SUM(D39+E39+G39+I39)</f>
        <v>51015</v>
      </c>
      <c r="L39" s="150">
        <f t="shared" ref="L39:L40" si="13">D39+F39+H39+J39</f>
        <v>51015</v>
      </c>
    </row>
    <row r="40" spans="1:16" s="151" customFormat="1" ht="24" customHeight="1" x14ac:dyDescent="0.25">
      <c r="A40" s="21" t="s">
        <v>25</v>
      </c>
      <c r="B40" s="160" t="s">
        <v>197</v>
      </c>
      <c r="C40" s="164" t="s">
        <v>247</v>
      </c>
      <c r="D40" s="20">
        <v>0</v>
      </c>
      <c r="E40" s="187">
        <v>0</v>
      </c>
      <c r="F40" s="172">
        <v>0</v>
      </c>
      <c r="G40" s="178">
        <v>30000</v>
      </c>
      <c r="H40" s="20">
        <v>0</v>
      </c>
      <c r="I40" s="178">
        <v>65000</v>
      </c>
      <c r="J40" s="172">
        <v>0</v>
      </c>
      <c r="K40" s="150">
        <f>SUM(D40+E40+G40+I40)</f>
        <v>95000</v>
      </c>
      <c r="L40" s="150">
        <f t="shared" si="13"/>
        <v>0</v>
      </c>
      <c r="M40" s="197"/>
    </row>
    <row r="41" spans="1:16" s="146" customFormat="1" ht="15" customHeight="1" x14ac:dyDescent="0.25">
      <c r="A41" s="10" t="s">
        <v>27</v>
      </c>
      <c r="B41" s="157"/>
      <c r="C41" s="165"/>
      <c r="D41" s="11">
        <f>SUM(D38:D40)</f>
        <v>990.1</v>
      </c>
      <c r="E41" s="11">
        <f>SUM(E38:E40)</f>
        <v>60400</v>
      </c>
      <c r="F41" s="11">
        <f t="shared" ref="F41:J41" si="14">SUM(F38:F40)</f>
        <v>45400</v>
      </c>
      <c r="G41" s="11">
        <f t="shared" si="14"/>
        <v>95000</v>
      </c>
      <c r="H41" s="11">
        <f t="shared" si="14"/>
        <v>65000</v>
      </c>
      <c r="I41" s="11">
        <f t="shared" si="14"/>
        <v>89557</v>
      </c>
      <c r="J41" s="11">
        <f t="shared" si="14"/>
        <v>39557</v>
      </c>
      <c r="K41" s="12">
        <f>SUM(K38:K40)</f>
        <v>245947.1</v>
      </c>
      <c r="L41" s="12">
        <f>SUM(L38:L40)</f>
        <v>150947.1</v>
      </c>
      <c r="N41" s="188"/>
      <c r="O41" s="188"/>
    </row>
    <row r="42" spans="1:16" s="147" customFormat="1" ht="18" customHeight="1" x14ac:dyDescent="0.25">
      <c r="A42" s="335" t="s">
        <v>6</v>
      </c>
      <c r="B42" s="354"/>
      <c r="C42" s="354"/>
      <c r="D42" s="336"/>
      <c r="E42" s="336"/>
      <c r="F42" s="336"/>
      <c r="G42" s="336"/>
      <c r="H42" s="336"/>
      <c r="I42" s="336"/>
      <c r="J42" s="336"/>
      <c r="K42" s="336"/>
      <c r="L42" s="337"/>
    </row>
    <row r="43" spans="1:16" s="151" customFormat="1" ht="24" customHeight="1" x14ac:dyDescent="0.25">
      <c r="A43" s="148" t="s">
        <v>110</v>
      </c>
      <c r="B43" s="156" t="s">
        <v>198</v>
      </c>
      <c r="C43" s="164" t="s">
        <v>247</v>
      </c>
      <c r="D43" s="20">
        <v>11814</v>
      </c>
      <c r="E43" s="178">
        <v>0</v>
      </c>
      <c r="F43" s="172">
        <v>0</v>
      </c>
      <c r="G43" s="178">
        <v>0</v>
      </c>
      <c r="H43" s="172">
        <v>0</v>
      </c>
      <c r="I43" s="178">
        <v>0</v>
      </c>
      <c r="J43" s="172">
        <v>0</v>
      </c>
      <c r="K43" s="150">
        <f t="shared" ref="K43:K48" si="15">D43+E43+G43+I43</f>
        <v>11814</v>
      </c>
      <c r="L43" s="150">
        <f>D43+F43+H43+J43</f>
        <v>11814</v>
      </c>
    </row>
    <row r="44" spans="1:16" s="151" customFormat="1" ht="24" customHeight="1" x14ac:dyDescent="0.25">
      <c r="A44" s="23" t="s">
        <v>111</v>
      </c>
      <c r="B44" s="161" t="s">
        <v>199</v>
      </c>
      <c r="C44" s="164" t="s">
        <v>247</v>
      </c>
      <c r="D44" s="20">
        <v>6329.88</v>
      </c>
      <c r="E44" s="178">
        <v>0</v>
      </c>
      <c r="F44" s="172">
        <v>0</v>
      </c>
      <c r="G44" s="178">
        <v>0</v>
      </c>
      <c r="H44" s="172">
        <v>0</v>
      </c>
      <c r="I44" s="178">
        <v>0</v>
      </c>
      <c r="J44" s="172">
        <v>0</v>
      </c>
      <c r="K44" s="150">
        <f t="shared" si="15"/>
        <v>6329.88</v>
      </c>
      <c r="L44" s="150">
        <f t="shared" ref="L44:L48" si="16">D44+F44+H44+J44</f>
        <v>6329.88</v>
      </c>
    </row>
    <row r="45" spans="1:16" s="151" customFormat="1" ht="24" customHeight="1" x14ac:dyDescent="0.25">
      <c r="A45" s="23" t="s">
        <v>113</v>
      </c>
      <c r="B45" s="161" t="s">
        <v>200</v>
      </c>
      <c r="C45" s="164" t="s">
        <v>247</v>
      </c>
      <c r="D45" s="20">
        <v>12143.58</v>
      </c>
      <c r="E45" s="178">
        <v>1042.1199999999999</v>
      </c>
      <c r="F45" s="172">
        <v>1042.1199999999999</v>
      </c>
      <c r="G45" s="178">
        <v>0</v>
      </c>
      <c r="H45" s="172">
        <v>0</v>
      </c>
      <c r="I45" s="178">
        <v>0</v>
      </c>
      <c r="J45" s="172">
        <v>0</v>
      </c>
      <c r="K45" s="150">
        <f t="shared" si="15"/>
        <v>13185.7</v>
      </c>
      <c r="L45" s="150">
        <f t="shared" si="16"/>
        <v>13185.7</v>
      </c>
    </row>
    <row r="46" spans="1:16" s="151" customFormat="1" ht="24" customHeight="1" x14ac:dyDescent="0.25">
      <c r="A46" s="23" t="s">
        <v>31</v>
      </c>
      <c r="B46" s="161" t="s">
        <v>201</v>
      </c>
      <c r="C46" s="164" t="s">
        <v>247</v>
      </c>
      <c r="D46" s="20">
        <v>10650</v>
      </c>
      <c r="E46" s="178">
        <f>5700-2850</f>
        <v>2850</v>
      </c>
      <c r="F46" s="172">
        <f>5700-2850</f>
        <v>2850</v>
      </c>
      <c r="G46" s="178">
        <v>0</v>
      </c>
      <c r="H46" s="172">
        <v>0</v>
      </c>
      <c r="I46" s="178">
        <v>0</v>
      </c>
      <c r="J46" s="172">
        <v>0</v>
      </c>
      <c r="K46" s="150">
        <f t="shared" si="15"/>
        <v>13500</v>
      </c>
      <c r="L46" s="150">
        <f t="shared" si="16"/>
        <v>13500</v>
      </c>
    </row>
    <row r="47" spans="1:16" s="151" customFormat="1" ht="24" customHeight="1" x14ac:dyDescent="0.25">
      <c r="A47" s="148" t="s">
        <v>29</v>
      </c>
      <c r="B47" s="156" t="s">
        <v>202</v>
      </c>
      <c r="C47" s="164" t="s">
        <v>239</v>
      </c>
      <c r="D47" s="20">
        <v>0</v>
      </c>
      <c r="E47" s="178">
        <f>82731+15000</f>
        <v>97731</v>
      </c>
      <c r="F47" s="172">
        <v>29386</v>
      </c>
      <c r="G47" s="178">
        <v>19761</v>
      </c>
      <c r="H47" s="172">
        <v>88106</v>
      </c>
      <c r="I47" s="178">
        <v>0</v>
      </c>
      <c r="J47" s="172">
        <v>0</v>
      </c>
      <c r="K47" s="150">
        <f t="shared" si="15"/>
        <v>117492</v>
      </c>
      <c r="L47" s="150">
        <f t="shared" si="16"/>
        <v>117492</v>
      </c>
    </row>
    <row r="48" spans="1:16" s="151" customFormat="1" ht="15" customHeight="1" x14ac:dyDescent="0.25">
      <c r="A48" s="23" t="s">
        <v>30</v>
      </c>
      <c r="B48" s="161" t="s">
        <v>203</v>
      </c>
      <c r="C48" s="168" t="s">
        <v>239</v>
      </c>
      <c r="D48" s="20">
        <v>1446.18</v>
      </c>
      <c r="E48" s="178">
        <v>181514.85</v>
      </c>
      <c r="F48" s="172">
        <v>88514.85</v>
      </c>
      <c r="G48" s="178">
        <v>112039</v>
      </c>
      <c r="H48" s="172">
        <v>205039</v>
      </c>
      <c r="I48" s="178">
        <v>0</v>
      </c>
      <c r="J48" s="172">
        <v>0</v>
      </c>
      <c r="K48" s="150">
        <f t="shared" si="15"/>
        <v>295000.03000000003</v>
      </c>
      <c r="L48" s="150">
        <f t="shared" si="16"/>
        <v>295000.03000000003</v>
      </c>
    </row>
    <row r="49" spans="1:15" s="146" customFormat="1" ht="15" customHeight="1" x14ac:dyDescent="0.25">
      <c r="A49" s="10" t="s">
        <v>9</v>
      </c>
      <c r="B49" s="157"/>
      <c r="C49" s="165"/>
      <c r="D49" s="11">
        <f>SUM(D43:D48)</f>
        <v>42383.64</v>
      </c>
      <c r="E49" s="11">
        <f>SUM(E43:E48)</f>
        <v>283137.96999999997</v>
      </c>
      <c r="F49" s="11">
        <f>SUM(F43:F48)</f>
        <v>121792.97</v>
      </c>
      <c r="G49" s="11">
        <f>SUM(G43:G48)</f>
        <v>131800</v>
      </c>
      <c r="H49" s="11">
        <f>SUM(H43:H48)</f>
        <v>293145</v>
      </c>
      <c r="I49" s="11">
        <f t="shared" ref="I49:J49" si="17">SUM(I43:I48)</f>
        <v>0</v>
      </c>
      <c r="J49" s="11">
        <f t="shared" si="17"/>
        <v>0</v>
      </c>
      <c r="K49" s="12">
        <f>SUM(K43:K48)</f>
        <v>457321.61000000004</v>
      </c>
      <c r="L49" s="12">
        <f>SUM(L43:L48)</f>
        <v>457321.61000000004</v>
      </c>
    </row>
    <row r="50" spans="1:15" s="147" customFormat="1" ht="18" customHeight="1" x14ac:dyDescent="0.25">
      <c r="A50" s="335" t="s">
        <v>32</v>
      </c>
      <c r="B50" s="354"/>
      <c r="C50" s="354"/>
      <c r="D50" s="336"/>
      <c r="E50" s="336"/>
      <c r="F50" s="336"/>
      <c r="G50" s="336"/>
      <c r="H50" s="336"/>
      <c r="I50" s="336"/>
      <c r="J50" s="336"/>
      <c r="K50" s="336"/>
      <c r="L50" s="337"/>
    </row>
    <row r="51" spans="1:15" s="147" customFormat="1" ht="24" customHeight="1" x14ac:dyDescent="0.25">
      <c r="A51" s="148" t="s">
        <v>33</v>
      </c>
      <c r="B51" s="156" t="s">
        <v>204</v>
      </c>
      <c r="C51" s="164" t="s">
        <v>247</v>
      </c>
      <c r="D51" s="20">
        <v>95.59</v>
      </c>
      <c r="E51" s="178">
        <v>44904.41</v>
      </c>
      <c r="F51" s="172">
        <v>44904.41</v>
      </c>
      <c r="G51" s="178">
        <v>0</v>
      </c>
      <c r="H51" s="172">
        <v>0</v>
      </c>
      <c r="I51" s="178">
        <v>0</v>
      </c>
      <c r="J51" s="172">
        <v>0</v>
      </c>
      <c r="K51" s="150">
        <f t="shared" ref="K51:K75" si="18">D51+E51+G51+I51</f>
        <v>45000</v>
      </c>
      <c r="L51" s="150">
        <f>D51+F51+H51+J51</f>
        <v>45000</v>
      </c>
    </row>
    <row r="52" spans="1:15" s="147" customFormat="1" ht="24" customHeight="1" x14ac:dyDescent="0.25">
      <c r="A52" s="23" t="s">
        <v>39</v>
      </c>
      <c r="B52" s="161" t="s">
        <v>205</v>
      </c>
      <c r="C52" s="164" t="s">
        <v>247</v>
      </c>
      <c r="D52" s="20">
        <v>50386.47</v>
      </c>
      <c r="E52" s="178">
        <v>3269.53</v>
      </c>
      <c r="F52" s="172">
        <v>3269.53</v>
      </c>
      <c r="G52" s="178">
        <v>0</v>
      </c>
      <c r="H52" s="172">
        <v>0</v>
      </c>
      <c r="I52" s="178">
        <v>0</v>
      </c>
      <c r="J52" s="172">
        <v>0</v>
      </c>
      <c r="K52" s="150">
        <f t="shared" si="18"/>
        <v>53656</v>
      </c>
      <c r="L52" s="150">
        <f t="shared" ref="L52:L75" si="19">D52+F52+H52+J52</f>
        <v>53656</v>
      </c>
    </row>
    <row r="53" spans="1:15" s="147" customFormat="1" ht="24" customHeight="1" x14ac:dyDescent="0.25">
      <c r="A53" s="23" t="s">
        <v>43</v>
      </c>
      <c r="B53" s="161" t="s">
        <v>206</v>
      </c>
      <c r="C53" s="164" t="s">
        <v>247</v>
      </c>
      <c r="D53" s="20">
        <v>30678.01</v>
      </c>
      <c r="E53" s="178">
        <v>0</v>
      </c>
      <c r="F53" s="172">
        <v>0</v>
      </c>
      <c r="G53" s="178">
        <v>0</v>
      </c>
      <c r="H53" s="172">
        <v>0</v>
      </c>
      <c r="I53" s="178">
        <v>0</v>
      </c>
      <c r="J53" s="172">
        <v>0</v>
      </c>
      <c r="K53" s="150">
        <f t="shared" si="18"/>
        <v>30678.01</v>
      </c>
      <c r="L53" s="150">
        <f t="shared" si="19"/>
        <v>30678.01</v>
      </c>
    </row>
    <row r="54" spans="1:15" s="147" customFormat="1" ht="24" customHeight="1" x14ac:dyDescent="0.25">
      <c r="A54" s="148" t="s">
        <v>44</v>
      </c>
      <c r="B54" s="156" t="s">
        <v>207</v>
      </c>
      <c r="C54" s="164" t="s">
        <v>247</v>
      </c>
      <c r="D54" s="20">
        <v>40000</v>
      </c>
      <c r="E54" s="178">
        <v>0</v>
      </c>
      <c r="F54" s="172">
        <v>0</v>
      </c>
      <c r="G54" s="178">
        <v>0</v>
      </c>
      <c r="H54" s="172">
        <v>0</v>
      </c>
      <c r="I54" s="178">
        <v>0</v>
      </c>
      <c r="J54" s="172">
        <v>0</v>
      </c>
      <c r="K54" s="150">
        <f t="shared" si="18"/>
        <v>40000</v>
      </c>
      <c r="L54" s="150">
        <f t="shared" si="19"/>
        <v>40000</v>
      </c>
    </row>
    <row r="55" spans="1:15" s="147" customFormat="1" ht="24" customHeight="1" x14ac:dyDescent="0.25">
      <c r="A55" s="148" t="s">
        <v>208</v>
      </c>
      <c r="B55" s="156" t="s">
        <v>209</v>
      </c>
      <c r="C55" s="164" t="s">
        <v>247</v>
      </c>
      <c r="D55" s="20">
        <v>6200</v>
      </c>
      <c r="E55" s="178">
        <v>0</v>
      </c>
      <c r="F55" s="172">
        <v>0</v>
      </c>
      <c r="G55" s="178">
        <v>0</v>
      </c>
      <c r="H55" s="172">
        <v>0</v>
      </c>
      <c r="I55" s="178">
        <v>0</v>
      </c>
      <c r="J55" s="172">
        <v>0</v>
      </c>
      <c r="K55" s="150">
        <f t="shared" si="18"/>
        <v>6200</v>
      </c>
      <c r="L55" s="150">
        <f t="shared" si="19"/>
        <v>6200</v>
      </c>
    </row>
    <row r="56" spans="1:15" s="147" customFormat="1" ht="24" customHeight="1" x14ac:dyDescent="0.25">
      <c r="A56" s="23" t="s">
        <v>89</v>
      </c>
      <c r="B56" s="161" t="s">
        <v>210</v>
      </c>
      <c r="C56" s="164" t="s">
        <v>247</v>
      </c>
      <c r="D56" s="20">
        <v>7025.05</v>
      </c>
      <c r="E56" s="178">
        <v>2094.9499999999998</v>
      </c>
      <c r="F56" s="172">
        <v>2094.9499999999998</v>
      </c>
      <c r="G56" s="178">
        <v>0</v>
      </c>
      <c r="H56" s="172">
        <v>0</v>
      </c>
      <c r="I56" s="178">
        <v>0</v>
      </c>
      <c r="J56" s="172">
        <v>0</v>
      </c>
      <c r="K56" s="150">
        <f t="shared" si="18"/>
        <v>9120</v>
      </c>
      <c r="L56" s="150">
        <f t="shared" si="19"/>
        <v>9120</v>
      </c>
    </row>
    <row r="57" spans="1:15" s="147" customFormat="1" ht="24" customHeight="1" x14ac:dyDescent="0.25">
      <c r="A57" s="148" t="s">
        <v>131</v>
      </c>
      <c r="B57" s="156" t="s">
        <v>211</v>
      </c>
      <c r="C57" s="164" t="s">
        <v>247</v>
      </c>
      <c r="D57" s="20">
        <v>7949.67</v>
      </c>
      <c r="E57" s="178">
        <v>0</v>
      </c>
      <c r="F57" s="172">
        <v>0</v>
      </c>
      <c r="G57" s="178">
        <v>0</v>
      </c>
      <c r="H57" s="172">
        <v>0</v>
      </c>
      <c r="I57" s="178">
        <v>0</v>
      </c>
      <c r="J57" s="172">
        <v>0</v>
      </c>
      <c r="K57" s="150">
        <f t="shared" si="18"/>
        <v>7949.67</v>
      </c>
      <c r="L57" s="150">
        <f t="shared" si="19"/>
        <v>7949.67</v>
      </c>
    </row>
    <row r="58" spans="1:15" s="147" customFormat="1" ht="24" customHeight="1" x14ac:dyDescent="0.25">
      <c r="A58" s="148" t="s">
        <v>172</v>
      </c>
      <c r="B58" s="156" t="s">
        <v>212</v>
      </c>
      <c r="C58" s="164" t="s">
        <v>247</v>
      </c>
      <c r="D58" s="20">
        <v>0</v>
      </c>
      <c r="E58" s="178">
        <v>15000</v>
      </c>
      <c r="F58" s="172">
        <v>15000</v>
      </c>
      <c r="G58" s="178">
        <v>0</v>
      </c>
      <c r="H58" s="172">
        <v>0</v>
      </c>
      <c r="I58" s="178">
        <v>0</v>
      </c>
      <c r="J58" s="172">
        <v>0</v>
      </c>
      <c r="K58" s="150">
        <f t="shared" si="18"/>
        <v>15000</v>
      </c>
      <c r="L58" s="150">
        <f t="shared" si="19"/>
        <v>15000</v>
      </c>
    </row>
    <row r="59" spans="1:15" s="147" customFormat="1" ht="24" customHeight="1" x14ac:dyDescent="0.25">
      <c r="A59" s="148" t="s">
        <v>34</v>
      </c>
      <c r="B59" s="195" t="s">
        <v>213</v>
      </c>
      <c r="C59" s="164" t="s">
        <v>247</v>
      </c>
      <c r="D59" s="20">
        <v>0</v>
      </c>
      <c r="E59" s="178">
        <f>500+213</f>
        <v>713</v>
      </c>
      <c r="F59" s="172">
        <f>500+213</f>
        <v>713</v>
      </c>
      <c r="G59" s="178">
        <f>30000-213</f>
        <v>29787</v>
      </c>
      <c r="H59" s="172">
        <v>0</v>
      </c>
      <c r="I59" s="178">
        <v>0</v>
      </c>
      <c r="J59" s="172">
        <v>0</v>
      </c>
      <c r="K59" s="150">
        <f t="shared" si="18"/>
        <v>30500</v>
      </c>
      <c r="L59" s="150">
        <f>D59+F59+H59+J59</f>
        <v>713</v>
      </c>
      <c r="M59" s="173"/>
    </row>
    <row r="60" spans="1:15" s="147" customFormat="1" ht="24" customHeight="1" x14ac:dyDescent="0.25">
      <c r="A60" s="148" t="s">
        <v>42</v>
      </c>
      <c r="B60" s="156" t="s">
        <v>214</v>
      </c>
      <c r="C60" s="164" t="s">
        <v>247</v>
      </c>
      <c r="D60" s="20">
        <v>43980.06</v>
      </c>
      <c r="E60" s="178">
        <v>13719.93</v>
      </c>
      <c r="F60" s="20">
        <v>13719.93</v>
      </c>
      <c r="G60" s="178">
        <v>0</v>
      </c>
      <c r="H60" s="172">
        <v>0</v>
      </c>
      <c r="I60" s="178">
        <v>0</v>
      </c>
      <c r="J60" s="172">
        <v>0</v>
      </c>
      <c r="K60" s="150">
        <f t="shared" si="18"/>
        <v>57699.99</v>
      </c>
      <c r="L60" s="150">
        <f t="shared" si="19"/>
        <v>57699.99</v>
      </c>
      <c r="M60" s="174"/>
    </row>
    <row r="61" spans="1:15" s="147" customFormat="1" ht="24" customHeight="1" x14ac:dyDescent="0.25">
      <c r="A61" s="148" t="s">
        <v>45</v>
      </c>
      <c r="B61" s="161" t="s">
        <v>215</v>
      </c>
      <c r="C61" s="164" t="s">
        <v>247</v>
      </c>
      <c r="D61" s="20">
        <v>500</v>
      </c>
      <c r="E61" s="178">
        <f>25639-15639</f>
        <v>10000</v>
      </c>
      <c r="F61" s="20">
        <v>900</v>
      </c>
      <c r="G61" s="178">
        <f>49361+15639</f>
        <v>65000</v>
      </c>
      <c r="H61" s="172">
        <v>60000</v>
      </c>
      <c r="I61" s="178">
        <v>0</v>
      </c>
      <c r="J61" s="172">
        <v>11950.5</v>
      </c>
      <c r="K61" s="150">
        <f t="shared" si="18"/>
        <v>75500</v>
      </c>
      <c r="L61" s="150">
        <f t="shared" si="19"/>
        <v>73350.5</v>
      </c>
    </row>
    <row r="62" spans="1:15" s="147" customFormat="1" ht="33.950000000000003" customHeight="1" x14ac:dyDescent="0.25">
      <c r="A62" s="148" t="s">
        <v>36</v>
      </c>
      <c r="B62" s="161" t="s">
        <v>216</v>
      </c>
      <c r="C62" s="164" t="s">
        <v>256</v>
      </c>
      <c r="D62" s="24">
        <v>18811.419999999998</v>
      </c>
      <c r="E62" s="178">
        <f>27286.58</f>
        <v>27286.58</v>
      </c>
      <c r="F62" s="20">
        <f>27286.58-1000</f>
        <v>26286.58</v>
      </c>
      <c r="G62" s="178">
        <v>0</v>
      </c>
      <c r="H62" s="20">
        <v>0</v>
      </c>
      <c r="I62" s="178">
        <v>0</v>
      </c>
      <c r="J62" s="172">
        <v>0</v>
      </c>
      <c r="K62" s="150">
        <f t="shared" si="18"/>
        <v>46098</v>
      </c>
      <c r="L62" s="150">
        <f t="shared" si="19"/>
        <v>45098</v>
      </c>
    </row>
    <row r="63" spans="1:15" s="147" customFormat="1" ht="33.950000000000003" customHeight="1" x14ac:dyDescent="0.25">
      <c r="A63" s="148" t="s">
        <v>81</v>
      </c>
      <c r="B63" s="161" t="s">
        <v>217</v>
      </c>
      <c r="C63" s="164" t="s">
        <v>277</v>
      </c>
      <c r="D63" s="24">
        <v>0</v>
      </c>
      <c r="E63" s="178">
        <v>11420</v>
      </c>
      <c r="F63" s="20">
        <v>6500</v>
      </c>
      <c r="G63" s="178">
        <v>0</v>
      </c>
      <c r="H63" s="172">
        <v>0</v>
      </c>
      <c r="I63" s="178">
        <v>0</v>
      </c>
      <c r="J63" s="172">
        <v>0</v>
      </c>
      <c r="K63" s="150">
        <f t="shared" si="18"/>
        <v>11420</v>
      </c>
      <c r="L63" s="150">
        <f>D63+F63+H63+J63</f>
        <v>6500</v>
      </c>
    </row>
    <row r="64" spans="1:15" s="147" customFormat="1" ht="24" customHeight="1" x14ac:dyDescent="0.25">
      <c r="A64" s="148" t="s">
        <v>38</v>
      </c>
      <c r="B64" s="156" t="s">
        <v>218</v>
      </c>
      <c r="C64" s="164" t="s">
        <v>247</v>
      </c>
      <c r="D64" s="20">
        <v>803.35</v>
      </c>
      <c r="E64" s="178">
        <v>123195.65</v>
      </c>
      <c r="F64" s="172">
        <v>128195.65</v>
      </c>
      <c r="G64" s="178">
        <v>52000</v>
      </c>
      <c r="H64" s="172">
        <v>77000</v>
      </c>
      <c r="I64" s="178">
        <v>0</v>
      </c>
      <c r="J64" s="172">
        <v>0</v>
      </c>
      <c r="K64" s="150">
        <f t="shared" si="18"/>
        <v>175999</v>
      </c>
      <c r="L64" s="150">
        <f t="shared" si="19"/>
        <v>205999</v>
      </c>
      <c r="N64" s="169"/>
      <c r="O64" s="169"/>
    </row>
    <row r="65" spans="1:16" s="147" customFormat="1" ht="33.950000000000003" customHeight="1" x14ac:dyDescent="0.25">
      <c r="A65" s="148" t="s">
        <v>41</v>
      </c>
      <c r="B65" s="161" t="s">
        <v>219</v>
      </c>
      <c r="C65" s="164" t="s">
        <v>247</v>
      </c>
      <c r="D65" s="24">
        <v>0</v>
      </c>
      <c r="E65" s="178">
        <f>20250-5250</f>
        <v>15000</v>
      </c>
      <c r="F65" s="172">
        <f>20250-5250</f>
        <v>15000</v>
      </c>
      <c r="G65" s="178">
        <f>17750+5250</f>
        <v>23000</v>
      </c>
      <c r="H65" s="172">
        <f>17750+5250</f>
        <v>23000</v>
      </c>
      <c r="I65" s="178">
        <v>0</v>
      </c>
      <c r="J65" s="172">
        <v>0</v>
      </c>
      <c r="K65" s="150">
        <f t="shared" si="18"/>
        <v>38000</v>
      </c>
      <c r="L65" s="150">
        <f t="shared" si="19"/>
        <v>38000</v>
      </c>
    </row>
    <row r="66" spans="1:16" s="147" customFormat="1" ht="24" customHeight="1" x14ac:dyDescent="0.25">
      <c r="A66" s="148" t="s">
        <v>80</v>
      </c>
      <c r="B66" s="156" t="s">
        <v>220</v>
      </c>
      <c r="C66" s="164" t="s">
        <v>247</v>
      </c>
      <c r="D66" s="20">
        <v>0</v>
      </c>
      <c r="E66" s="178">
        <v>14350</v>
      </c>
      <c r="F66" s="172">
        <v>14350</v>
      </c>
      <c r="G66" s="178">
        <v>4500</v>
      </c>
      <c r="H66" s="172">
        <v>4500</v>
      </c>
      <c r="I66" s="178">
        <v>0</v>
      </c>
      <c r="J66" s="172">
        <v>0</v>
      </c>
      <c r="K66" s="150">
        <f t="shared" si="18"/>
        <v>18850</v>
      </c>
      <c r="L66" s="150">
        <f t="shared" si="19"/>
        <v>18850</v>
      </c>
    </row>
    <row r="67" spans="1:16" s="147" customFormat="1" ht="24" customHeight="1" x14ac:dyDescent="0.25">
      <c r="A67" s="148" t="s">
        <v>68</v>
      </c>
      <c r="B67" s="156" t="s">
        <v>221</v>
      </c>
      <c r="C67" s="164" t="s">
        <v>247</v>
      </c>
      <c r="D67" s="20">
        <v>0</v>
      </c>
      <c r="E67" s="178">
        <f>2090</f>
        <v>2090</v>
      </c>
      <c r="F67" s="172">
        <f>E67</f>
        <v>2090</v>
      </c>
      <c r="G67" s="178">
        <f>26000</f>
        <v>26000</v>
      </c>
      <c r="H67" s="172">
        <v>0</v>
      </c>
      <c r="I67" s="178">
        <v>27610</v>
      </c>
      <c r="J67" s="172">
        <v>0</v>
      </c>
      <c r="K67" s="150">
        <f t="shared" si="18"/>
        <v>55700</v>
      </c>
      <c r="L67" s="150">
        <f>D67+F67+H67+J67</f>
        <v>2090</v>
      </c>
    </row>
    <row r="68" spans="1:16" s="147" customFormat="1" ht="24" customHeight="1" x14ac:dyDescent="0.25">
      <c r="A68" s="148" t="s">
        <v>40</v>
      </c>
      <c r="B68" s="156" t="s">
        <v>222</v>
      </c>
      <c r="C68" s="164" t="s">
        <v>247</v>
      </c>
      <c r="D68" s="20">
        <v>0</v>
      </c>
      <c r="E68" s="178">
        <v>25000</v>
      </c>
      <c r="F68" s="20">
        <v>25000</v>
      </c>
      <c r="G68" s="178">
        <v>0</v>
      </c>
      <c r="H68" s="20">
        <v>0</v>
      </c>
      <c r="I68" s="178">
        <v>0</v>
      </c>
      <c r="J68" s="172">
        <v>0</v>
      </c>
      <c r="K68" s="150">
        <f t="shared" si="18"/>
        <v>25000</v>
      </c>
      <c r="L68" s="150">
        <f t="shared" si="19"/>
        <v>25000</v>
      </c>
    </row>
    <row r="69" spans="1:16" s="147" customFormat="1" ht="33.950000000000003" customHeight="1" x14ac:dyDescent="0.25">
      <c r="A69" s="148" t="s">
        <v>37</v>
      </c>
      <c r="B69" s="161" t="s">
        <v>223</v>
      </c>
      <c r="C69" s="164" t="s">
        <v>247</v>
      </c>
      <c r="D69" s="24">
        <v>0</v>
      </c>
      <c r="E69" s="178">
        <f>5500+3600</f>
        <v>9100</v>
      </c>
      <c r="F69" s="192">
        <f>5500+3600-8965</f>
        <v>135</v>
      </c>
      <c r="G69" s="178">
        <v>0</v>
      </c>
      <c r="H69" s="192">
        <f>8965+2035</f>
        <v>11000</v>
      </c>
      <c r="I69" s="178">
        <v>0</v>
      </c>
      <c r="J69" s="172">
        <v>0</v>
      </c>
      <c r="K69" s="150">
        <f t="shared" si="18"/>
        <v>9100</v>
      </c>
      <c r="L69" s="150">
        <f t="shared" si="19"/>
        <v>11135</v>
      </c>
    </row>
    <row r="70" spans="1:16" s="147" customFormat="1" ht="24" customHeight="1" x14ac:dyDescent="0.25">
      <c r="A70" s="148" t="s">
        <v>69</v>
      </c>
      <c r="B70" s="161" t="s">
        <v>224</v>
      </c>
      <c r="C70" s="164" t="s">
        <v>247</v>
      </c>
      <c r="D70" s="20">
        <v>28.6</v>
      </c>
      <c r="E70" s="178">
        <f>11036</f>
        <v>11036</v>
      </c>
      <c r="F70" s="192">
        <f>11036-1000</f>
        <v>10036</v>
      </c>
      <c r="G70" s="178">
        <v>0</v>
      </c>
      <c r="H70" s="20">
        <v>0</v>
      </c>
      <c r="I70" s="178">
        <v>0</v>
      </c>
      <c r="J70" s="172">
        <v>0</v>
      </c>
      <c r="K70" s="150">
        <f t="shared" si="18"/>
        <v>11064.6</v>
      </c>
      <c r="L70" s="150">
        <f t="shared" si="19"/>
        <v>10064.6</v>
      </c>
    </row>
    <row r="71" spans="1:16" s="151" customFormat="1" ht="15" customHeight="1" x14ac:dyDescent="0.25">
      <c r="A71" s="148" t="s">
        <v>88</v>
      </c>
      <c r="B71" s="160" t="s">
        <v>225</v>
      </c>
      <c r="C71" s="164" t="s">
        <v>247</v>
      </c>
      <c r="D71" s="152">
        <v>0</v>
      </c>
      <c r="E71" s="190">
        <f>50000-10000</f>
        <v>40000</v>
      </c>
      <c r="F71" s="191">
        <f>50000-10000</f>
        <v>40000</v>
      </c>
      <c r="G71" s="190">
        <f>20500+10000</f>
        <v>30500</v>
      </c>
      <c r="H71" s="191">
        <f>20500+10000</f>
        <v>30500</v>
      </c>
      <c r="I71" s="190">
        <v>0</v>
      </c>
      <c r="J71" s="172">
        <v>0</v>
      </c>
      <c r="K71" s="150">
        <f t="shared" si="18"/>
        <v>70500</v>
      </c>
      <c r="L71" s="150">
        <f t="shared" si="19"/>
        <v>70500</v>
      </c>
      <c r="M71" s="147"/>
    </row>
    <row r="72" spans="1:16" s="147" customFormat="1" ht="24" customHeight="1" x14ac:dyDescent="0.25">
      <c r="A72" s="148" t="s">
        <v>90</v>
      </c>
      <c r="B72" s="156" t="s">
        <v>226</v>
      </c>
      <c r="C72" s="164" t="s">
        <v>247</v>
      </c>
      <c r="D72" s="20">
        <v>127.05</v>
      </c>
      <c r="E72" s="178">
        <v>7373</v>
      </c>
      <c r="F72" s="172">
        <v>7373</v>
      </c>
      <c r="G72" s="178">
        <v>14000</v>
      </c>
      <c r="H72" s="172">
        <v>14000</v>
      </c>
      <c r="I72" s="178">
        <v>0</v>
      </c>
      <c r="J72" s="172">
        <v>0</v>
      </c>
      <c r="K72" s="150">
        <f t="shared" si="18"/>
        <v>21500.05</v>
      </c>
      <c r="L72" s="150">
        <f t="shared" si="19"/>
        <v>21500.05</v>
      </c>
    </row>
    <row r="73" spans="1:16" s="147" customFormat="1" ht="24" customHeight="1" x14ac:dyDescent="0.25">
      <c r="A73" s="148" t="s">
        <v>91</v>
      </c>
      <c r="B73" s="161" t="s">
        <v>227</v>
      </c>
      <c r="C73" s="164" t="s">
        <v>247</v>
      </c>
      <c r="D73" s="20">
        <v>17970.75</v>
      </c>
      <c r="E73" s="178">
        <v>7029.25</v>
      </c>
      <c r="F73" s="172">
        <v>7029.25</v>
      </c>
      <c r="G73" s="178">
        <v>0</v>
      </c>
      <c r="H73" s="172">
        <v>0</v>
      </c>
      <c r="I73" s="178">
        <v>0</v>
      </c>
      <c r="J73" s="183">
        <v>0</v>
      </c>
      <c r="K73" s="150">
        <f t="shared" si="18"/>
        <v>25000</v>
      </c>
      <c r="L73" s="150">
        <f t="shared" si="19"/>
        <v>25000</v>
      </c>
    </row>
    <row r="74" spans="1:16" s="147" customFormat="1" ht="24" customHeight="1" x14ac:dyDescent="0.25">
      <c r="A74" s="148" t="s">
        <v>262</v>
      </c>
      <c r="B74" s="161" t="s">
        <v>263</v>
      </c>
      <c r="C74" s="164" t="s">
        <v>247</v>
      </c>
      <c r="D74" s="20">
        <v>0</v>
      </c>
      <c r="E74" s="178">
        <v>0</v>
      </c>
      <c r="F74" s="192">
        <v>11100</v>
      </c>
      <c r="G74" s="178">
        <v>0</v>
      </c>
      <c r="H74" s="172">
        <v>0</v>
      </c>
      <c r="I74" s="178">
        <v>0</v>
      </c>
      <c r="J74" s="183">
        <v>0</v>
      </c>
      <c r="K74" s="150">
        <f t="shared" si="18"/>
        <v>0</v>
      </c>
      <c r="L74" s="150">
        <f t="shared" si="19"/>
        <v>11100</v>
      </c>
      <c r="M74" s="176"/>
    </row>
    <row r="75" spans="1:16" s="147" customFormat="1" ht="24" customHeight="1" x14ac:dyDescent="0.25">
      <c r="A75" s="148" t="s">
        <v>265</v>
      </c>
      <c r="B75" s="161" t="s">
        <v>266</v>
      </c>
      <c r="C75" s="164" t="s">
        <v>247</v>
      </c>
      <c r="D75" s="20">
        <v>0</v>
      </c>
      <c r="E75" s="178">
        <v>0</v>
      </c>
      <c r="F75" s="192">
        <v>9350</v>
      </c>
      <c r="G75" s="178">
        <v>0</v>
      </c>
      <c r="H75" s="172">
        <v>0</v>
      </c>
      <c r="I75" s="178">
        <v>0</v>
      </c>
      <c r="J75" s="183">
        <v>0</v>
      </c>
      <c r="K75" s="150">
        <f t="shared" si="18"/>
        <v>0</v>
      </c>
      <c r="L75" s="150">
        <f t="shared" si="19"/>
        <v>9350</v>
      </c>
      <c r="M75" s="176"/>
    </row>
    <row r="76" spans="1:16" s="146" customFormat="1" ht="15" customHeight="1" x14ac:dyDescent="0.25">
      <c r="A76" s="10" t="s">
        <v>47</v>
      </c>
      <c r="B76" s="157"/>
      <c r="C76" s="165"/>
      <c r="D76" s="11">
        <f t="shared" ref="D76:L76" si="20">SUM(D51:D75)</f>
        <v>224556.02000000002</v>
      </c>
      <c r="E76" s="11">
        <f t="shared" si="20"/>
        <v>382582.3</v>
      </c>
      <c r="F76" s="11">
        <f t="shared" si="20"/>
        <v>383047.3</v>
      </c>
      <c r="G76" s="11">
        <f t="shared" si="20"/>
        <v>244787</v>
      </c>
      <c r="H76" s="11">
        <f t="shared" si="20"/>
        <v>220000</v>
      </c>
      <c r="I76" s="11">
        <f t="shared" si="20"/>
        <v>27610</v>
      </c>
      <c r="J76" s="11">
        <f t="shared" si="20"/>
        <v>11950.5</v>
      </c>
      <c r="K76" s="11">
        <f t="shared" si="20"/>
        <v>879535.32000000007</v>
      </c>
      <c r="L76" s="11">
        <f t="shared" si="20"/>
        <v>839553.82000000007</v>
      </c>
      <c r="N76" s="188"/>
      <c r="O76" s="188"/>
      <c r="P76" s="188"/>
    </row>
    <row r="77" spans="1:16" s="147" customFormat="1" ht="18" customHeight="1" x14ac:dyDescent="0.25">
      <c r="A77" s="332" t="s">
        <v>48</v>
      </c>
      <c r="B77" s="333"/>
      <c r="C77" s="333"/>
      <c r="D77" s="333"/>
      <c r="E77" s="333"/>
      <c r="F77" s="333"/>
      <c r="G77" s="333"/>
      <c r="H77" s="333"/>
      <c r="I77" s="333"/>
      <c r="J77" s="333"/>
      <c r="K77" s="333"/>
      <c r="L77" s="334"/>
      <c r="N77" s="169"/>
      <c r="O77" s="169"/>
    </row>
    <row r="78" spans="1:16" s="147" customFormat="1" ht="24" customHeight="1" x14ac:dyDescent="0.25">
      <c r="A78" s="21" t="s">
        <v>97</v>
      </c>
      <c r="B78" s="160" t="s">
        <v>228</v>
      </c>
      <c r="C78" s="164" t="s">
        <v>247</v>
      </c>
      <c r="D78" s="20">
        <v>14723.48</v>
      </c>
      <c r="E78" s="178">
        <v>6976.53</v>
      </c>
      <c r="F78" s="172">
        <v>6976.53</v>
      </c>
      <c r="G78" s="178">
        <v>0</v>
      </c>
      <c r="H78" s="172">
        <v>0</v>
      </c>
      <c r="I78" s="178">
        <v>0</v>
      </c>
      <c r="J78" s="20">
        <v>0</v>
      </c>
      <c r="K78" s="150">
        <f t="shared" ref="K78:K85" si="21">D78+E78+G78+I78</f>
        <v>21700.01</v>
      </c>
      <c r="L78" s="150">
        <f>D78+F78+H78+J78</f>
        <v>21700.01</v>
      </c>
      <c r="N78" s="169"/>
    </row>
    <row r="79" spans="1:16" s="147" customFormat="1" ht="24" customHeight="1" x14ac:dyDescent="0.25">
      <c r="A79" s="21" t="s">
        <v>176</v>
      </c>
      <c r="B79" s="160" t="s">
        <v>229</v>
      </c>
      <c r="C79" s="164" t="s">
        <v>247</v>
      </c>
      <c r="D79" s="24">
        <v>22241.64</v>
      </c>
      <c r="E79" s="193">
        <v>0</v>
      </c>
      <c r="F79" s="192">
        <v>0</v>
      </c>
      <c r="G79" s="193">
        <v>0</v>
      </c>
      <c r="H79" s="192">
        <v>0</v>
      </c>
      <c r="I79" s="193">
        <v>0</v>
      </c>
      <c r="J79" s="24">
        <v>0</v>
      </c>
      <c r="K79" s="150">
        <f t="shared" si="21"/>
        <v>22241.64</v>
      </c>
      <c r="L79" s="150">
        <f t="shared" ref="L79:L86" si="22">D79+F79+H79+J79</f>
        <v>22241.64</v>
      </c>
    </row>
    <row r="80" spans="1:16" s="147" customFormat="1" ht="24" customHeight="1" x14ac:dyDescent="0.25">
      <c r="A80" s="21" t="s">
        <v>141</v>
      </c>
      <c r="B80" s="160" t="s">
        <v>230</v>
      </c>
      <c r="C80" s="164" t="s">
        <v>247</v>
      </c>
      <c r="D80" s="20">
        <v>20898.27</v>
      </c>
      <c r="E80" s="178">
        <v>0</v>
      </c>
      <c r="F80" s="172">
        <v>0</v>
      </c>
      <c r="G80" s="178">
        <v>0</v>
      </c>
      <c r="H80" s="172">
        <v>0</v>
      </c>
      <c r="I80" s="178">
        <v>0</v>
      </c>
      <c r="J80" s="20">
        <v>0</v>
      </c>
      <c r="K80" s="150">
        <f t="shared" si="21"/>
        <v>20898.27</v>
      </c>
      <c r="L80" s="150">
        <f t="shared" si="22"/>
        <v>20898.27</v>
      </c>
    </row>
    <row r="81" spans="1:16" s="147" customFormat="1" ht="24" customHeight="1" x14ac:dyDescent="0.25">
      <c r="A81" s="21" t="s">
        <v>143</v>
      </c>
      <c r="B81" s="160" t="s">
        <v>231</v>
      </c>
      <c r="C81" s="164" t="s">
        <v>247</v>
      </c>
      <c r="D81" s="20">
        <v>28727.64</v>
      </c>
      <c r="E81" s="178">
        <v>0</v>
      </c>
      <c r="F81" s="172">
        <v>0</v>
      </c>
      <c r="G81" s="178">
        <v>0</v>
      </c>
      <c r="H81" s="172">
        <v>0</v>
      </c>
      <c r="I81" s="178">
        <v>0</v>
      </c>
      <c r="J81" s="20">
        <v>0</v>
      </c>
      <c r="K81" s="150">
        <f t="shared" si="21"/>
        <v>28727.64</v>
      </c>
      <c r="L81" s="150">
        <f t="shared" si="22"/>
        <v>28727.64</v>
      </c>
    </row>
    <row r="82" spans="1:16" s="147" customFormat="1" ht="24" customHeight="1" x14ac:dyDescent="0.25">
      <c r="A82" s="21" t="s">
        <v>145</v>
      </c>
      <c r="B82" s="160" t="s">
        <v>232</v>
      </c>
      <c r="C82" s="164" t="s">
        <v>247</v>
      </c>
      <c r="D82" s="20">
        <v>11437.7</v>
      </c>
      <c r="E82" s="178">
        <v>0</v>
      </c>
      <c r="F82" s="172">
        <v>0</v>
      </c>
      <c r="G82" s="178">
        <v>0</v>
      </c>
      <c r="H82" s="172">
        <v>0</v>
      </c>
      <c r="I82" s="178">
        <v>0</v>
      </c>
      <c r="J82" s="20">
        <v>0</v>
      </c>
      <c r="K82" s="150">
        <f t="shared" si="21"/>
        <v>11437.7</v>
      </c>
      <c r="L82" s="150">
        <f t="shared" si="22"/>
        <v>11437.7</v>
      </c>
    </row>
    <row r="83" spans="1:16" s="147" customFormat="1" ht="24" customHeight="1" x14ac:dyDescent="0.25">
      <c r="A83" s="21" t="s">
        <v>147</v>
      </c>
      <c r="B83" s="160" t="s">
        <v>233</v>
      </c>
      <c r="C83" s="164" t="s">
        <v>247</v>
      </c>
      <c r="D83" s="20">
        <v>11567.78</v>
      </c>
      <c r="E83" s="178">
        <v>0</v>
      </c>
      <c r="F83" s="172">
        <v>0</v>
      </c>
      <c r="G83" s="178">
        <v>0</v>
      </c>
      <c r="H83" s="172">
        <v>0</v>
      </c>
      <c r="I83" s="178">
        <v>0</v>
      </c>
      <c r="J83" s="20">
        <v>0</v>
      </c>
      <c r="K83" s="150">
        <f t="shared" si="21"/>
        <v>11567.78</v>
      </c>
      <c r="L83" s="150">
        <f t="shared" si="22"/>
        <v>11567.78</v>
      </c>
    </row>
    <row r="84" spans="1:16" s="147" customFormat="1" ht="15" customHeight="1" x14ac:dyDescent="0.25">
      <c r="A84" s="21" t="s">
        <v>175</v>
      </c>
      <c r="B84" s="160" t="s">
        <v>234</v>
      </c>
      <c r="C84" s="164" t="s">
        <v>247</v>
      </c>
      <c r="D84" s="20">
        <v>1099.1500000000001</v>
      </c>
      <c r="E84" s="178">
        <v>22900.85</v>
      </c>
      <c r="F84" s="172">
        <v>22900.85</v>
      </c>
      <c r="G84" s="178">
        <v>0</v>
      </c>
      <c r="H84" s="172">
        <v>0</v>
      </c>
      <c r="I84" s="178">
        <v>0</v>
      </c>
      <c r="J84" s="20">
        <v>0</v>
      </c>
      <c r="K84" s="150">
        <f t="shared" si="21"/>
        <v>24000</v>
      </c>
      <c r="L84" s="150">
        <f t="shared" si="22"/>
        <v>24000</v>
      </c>
    </row>
    <row r="85" spans="1:16" s="147" customFormat="1" ht="24" customHeight="1" x14ac:dyDescent="0.25">
      <c r="A85" s="21" t="s">
        <v>50</v>
      </c>
      <c r="B85" s="160" t="s">
        <v>235</v>
      </c>
      <c r="C85" s="164" t="s">
        <v>247</v>
      </c>
      <c r="D85" s="20">
        <v>34.11</v>
      </c>
      <c r="E85" s="178">
        <v>93382</v>
      </c>
      <c r="F85" s="172">
        <v>93382</v>
      </c>
      <c r="G85" s="178">
        <v>50000</v>
      </c>
      <c r="H85" s="172">
        <v>50000</v>
      </c>
      <c r="I85" s="178">
        <v>0</v>
      </c>
      <c r="J85" s="20">
        <v>0</v>
      </c>
      <c r="K85" s="150">
        <f t="shared" si="21"/>
        <v>143416.10999999999</v>
      </c>
      <c r="L85" s="150">
        <f t="shared" si="22"/>
        <v>143416.10999999999</v>
      </c>
    </row>
    <row r="86" spans="1:16" s="147" customFormat="1" ht="24" customHeight="1" x14ac:dyDescent="0.25">
      <c r="A86" s="23" t="s">
        <v>49</v>
      </c>
      <c r="B86" s="160" t="s">
        <v>236</v>
      </c>
      <c r="C86" s="164" t="s">
        <v>247</v>
      </c>
      <c r="D86" s="24">
        <v>29.04</v>
      </c>
      <c r="E86" s="193">
        <f>94970.96</f>
        <v>94970.96</v>
      </c>
      <c r="F86" s="172">
        <f>94970.96-80000</f>
        <v>14970.960000000006</v>
      </c>
      <c r="G86" s="193">
        <f>10000</f>
        <v>10000</v>
      </c>
      <c r="H86" s="192">
        <f>10000+80000</f>
        <v>90000</v>
      </c>
      <c r="I86" s="193">
        <v>0</v>
      </c>
      <c r="J86" s="24">
        <v>0</v>
      </c>
      <c r="K86" s="150">
        <f>D86+E86+G86+I86</f>
        <v>105000</v>
      </c>
      <c r="L86" s="150">
        <f t="shared" si="22"/>
        <v>105000</v>
      </c>
    </row>
    <row r="87" spans="1:16" s="147" customFormat="1" ht="24" customHeight="1" x14ac:dyDescent="0.25">
      <c r="A87" s="23" t="s">
        <v>285</v>
      </c>
      <c r="B87" s="160" t="s">
        <v>286</v>
      </c>
      <c r="C87" s="164" t="s">
        <v>247</v>
      </c>
      <c r="D87" s="24">
        <v>0</v>
      </c>
      <c r="E87" s="193">
        <v>0</v>
      </c>
      <c r="F87" s="172">
        <v>30200</v>
      </c>
      <c r="G87" s="193">
        <v>0</v>
      </c>
      <c r="H87" s="192">
        <v>0</v>
      </c>
      <c r="I87" s="193">
        <v>0</v>
      </c>
      <c r="J87" s="24">
        <v>0</v>
      </c>
      <c r="K87" s="150">
        <f>D87+E87+G87+I87</f>
        <v>0</v>
      </c>
      <c r="L87" s="150">
        <f>D87+F87+H87+J87</f>
        <v>30200</v>
      </c>
      <c r="M87" s="176"/>
    </row>
    <row r="88" spans="1:16" s="147" customFormat="1" ht="24" customHeight="1" x14ac:dyDescent="0.25">
      <c r="A88" s="23" t="s">
        <v>287</v>
      </c>
      <c r="B88" s="160" t="s">
        <v>284</v>
      </c>
      <c r="C88" s="164" t="s">
        <v>247</v>
      </c>
      <c r="D88" s="24">
        <v>0</v>
      </c>
      <c r="E88" s="193">
        <v>0</v>
      </c>
      <c r="F88" s="172">
        <v>40000</v>
      </c>
      <c r="G88" s="193">
        <v>0</v>
      </c>
      <c r="H88" s="192">
        <v>140000</v>
      </c>
      <c r="I88" s="193">
        <v>0</v>
      </c>
      <c r="J88" s="24">
        <v>0</v>
      </c>
      <c r="K88" s="150">
        <f>D88+E88+G88+I88</f>
        <v>0</v>
      </c>
      <c r="L88" s="150">
        <f>D88+F88+H88+J88</f>
        <v>180000</v>
      </c>
      <c r="M88" s="176"/>
    </row>
    <row r="89" spans="1:16" s="151" customFormat="1" ht="24" customHeight="1" x14ac:dyDescent="0.25">
      <c r="A89" s="148" t="s">
        <v>288</v>
      </c>
      <c r="B89" s="156" t="s">
        <v>289</v>
      </c>
      <c r="C89" s="164" t="s">
        <v>243</v>
      </c>
      <c r="D89" s="149">
        <v>0</v>
      </c>
      <c r="E89" s="193">
        <v>0</v>
      </c>
      <c r="F89" s="149">
        <v>15500</v>
      </c>
      <c r="G89" s="193">
        <v>0</v>
      </c>
      <c r="H89" s="149">
        <v>0</v>
      </c>
      <c r="I89" s="193">
        <v>0</v>
      </c>
      <c r="J89" s="182">
        <v>0</v>
      </c>
      <c r="K89" s="150">
        <f>D89+E89+G89+I89</f>
        <v>0</v>
      </c>
      <c r="L89" s="150">
        <f>D89+F89+H89+J89</f>
        <v>15500</v>
      </c>
    </row>
    <row r="90" spans="1:16" s="151" customFormat="1" ht="24" customHeight="1" x14ac:dyDescent="0.25">
      <c r="A90" s="148" t="s">
        <v>290</v>
      </c>
      <c r="B90" s="156" t="s">
        <v>291</v>
      </c>
      <c r="C90" s="164" t="s">
        <v>243</v>
      </c>
      <c r="D90" s="149">
        <v>0</v>
      </c>
      <c r="E90" s="193">
        <v>0</v>
      </c>
      <c r="F90" s="149">
        <v>20000</v>
      </c>
      <c r="G90" s="193">
        <v>0</v>
      </c>
      <c r="H90" s="149">
        <v>0</v>
      </c>
      <c r="I90" s="193">
        <v>0</v>
      </c>
      <c r="J90" s="182">
        <v>0</v>
      </c>
      <c r="K90" s="150">
        <f>D90+E90+G90+I90</f>
        <v>0</v>
      </c>
      <c r="L90" s="150">
        <f>D90+F90+H90+J90</f>
        <v>20000</v>
      </c>
    </row>
    <row r="91" spans="1:16" s="146" customFormat="1" ht="15" customHeight="1" thickBot="1" x14ac:dyDescent="0.3">
      <c r="A91" s="10" t="s">
        <v>53</v>
      </c>
      <c r="B91" s="157"/>
      <c r="C91" s="165"/>
      <c r="D91" s="11">
        <f t="shared" ref="D91:K91" si="23">SUM(D78:D90)</f>
        <v>110758.80999999998</v>
      </c>
      <c r="E91" s="11">
        <f t="shared" si="23"/>
        <v>218230.34000000003</v>
      </c>
      <c r="F91" s="11">
        <f t="shared" si="23"/>
        <v>243930.34000000003</v>
      </c>
      <c r="G91" s="11">
        <f t="shared" si="23"/>
        <v>60000</v>
      </c>
      <c r="H91" s="11">
        <f t="shared" si="23"/>
        <v>280000</v>
      </c>
      <c r="I91" s="11">
        <f t="shared" si="23"/>
        <v>0</v>
      </c>
      <c r="J91" s="11">
        <f t="shared" si="23"/>
        <v>0</v>
      </c>
      <c r="K91" s="11">
        <f t="shared" si="23"/>
        <v>388989.14999999997</v>
      </c>
      <c r="L91" s="11">
        <f>SUM(L78:L90)</f>
        <v>634689.14999999991</v>
      </c>
      <c r="N91" s="188"/>
      <c r="O91" s="188"/>
      <c r="P91" s="188"/>
    </row>
    <row r="92" spans="1:16" s="146" customFormat="1" ht="25.5" customHeight="1" thickBot="1" x14ac:dyDescent="0.3">
      <c r="A92" s="14" t="s">
        <v>54</v>
      </c>
      <c r="B92" s="158"/>
      <c r="C92" s="166"/>
      <c r="D92" s="15">
        <f t="shared" ref="D92:L92" si="24">D91+D76+D49+D41+D36</f>
        <v>378688.57</v>
      </c>
      <c r="E92" s="15">
        <f t="shared" si="24"/>
        <v>1147755.6099999999</v>
      </c>
      <c r="F92" s="15">
        <f t="shared" si="24"/>
        <v>927075.61</v>
      </c>
      <c r="G92" s="15">
        <f t="shared" si="24"/>
        <v>943758</v>
      </c>
      <c r="H92" s="15">
        <f t="shared" si="24"/>
        <v>1270316</v>
      </c>
      <c r="I92" s="15">
        <f t="shared" si="24"/>
        <v>134869</v>
      </c>
      <c r="J92" s="15">
        <f t="shared" si="24"/>
        <v>69209.5</v>
      </c>
      <c r="K92" s="15">
        <f t="shared" si="24"/>
        <v>2605071.1800000002</v>
      </c>
      <c r="L92" s="15">
        <f t="shared" si="24"/>
        <v>2645289.6800000002</v>
      </c>
    </row>
    <row r="93" spans="1:16" s="146" customFormat="1" ht="13.5" thickBot="1" x14ac:dyDescent="0.3">
      <c r="A93" s="17"/>
      <c r="B93" s="159"/>
      <c r="C93" s="167"/>
      <c r="D93" s="94"/>
      <c r="E93" s="94"/>
      <c r="F93" s="94"/>
      <c r="G93" s="94"/>
      <c r="H93" s="94"/>
      <c r="I93" s="94"/>
      <c r="J93" s="94"/>
      <c r="K93" s="94"/>
      <c r="L93" s="119"/>
    </row>
    <row r="94" spans="1:16" s="146" customFormat="1" ht="21" customHeight="1" thickBot="1" x14ac:dyDescent="0.3">
      <c r="A94" s="14" t="s">
        <v>55</v>
      </c>
      <c r="B94" s="158"/>
      <c r="C94" s="166"/>
      <c r="D94" s="15">
        <f>SUM(D20,D26,D92)+0.45</f>
        <v>387806.92845000001</v>
      </c>
      <c r="E94" s="15">
        <f t="shared" ref="E94:I94" si="25">SUM(E20,E26,E92)</f>
        <v>1424852</v>
      </c>
      <c r="F94" s="15">
        <f t="shared" si="25"/>
        <v>1163953</v>
      </c>
      <c r="G94" s="15">
        <f t="shared" si="25"/>
        <v>1052473</v>
      </c>
      <c r="H94" s="15">
        <f t="shared" si="25"/>
        <v>1379031</v>
      </c>
      <c r="I94" s="15">
        <f t="shared" si="25"/>
        <v>134869</v>
      </c>
      <c r="J94" s="15">
        <f>SUM(J20,J26,J92)</f>
        <v>69209.5</v>
      </c>
      <c r="K94" s="15">
        <f>SUM(K20,K26,K92)</f>
        <v>3000000.4784500003</v>
      </c>
      <c r="L94" s="199">
        <f>SUM(L20,L26,L92)</f>
        <v>2999999.9784500003</v>
      </c>
      <c r="N94" s="188"/>
    </row>
    <row r="97" spans="12:13" x14ac:dyDescent="0.2">
      <c r="L97" s="177"/>
      <c r="M97" s="143"/>
    </row>
  </sheetData>
  <autoFilter ref="A5:P20" xr:uid="{393AEE41-6DF4-401D-9873-28DB37DD7348}"/>
  <mergeCells count="17">
    <mergeCell ref="A23:L23"/>
    <mergeCell ref="A28:L28"/>
    <mergeCell ref="A2:L2"/>
    <mergeCell ref="A4:A5"/>
    <mergeCell ref="K4:K5"/>
    <mergeCell ref="L4:L5"/>
    <mergeCell ref="A6:L6"/>
    <mergeCell ref="D4:J4"/>
    <mergeCell ref="A7:L7"/>
    <mergeCell ref="A11:L11"/>
    <mergeCell ref="A17:L17"/>
    <mergeCell ref="A22:L22"/>
    <mergeCell ref="A29:L29"/>
    <mergeCell ref="A37:L37"/>
    <mergeCell ref="A42:L42"/>
    <mergeCell ref="A50:L50"/>
    <mergeCell ref="A77:L77"/>
  </mergeCells>
  <conditionalFormatting sqref="D43:D48">
    <cfRule type="cellIs" dxfId="699" priority="151" operator="lessThan">
      <formula>#REF!</formula>
    </cfRule>
    <cfRule type="cellIs" dxfId="698" priority="152" operator="greaterThan">
      <formula>#REF!</formula>
    </cfRule>
  </conditionalFormatting>
  <conditionalFormatting sqref="D62:D69">
    <cfRule type="cellIs" dxfId="697" priority="139" operator="lessThan">
      <formula>#REF!</formula>
    </cfRule>
    <cfRule type="cellIs" dxfId="696" priority="140" operator="greaterThan">
      <formula>#REF!</formula>
    </cfRule>
  </conditionalFormatting>
  <conditionalFormatting sqref="D63:D68">
    <cfRule type="cellIs" dxfId="695" priority="129" operator="lessThan">
      <formula>#REF!</formula>
    </cfRule>
    <cfRule type="cellIs" dxfId="694" priority="130" operator="greaterThan">
      <formula>#REF!</formula>
    </cfRule>
  </conditionalFormatting>
  <conditionalFormatting sqref="D65:D68">
    <cfRule type="cellIs" dxfId="693" priority="135" operator="lessThan">
      <formula>#REF!</formula>
    </cfRule>
    <cfRule type="cellIs" dxfId="692" priority="136" operator="greaterThan">
      <formula>#REF!</formula>
    </cfRule>
  </conditionalFormatting>
  <conditionalFormatting sqref="D84:D85">
    <cfRule type="cellIs" dxfId="691" priority="213" operator="lessThan">
      <formula>#REF!</formula>
    </cfRule>
    <cfRule type="cellIs" dxfId="690" priority="214" operator="greaterThan">
      <formula>#REF!</formula>
    </cfRule>
  </conditionalFormatting>
  <conditionalFormatting sqref="D85:D90">
    <cfRule type="cellIs" dxfId="689" priority="217" operator="lessThan">
      <formula>#REF!</formula>
    </cfRule>
    <cfRule type="cellIs" dxfId="688" priority="218" operator="greaterThan">
      <formula>#REF!</formula>
    </cfRule>
  </conditionalFormatting>
  <conditionalFormatting sqref="D89:E90">
    <cfRule type="cellIs" dxfId="687" priority="107" operator="lessThan">
      <formula>#REF!</formula>
    </cfRule>
    <cfRule type="cellIs" dxfId="686" priority="108" operator="greaterThan">
      <formula>#REF!</formula>
    </cfRule>
  </conditionalFormatting>
  <conditionalFormatting sqref="D38:F40">
    <cfRule type="cellIs" dxfId="685" priority="41" operator="lessThan">
      <formula>#REF!</formula>
    </cfRule>
    <cfRule type="cellIs" dxfId="684" priority="42" operator="greaterThan">
      <formula>#REF!</formula>
    </cfRule>
  </conditionalFormatting>
  <conditionalFormatting sqref="D78:H85">
    <cfRule type="cellIs" dxfId="683" priority="113" operator="lessThan">
      <formula>#REF!</formula>
    </cfRule>
    <cfRule type="cellIs" dxfId="682" priority="114" operator="greaterThan">
      <formula>#REF!</formula>
    </cfRule>
  </conditionalFormatting>
  <conditionalFormatting sqref="D30:I35">
    <cfRule type="cellIs" dxfId="681" priority="1" operator="lessThan">
      <formula>#REF!</formula>
    </cfRule>
    <cfRule type="cellIs" dxfId="680" priority="2" operator="greaterThan">
      <formula>#REF!</formula>
    </cfRule>
  </conditionalFormatting>
  <conditionalFormatting sqref="D70:I71">
    <cfRule type="cellIs" dxfId="679" priority="125" operator="lessThan">
      <formula>#REF!</formula>
    </cfRule>
    <cfRule type="cellIs" dxfId="678" priority="126" operator="greaterThan">
      <formula>#REF!</formula>
    </cfRule>
  </conditionalFormatting>
  <conditionalFormatting sqref="D12:K13">
    <cfRule type="cellIs" dxfId="677" priority="183" operator="lessThan">
      <formula>#REF!</formula>
    </cfRule>
    <cfRule type="cellIs" dxfId="676" priority="184" operator="greaterThan">
      <formula>#REF!</formula>
    </cfRule>
  </conditionalFormatting>
  <conditionalFormatting sqref="D13:K15">
    <cfRule type="cellIs" dxfId="675" priority="173" operator="lessThan">
      <formula>#REF!</formula>
    </cfRule>
    <cfRule type="cellIs" dxfId="674" priority="174" operator="greaterThan">
      <formula>#REF!</formula>
    </cfRule>
  </conditionalFormatting>
  <conditionalFormatting sqref="D18:K19">
    <cfRule type="cellIs" dxfId="673" priority="157" operator="lessThan">
      <formula>#REF!</formula>
    </cfRule>
    <cfRule type="cellIs" dxfId="672" priority="158" operator="greaterThan">
      <formula>#REF!</formula>
    </cfRule>
  </conditionalFormatting>
  <conditionalFormatting sqref="D59:K59">
    <cfRule type="cellIs" dxfId="671" priority="17" operator="lessThan">
      <formula>#REF!</formula>
    </cfRule>
    <cfRule type="cellIs" dxfId="670" priority="18" operator="greaterThan">
      <formula>#REF!</formula>
    </cfRule>
  </conditionalFormatting>
  <conditionalFormatting sqref="D8:L10">
    <cfRule type="cellIs" dxfId="669" priority="105" operator="lessThan">
      <formula>#REF!</formula>
    </cfRule>
    <cfRule type="cellIs" dxfId="668" priority="106" operator="greaterThan">
      <formula>#REF!</formula>
    </cfRule>
  </conditionalFormatting>
  <conditionalFormatting sqref="D16:L16">
    <cfRule type="cellIs" dxfId="667" priority="171" operator="lessThan">
      <formula>#REF!</formula>
    </cfRule>
    <cfRule type="cellIs" dxfId="666" priority="172" operator="greaterThan">
      <formula>#REF!</formula>
    </cfRule>
  </conditionalFormatting>
  <conditionalFormatting sqref="D24:L25">
    <cfRule type="cellIs" dxfId="665" priority="233" operator="lessThan">
      <formula>#REF!</formula>
    </cfRule>
    <cfRule type="cellIs" dxfId="664" priority="234" operator="greaterThan">
      <formula>#REF!</formula>
    </cfRule>
  </conditionalFormatting>
  <conditionalFormatting sqref="D41:L41">
    <cfRule type="cellIs" dxfId="663" priority="225" operator="lessThan">
      <formula>#REF!</formula>
    </cfRule>
    <cfRule type="cellIs" dxfId="662" priority="226" operator="greaterThan">
      <formula>#REF!</formula>
    </cfRule>
  </conditionalFormatting>
  <conditionalFormatting sqref="D76:L76">
    <cfRule type="cellIs" dxfId="661" priority="237" operator="lessThan">
      <formula>#REF!</formula>
    </cfRule>
    <cfRule type="cellIs" dxfId="660" priority="238" operator="greaterThan">
      <formula>#REF!</formula>
    </cfRule>
  </conditionalFormatting>
  <conditionalFormatting sqref="E62:E63">
    <cfRule type="cellIs" dxfId="659" priority="83" operator="lessThan">
      <formula>#REF!</formula>
    </cfRule>
    <cfRule type="cellIs" dxfId="658" priority="84" operator="greaterThan">
      <formula>#REF!</formula>
    </cfRule>
  </conditionalFormatting>
  <conditionalFormatting sqref="E47:H48">
    <cfRule type="cellIs" dxfId="657" priority="3" operator="lessThan">
      <formula>#REF!</formula>
    </cfRule>
    <cfRule type="cellIs" dxfId="656" priority="4" operator="greaterThan">
      <formula>#REF!</formula>
    </cfRule>
  </conditionalFormatting>
  <conditionalFormatting sqref="E69:I69">
    <cfRule type="cellIs" dxfId="655" priority="141" operator="lessThan">
      <formula>#REF!</formula>
    </cfRule>
    <cfRule type="cellIs" dxfId="654" priority="142" operator="greaterThan">
      <formula>#REF!</formula>
    </cfRule>
  </conditionalFormatting>
  <conditionalFormatting sqref="E67:J67">
    <cfRule type="cellIs" dxfId="653" priority="79" operator="lessThan">
      <formula>#REF!</formula>
    </cfRule>
    <cfRule type="cellIs" dxfId="652" priority="80" operator="greaterThan">
      <formula>#REF!</formula>
    </cfRule>
  </conditionalFormatting>
  <conditionalFormatting sqref="E67:K67">
    <cfRule type="cellIs" dxfId="651" priority="81" operator="lessThan">
      <formula>#REF!</formula>
    </cfRule>
    <cfRule type="cellIs" dxfId="650" priority="82" operator="greaterThan">
      <formula>#REF!</formula>
    </cfRule>
  </conditionalFormatting>
  <conditionalFormatting sqref="F61:F63">
    <cfRule type="cellIs" dxfId="649" priority="75" operator="lessThan">
      <formula>#REF!</formula>
    </cfRule>
    <cfRule type="cellIs" dxfId="648" priority="76" operator="greaterThan">
      <formula>#REF!</formula>
    </cfRule>
  </conditionalFormatting>
  <conditionalFormatting sqref="F86:F90">
    <cfRule type="cellIs" dxfId="647" priority="63" operator="lessThan">
      <formula>#REF!</formula>
    </cfRule>
    <cfRule type="cellIs" dxfId="646" priority="64" operator="greaterThan">
      <formula>#REF!</formula>
    </cfRule>
  </conditionalFormatting>
  <conditionalFormatting sqref="G38:K38">
    <cfRule type="cellIs" dxfId="645" priority="37" operator="lessThan">
      <formula>#REF!</formula>
    </cfRule>
    <cfRule type="cellIs" dxfId="644" priority="38" operator="greaterThan">
      <formula>#REF!</formula>
    </cfRule>
  </conditionalFormatting>
  <conditionalFormatting sqref="G39:K39">
    <cfRule type="cellIs" dxfId="643" priority="59" operator="lessThan">
      <formula>#REF!</formula>
    </cfRule>
    <cfRule type="cellIs" dxfId="642" priority="60" operator="greaterThan">
      <formula>#REF!</formula>
    </cfRule>
  </conditionalFormatting>
  <conditionalFormatting sqref="G40:K40">
    <cfRule type="cellIs" dxfId="641" priority="27" operator="lessThan">
      <formula>#REF!</formula>
    </cfRule>
    <cfRule type="cellIs" dxfId="640" priority="28" operator="greaterThan">
      <formula>#REF!</formula>
    </cfRule>
  </conditionalFormatting>
  <conditionalFormatting sqref="G62:K63 E64:K66 E68:K68 J69 J70:K72 E84:K90 I47:K48 E63">
    <cfRule type="cellIs" dxfId="639" priority="245" operator="lessThan">
      <formula>#REF!</formula>
    </cfRule>
  </conditionalFormatting>
  <conditionalFormatting sqref="H60:K61">
    <cfRule type="cellIs" dxfId="638" priority="73" operator="lessThan">
      <formula>#REF!</formula>
    </cfRule>
    <cfRule type="cellIs" dxfId="637" priority="74" operator="greaterThan">
      <formula>#REF!</formula>
    </cfRule>
  </conditionalFormatting>
  <conditionalFormatting sqref="I88 G89:J90">
    <cfRule type="cellIs" dxfId="636" priority="109" operator="lessThan">
      <formula>#REF!</formula>
    </cfRule>
    <cfRule type="cellIs" dxfId="635" priority="110" operator="greaterThan">
      <formula>#REF!</formula>
    </cfRule>
  </conditionalFormatting>
  <conditionalFormatting sqref="I47:K48 G62:K63 E63 E64:K66 E68:K68 J69 J70:K72 E84:K90">
    <cfRule type="cellIs" dxfId="634" priority="246" operator="greaterThan">
      <formula>#REF!</formula>
    </cfRule>
  </conditionalFormatting>
  <conditionalFormatting sqref="I78:K85 E43:K46 D51:K58 K60:K62 D64:K66 D67 D68:I68 K70:K75 J30:J33 J35 D36:L36 D60:G60 D61:E61 G61 G63:K63 J68:J72 I72 D72:H75 I73:J75 L78:L90">
    <cfRule type="cellIs" dxfId="633" priority="243" operator="lessThan">
      <formula>#REF!</formula>
    </cfRule>
  </conditionalFormatting>
  <conditionalFormatting sqref="J30:J33 J35 D36:L36 E43:K46 D51:K58 D60:G60 K60:K62 D61:E61 G61 G63:K63 D64:K66 D67 D68:I68 J68:J72 K70:K75 I72 D72:H75 I73:J75 I78:K85 L78:L90">
    <cfRule type="cellIs" dxfId="632" priority="244" operator="greaterThan">
      <formula>#REF!</formula>
    </cfRule>
  </conditionalFormatting>
  <conditionalFormatting sqref="J34:L34">
    <cfRule type="cellIs" dxfId="631" priority="95" operator="lessThan">
      <formula>#REF!</formula>
    </cfRule>
    <cfRule type="cellIs" dxfId="630" priority="96" operator="greaterThan">
      <formula>#REF!</formula>
    </cfRule>
  </conditionalFormatting>
  <conditionalFormatting sqref="K43:K45">
    <cfRule type="cellIs" dxfId="629" priority="147" operator="lessThan">
      <formula>#REF!</formula>
    </cfRule>
    <cfRule type="cellIs" dxfId="628" priority="148" operator="greaterThan">
      <formula>#REF!</formula>
    </cfRule>
  </conditionalFormatting>
  <conditionalFormatting sqref="K46 K78">
    <cfRule type="cellIs" dxfId="627" priority="247" operator="lessThan">
      <formula>#REF!</formula>
    </cfRule>
    <cfRule type="cellIs" dxfId="626" priority="248" operator="greaterThan">
      <formula>#REF!</formula>
    </cfRule>
  </conditionalFormatting>
  <conditionalFormatting sqref="K47:K48">
    <cfRule type="cellIs" dxfId="625" priority="203" operator="lessThan">
      <formula>#REF!</formula>
    </cfRule>
    <cfRule type="cellIs" dxfId="624" priority="204" operator="greaterThan">
      <formula>#REF!</formula>
    </cfRule>
  </conditionalFormatting>
  <conditionalFormatting sqref="K51:K58">
    <cfRule type="cellIs" dxfId="623" priority="145" operator="lessThan">
      <formula>#REF!</formula>
    </cfRule>
    <cfRule type="cellIs" dxfId="622" priority="146" operator="greaterThan">
      <formula>#REF!</formula>
    </cfRule>
  </conditionalFormatting>
  <conditionalFormatting sqref="K52:K58">
    <cfRule type="cellIs" dxfId="621" priority="131" operator="lessThan">
      <formula>#REF!</formula>
    </cfRule>
    <cfRule type="cellIs" dxfId="620" priority="132" operator="greaterThan">
      <formula>#REF!</formula>
    </cfRule>
  </conditionalFormatting>
  <conditionalFormatting sqref="K56:K59">
    <cfRule type="cellIs" dxfId="619" priority="19" operator="lessThan">
      <formula>#REF!</formula>
    </cfRule>
    <cfRule type="cellIs" dxfId="618" priority="20" operator="greaterThan">
      <formula>#REF!</formula>
    </cfRule>
  </conditionalFormatting>
  <conditionalFormatting sqref="K59">
    <cfRule type="cellIs" dxfId="617" priority="15" operator="lessThan">
      <formula>#REF!</formula>
    </cfRule>
    <cfRule type="cellIs" dxfId="616" priority="16" operator="greaterThan">
      <formula>#REF!</formula>
    </cfRule>
  </conditionalFormatting>
  <conditionalFormatting sqref="K60">
    <cfRule type="cellIs" dxfId="615" priority="143" operator="lessThan">
      <formula>#REF!</formula>
    </cfRule>
    <cfRule type="cellIs" dxfId="614" priority="144" operator="greaterThan">
      <formula>#REF!</formula>
    </cfRule>
  </conditionalFormatting>
  <conditionalFormatting sqref="K67:K69">
    <cfRule type="cellIs" dxfId="613" priority="71" operator="lessThan">
      <formula>#REF!</formula>
    </cfRule>
    <cfRule type="cellIs" dxfId="612" priority="72" operator="greaterThan">
      <formula>#REF!</formula>
    </cfRule>
  </conditionalFormatting>
  <conditionalFormatting sqref="K79:K85">
    <cfRule type="cellIs" dxfId="611" priority="115" operator="lessThan">
      <formula>#REF!</formula>
    </cfRule>
    <cfRule type="cellIs" dxfId="610" priority="116" operator="greaterThan">
      <formula>#REF!</formula>
    </cfRule>
  </conditionalFormatting>
  <conditionalFormatting sqref="K84:K85">
    <cfRule type="cellIs" dxfId="609" priority="211" operator="lessThan">
      <formula>#REF!</formula>
    </cfRule>
    <cfRule type="cellIs" dxfId="608" priority="212" operator="greaterThan">
      <formula>#REF!</formula>
    </cfRule>
  </conditionalFormatting>
  <conditionalFormatting sqref="K85:K90">
    <cfRule type="cellIs" dxfId="607" priority="215" operator="lessThan">
      <formula>#REF!</formula>
    </cfRule>
    <cfRule type="cellIs" dxfId="606" priority="216" operator="greaterThan">
      <formula>#REF!</formula>
    </cfRule>
  </conditionalFormatting>
  <conditionalFormatting sqref="K18:L19">
    <cfRule type="cellIs" dxfId="605" priority="101" operator="lessThan">
      <formula>#REF!</formula>
    </cfRule>
    <cfRule type="cellIs" dxfId="604" priority="102" operator="greaterThan">
      <formula>#REF!</formula>
    </cfRule>
  </conditionalFormatting>
  <conditionalFormatting sqref="K25:L25">
    <cfRule type="cellIs" dxfId="603" priority="231" operator="lessThan">
      <formula>#REF!</formula>
    </cfRule>
    <cfRule type="cellIs" dxfId="602" priority="232" operator="greaterThan">
      <formula>#REF!</formula>
    </cfRule>
  </conditionalFormatting>
  <conditionalFormatting sqref="K30:L35">
    <cfRule type="cellIs" dxfId="601" priority="93" operator="lessThan">
      <formula>#REF!</formula>
    </cfRule>
    <cfRule type="cellIs" dxfId="600" priority="94" operator="greaterThan">
      <formula>#REF!</formula>
    </cfRule>
  </conditionalFormatting>
  <conditionalFormatting sqref="K38:L38">
    <cfRule type="cellIs" dxfId="599" priority="31" operator="lessThan">
      <formula>#REF!</formula>
    </cfRule>
    <cfRule type="cellIs" dxfId="598" priority="32" operator="greaterThan">
      <formula>#REF!</formula>
    </cfRule>
  </conditionalFormatting>
  <conditionalFormatting sqref="K39:L39">
    <cfRule type="cellIs" dxfId="597" priority="47" operator="lessThan">
      <formula>#REF!</formula>
    </cfRule>
    <cfRule type="cellIs" dxfId="596" priority="48" operator="greaterThan">
      <formula>#REF!</formula>
    </cfRule>
  </conditionalFormatting>
  <conditionalFormatting sqref="K40:L40">
    <cfRule type="cellIs" dxfId="595" priority="23" operator="lessThan">
      <formula>#REF!</formula>
    </cfRule>
    <cfRule type="cellIs" dxfId="594" priority="24" operator="greaterThan">
      <formula>#REF!</formula>
    </cfRule>
  </conditionalFormatting>
  <conditionalFormatting sqref="K59:L59">
    <cfRule type="cellIs" dxfId="593" priority="9" operator="lessThan">
      <formula>#REF!</formula>
    </cfRule>
    <cfRule type="cellIs" dxfId="592" priority="10" operator="greaterThan">
      <formula>#REF!</formula>
    </cfRule>
  </conditionalFormatting>
  <conditionalFormatting sqref="K69:L69">
    <cfRule type="cellIs" dxfId="591" priority="65" operator="lessThan">
      <formula>#REF!</formula>
    </cfRule>
    <cfRule type="cellIs" dxfId="590" priority="66" operator="greaterThan">
      <formula>#REF!</formula>
    </cfRule>
  </conditionalFormatting>
  <conditionalFormatting sqref="L12:L15">
    <cfRule type="cellIs" dxfId="589" priority="103" operator="lessThan">
      <formula>#REF!</formula>
    </cfRule>
    <cfRule type="cellIs" dxfId="588" priority="104" operator="greaterThan">
      <formula>#REF!</formula>
    </cfRule>
  </conditionalFormatting>
  <conditionalFormatting sqref="L18:L19">
    <cfRule type="cellIs" dxfId="587" priority="97" operator="lessThan">
      <formula>#REF!</formula>
    </cfRule>
    <cfRule type="cellIs" dxfId="586" priority="98" operator="greaterThan">
      <formula>#REF!</formula>
    </cfRule>
  </conditionalFormatting>
  <conditionalFormatting sqref="L38:L39">
    <cfRule type="cellIs" dxfId="585" priority="33" operator="lessThan">
      <formula>#REF!</formula>
    </cfRule>
    <cfRule type="cellIs" dxfId="584" priority="34" operator="greaterThan">
      <formula>#REF!</formula>
    </cfRule>
  </conditionalFormatting>
  <conditionalFormatting sqref="L40">
    <cfRule type="cellIs" dxfId="583" priority="21" operator="lessThan">
      <formula>#REF!</formula>
    </cfRule>
    <cfRule type="cellIs" dxfId="582" priority="22" operator="greaterThan">
      <formula>#REF!</formula>
    </cfRule>
  </conditionalFormatting>
  <conditionalFormatting sqref="L43:L48">
    <cfRule type="cellIs" dxfId="581" priority="89" operator="lessThan">
      <formula>#REF!</formula>
    </cfRule>
    <cfRule type="cellIs" dxfId="580" priority="90" operator="greaterThan">
      <formula>#REF!</formula>
    </cfRule>
    <cfRule type="cellIs" dxfId="579" priority="91" operator="lessThan">
      <formula>#REF!</formula>
    </cfRule>
    <cfRule type="cellIs" dxfId="578" priority="92" operator="greaterThan">
      <formula>#REF!</formula>
    </cfRule>
  </conditionalFormatting>
  <conditionalFormatting sqref="L51:L58 L60:L68 K70:L75">
    <cfRule type="cellIs" dxfId="577" priority="88" operator="greaterThan">
      <formula>#REF!</formula>
    </cfRule>
  </conditionalFormatting>
  <conditionalFormatting sqref="L51:L59">
    <cfRule type="cellIs" dxfId="576" priority="11" operator="lessThan">
      <formula>#REF!</formula>
    </cfRule>
    <cfRule type="cellIs" dxfId="575" priority="12" operator="greaterThan">
      <formula>#REF!</formula>
    </cfRule>
  </conditionalFormatting>
  <conditionalFormatting sqref="L60:L68 K70:L75 L51:L58">
    <cfRule type="cellIs" dxfId="574" priority="87" operator="lessThan">
      <formula>#REF!</formula>
    </cfRule>
  </conditionalFormatting>
  <conditionalFormatting sqref="L60:L75">
    <cfRule type="cellIs" dxfId="573" priority="67" operator="lessThan">
      <formula>#REF!</formula>
    </cfRule>
    <cfRule type="cellIs" dxfId="572" priority="68" operator="greaterThan">
      <formula>#REF!</formula>
    </cfRule>
  </conditionalFormatting>
  <pageMargins left="0.25" right="0.25" top="0.75" bottom="0.75" header="0.3" footer="0.3"/>
  <pageSetup paperSize="9" scale="62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C596E-F7D8-4573-855C-32C47E08463B}">
  <dimension ref="A1:O95"/>
  <sheetViews>
    <sheetView workbookViewId="0">
      <pane ySplit="5" topLeftCell="A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3" width="7.7109375" style="163" customWidth="1"/>
    <col min="4" max="10" width="12.7109375" style="141" customWidth="1"/>
    <col min="11" max="12" width="13" style="141" customWidth="1"/>
    <col min="13" max="16384" width="9.140625" style="140"/>
  </cols>
  <sheetData>
    <row r="1" spans="1:13" ht="15" customHeight="1" x14ac:dyDescent="0.2">
      <c r="A1" s="140" t="s">
        <v>177</v>
      </c>
      <c r="M1" s="140" t="s">
        <v>237</v>
      </c>
    </row>
    <row r="2" spans="1:13" s="1" customFormat="1" ht="23.25" customHeight="1" x14ac:dyDescent="0.25">
      <c r="A2" s="346" t="s">
        <v>98</v>
      </c>
      <c r="B2" s="346"/>
      <c r="C2" s="346"/>
      <c r="D2" s="347"/>
      <c r="E2" s="347"/>
      <c r="F2" s="347"/>
      <c r="G2" s="347"/>
      <c r="H2" s="347"/>
      <c r="I2" s="347"/>
      <c r="J2" s="347"/>
      <c r="K2" s="347"/>
    </row>
    <row r="3" spans="1:13" ht="13.5" thickBot="1" x14ac:dyDescent="0.25">
      <c r="A3" s="143"/>
      <c r="D3" s="143"/>
      <c r="E3" s="143"/>
      <c r="F3" s="143"/>
      <c r="G3" s="143"/>
      <c r="H3" s="143"/>
      <c r="I3" s="143"/>
      <c r="J3" s="143"/>
      <c r="K3" s="144" t="s">
        <v>1</v>
      </c>
      <c r="L3" s="144" t="s">
        <v>1</v>
      </c>
      <c r="M3" s="142"/>
    </row>
    <row r="4" spans="1:13" ht="24.6" customHeight="1" x14ac:dyDescent="0.2">
      <c r="A4" s="296" t="s">
        <v>2</v>
      </c>
      <c r="B4" s="154"/>
      <c r="C4" s="154"/>
      <c r="D4" s="349" t="s">
        <v>178</v>
      </c>
      <c r="E4" s="350"/>
      <c r="F4" s="350"/>
      <c r="G4" s="350"/>
      <c r="H4" s="350"/>
      <c r="I4" s="350"/>
      <c r="J4" s="351"/>
      <c r="K4" s="352" t="s">
        <v>269</v>
      </c>
      <c r="L4" s="352" t="s">
        <v>270</v>
      </c>
    </row>
    <row r="5" spans="1:13" ht="24.6" customHeight="1" thickBot="1" x14ac:dyDescent="0.25">
      <c r="A5" s="348"/>
      <c r="B5" s="155" t="s">
        <v>181</v>
      </c>
      <c r="C5" s="155" t="s">
        <v>238</v>
      </c>
      <c r="D5" s="209">
        <v>2021</v>
      </c>
      <c r="E5" s="210" t="s">
        <v>292</v>
      </c>
      <c r="F5" s="211" t="s">
        <v>293</v>
      </c>
      <c r="G5" s="126" t="s">
        <v>294</v>
      </c>
      <c r="H5" s="211" t="s">
        <v>295</v>
      </c>
      <c r="I5" s="209" t="s">
        <v>296</v>
      </c>
      <c r="J5" s="212" t="s">
        <v>297</v>
      </c>
      <c r="K5" s="353"/>
      <c r="L5" s="353"/>
    </row>
    <row r="6" spans="1:13" s="146" customFormat="1" ht="21" customHeight="1" x14ac:dyDescent="0.25">
      <c r="A6" s="359" t="s">
        <v>70</v>
      </c>
      <c r="B6" s="360"/>
      <c r="C6" s="360"/>
      <c r="D6" s="361"/>
      <c r="E6" s="361"/>
      <c r="F6" s="362"/>
      <c r="G6" s="362"/>
      <c r="H6" s="362"/>
      <c r="I6" s="363"/>
      <c r="J6" s="363"/>
      <c r="K6" s="364"/>
      <c r="L6" s="213"/>
    </row>
    <row r="7" spans="1:13" s="147" customFormat="1" ht="18" customHeight="1" x14ac:dyDescent="0.25">
      <c r="A7" s="335" t="s">
        <v>6</v>
      </c>
      <c r="B7" s="354"/>
      <c r="C7" s="354"/>
      <c r="D7" s="336"/>
      <c r="E7" s="336"/>
      <c r="F7" s="336"/>
      <c r="G7" s="336"/>
      <c r="H7" s="336"/>
      <c r="I7" s="336"/>
      <c r="J7" s="336"/>
      <c r="K7" s="337"/>
      <c r="L7" s="214"/>
    </row>
    <row r="8" spans="1:13" s="151" customFormat="1" ht="15" customHeight="1" x14ac:dyDescent="0.25">
      <c r="A8" s="148" t="s">
        <v>7</v>
      </c>
      <c r="B8" s="156">
        <v>3402</v>
      </c>
      <c r="C8" s="164" t="s">
        <v>239</v>
      </c>
      <c r="D8" s="149">
        <v>5576.1411900000003</v>
      </c>
      <c r="E8" s="149">
        <v>91590.16</v>
      </c>
      <c r="F8" s="149">
        <v>91590.16</v>
      </c>
      <c r="G8" s="149">
        <v>60950</v>
      </c>
      <c r="H8" s="149">
        <v>60950</v>
      </c>
      <c r="I8" s="149">
        <v>0</v>
      </c>
      <c r="J8" s="149">
        <v>0</v>
      </c>
      <c r="K8" s="150">
        <f>D8+E8+G8+I8</f>
        <v>158116.30119</v>
      </c>
      <c r="L8" s="150">
        <f>D8+F8+H8+J8</f>
        <v>158116.30119</v>
      </c>
    </row>
    <row r="9" spans="1:13" s="151" customFormat="1" ht="24" customHeight="1" x14ac:dyDescent="0.25">
      <c r="A9" s="148" t="s">
        <v>8</v>
      </c>
      <c r="B9" s="156" t="s">
        <v>182</v>
      </c>
      <c r="C9" s="164" t="s">
        <v>239</v>
      </c>
      <c r="D9" s="149">
        <v>3541.7672600000001</v>
      </c>
      <c r="E9" s="149">
        <v>26967.23</v>
      </c>
      <c r="F9" s="149">
        <v>26967.23</v>
      </c>
      <c r="G9" s="149">
        <v>19995</v>
      </c>
      <c r="H9" s="149">
        <v>19995</v>
      </c>
      <c r="I9" s="149">
        <v>0</v>
      </c>
      <c r="J9" s="149">
        <v>0</v>
      </c>
      <c r="K9" s="150">
        <f>D9+E9+G9+I9</f>
        <v>50503.997260000004</v>
      </c>
      <c r="L9" s="150">
        <f>D9+F9+H9+J9</f>
        <v>50503.997260000004</v>
      </c>
    </row>
    <row r="10" spans="1:13" s="146" customFormat="1" ht="15" customHeight="1" x14ac:dyDescent="0.25">
      <c r="A10" s="10" t="s">
        <v>9</v>
      </c>
      <c r="B10" s="157"/>
      <c r="C10" s="165"/>
      <c r="D10" s="11">
        <f t="shared" ref="D10:I10" si="0">SUM(D8:D9)</f>
        <v>9117.9084500000008</v>
      </c>
      <c r="E10" s="11">
        <f t="shared" si="0"/>
        <v>118557.39</v>
      </c>
      <c r="F10" s="11">
        <f t="shared" ref="F10" si="1">SUM(F8:F9)</f>
        <v>118557.39</v>
      </c>
      <c r="G10" s="11">
        <f t="shared" si="0"/>
        <v>80945</v>
      </c>
      <c r="H10" s="11">
        <f t="shared" ref="H10" si="2">SUM(H8:H9)</f>
        <v>80945</v>
      </c>
      <c r="I10" s="11">
        <f t="shared" si="0"/>
        <v>0</v>
      </c>
      <c r="J10" s="11">
        <f t="shared" ref="J10" si="3">SUM(J8:J9)</f>
        <v>0</v>
      </c>
      <c r="K10" s="12">
        <f>SUM(K8:K9)</f>
        <v>208620.29845</v>
      </c>
      <c r="L10" s="12">
        <f>SUM(L8:L9)</f>
        <v>208620.29845</v>
      </c>
    </row>
    <row r="11" spans="1:13" s="147" customFormat="1" ht="18" customHeight="1" x14ac:dyDescent="0.25">
      <c r="A11" s="338" t="s">
        <v>32</v>
      </c>
      <c r="B11" s="355"/>
      <c r="C11" s="355"/>
      <c r="D11" s="339"/>
      <c r="E11" s="339"/>
      <c r="F11" s="339"/>
      <c r="G11" s="339"/>
      <c r="H11" s="339"/>
      <c r="I11" s="339"/>
      <c r="J11" s="339"/>
      <c r="K11" s="340"/>
      <c r="L11" s="214"/>
    </row>
    <row r="12" spans="1:13" s="151" customFormat="1" ht="15" customHeight="1" x14ac:dyDescent="0.25">
      <c r="A12" s="148" t="s">
        <v>83</v>
      </c>
      <c r="B12" s="156" t="s">
        <v>183</v>
      </c>
      <c r="C12" s="164" t="s">
        <v>239</v>
      </c>
      <c r="D12" s="149">
        <v>0</v>
      </c>
      <c r="E12" s="149">
        <v>26810</v>
      </c>
      <c r="F12" s="149">
        <v>26810</v>
      </c>
      <c r="G12" s="149">
        <v>0</v>
      </c>
      <c r="H12" s="149">
        <v>0</v>
      </c>
      <c r="I12" s="182">
        <v>0</v>
      </c>
      <c r="J12" s="182">
        <v>0</v>
      </c>
      <c r="K12" s="150">
        <f>D12+E12+G12+I12</f>
        <v>26810</v>
      </c>
      <c r="L12" s="150">
        <f>D12+F12+H12+J12</f>
        <v>26810</v>
      </c>
    </row>
    <row r="13" spans="1:13" s="151" customFormat="1" ht="15" customHeight="1" x14ac:dyDescent="0.25">
      <c r="A13" s="148" t="s">
        <v>86</v>
      </c>
      <c r="B13" s="156" t="s">
        <v>184</v>
      </c>
      <c r="C13" s="164" t="s">
        <v>239</v>
      </c>
      <c r="D13" s="149">
        <v>0</v>
      </c>
      <c r="E13" s="149">
        <v>10963</v>
      </c>
      <c r="F13" s="149">
        <v>10963</v>
      </c>
      <c r="G13" s="149">
        <v>0</v>
      </c>
      <c r="H13" s="149">
        <v>0</v>
      </c>
      <c r="I13" s="182">
        <v>0</v>
      </c>
      <c r="J13" s="182">
        <v>0</v>
      </c>
      <c r="K13" s="150">
        <f t="shared" ref="K13:K15" si="4">D13+E13+G13+I13</f>
        <v>10963</v>
      </c>
      <c r="L13" s="150">
        <f t="shared" ref="L13:L15" si="5">D13+F13+H13+J13</f>
        <v>10963</v>
      </c>
    </row>
    <row r="14" spans="1:13" s="151" customFormat="1" ht="15" customHeight="1" x14ac:dyDescent="0.25">
      <c r="A14" s="148" t="s">
        <v>84</v>
      </c>
      <c r="B14" s="156" t="s">
        <v>185</v>
      </c>
      <c r="C14" s="164" t="s">
        <v>239</v>
      </c>
      <c r="D14" s="149">
        <v>0</v>
      </c>
      <c r="E14" s="149">
        <v>21262</v>
      </c>
      <c r="F14" s="149">
        <v>21262</v>
      </c>
      <c r="G14" s="149">
        <v>0</v>
      </c>
      <c r="H14" s="149">
        <v>0</v>
      </c>
      <c r="I14" s="182">
        <v>0</v>
      </c>
      <c r="J14" s="182">
        <v>0</v>
      </c>
      <c r="K14" s="150">
        <f t="shared" si="4"/>
        <v>21262</v>
      </c>
      <c r="L14" s="150">
        <f t="shared" si="5"/>
        <v>21262</v>
      </c>
    </row>
    <row r="15" spans="1:13" s="151" customFormat="1" ht="15" customHeight="1" x14ac:dyDescent="0.25">
      <c r="A15" s="148" t="s">
        <v>85</v>
      </c>
      <c r="B15" s="156" t="s">
        <v>186</v>
      </c>
      <c r="C15" s="164" t="s">
        <v>239</v>
      </c>
      <c r="D15" s="149">
        <v>0</v>
      </c>
      <c r="E15" s="149">
        <v>50842</v>
      </c>
      <c r="F15" s="149">
        <v>50842</v>
      </c>
      <c r="G15" s="149">
        <v>0</v>
      </c>
      <c r="H15" s="149">
        <v>0</v>
      </c>
      <c r="I15" s="182">
        <v>0</v>
      </c>
      <c r="J15" s="182">
        <v>0</v>
      </c>
      <c r="K15" s="150">
        <f t="shared" si="4"/>
        <v>50842</v>
      </c>
      <c r="L15" s="150">
        <f t="shared" si="5"/>
        <v>50842</v>
      </c>
    </row>
    <row r="16" spans="1:13" s="146" customFormat="1" ht="15" customHeight="1" x14ac:dyDescent="0.25">
      <c r="A16" s="10" t="s">
        <v>47</v>
      </c>
      <c r="B16" s="157"/>
      <c r="C16" s="165"/>
      <c r="D16" s="11">
        <f>SUM(D12:D15)</f>
        <v>0</v>
      </c>
      <c r="E16" s="11">
        <f t="shared" ref="E16:I16" si="6">SUM(E12:E15)</f>
        <v>109877</v>
      </c>
      <c r="F16" s="11">
        <f t="shared" ref="F16" si="7">SUM(F12:F15)</f>
        <v>109877</v>
      </c>
      <c r="G16" s="11">
        <f t="shared" si="6"/>
        <v>0</v>
      </c>
      <c r="H16" s="11">
        <f t="shared" ref="H16" si="8">SUM(H12:H15)</f>
        <v>0</v>
      </c>
      <c r="I16" s="11">
        <f t="shared" si="6"/>
        <v>0</v>
      </c>
      <c r="J16" s="11">
        <f t="shared" ref="J16" si="9">SUM(J12:J15)</f>
        <v>0</v>
      </c>
      <c r="K16" s="12">
        <f>SUM(K12:K15)</f>
        <v>109877</v>
      </c>
      <c r="L16" s="12">
        <f>SUM(L12:L15)</f>
        <v>109877</v>
      </c>
    </row>
    <row r="17" spans="1:13" s="147" customFormat="1" ht="18" customHeight="1" x14ac:dyDescent="0.25">
      <c r="A17" s="335" t="s">
        <v>10</v>
      </c>
      <c r="B17" s="354"/>
      <c r="C17" s="354"/>
      <c r="D17" s="336"/>
      <c r="E17" s="336"/>
      <c r="F17" s="336"/>
      <c r="G17" s="336"/>
      <c r="H17" s="336"/>
      <c r="I17" s="336"/>
      <c r="J17" s="336"/>
      <c r="K17" s="337"/>
      <c r="L17" s="214"/>
    </row>
    <row r="18" spans="1:13" s="151" customFormat="1" ht="15" customHeight="1" x14ac:dyDescent="0.25">
      <c r="A18" s="148" t="s">
        <v>11</v>
      </c>
      <c r="B18" s="156" t="s">
        <v>187</v>
      </c>
      <c r="C18" s="164" t="s">
        <v>239</v>
      </c>
      <c r="D18" s="149">
        <v>0</v>
      </c>
      <c r="E18" s="149">
        <v>8443</v>
      </c>
      <c r="F18" s="149">
        <v>8443</v>
      </c>
      <c r="G18" s="149">
        <v>27770</v>
      </c>
      <c r="H18" s="149">
        <v>27770</v>
      </c>
      <c r="I18" s="182">
        <v>0</v>
      </c>
      <c r="J18" s="182">
        <v>0</v>
      </c>
      <c r="K18" s="150">
        <f>D18+E18+G18</f>
        <v>36213</v>
      </c>
      <c r="L18" s="150">
        <f>F18+H18+J18</f>
        <v>36213</v>
      </c>
    </row>
    <row r="19" spans="1:13" s="146" customFormat="1" ht="23.45" customHeight="1" thickBot="1" x14ac:dyDescent="0.3">
      <c r="A19" s="10" t="s">
        <v>13</v>
      </c>
      <c r="B19" s="157"/>
      <c r="C19" s="165"/>
      <c r="D19" s="11">
        <f t="shared" ref="D19:I19" si="10">SUM(D18:D18)</f>
        <v>0</v>
      </c>
      <c r="E19" s="11">
        <f>SUM(E18:E18)</f>
        <v>8443</v>
      </c>
      <c r="F19" s="11">
        <f>SUM(F18:F18)</f>
        <v>8443</v>
      </c>
      <c r="G19" s="11">
        <f t="shared" si="10"/>
        <v>27770</v>
      </c>
      <c r="H19" s="11">
        <f t="shared" ref="H19" si="11">SUM(H18:H18)</f>
        <v>27770</v>
      </c>
      <c r="I19" s="11">
        <f t="shared" si="10"/>
        <v>0</v>
      </c>
      <c r="J19" s="11">
        <f t="shared" ref="J19" si="12">SUM(J18:J18)</f>
        <v>0</v>
      </c>
      <c r="K19" s="12">
        <f>SUM(K18:K18)</f>
        <v>36213</v>
      </c>
      <c r="L19" s="150">
        <f>F19+H19+J19</f>
        <v>36213</v>
      </c>
    </row>
    <row r="20" spans="1:13" s="146" customFormat="1" ht="25.5" customHeight="1" thickBot="1" x14ac:dyDescent="0.3">
      <c r="A20" s="14" t="s">
        <v>71</v>
      </c>
      <c r="B20" s="158"/>
      <c r="C20" s="166"/>
      <c r="D20" s="15">
        <f t="shared" ref="D20" si="13">D10+D16+D19</f>
        <v>9117.9084500000008</v>
      </c>
      <c r="E20" s="15">
        <f>E10+E16+E19</f>
        <v>236877.39</v>
      </c>
      <c r="F20" s="15">
        <f t="shared" ref="F20:J20" si="14">F10+F16+F19</f>
        <v>236877.39</v>
      </c>
      <c r="G20" s="15">
        <f t="shared" si="14"/>
        <v>108715</v>
      </c>
      <c r="H20" s="15">
        <f t="shared" si="14"/>
        <v>108715</v>
      </c>
      <c r="I20" s="15">
        <f t="shared" si="14"/>
        <v>0</v>
      </c>
      <c r="J20" s="15">
        <f t="shared" si="14"/>
        <v>0</v>
      </c>
      <c r="K20" s="16">
        <f>K10+K16+K19</f>
        <v>354710.29845</v>
      </c>
      <c r="L20" s="16">
        <f t="shared" ref="L20" si="15">L10+L16+L19</f>
        <v>354710.29845</v>
      </c>
    </row>
    <row r="21" spans="1:13" s="146" customFormat="1" ht="12" customHeight="1" thickBot="1" x14ac:dyDescent="0.3">
      <c r="A21" s="17"/>
      <c r="B21" s="159"/>
      <c r="C21" s="167"/>
      <c r="D21" s="94"/>
      <c r="E21" s="94"/>
      <c r="F21" s="94"/>
      <c r="G21" s="94"/>
      <c r="H21" s="94"/>
      <c r="I21" s="94"/>
      <c r="J21" s="94"/>
      <c r="K21" s="95"/>
      <c r="L21" s="95"/>
    </row>
    <row r="22" spans="1:13" s="146" customFormat="1" ht="21" hidden="1" customHeight="1" x14ac:dyDescent="0.25">
      <c r="A22" s="301" t="s">
        <v>72</v>
      </c>
      <c r="B22" s="356"/>
      <c r="C22" s="356"/>
      <c r="D22" s="341"/>
      <c r="E22" s="341"/>
      <c r="F22" s="357"/>
      <c r="G22" s="357"/>
      <c r="H22" s="357"/>
      <c r="I22" s="342"/>
      <c r="J22" s="342"/>
      <c r="K22" s="343"/>
      <c r="L22" s="215"/>
    </row>
    <row r="23" spans="1:13" s="147" customFormat="1" ht="18" hidden="1" customHeight="1" x14ac:dyDescent="0.25">
      <c r="A23" s="335" t="s">
        <v>48</v>
      </c>
      <c r="B23" s="354"/>
      <c r="C23" s="354"/>
      <c r="D23" s="336"/>
      <c r="E23" s="336"/>
      <c r="F23" s="336"/>
      <c r="G23" s="336"/>
      <c r="H23" s="336"/>
      <c r="I23" s="336"/>
      <c r="J23" s="336"/>
      <c r="K23" s="337"/>
      <c r="L23" s="214"/>
      <c r="M23" s="169"/>
    </row>
    <row r="24" spans="1:13" s="151" customFormat="1" ht="24" hidden="1" customHeight="1" x14ac:dyDescent="0.25">
      <c r="A24" s="148"/>
      <c r="B24" s="156"/>
      <c r="C24" s="164"/>
      <c r="D24" s="149"/>
      <c r="E24" s="149"/>
      <c r="F24" s="149"/>
      <c r="G24" s="149"/>
      <c r="H24" s="182"/>
      <c r="I24" s="182"/>
      <c r="J24" s="182"/>
      <c r="K24" s="150">
        <f>D24+E24+G24+I24</f>
        <v>0</v>
      </c>
      <c r="L24" s="150">
        <f>E24+F24+H24+J24</f>
        <v>0</v>
      </c>
    </row>
    <row r="25" spans="1:13" s="146" customFormat="1" ht="15" hidden="1" customHeight="1" x14ac:dyDescent="0.25">
      <c r="A25" s="10" t="s">
        <v>53</v>
      </c>
      <c r="B25" s="157"/>
      <c r="C25" s="165"/>
      <c r="D25" s="11">
        <f>SUM(D24:D24)</f>
        <v>0</v>
      </c>
      <c r="E25" s="11">
        <f>SUM(E24:E24)</f>
        <v>0</v>
      </c>
      <c r="F25" s="11"/>
      <c r="G25" s="11">
        <f t="shared" ref="G25:I25" si="16">SUM(G24:G24)</f>
        <v>0</v>
      </c>
      <c r="H25" s="11"/>
      <c r="I25" s="11">
        <f t="shared" si="16"/>
        <v>0</v>
      </c>
      <c r="J25" s="202"/>
      <c r="K25" s="12">
        <f>SUM(K24:K24)</f>
        <v>0</v>
      </c>
      <c r="L25" s="12">
        <f>SUM(L24:L24)</f>
        <v>0</v>
      </c>
    </row>
    <row r="26" spans="1:13" s="146" customFormat="1" ht="36" hidden="1" customHeight="1" x14ac:dyDescent="0.25">
      <c r="A26" s="14" t="s">
        <v>79</v>
      </c>
      <c r="B26" s="158"/>
      <c r="C26" s="166"/>
      <c r="D26" s="15">
        <f>D25</f>
        <v>0</v>
      </c>
      <c r="E26" s="15">
        <f>E25</f>
        <v>0</v>
      </c>
      <c r="F26" s="15"/>
      <c r="G26" s="15">
        <f t="shared" ref="G26:I26" si="17">G25</f>
        <v>0</v>
      </c>
      <c r="H26" s="15"/>
      <c r="I26" s="15">
        <f t="shared" si="17"/>
        <v>0</v>
      </c>
      <c r="J26" s="203"/>
      <c r="K26" s="196">
        <f>K25</f>
        <v>0</v>
      </c>
      <c r="L26" s="196">
        <f>L25</f>
        <v>0</v>
      </c>
      <c r="M26" s="188"/>
    </row>
    <row r="27" spans="1:13" s="146" customFormat="1" ht="12" hidden="1" customHeight="1" x14ac:dyDescent="0.25">
      <c r="A27" s="17"/>
      <c r="B27" s="159"/>
      <c r="C27" s="167"/>
      <c r="D27" s="94"/>
      <c r="E27" s="94"/>
      <c r="F27" s="94"/>
      <c r="G27" s="94"/>
      <c r="H27" s="94"/>
      <c r="I27" s="94"/>
      <c r="J27" s="94"/>
      <c r="K27" s="95"/>
      <c r="L27" s="95"/>
    </row>
    <row r="28" spans="1:13" s="146" customFormat="1" ht="21" customHeight="1" x14ac:dyDescent="0.25">
      <c r="A28" s="301" t="s">
        <v>15</v>
      </c>
      <c r="B28" s="356"/>
      <c r="C28" s="356"/>
      <c r="D28" s="341"/>
      <c r="E28" s="341"/>
      <c r="F28" s="341"/>
      <c r="G28" s="341"/>
      <c r="H28" s="357"/>
      <c r="I28" s="358"/>
      <c r="J28" s="358"/>
      <c r="K28" s="345"/>
      <c r="L28" s="150"/>
    </row>
    <row r="29" spans="1:13" s="147" customFormat="1" ht="18" customHeight="1" x14ac:dyDescent="0.25">
      <c r="A29" s="338" t="s">
        <v>16</v>
      </c>
      <c r="B29" s="355"/>
      <c r="C29" s="355"/>
      <c r="D29" s="339"/>
      <c r="E29" s="339"/>
      <c r="F29" s="339"/>
      <c r="G29" s="339"/>
      <c r="H29" s="339"/>
      <c r="I29" s="339"/>
      <c r="J29" s="339"/>
      <c r="K29" s="340"/>
      <c r="L29" s="214"/>
    </row>
    <row r="30" spans="1:13" s="151" customFormat="1" ht="24" customHeight="1" x14ac:dyDescent="0.25">
      <c r="A30" s="148" t="s">
        <v>162</v>
      </c>
      <c r="B30" s="156" t="s">
        <v>189</v>
      </c>
      <c r="C30" s="164" t="s">
        <v>245</v>
      </c>
      <c r="D30" s="20">
        <v>0</v>
      </c>
      <c r="E30" s="172">
        <v>40000</v>
      </c>
      <c r="F30" s="172">
        <v>40000</v>
      </c>
      <c r="G30" s="172">
        <v>52000</v>
      </c>
      <c r="H30" s="172">
        <v>52000</v>
      </c>
      <c r="I30" s="20">
        <v>0</v>
      </c>
      <c r="J30" s="20">
        <v>0</v>
      </c>
      <c r="K30" s="150">
        <f>D30+E30+G30+I30</f>
        <v>92000</v>
      </c>
      <c r="L30" s="150">
        <f>D30+F30+H30+J30</f>
        <v>92000</v>
      </c>
    </row>
    <row r="31" spans="1:13" s="151" customFormat="1" ht="24" customHeight="1" x14ac:dyDescent="0.25">
      <c r="A31" s="148" t="s">
        <v>165</v>
      </c>
      <c r="B31" s="156" t="s">
        <v>191</v>
      </c>
      <c r="C31" s="164" t="s">
        <v>245</v>
      </c>
      <c r="D31" s="20">
        <v>0</v>
      </c>
      <c r="E31" s="172">
        <v>60000</v>
      </c>
      <c r="F31" s="172">
        <v>60000</v>
      </c>
      <c r="G31" s="172">
        <v>0</v>
      </c>
      <c r="H31" s="172">
        <v>0</v>
      </c>
      <c r="I31" s="20">
        <v>0</v>
      </c>
      <c r="J31" s="20">
        <v>0</v>
      </c>
      <c r="K31" s="150">
        <f>D31+E31+G31+I31</f>
        <v>60000</v>
      </c>
      <c r="L31" s="150">
        <f t="shared" ref="L31:L33" si="18">D31+F31+H31+J31</f>
        <v>60000</v>
      </c>
    </row>
    <row r="32" spans="1:13" s="151" customFormat="1" ht="15" customHeight="1" x14ac:dyDescent="0.25">
      <c r="A32" s="148" t="s">
        <v>180</v>
      </c>
      <c r="B32" s="156" t="s">
        <v>192</v>
      </c>
      <c r="C32" s="164" t="s">
        <v>247</v>
      </c>
      <c r="D32" s="20">
        <v>0</v>
      </c>
      <c r="E32" s="172">
        <v>300</v>
      </c>
      <c r="F32" s="172">
        <v>300</v>
      </c>
      <c r="G32" s="20">
        <v>75000</v>
      </c>
      <c r="H32" s="20">
        <v>75000</v>
      </c>
      <c r="I32" s="20">
        <v>15000</v>
      </c>
      <c r="J32" s="20">
        <v>15000</v>
      </c>
      <c r="K32" s="150">
        <f>D32+E32+G32+I32</f>
        <v>90300</v>
      </c>
      <c r="L32" s="150">
        <f t="shared" si="18"/>
        <v>90300</v>
      </c>
    </row>
    <row r="33" spans="1:15" s="151" customFormat="1" ht="15" customHeight="1" x14ac:dyDescent="0.25">
      <c r="A33" s="201" t="s">
        <v>17</v>
      </c>
      <c r="B33" s="156" t="s">
        <v>193</v>
      </c>
      <c r="C33" s="164" t="s">
        <v>247</v>
      </c>
      <c r="D33" s="20">
        <v>0</v>
      </c>
      <c r="E33" s="172">
        <f>30807-29500</f>
        <v>1307</v>
      </c>
      <c r="F33" s="172">
        <f>30807-29500</f>
        <v>1307</v>
      </c>
      <c r="G33" s="20">
        <f>277178+30993-52000</f>
        <v>256171</v>
      </c>
      <c r="H33" s="20">
        <f>277178+30993-52000</f>
        <v>256171</v>
      </c>
      <c r="I33" s="20">
        <v>0</v>
      </c>
      <c r="J33" s="20">
        <v>0</v>
      </c>
      <c r="K33" s="150">
        <f>D33+E33+G33+I33</f>
        <v>257478</v>
      </c>
      <c r="L33" s="150">
        <f t="shared" si="18"/>
        <v>257478</v>
      </c>
      <c r="M33" s="179"/>
    </row>
    <row r="34" spans="1:15" s="151" customFormat="1" ht="24" customHeight="1" x14ac:dyDescent="0.25">
      <c r="A34" s="201" t="s">
        <v>92</v>
      </c>
      <c r="B34" s="156" t="s">
        <v>194</v>
      </c>
      <c r="C34" s="164" t="s">
        <v>247</v>
      </c>
      <c r="D34" s="20">
        <v>0</v>
      </c>
      <c r="E34" s="172">
        <v>31298</v>
      </c>
      <c r="F34" s="172">
        <v>31298</v>
      </c>
      <c r="G34" s="20">
        <v>29000</v>
      </c>
      <c r="H34" s="20">
        <v>29000</v>
      </c>
      <c r="I34" s="20">
        <v>2702</v>
      </c>
      <c r="J34" s="20">
        <v>2702</v>
      </c>
      <c r="K34" s="150">
        <f>D34+E34+G34+I34</f>
        <v>63000</v>
      </c>
      <c r="L34" s="150">
        <f>D34+F34+H34+J34</f>
        <v>63000</v>
      </c>
    </row>
    <row r="35" spans="1:15" s="146" customFormat="1" ht="15" customHeight="1" x14ac:dyDescent="0.25">
      <c r="A35" s="10" t="s">
        <v>19</v>
      </c>
      <c r="B35" s="157"/>
      <c r="C35" s="165"/>
      <c r="D35" s="11">
        <f>SUM(D30:D34)</f>
        <v>0</v>
      </c>
      <c r="E35" s="11">
        <f>SUM(E30:E34)</f>
        <v>132905</v>
      </c>
      <c r="F35" s="11">
        <f>SUM(F30:F34)</f>
        <v>132905</v>
      </c>
      <c r="G35" s="11">
        <f>SUM(G30:G34)</f>
        <v>412171</v>
      </c>
      <c r="H35" s="11">
        <f t="shared" ref="H35:J35" si="19">SUM(H30:H34)</f>
        <v>412171</v>
      </c>
      <c r="I35" s="11">
        <f t="shared" si="19"/>
        <v>17702</v>
      </c>
      <c r="J35" s="11">
        <f t="shared" si="19"/>
        <v>17702</v>
      </c>
      <c r="K35" s="12">
        <f>SUM(K30:K34)</f>
        <v>562778</v>
      </c>
      <c r="L35" s="12">
        <f>SUM(L30:L34)</f>
        <v>562778</v>
      </c>
      <c r="M35" s="188"/>
      <c r="N35" s="188"/>
      <c r="O35" s="188"/>
    </row>
    <row r="36" spans="1:15" s="147" customFormat="1" ht="18" customHeight="1" x14ac:dyDescent="0.25">
      <c r="A36" s="332" t="s">
        <v>20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4"/>
      <c r="L36" s="214"/>
      <c r="M36" s="169"/>
    </row>
    <row r="37" spans="1:15" s="151" customFormat="1" ht="24" customHeight="1" x14ac:dyDescent="0.25">
      <c r="A37" s="21" t="s">
        <v>24</v>
      </c>
      <c r="B37" s="160" t="s">
        <v>195</v>
      </c>
      <c r="C37" s="164" t="s">
        <v>247</v>
      </c>
      <c r="D37" s="20">
        <v>375.1</v>
      </c>
      <c r="E37" s="172">
        <v>5000</v>
      </c>
      <c r="F37" s="204">
        <f>5000-5000</f>
        <v>0</v>
      </c>
      <c r="G37" s="20">
        <v>55000</v>
      </c>
      <c r="H37" s="204">
        <f>55000+5000</f>
        <v>60000</v>
      </c>
      <c r="I37" s="172">
        <v>39557</v>
      </c>
      <c r="J37" s="172">
        <v>39557</v>
      </c>
      <c r="K37" s="150">
        <f>D37+E37+G37+I37</f>
        <v>99932.1</v>
      </c>
      <c r="L37" s="150">
        <f>D37+F37+H37+J37</f>
        <v>99932.1</v>
      </c>
    </row>
    <row r="38" spans="1:15" s="151" customFormat="1" ht="24" customHeight="1" x14ac:dyDescent="0.25">
      <c r="A38" s="21" t="s">
        <v>23</v>
      </c>
      <c r="B38" s="160" t="s">
        <v>196</v>
      </c>
      <c r="C38" s="164" t="s">
        <v>247</v>
      </c>
      <c r="D38" s="20">
        <v>615</v>
      </c>
      <c r="E38" s="172">
        <v>40400</v>
      </c>
      <c r="F38" s="204">
        <f>40400-40300</f>
        <v>100</v>
      </c>
      <c r="G38" s="20">
        <v>10000</v>
      </c>
      <c r="H38" s="204">
        <f>10000+40300</f>
        <v>50300</v>
      </c>
      <c r="I38" s="172">
        <v>0</v>
      </c>
      <c r="J38" s="172">
        <v>0</v>
      </c>
      <c r="K38" s="150">
        <f>D38+E38+G38+I38</f>
        <v>51015</v>
      </c>
      <c r="L38" s="150">
        <f>D38+F38+H38+J38</f>
        <v>51015</v>
      </c>
    </row>
    <row r="39" spans="1:15" s="146" customFormat="1" ht="15" customHeight="1" x14ac:dyDescent="0.25">
      <c r="A39" s="10" t="s">
        <v>27</v>
      </c>
      <c r="B39" s="157"/>
      <c r="C39" s="165"/>
      <c r="D39" s="11">
        <f t="shared" ref="D39:J39" si="20">SUM(D37:D38)</f>
        <v>990.1</v>
      </c>
      <c r="E39" s="11">
        <f t="shared" si="20"/>
        <v>45400</v>
      </c>
      <c r="F39" s="11">
        <f t="shared" si="20"/>
        <v>100</v>
      </c>
      <c r="G39" s="11">
        <f t="shared" si="20"/>
        <v>65000</v>
      </c>
      <c r="H39" s="11">
        <f t="shared" si="20"/>
        <v>110300</v>
      </c>
      <c r="I39" s="11">
        <f t="shared" si="20"/>
        <v>39557</v>
      </c>
      <c r="J39" s="11">
        <f t="shared" si="20"/>
        <v>39557</v>
      </c>
      <c r="K39" s="12">
        <f>SUM(K37:K38)</f>
        <v>150947.1</v>
      </c>
      <c r="L39" s="12">
        <f>SUM(L37:L38)</f>
        <v>150947.1</v>
      </c>
      <c r="M39" s="188"/>
      <c r="N39" s="188"/>
    </row>
    <row r="40" spans="1:15" s="147" customFormat="1" ht="18" customHeight="1" x14ac:dyDescent="0.25">
      <c r="A40" s="335" t="s">
        <v>6</v>
      </c>
      <c r="B40" s="354"/>
      <c r="C40" s="354"/>
      <c r="D40" s="336"/>
      <c r="E40" s="336"/>
      <c r="F40" s="336"/>
      <c r="G40" s="336"/>
      <c r="H40" s="336"/>
      <c r="I40" s="336"/>
      <c r="J40" s="336"/>
      <c r="K40" s="337"/>
      <c r="L40" s="214"/>
    </row>
    <row r="41" spans="1:15" s="151" customFormat="1" ht="24" customHeight="1" x14ac:dyDescent="0.25">
      <c r="A41" s="148" t="s">
        <v>110</v>
      </c>
      <c r="B41" s="156" t="s">
        <v>198</v>
      </c>
      <c r="C41" s="164" t="s">
        <v>247</v>
      </c>
      <c r="D41" s="20">
        <v>11814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172">
        <v>0</v>
      </c>
      <c r="K41" s="150">
        <f t="shared" ref="K41:K46" si="21">D41+E41+G41+I41</f>
        <v>11814</v>
      </c>
      <c r="L41" s="150">
        <f>D41+F41+H41+J41</f>
        <v>11814</v>
      </c>
    </row>
    <row r="42" spans="1:15" s="151" customFormat="1" ht="24" customHeight="1" x14ac:dyDescent="0.25">
      <c r="A42" s="23" t="s">
        <v>111</v>
      </c>
      <c r="B42" s="161" t="s">
        <v>199</v>
      </c>
      <c r="C42" s="164" t="s">
        <v>247</v>
      </c>
      <c r="D42" s="20">
        <v>6329.88</v>
      </c>
      <c r="E42" s="172">
        <v>0</v>
      </c>
      <c r="F42" s="172">
        <v>0</v>
      </c>
      <c r="G42" s="172">
        <v>0</v>
      </c>
      <c r="H42" s="172">
        <v>0</v>
      </c>
      <c r="I42" s="172">
        <v>0</v>
      </c>
      <c r="J42" s="172">
        <v>0</v>
      </c>
      <c r="K42" s="150">
        <f t="shared" si="21"/>
        <v>6329.88</v>
      </c>
      <c r="L42" s="150">
        <f t="shared" ref="L42:L46" si="22">D42+F42+H42+J42</f>
        <v>6329.88</v>
      </c>
    </row>
    <row r="43" spans="1:15" s="151" customFormat="1" ht="24" customHeight="1" x14ac:dyDescent="0.25">
      <c r="A43" s="23" t="s">
        <v>113</v>
      </c>
      <c r="B43" s="161" t="s">
        <v>200</v>
      </c>
      <c r="C43" s="164" t="s">
        <v>247</v>
      </c>
      <c r="D43" s="20">
        <v>12143.58</v>
      </c>
      <c r="E43" s="172">
        <v>1042.1199999999999</v>
      </c>
      <c r="F43" s="172">
        <v>1042.1199999999999</v>
      </c>
      <c r="G43" s="172">
        <v>0</v>
      </c>
      <c r="H43" s="172">
        <v>0</v>
      </c>
      <c r="I43" s="172">
        <v>0</v>
      </c>
      <c r="J43" s="172">
        <v>0</v>
      </c>
      <c r="K43" s="150">
        <f t="shared" si="21"/>
        <v>13185.7</v>
      </c>
      <c r="L43" s="150">
        <f t="shared" si="22"/>
        <v>13185.7</v>
      </c>
    </row>
    <row r="44" spans="1:15" s="151" customFormat="1" ht="24" customHeight="1" x14ac:dyDescent="0.25">
      <c r="A44" s="23" t="s">
        <v>31</v>
      </c>
      <c r="B44" s="161" t="s">
        <v>201</v>
      </c>
      <c r="C44" s="164" t="s">
        <v>247</v>
      </c>
      <c r="D44" s="20">
        <v>10650</v>
      </c>
      <c r="E44" s="172">
        <f>5700-2850</f>
        <v>2850</v>
      </c>
      <c r="F44" s="172">
        <f>5700-2850</f>
        <v>2850</v>
      </c>
      <c r="G44" s="172">
        <v>0</v>
      </c>
      <c r="H44" s="172">
        <v>0</v>
      </c>
      <c r="I44" s="172">
        <v>0</v>
      </c>
      <c r="J44" s="172">
        <v>0</v>
      </c>
      <c r="K44" s="150">
        <f t="shared" si="21"/>
        <v>13500</v>
      </c>
      <c r="L44" s="150">
        <f t="shared" si="22"/>
        <v>13500</v>
      </c>
    </row>
    <row r="45" spans="1:15" s="151" customFormat="1" ht="24" customHeight="1" x14ac:dyDescent="0.25">
      <c r="A45" s="148" t="s">
        <v>29</v>
      </c>
      <c r="B45" s="156" t="s">
        <v>202</v>
      </c>
      <c r="C45" s="164" t="s">
        <v>239</v>
      </c>
      <c r="D45" s="20">
        <v>0</v>
      </c>
      <c r="E45" s="172">
        <v>29386</v>
      </c>
      <c r="F45" s="172">
        <v>29386</v>
      </c>
      <c r="G45" s="172">
        <v>88106</v>
      </c>
      <c r="H45" s="172">
        <v>88106</v>
      </c>
      <c r="I45" s="172">
        <v>0</v>
      </c>
      <c r="J45" s="172">
        <v>0</v>
      </c>
      <c r="K45" s="150">
        <f t="shared" si="21"/>
        <v>117492</v>
      </c>
      <c r="L45" s="150">
        <f t="shared" si="22"/>
        <v>117492</v>
      </c>
    </row>
    <row r="46" spans="1:15" s="151" customFormat="1" ht="15" customHeight="1" x14ac:dyDescent="0.25">
      <c r="A46" s="23" t="s">
        <v>30</v>
      </c>
      <c r="B46" s="161" t="s">
        <v>203</v>
      </c>
      <c r="C46" s="168" t="s">
        <v>239</v>
      </c>
      <c r="D46" s="20">
        <v>1446.18</v>
      </c>
      <c r="E46" s="172">
        <v>88514.85</v>
      </c>
      <c r="F46" s="172">
        <v>88514.85</v>
      </c>
      <c r="G46" s="172">
        <v>205039</v>
      </c>
      <c r="H46" s="172">
        <v>205039</v>
      </c>
      <c r="I46" s="172">
        <v>0</v>
      </c>
      <c r="J46" s="172">
        <v>0</v>
      </c>
      <c r="K46" s="150">
        <f t="shared" si="21"/>
        <v>295000.03000000003</v>
      </c>
      <c r="L46" s="150">
        <f t="shared" si="22"/>
        <v>295000.03000000003</v>
      </c>
    </row>
    <row r="47" spans="1:15" s="146" customFormat="1" ht="15" customHeight="1" x14ac:dyDescent="0.25">
      <c r="A47" s="10" t="s">
        <v>9</v>
      </c>
      <c r="B47" s="157"/>
      <c r="C47" s="165"/>
      <c r="D47" s="11">
        <f>SUM(D41:D46)</f>
        <v>42383.64</v>
      </c>
      <c r="E47" s="11">
        <f>SUM(E41:E46)</f>
        <v>121792.97</v>
      </c>
      <c r="F47" s="11">
        <f>SUM(F41:F46)</f>
        <v>121792.97</v>
      </c>
      <c r="G47" s="11">
        <f>SUM(G41:G46)</f>
        <v>293145</v>
      </c>
      <c r="H47" s="11">
        <f>SUM(H41:H46)</f>
        <v>293145</v>
      </c>
      <c r="I47" s="11">
        <f t="shared" ref="I47:J47" si="23">SUM(I41:I46)</f>
        <v>0</v>
      </c>
      <c r="J47" s="11">
        <f t="shared" si="23"/>
        <v>0</v>
      </c>
      <c r="K47" s="12">
        <f>SUM(K41:K46)</f>
        <v>457321.61000000004</v>
      </c>
      <c r="L47" s="12">
        <f>SUM(L41:L46)</f>
        <v>457321.61000000004</v>
      </c>
    </row>
    <row r="48" spans="1:15" s="147" customFormat="1" ht="18" customHeight="1" x14ac:dyDescent="0.25">
      <c r="A48" s="335" t="s">
        <v>32</v>
      </c>
      <c r="B48" s="354"/>
      <c r="C48" s="354"/>
      <c r="D48" s="336"/>
      <c r="E48" s="336"/>
      <c r="F48" s="336"/>
      <c r="G48" s="336"/>
      <c r="H48" s="336"/>
      <c r="I48" s="336"/>
      <c r="J48" s="336"/>
      <c r="K48" s="337"/>
      <c r="L48" s="214"/>
    </row>
    <row r="49" spans="1:14" s="147" customFormat="1" ht="24" customHeight="1" x14ac:dyDescent="0.25">
      <c r="A49" s="148" t="s">
        <v>33</v>
      </c>
      <c r="B49" s="156" t="s">
        <v>204</v>
      </c>
      <c r="C49" s="164" t="s">
        <v>247</v>
      </c>
      <c r="D49" s="20">
        <v>95.59</v>
      </c>
      <c r="E49" s="172">
        <v>44904.41</v>
      </c>
      <c r="F49" s="172">
        <v>44904.41</v>
      </c>
      <c r="G49" s="172">
        <v>0</v>
      </c>
      <c r="H49" s="172">
        <v>0</v>
      </c>
      <c r="I49" s="172">
        <v>0</v>
      </c>
      <c r="J49" s="172">
        <v>0</v>
      </c>
      <c r="K49" s="150">
        <f t="shared" ref="K49:K73" si="24">D49+E49+G49+I49</f>
        <v>45000</v>
      </c>
      <c r="L49" s="150">
        <f>D49+F49+H49+J49</f>
        <v>45000</v>
      </c>
    </row>
    <row r="50" spans="1:14" s="147" customFormat="1" ht="24" customHeight="1" x14ac:dyDescent="0.25">
      <c r="A50" s="23" t="s">
        <v>39</v>
      </c>
      <c r="B50" s="161" t="s">
        <v>205</v>
      </c>
      <c r="C50" s="164" t="s">
        <v>247</v>
      </c>
      <c r="D50" s="20">
        <v>50386.47</v>
      </c>
      <c r="E50" s="172">
        <v>3269.53</v>
      </c>
      <c r="F50" s="172">
        <v>3269.53</v>
      </c>
      <c r="G50" s="172">
        <v>0</v>
      </c>
      <c r="H50" s="172">
        <v>0</v>
      </c>
      <c r="I50" s="172">
        <v>0</v>
      </c>
      <c r="J50" s="172">
        <v>0</v>
      </c>
      <c r="K50" s="150">
        <f t="shared" si="24"/>
        <v>53656</v>
      </c>
      <c r="L50" s="150">
        <f t="shared" ref="L50:L73" si="25">D50+F50+H50+J50</f>
        <v>53656</v>
      </c>
    </row>
    <row r="51" spans="1:14" s="147" customFormat="1" ht="24" customHeight="1" x14ac:dyDescent="0.25">
      <c r="A51" s="23" t="s">
        <v>43</v>
      </c>
      <c r="B51" s="161" t="s">
        <v>206</v>
      </c>
      <c r="C51" s="164" t="s">
        <v>247</v>
      </c>
      <c r="D51" s="20">
        <v>30678.01</v>
      </c>
      <c r="E51" s="172">
        <v>0</v>
      </c>
      <c r="F51" s="172">
        <v>0</v>
      </c>
      <c r="G51" s="172">
        <v>0</v>
      </c>
      <c r="H51" s="172">
        <v>0</v>
      </c>
      <c r="I51" s="172">
        <v>0</v>
      </c>
      <c r="J51" s="172">
        <v>0</v>
      </c>
      <c r="K51" s="150">
        <f t="shared" si="24"/>
        <v>30678.01</v>
      </c>
      <c r="L51" s="150">
        <f t="shared" si="25"/>
        <v>30678.01</v>
      </c>
    </row>
    <row r="52" spans="1:14" s="147" customFormat="1" ht="24" customHeight="1" x14ac:dyDescent="0.25">
      <c r="A52" s="148" t="s">
        <v>44</v>
      </c>
      <c r="B52" s="156" t="s">
        <v>207</v>
      </c>
      <c r="C52" s="164" t="s">
        <v>247</v>
      </c>
      <c r="D52" s="20">
        <v>40000</v>
      </c>
      <c r="E52" s="172">
        <v>0</v>
      </c>
      <c r="F52" s="172">
        <v>0</v>
      </c>
      <c r="G52" s="172">
        <v>0</v>
      </c>
      <c r="H52" s="172">
        <v>0</v>
      </c>
      <c r="I52" s="172">
        <v>0</v>
      </c>
      <c r="J52" s="172">
        <v>0</v>
      </c>
      <c r="K52" s="150">
        <f t="shared" si="24"/>
        <v>40000</v>
      </c>
      <c r="L52" s="150">
        <f t="shared" si="25"/>
        <v>40000</v>
      </c>
    </row>
    <row r="53" spans="1:14" s="147" customFormat="1" ht="24" customHeight="1" x14ac:dyDescent="0.25">
      <c r="A53" s="148" t="s">
        <v>208</v>
      </c>
      <c r="B53" s="156" t="s">
        <v>209</v>
      </c>
      <c r="C53" s="164" t="s">
        <v>247</v>
      </c>
      <c r="D53" s="20">
        <v>6200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50">
        <f t="shared" si="24"/>
        <v>6200</v>
      </c>
      <c r="L53" s="150">
        <f t="shared" si="25"/>
        <v>6200</v>
      </c>
    </row>
    <row r="54" spans="1:14" s="147" customFormat="1" ht="24" customHeight="1" x14ac:dyDescent="0.25">
      <c r="A54" s="23" t="s">
        <v>89</v>
      </c>
      <c r="B54" s="161" t="s">
        <v>210</v>
      </c>
      <c r="C54" s="164" t="s">
        <v>247</v>
      </c>
      <c r="D54" s="20">
        <v>7025.05</v>
      </c>
      <c r="E54" s="172">
        <v>2094.9499999999998</v>
      </c>
      <c r="F54" s="172">
        <v>2094.9499999999998</v>
      </c>
      <c r="G54" s="172">
        <v>0</v>
      </c>
      <c r="H54" s="172">
        <v>0</v>
      </c>
      <c r="I54" s="172">
        <v>0</v>
      </c>
      <c r="J54" s="172">
        <v>0</v>
      </c>
      <c r="K54" s="150">
        <f t="shared" si="24"/>
        <v>9120</v>
      </c>
      <c r="L54" s="150">
        <f t="shared" si="25"/>
        <v>9120</v>
      </c>
    </row>
    <row r="55" spans="1:14" s="147" customFormat="1" ht="24" customHeight="1" x14ac:dyDescent="0.25">
      <c r="A55" s="148" t="s">
        <v>131</v>
      </c>
      <c r="B55" s="156" t="s">
        <v>211</v>
      </c>
      <c r="C55" s="164" t="s">
        <v>247</v>
      </c>
      <c r="D55" s="20">
        <v>7949.67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50">
        <f t="shared" si="24"/>
        <v>7949.67</v>
      </c>
      <c r="L55" s="150">
        <f t="shared" si="25"/>
        <v>7949.67</v>
      </c>
    </row>
    <row r="56" spans="1:14" s="147" customFormat="1" ht="24" customHeight="1" x14ac:dyDescent="0.25">
      <c r="A56" s="148" t="s">
        <v>172</v>
      </c>
      <c r="B56" s="156" t="s">
        <v>212</v>
      </c>
      <c r="C56" s="164" t="s">
        <v>247</v>
      </c>
      <c r="D56" s="20">
        <v>0</v>
      </c>
      <c r="E56" s="172">
        <v>15000</v>
      </c>
      <c r="F56" s="172">
        <v>15000</v>
      </c>
      <c r="G56" s="172">
        <v>0</v>
      </c>
      <c r="H56" s="172">
        <v>0</v>
      </c>
      <c r="I56" s="172">
        <v>0</v>
      </c>
      <c r="J56" s="172">
        <v>0</v>
      </c>
      <c r="K56" s="150">
        <f t="shared" si="24"/>
        <v>15000</v>
      </c>
      <c r="L56" s="150">
        <f t="shared" si="25"/>
        <v>15000</v>
      </c>
    </row>
    <row r="57" spans="1:14" s="147" customFormat="1" ht="24" customHeight="1" x14ac:dyDescent="0.25">
      <c r="A57" s="148" t="s">
        <v>34</v>
      </c>
      <c r="B57" s="195" t="s">
        <v>213</v>
      </c>
      <c r="C57" s="164" t="s">
        <v>247</v>
      </c>
      <c r="D57" s="20">
        <v>0</v>
      </c>
      <c r="E57" s="172">
        <f>500+213</f>
        <v>713</v>
      </c>
      <c r="F57" s="172">
        <f>500+213</f>
        <v>713</v>
      </c>
      <c r="G57" s="172">
        <v>0</v>
      </c>
      <c r="H57" s="172">
        <v>0</v>
      </c>
      <c r="I57" s="172">
        <v>0</v>
      </c>
      <c r="J57" s="172">
        <v>0</v>
      </c>
      <c r="K57" s="150">
        <f t="shared" si="24"/>
        <v>713</v>
      </c>
      <c r="L57" s="150">
        <f t="shared" si="25"/>
        <v>713</v>
      </c>
    </row>
    <row r="58" spans="1:14" s="147" customFormat="1" ht="24" customHeight="1" x14ac:dyDescent="0.25">
      <c r="A58" s="148" t="s">
        <v>42</v>
      </c>
      <c r="B58" s="156" t="s">
        <v>214</v>
      </c>
      <c r="C58" s="164" t="s">
        <v>247</v>
      </c>
      <c r="D58" s="20">
        <v>43980.06</v>
      </c>
      <c r="E58" s="20">
        <v>13719.93</v>
      </c>
      <c r="F58" s="20">
        <v>13719.93</v>
      </c>
      <c r="G58" s="172">
        <v>0</v>
      </c>
      <c r="H58" s="172">
        <v>0</v>
      </c>
      <c r="I58" s="172">
        <v>0</v>
      </c>
      <c r="J58" s="172">
        <v>0</v>
      </c>
      <c r="K58" s="150">
        <f t="shared" si="24"/>
        <v>57699.99</v>
      </c>
      <c r="L58" s="150">
        <f t="shared" si="25"/>
        <v>57699.99</v>
      </c>
    </row>
    <row r="59" spans="1:14" s="147" customFormat="1" ht="24" customHeight="1" x14ac:dyDescent="0.25">
      <c r="A59" s="148" t="s">
        <v>45</v>
      </c>
      <c r="B59" s="161" t="s">
        <v>215</v>
      </c>
      <c r="C59" s="164" t="s">
        <v>247</v>
      </c>
      <c r="D59" s="20">
        <v>500</v>
      </c>
      <c r="E59" s="20">
        <v>900</v>
      </c>
      <c r="F59" s="20">
        <v>900</v>
      </c>
      <c r="G59" s="172">
        <v>60000</v>
      </c>
      <c r="H59" s="172">
        <v>60000</v>
      </c>
      <c r="I59" s="172">
        <v>11950.5</v>
      </c>
      <c r="J59" s="172">
        <v>11950.5</v>
      </c>
      <c r="K59" s="150">
        <f t="shared" si="24"/>
        <v>73350.5</v>
      </c>
      <c r="L59" s="150">
        <f t="shared" si="25"/>
        <v>73350.5</v>
      </c>
    </row>
    <row r="60" spans="1:14" s="147" customFormat="1" ht="33.950000000000003" customHeight="1" x14ac:dyDescent="0.25">
      <c r="A60" s="148" t="s">
        <v>36</v>
      </c>
      <c r="B60" s="161" t="s">
        <v>216</v>
      </c>
      <c r="C60" s="164" t="s">
        <v>256</v>
      </c>
      <c r="D60" s="24">
        <v>18811.419999999998</v>
      </c>
      <c r="E60" s="20">
        <f>27286.58-1000</f>
        <v>26286.58</v>
      </c>
      <c r="F60" s="20">
        <f>27286.58-1000</f>
        <v>26286.58</v>
      </c>
      <c r="G60" s="20">
        <v>0</v>
      </c>
      <c r="H60" s="20">
        <v>0</v>
      </c>
      <c r="I60" s="172">
        <v>0</v>
      </c>
      <c r="J60" s="172">
        <v>0</v>
      </c>
      <c r="K60" s="150">
        <f t="shared" si="24"/>
        <v>45098</v>
      </c>
      <c r="L60" s="150">
        <f t="shared" si="25"/>
        <v>45098</v>
      </c>
    </row>
    <row r="61" spans="1:14" s="147" customFormat="1" ht="33.950000000000003" customHeight="1" x14ac:dyDescent="0.25">
      <c r="A61" s="148" t="s">
        <v>81</v>
      </c>
      <c r="B61" s="161" t="s">
        <v>217</v>
      </c>
      <c r="C61" s="164" t="s">
        <v>277</v>
      </c>
      <c r="D61" s="24">
        <v>0</v>
      </c>
      <c r="E61" s="20">
        <v>6500</v>
      </c>
      <c r="F61" s="20">
        <v>6500</v>
      </c>
      <c r="G61" s="172">
        <v>0</v>
      </c>
      <c r="H61" s="172">
        <v>0</v>
      </c>
      <c r="I61" s="172">
        <v>0</v>
      </c>
      <c r="J61" s="172">
        <v>0</v>
      </c>
      <c r="K61" s="150">
        <f t="shared" si="24"/>
        <v>6500</v>
      </c>
      <c r="L61" s="150">
        <f t="shared" si="25"/>
        <v>6500</v>
      </c>
    </row>
    <row r="62" spans="1:14" s="147" customFormat="1" ht="24" customHeight="1" x14ac:dyDescent="0.25">
      <c r="A62" s="201" t="s">
        <v>38</v>
      </c>
      <c r="B62" s="156" t="s">
        <v>218</v>
      </c>
      <c r="C62" s="164" t="s">
        <v>247</v>
      </c>
      <c r="D62" s="20">
        <v>803.35</v>
      </c>
      <c r="E62" s="172">
        <v>128195.65</v>
      </c>
      <c r="F62" s="204">
        <f>128195.65-65000</f>
        <v>63195.649999999994</v>
      </c>
      <c r="G62" s="172">
        <v>77000</v>
      </c>
      <c r="H62" s="204">
        <f>77000+65000</f>
        <v>142000</v>
      </c>
      <c r="I62" s="172">
        <v>0</v>
      </c>
      <c r="J62" s="172">
        <v>0</v>
      </c>
      <c r="K62" s="150">
        <f t="shared" si="24"/>
        <v>205999</v>
      </c>
      <c r="L62" s="150">
        <f t="shared" si="25"/>
        <v>205999</v>
      </c>
      <c r="M62" s="169"/>
      <c r="N62" s="169"/>
    </row>
    <row r="63" spans="1:14" s="147" customFormat="1" ht="33.950000000000003" customHeight="1" x14ac:dyDescent="0.25">
      <c r="A63" s="148" t="s">
        <v>41</v>
      </c>
      <c r="B63" s="161" t="s">
        <v>219</v>
      </c>
      <c r="C63" s="164" t="s">
        <v>247</v>
      </c>
      <c r="D63" s="24">
        <v>0</v>
      </c>
      <c r="E63" s="172">
        <f>20250-5250</f>
        <v>15000</v>
      </c>
      <c r="F63" s="204">
        <f>20250-5250-10000</f>
        <v>5000</v>
      </c>
      <c r="G63" s="172">
        <f>17750+5250</f>
        <v>23000</v>
      </c>
      <c r="H63" s="204">
        <f>17750+5250+10000</f>
        <v>33000</v>
      </c>
      <c r="I63" s="172">
        <v>0</v>
      </c>
      <c r="J63" s="172">
        <v>0</v>
      </c>
      <c r="K63" s="150">
        <f t="shared" si="24"/>
        <v>38000</v>
      </c>
      <c r="L63" s="150">
        <f t="shared" si="25"/>
        <v>38000</v>
      </c>
    </row>
    <row r="64" spans="1:14" s="147" customFormat="1" ht="24" customHeight="1" x14ac:dyDescent="0.25">
      <c r="A64" s="148" t="s">
        <v>80</v>
      </c>
      <c r="B64" s="156" t="s">
        <v>220</v>
      </c>
      <c r="C64" s="164" t="s">
        <v>247</v>
      </c>
      <c r="D64" s="20">
        <v>0</v>
      </c>
      <c r="E64" s="172">
        <v>14350</v>
      </c>
      <c r="F64" s="172">
        <v>14350</v>
      </c>
      <c r="G64" s="172">
        <v>4500</v>
      </c>
      <c r="H64" s="172">
        <v>4500</v>
      </c>
      <c r="I64" s="172">
        <v>0</v>
      </c>
      <c r="J64" s="172">
        <v>0</v>
      </c>
      <c r="K64" s="150">
        <f t="shared" si="24"/>
        <v>18850</v>
      </c>
      <c r="L64" s="150">
        <f t="shared" si="25"/>
        <v>18850</v>
      </c>
    </row>
    <row r="65" spans="1:15" s="147" customFormat="1" ht="24" customHeight="1" x14ac:dyDescent="0.25">
      <c r="A65" s="148" t="s">
        <v>68</v>
      </c>
      <c r="B65" s="156" t="s">
        <v>221</v>
      </c>
      <c r="C65" s="164" t="s">
        <v>247</v>
      </c>
      <c r="D65" s="20">
        <v>0</v>
      </c>
      <c r="E65" s="172">
        <v>2090</v>
      </c>
      <c r="F65" s="172">
        <v>2090</v>
      </c>
      <c r="G65" s="172">
        <v>0</v>
      </c>
      <c r="H65" s="172">
        <v>0</v>
      </c>
      <c r="I65" s="172">
        <v>0</v>
      </c>
      <c r="J65" s="172">
        <v>0</v>
      </c>
      <c r="K65" s="150">
        <f t="shared" si="24"/>
        <v>2090</v>
      </c>
      <c r="L65" s="150">
        <f t="shared" si="25"/>
        <v>2090</v>
      </c>
    </row>
    <row r="66" spans="1:15" s="147" customFormat="1" ht="24" customHeight="1" x14ac:dyDescent="0.25">
      <c r="A66" s="148" t="s">
        <v>40</v>
      </c>
      <c r="B66" s="156" t="s">
        <v>222</v>
      </c>
      <c r="C66" s="164" t="s">
        <v>247</v>
      </c>
      <c r="D66" s="20">
        <v>0</v>
      </c>
      <c r="E66" s="20">
        <v>25000</v>
      </c>
      <c r="F66" s="20">
        <v>25000</v>
      </c>
      <c r="G66" s="20">
        <v>0</v>
      </c>
      <c r="H66" s="20">
        <v>0</v>
      </c>
      <c r="I66" s="172">
        <v>0</v>
      </c>
      <c r="J66" s="172">
        <v>0</v>
      </c>
      <c r="K66" s="150">
        <f t="shared" si="24"/>
        <v>25000</v>
      </c>
      <c r="L66" s="150">
        <f t="shared" si="25"/>
        <v>25000</v>
      </c>
    </row>
    <row r="67" spans="1:15" s="147" customFormat="1" ht="33.950000000000003" customHeight="1" x14ac:dyDescent="0.25">
      <c r="A67" s="148" t="s">
        <v>37</v>
      </c>
      <c r="B67" s="161" t="s">
        <v>223</v>
      </c>
      <c r="C67" s="164" t="s">
        <v>247</v>
      </c>
      <c r="D67" s="24">
        <v>0</v>
      </c>
      <c r="E67" s="192">
        <f>5500+3600-8965</f>
        <v>135</v>
      </c>
      <c r="F67" s="192">
        <f>5500+3600-8965</f>
        <v>135</v>
      </c>
      <c r="G67" s="192">
        <f>8965+2035</f>
        <v>11000</v>
      </c>
      <c r="H67" s="192">
        <f>8965+2035</f>
        <v>11000</v>
      </c>
      <c r="I67" s="172">
        <v>0</v>
      </c>
      <c r="J67" s="172">
        <v>0</v>
      </c>
      <c r="K67" s="150">
        <f t="shared" si="24"/>
        <v>11135</v>
      </c>
      <c r="L67" s="150">
        <f t="shared" si="25"/>
        <v>11135</v>
      </c>
    </row>
    <row r="68" spans="1:15" s="147" customFormat="1" ht="24" customHeight="1" x14ac:dyDescent="0.25">
      <c r="A68" s="148" t="s">
        <v>69</v>
      </c>
      <c r="B68" s="161" t="s">
        <v>224</v>
      </c>
      <c r="C68" s="164" t="s">
        <v>247</v>
      </c>
      <c r="D68" s="20">
        <v>28.6</v>
      </c>
      <c r="E68" s="192">
        <f>11036-1000</f>
        <v>10036</v>
      </c>
      <c r="F68" s="205">
        <f>11036-1000-7800</f>
        <v>2236</v>
      </c>
      <c r="G68" s="20">
        <v>0</v>
      </c>
      <c r="H68" s="204">
        <v>7800</v>
      </c>
      <c r="I68" s="172">
        <v>0</v>
      </c>
      <c r="J68" s="172">
        <v>0</v>
      </c>
      <c r="K68" s="150">
        <f t="shared" si="24"/>
        <v>10064.6</v>
      </c>
      <c r="L68" s="150">
        <f>D68+F68+H68+J68</f>
        <v>10064.6</v>
      </c>
    </row>
    <row r="69" spans="1:15" s="151" customFormat="1" ht="15" customHeight="1" x14ac:dyDescent="0.25">
      <c r="A69" s="148" t="s">
        <v>88</v>
      </c>
      <c r="B69" s="160" t="s">
        <v>225</v>
      </c>
      <c r="C69" s="164" t="s">
        <v>247</v>
      </c>
      <c r="D69" s="152">
        <v>0</v>
      </c>
      <c r="E69" s="191">
        <f>50000-10000</f>
        <v>40000</v>
      </c>
      <c r="F69" s="206">
        <f>50000-10000-20000</f>
        <v>20000</v>
      </c>
      <c r="G69" s="191">
        <f>20500+10000</f>
        <v>30500</v>
      </c>
      <c r="H69" s="206">
        <f>20500+10000+20000</f>
        <v>50500</v>
      </c>
      <c r="I69" s="172">
        <v>0</v>
      </c>
      <c r="J69" s="172">
        <v>0</v>
      </c>
      <c r="K69" s="150">
        <f t="shared" si="24"/>
        <v>70500</v>
      </c>
      <c r="L69" s="150">
        <f t="shared" si="25"/>
        <v>70500</v>
      </c>
    </row>
    <row r="70" spans="1:15" s="147" customFormat="1" ht="24" customHeight="1" x14ac:dyDescent="0.25">
      <c r="A70" s="148" t="s">
        <v>90</v>
      </c>
      <c r="B70" s="156" t="s">
        <v>226</v>
      </c>
      <c r="C70" s="164" t="s">
        <v>247</v>
      </c>
      <c r="D70" s="20">
        <v>127.05</v>
      </c>
      <c r="E70" s="172">
        <v>7373</v>
      </c>
      <c r="F70" s="204">
        <f>7373-6700</f>
        <v>673</v>
      </c>
      <c r="G70" s="172">
        <v>14000</v>
      </c>
      <c r="H70" s="204">
        <f>14000+6700</f>
        <v>20700</v>
      </c>
      <c r="I70" s="172">
        <v>0</v>
      </c>
      <c r="J70" s="172">
        <v>0</v>
      </c>
      <c r="K70" s="150">
        <f t="shared" si="24"/>
        <v>21500.05</v>
      </c>
      <c r="L70" s="150">
        <f t="shared" si="25"/>
        <v>21500.05</v>
      </c>
    </row>
    <row r="71" spans="1:15" s="147" customFormat="1" ht="24" customHeight="1" x14ac:dyDescent="0.25">
      <c r="A71" s="148" t="s">
        <v>91</v>
      </c>
      <c r="B71" s="161" t="s">
        <v>227</v>
      </c>
      <c r="C71" s="164" t="s">
        <v>247</v>
      </c>
      <c r="D71" s="20">
        <v>17970.75</v>
      </c>
      <c r="E71" s="172">
        <v>7029.25</v>
      </c>
      <c r="F71" s="172">
        <v>7029.25</v>
      </c>
      <c r="G71" s="172">
        <v>0</v>
      </c>
      <c r="H71" s="172">
        <v>0</v>
      </c>
      <c r="I71" s="183">
        <v>0</v>
      </c>
      <c r="J71" s="183">
        <v>0</v>
      </c>
      <c r="K71" s="150">
        <f t="shared" si="24"/>
        <v>25000</v>
      </c>
      <c r="L71" s="150">
        <f t="shared" si="25"/>
        <v>25000</v>
      </c>
    </row>
    <row r="72" spans="1:15" s="147" customFormat="1" ht="24" customHeight="1" x14ac:dyDescent="0.25">
      <c r="A72" s="148" t="s">
        <v>262</v>
      </c>
      <c r="B72" s="161" t="s">
        <v>263</v>
      </c>
      <c r="C72" s="164" t="s">
        <v>247</v>
      </c>
      <c r="D72" s="20">
        <v>0</v>
      </c>
      <c r="E72" s="192">
        <v>11100</v>
      </c>
      <c r="F72" s="192">
        <v>11100</v>
      </c>
      <c r="G72" s="172">
        <v>0</v>
      </c>
      <c r="H72" s="172">
        <v>0</v>
      </c>
      <c r="I72" s="183">
        <v>0</v>
      </c>
      <c r="J72" s="183">
        <v>0</v>
      </c>
      <c r="K72" s="150">
        <f t="shared" si="24"/>
        <v>11100</v>
      </c>
      <c r="L72" s="150">
        <f t="shared" si="25"/>
        <v>11100</v>
      </c>
    </row>
    <row r="73" spans="1:15" s="147" customFormat="1" ht="24" customHeight="1" x14ac:dyDescent="0.25">
      <c r="A73" s="148" t="s">
        <v>265</v>
      </c>
      <c r="B73" s="161" t="s">
        <v>266</v>
      </c>
      <c r="C73" s="164" t="s">
        <v>247</v>
      </c>
      <c r="D73" s="20">
        <v>0</v>
      </c>
      <c r="E73" s="192">
        <v>9350</v>
      </c>
      <c r="F73" s="192">
        <v>9350</v>
      </c>
      <c r="G73" s="172">
        <v>0</v>
      </c>
      <c r="H73" s="172">
        <v>0</v>
      </c>
      <c r="I73" s="183">
        <v>0</v>
      </c>
      <c r="J73" s="183">
        <v>0</v>
      </c>
      <c r="K73" s="150">
        <f t="shared" si="24"/>
        <v>9350</v>
      </c>
      <c r="L73" s="150">
        <f t="shared" si="25"/>
        <v>9350</v>
      </c>
    </row>
    <row r="74" spans="1:15" s="146" customFormat="1" ht="15" customHeight="1" x14ac:dyDescent="0.25">
      <c r="A74" s="10" t="s">
        <v>47</v>
      </c>
      <c r="B74" s="157"/>
      <c r="C74" s="165"/>
      <c r="D74" s="11">
        <f t="shared" ref="D74:L74" si="26">SUM(D49:D73)</f>
        <v>224556.02000000002</v>
      </c>
      <c r="E74" s="11">
        <f t="shared" si="26"/>
        <v>383047.3</v>
      </c>
      <c r="F74" s="11">
        <f t="shared" ref="F74" si="27">SUM(F49:F73)</f>
        <v>273547.3</v>
      </c>
      <c r="G74" s="11">
        <f t="shared" si="26"/>
        <v>220000</v>
      </c>
      <c r="H74" s="11">
        <f t="shared" ref="H74" si="28">SUM(H49:H73)</f>
        <v>329500</v>
      </c>
      <c r="I74" s="11">
        <f t="shared" si="26"/>
        <v>11950.5</v>
      </c>
      <c r="J74" s="11">
        <f t="shared" ref="J74" si="29">SUM(J49:J73)</f>
        <v>11950.5</v>
      </c>
      <c r="K74" s="12">
        <f t="shared" si="26"/>
        <v>839553.82000000007</v>
      </c>
      <c r="L74" s="12">
        <f t="shared" si="26"/>
        <v>839553.82000000007</v>
      </c>
      <c r="M74" s="188"/>
      <c r="N74" s="188"/>
      <c r="O74" s="188"/>
    </row>
    <row r="75" spans="1:15" s="147" customFormat="1" ht="18" customHeight="1" x14ac:dyDescent="0.25">
      <c r="A75" s="332" t="s">
        <v>48</v>
      </c>
      <c r="B75" s="333"/>
      <c r="C75" s="333"/>
      <c r="D75" s="333"/>
      <c r="E75" s="333"/>
      <c r="F75" s="333"/>
      <c r="G75" s="333"/>
      <c r="H75" s="333"/>
      <c r="I75" s="333"/>
      <c r="J75" s="333"/>
      <c r="K75" s="334"/>
      <c r="L75" s="214"/>
      <c r="M75" s="169"/>
      <c r="N75" s="169"/>
    </row>
    <row r="76" spans="1:15" s="147" customFormat="1" ht="24" customHeight="1" x14ac:dyDescent="0.25">
      <c r="A76" s="21" t="s">
        <v>97</v>
      </c>
      <c r="B76" s="160" t="s">
        <v>228</v>
      </c>
      <c r="C76" s="164" t="s">
        <v>247</v>
      </c>
      <c r="D76" s="20">
        <v>14723.48</v>
      </c>
      <c r="E76" s="172">
        <v>6976.53</v>
      </c>
      <c r="F76" s="172">
        <v>6976.53</v>
      </c>
      <c r="G76" s="172">
        <v>0</v>
      </c>
      <c r="H76" s="172">
        <v>0</v>
      </c>
      <c r="I76" s="20">
        <v>0</v>
      </c>
      <c r="J76" s="20">
        <v>0</v>
      </c>
      <c r="K76" s="150">
        <f t="shared" ref="K76:K88" si="30">D76+E76+G76+I76</f>
        <v>21700.01</v>
      </c>
      <c r="L76" s="150">
        <f>D76+F76+H76+J76</f>
        <v>21700.01</v>
      </c>
      <c r="M76" s="169"/>
    </row>
    <row r="77" spans="1:15" s="147" customFormat="1" ht="24" customHeight="1" x14ac:dyDescent="0.25">
      <c r="A77" s="21" t="s">
        <v>176</v>
      </c>
      <c r="B77" s="160" t="s">
        <v>229</v>
      </c>
      <c r="C77" s="164" t="s">
        <v>247</v>
      </c>
      <c r="D77" s="24">
        <v>22241.64</v>
      </c>
      <c r="E77" s="192">
        <v>0</v>
      </c>
      <c r="F77" s="192">
        <v>0</v>
      </c>
      <c r="G77" s="192">
        <v>0</v>
      </c>
      <c r="H77" s="192">
        <v>0</v>
      </c>
      <c r="I77" s="24">
        <v>0</v>
      </c>
      <c r="J77" s="24">
        <v>0</v>
      </c>
      <c r="K77" s="150">
        <f t="shared" si="30"/>
        <v>22241.64</v>
      </c>
      <c r="L77" s="150">
        <f t="shared" ref="L77:L88" si="31">D77+F77+H77+J77</f>
        <v>22241.64</v>
      </c>
    </row>
    <row r="78" spans="1:15" s="147" customFormat="1" ht="24" customHeight="1" x14ac:dyDescent="0.25">
      <c r="A78" s="21" t="s">
        <v>141</v>
      </c>
      <c r="B78" s="160" t="s">
        <v>230</v>
      </c>
      <c r="C78" s="164" t="s">
        <v>247</v>
      </c>
      <c r="D78" s="20">
        <v>20898.27</v>
      </c>
      <c r="E78" s="172">
        <v>0</v>
      </c>
      <c r="F78" s="172">
        <v>0</v>
      </c>
      <c r="G78" s="172">
        <v>0</v>
      </c>
      <c r="H78" s="172">
        <v>0</v>
      </c>
      <c r="I78" s="20">
        <v>0</v>
      </c>
      <c r="J78" s="20">
        <v>0</v>
      </c>
      <c r="K78" s="150">
        <f t="shared" si="30"/>
        <v>20898.27</v>
      </c>
      <c r="L78" s="150">
        <f t="shared" si="31"/>
        <v>20898.27</v>
      </c>
    </row>
    <row r="79" spans="1:15" s="147" customFormat="1" ht="24" customHeight="1" x14ac:dyDescent="0.25">
      <c r="A79" s="21" t="s">
        <v>143</v>
      </c>
      <c r="B79" s="160" t="s">
        <v>231</v>
      </c>
      <c r="C79" s="164" t="s">
        <v>247</v>
      </c>
      <c r="D79" s="20">
        <v>28727.64</v>
      </c>
      <c r="E79" s="172">
        <v>0</v>
      </c>
      <c r="F79" s="172">
        <v>0</v>
      </c>
      <c r="G79" s="172">
        <v>0</v>
      </c>
      <c r="H79" s="172">
        <v>0</v>
      </c>
      <c r="I79" s="20">
        <v>0</v>
      </c>
      <c r="J79" s="20">
        <v>0</v>
      </c>
      <c r="K79" s="150">
        <f t="shared" si="30"/>
        <v>28727.64</v>
      </c>
      <c r="L79" s="150">
        <f t="shared" si="31"/>
        <v>28727.64</v>
      </c>
    </row>
    <row r="80" spans="1:15" s="147" customFormat="1" ht="24" customHeight="1" x14ac:dyDescent="0.25">
      <c r="A80" s="21" t="s">
        <v>145</v>
      </c>
      <c r="B80" s="160" t="s">
        <v>232</v>
      </c>
      <c r="C80" s="164" t="s">
        <v>247</v>
      </c>
      <c r="D80" s="20">
        <v>11437.7</v>
      </c>
      <c r="E80" s="172">
        <v>0</v>
      </c>
      <c r="F80" s="172">
        <v>0</v>
      </c>
      <c r="G80" s="172">
        <v>0</v>
      </c>
      <c r="H80" s="172">
        <v>0</v>
      </c>
      <c r="I80" s="20">
        <v>0</v>
      </c>
      <c r="J80" s="20">
        <v>0</v>
      </c>
      <c r="K80" s="150">
        <f t="shared" si="30"/>
        <v>11437.7</v>
      </c>
      <c r="L80" s="150">
        <f t="shared" si="31"/>
        <v>11437.7</v>
      </c>
    </row>
    <row r="81" spans="1:15" s="147" customFormat="1" ht="24" customHeight="1" x14ac:dyDescent="0.25">
      <c r="A81" s="21" t="s">
        <v>147</v>
      </c>
      <c r="B81" s="160" t="s">
        <v>233</v>
      </c>
      <c r="C81" s="164" t="s">
        <v>247</v>
      </c>
      <c r="D81" s="20">
        <v>11567.78</v>
      </c>
      <c r="E81" s="172">
        <v>0</v>
      </c>
      <c r="F81" s="172">
        <v>0</v>
      </c>
      <c r="G81" s="172">
        <v>0</v>
      </c>
      <c r="H81" s="172">
        <v>0</v>
      </c>
      <c r="I81" s="20">
        <v>0</v>
      </c>
      <c r="J81" s="20">
        <v>0</v>
      </c>
      <c r="K81" s="150">
        <f t="shared" si="30"/>
        <v>11567.78</v>
      </c>
      <c r="L81" s="150">
        <f t="shared" si="31"/>
        <v>11567.78</v>
      </c>
    </row>
    <row r="82" spans="1:15" s="147" customFormat="1" ht="15" customHeight="1" x14ac:dyDescent="0.25">
      <c r="A82" s="21" t="s">
        <v>175</v>
      </c>
      <c r="B82" s="160" t="s">
        <v>234</v>
      </c>
      <c r="C82" s="164" t="s">
        <v>247</v>
      </c>
      <c r="D82" s="20">
        <v>1099.1500000000001</v>
      </c>
      <c r="E82" s="172">
        <v>22900.85</v>
      </c>
      <c r="F82" s="172">
        <v>22900.85</v>
      </c>
      <c r="G82" s="172">
        <v>0</v>
      </c>
      <c r="H82" s="172">
        <v>0</v>
      </c>
      <c r="I82" s="20">
        <v>0</v>
      </c>
      <c r="J82" s="20">
        <v>0</v>
      </c>
      <c r="K82" s="150">
        <f t="shared" si="30"/>
        <v>24000</v>
      </c>
      <c r="L82" s="150">
        <f t="shared" si="31"/>
        <v>24000</v>
      </c>
    </row>
    <row r="83" spans="1:15" s="147" customFormat="1" ht="24" customHeight="1" x14ac:dyDescent="0.25">
      <c r="A83" s="21" t="s">
        <v>50</v>
      </c>
      <c r="B83" s="160" t="s">
        <v>235</v>
      </c>
      <c r="C83" s="164" t="s">
        <v>247</v>
      </c>
      <c r="D83" s="20">
        <v>34.11</v>
      </c>
      <c r="E83" s="172">
        <v>93382</v>
      </c>
      <c r="F83" s="172">
        <v>93382</v>
      </c>
      <c r="G83" s="172">
        <v>50000</v>
      </c>
      <c r="H83" s="172">
        <v>50000</v>
      </c>
      <c r="I83" s="20">
        <v>0</v>
      </c>
      <c r="J83" s="20">
        <v>0</v>
      </c>
      <c r="K83" s="150">
        <f t="shared" si="30"/>
        <v>143416.10999999999</v>
      </c>
      <c r="L83" s="150">
        <f t="shared" si="31"/>
        <v>143416.10999999999</v>
      </c>
    </row>
    <row r="84" spans="1:15" s="147" customFormat="1" ht="24" customHeight="1" x14ac:dyDescent="0.25">
      <c r="A84" s="23" t="s">
        <v>49</v>
      </c>
      <c r="B84" s="160" t="s">
        <v>236</v>
      </c>
      <c r="C84" s="164" t="s">
        <v>247</v>
      </c>
      <c r="D84" s="24">
        <v>29.04</v>
      </c>
      <c r="E84" s="172">
        <f>94970.96-80000</f>
        <v>14970.960000000006</v>
      </c>
      <c r="F84" s="172">
        <f>94970.96-80000</f>
        <v>14970.960000000006</v>
      </c>
      <c r="G84" s="192">
        <f>10000+80000</f>
        <v>90000</v>
      </c>
      <c r="H84" s="192">
        <f>10000+80000</f>
        <v>90000</v>
      </c>
      <c r="I84" s="24">
        <v>0</v>
      </c>
      <c r="J84" s="24">
        <v>0</v>
      </c>
      <c r="K84" s="150">
        <f t="shared" si="30"/>
        <v>105000</v>
      </c>
      <c r="L84" s="150">
        <f t="shared" si="31"/>
        <v>105000</v>
      </c>
    </row>
    <row r="85" spans="1:15" s="147" customFormat="1" ht="24" customHeight="1" x14ac:dyDescent="0.25">
      <c r="A85" s="23" t="s">
        <v>285</v>
      </c>
      <c r="B85" s="160" t="s">
        <v>286</v>
      </c>
      <c r="C85" s="164" t="s">
        <v>247</v>
      </c>
      <c r="D85" s="24">
        <v>0</v>
      </c>
      <c r="E85" s="172">
        <v>30200</v>
      </c>
      <c r="F85" s="204">
        <f>30200-26200</f>
        <v>4000</v>
      </c>
      <c r="G85" s="192">
        <v>0</v>
      </c>
      <c r="H85" s="205">
        <f>0+26200</f>
        <v>26200</v>
      </c>
      <c r="I85" s="24">
        <v>0</v>
      </c>
      <c r="J85" s="24">
        <v>0</v>
      </c>
      <c r="K85" s="150">
        <f t="shared" si="30"/>
        <v>30200</v>
      </c>
      <c r="L85" s="150">
        <f t="shared" si="31"/>
        <v>30200</v>
      </c>
    </row>
    <row r="86" spans="1:15" s="147" customFormat="1" ht="24" customHeight="1" x14ac:dyDescent="0.25">
      <c r="A86" s="23" t="s">
        <v>287</v>
      </c>
      <c r="B86" s="160" t="s">
        <v>284</v>
      </c>
      <c r="C86" s="164" t="s">
        <v>247</v>
      </c>
      <c r="D86" s="24">
        <v>0</v>
      </c>
      <c r="E86" s="172">
        <v>40000</v>
      </c>
      <c r="F86" s="172">
        <v>40000</v>
      </c>
      <c r="G86" s="192">
        <v>140000</v>
      </c>
      <c r="H86" s="192">
        <v>140000</v>
      </c>
      <c r="I86" s="24">
        <v>0</v>
      </c>
      <c r="J86" s="24">
        <v>0</v>
      </c>
      <c r="K86" s="150">
        <f t="shared" si="30"/>
        <v>180000</v>
      </c>
      <c r="L86" s="150">
        <f t="shared" si="31"/>
        <v>180000</v>
      </c>
    </row>
    <row r="87" spans="1:15" s="151" customFormat="1" ht="24" customHeight="1" x14ac:dyDescent="0.25">
      <c r="A87" s="148" t="s">
        <v>288</v>
      </c>
      <c r="B87" s="156" t="s">
        <v>289</v>
      </c>
      <c r="C87" s="164" t="s">
        <v>247</v>
      </c>
      <c r="D87" s="149">
        <v>0</v>
      </c>
      <c r="E87" s="149">
        <v>15500</v>
      </c>
      <c r="F87" s="207">
        <f>15500-10500</f>
        <v>5000</v>
      </c>
      <c r="G87" s="149">
        <v>0</v>
      </c>
      <c r="H87" s="207">
        <f>0+10500</f>
        <v>10500</v>
      </c>
      <c r="I87" s="182">
        <v>0</v>
      </c>
      <c r="J87" s="182">
        <v>0</v>
      </c>
      <c r="K87" s="150">
        <f t="shared" si="30"/>
        <v>15500</v>
      </c>
      <c r="L87" s="150">
        <f t="shared" si="31"/>
        <v>15500</v>
      </c>
    </row>
    <row r="88" spans="1:15" s="151" customFormat="1" ht="24" customHeight="1" x14ac:dyDescent="0.25">
      <c r="A88" s="148" t="s">
        <v>290</v>
      </c>
      <c r="B88" s="156" t="s">
        <v>291</v>
      </c>
      <c r="C88" s="164" t="s">
        <v>247</v>
      </c>
      <c r="D88" s="149">
        <v>0</v>
      </c>
      <c r="E88" s="149">
        <v>20000</v>
      </c>
      <c r="F88" s="149">
        <v>20000</v>
      </c>
      <c r="G88" s="149">
        <v>0</v>
      </c>
      <c r="H88" s="149">
        <v>0</v>
      </c>
      <c r="I88" s="182">
        <v>0</v>
      </c>
      <c r="J88" s="182">
        <v>0</v>
      </c>
      <c r="K88" s="150">
        <f t="shared" si="30"/>
        <v>20000</v>
      </c>
      <c r="L88" s="150">
        <f t="shared" si="31"/>
        <v>20000</v>
      </c>
    </row>
    <row r="89" spans="1:15" s="146" customFormat="1" ht="15" customHeight="1" thickBot="1" x14ac:dyDescent="0.3">
      <c r="A89" s="10" t="s">
        <v>53</v>
      </c>
      <c r="B89" s="157"/>
      <c r="C89" s="165"/>
      <c r="D89" s="11">
        <f t="shared" ref="D89:J89" si="32">SUM(D76:D88)</f>
        <v>110758.80999999998</v>
      </c>
      <c r="E89" s="11">
        <f t="shared" si="32"/>
        <v>243930.34000000003</v>
      </c>
      <c r="F89" s="11">
        <f t="shared" ref="F89" si="33">SUM(F76:F88)</f>
        <v>207230.34000000003</v>
      </c>
      <c r="G89" s="11">
        <f t="shared" si="32"/>
        <v>280000</v>
      </c>
      <c r="H89" s="11">
        <f t="shared" si="32"/>
        <v>316700</v>
      </c>
      <c r="I89" s="11">
        <f t="shared" si="32"/>
        <v>0</v>
      </c>
      <c r="J89" s="11">
        <f t="shared" si="32"/>
        <v>0</v>
      </c>
      <c r="K89" s="12">
        <f>SUM(K76:K88)</f>
        <v>634689.14999999991</v>
      </c>
      <c r="L89" s="12">
        <f>SUM(L76:L88)</f>
        <v>634689.14999999991</v>
      </c>
      <c r="M89" s="188"/>
      <c r="N89" s="188"/>
      <c r="O89" s="188"/>
    </row>
    <row r="90" spans="1:15" s="146" customFormat="1" ht="25.5" customHeight="1" thickBot="1" x14ac:dyDescent="0.3">
      <c r="A90" s="14" t="s">
        <v>54</v>
      </c>
      <c r="B90" s="158"/>
      <c r="C90" s="166"/>
      <c r="D90" s="15">
        <f>D89+D74+D47+D39+D35</f>
        <v>378688.57</v>
      </c>
      <c r="E90" s="15">
        <f>E89+E74+E47+E39+E35</f>
        <v>927075.61</v>
      </c>
      <c r="F90" s="15">
        <f t="shared" ref="F90:J90" si="34">F89+F74+F47+F39+F35</f>
        <v>735575.61</v>
      </c>
      <c r="G90" s="15">
        <f t="shared" si="34"/>
        <v>1270316</v>
      </c>
      <c r="H90" s="15">
        <f t="shared" si="34"/>
        <v>1461816</v>
      </c>
      <c r="I90" s="15">
        <f t="shared" si="34"/>
        <v>69209.5</v>
      </c>
      <c r="J90" s="15">
        <f t="shared" si="34"/>
        <v>69209.5</v>
      </c>
      <c r="K90" s="16">
        <f>K89+K74+K47+K39+K35</f>
        <v>2645289.6800000002</v>
      </c>
      <c r="L90" s="16">
        <f>L89+L74+L47+L39+L35</f>
        <v>2645289.6800000002</v>
      </c>
    </row>
    <row r="91" spans="1:15" s="146" customFormat="1" ht="13.5" thickBot="1" x14ac:dyDescent="0.3">
      <c r="A91" s="17"/>
      <c r="B91" s="159"/>
      <c r="C91" s="167"/>
      <c r="D91" s="94"/>
      <c r="E91" s="94"/>
      <c r="F91" s="94"/>
      <c r="G91" s="94"/>
      <c r="H91" s="94"/>
      <c r="I91" s="94"/>
      <c r="J91" s="94"/>
      <c r="K91" s="119"/>
      <c r="L91" s="119"/>
    </row>
    <row r="92" spans="1:15" s="146" customFormat="1" ht="21" customHeight="1" thickBot="1" x14ac:dyDescent="0.3">
      <c r="A92" s="14" t="s">
        <v>55</v>
      </c>
      <c r="B92" s="158"/>
      <c r="C92" s="166"/>
      <c r="D92" s="15">
        <f>SUM(D20,D26,D90)+0.45</f>
        <v>387806.92845000001</v>
      </c>
      <c r="E92" s="15">
        <f>SUM(E20,E26,E90)</f>
        <v>1163953</v>
      </c>
      <c r="F92" s="15">
        <f t="shared" ref="F92:J92" si="35">SUM(F20,F26,F90)</f>
        <v>972453</v>
      </c>
      <c r="G92" s="15">
        <f t="shared" si="35"/>
        <v>1379031</v>
      </c>
      <c r="H92" s="15">
        <f t="shared" si="35"/>
        <v>1570531</v>
      </c>
      <c r="I92" s="15">
        <f t="shared" si="35"/>
        <v>69209.5</v>
      </c>
      <c r="J92" s="15">
        <f t="shared" si="35"/>
        <v>69209.5</v>
      </c>
      <c r="K92" s="16">
        <f>SUM(K20,K26,K90)</f>
        <v>2999999.9784500003</v>
      </c>
      <c r="L92" s="16">
        <f>SUM(L20,L26,L90)</f>
        <v>2999999.9784500003</v>
      </c>
      <c r="M92" s="188"/>
    </row>
    <row r="93" spans="1:15" ht="15" customHeight="1" thickBot="1" x14ac:dyDescent="0.25">
      <c r="D93" s="367" t="s">
        <v>298</v>
      </c>
      <c r="E93" s="367"/>
      <c r="F93" s="368"/>
      <c r="G93" s="365">
        <f>G92-H92</f>
        <v>-191500</v>
      </c>
      <c r="H93" s="366"/>
    </row>
    <row r="95" spans="1:15" x14ac:dyDescent="0.2">
      <c r="A95" s="208" t="s">
        <v>299</v>
      </c>
      <c r="K95" s="177"/>
      <c r="L95" s="177"/>
    </row>
  </sheetData>
  <mergeCells count="19">
    <mergeCell ref="L4:L5"/>
    <mergeCell ref="A7:K7"/>
    <mergeCell ref="G93:H93"/>
    <mergeCell ref="A11:K11"/>
    <mergeCell ref="A17:K17"/>
    <mergeCell ref="A22:K22"/>
    <mergeCell ref="A23:K23"/>
    <mergeCell ref="A28:K28"/>
    <mergeCell ref="A29:K29"/>
    <mergeCell ref="D93:F93"/>
    <mergeCell ref="A36:K36"/>
    <mergeCell ref="A40:K40"/>
    <mergeCell ref="A48:K48"/>
    <mergeCell ref="A75:K75"/>
    <mergeCell ref="A2:K2"/>
    <mergeCell ref="A4:A5"/>
    <mergeCell ref="K4:K5"/>
    <mergeCell ref="A6:K6"/>
    <mergeCell ref="D4:J4"/>
  </mergeCells>
  <conditionalFormatting sqref="D12:D13">
    <cfRule type="cellIs" dxfId="571" priority="153" operator="lessThan">
      <formula>#REF!</formula>
    </cfRule>
    <cfRule type="cellIs" dxfId="570" priority="154" operator="greaterThan">
      <formula>#REF!</formula>
    </cfRule>
  </conditionalFormatting>
  <conditionalFormatting sqref="D13:D16">
    <cfRule type="cellIs" dxfId="569" priority="149" operator="lessThan">
      <formula>#REF!</formula>
    </cfRule>
    <cfRule type="cellIs" dxfId="568" priority="150" operator="greaterThan">
      <formula>#REF!</formula>
    </cfRule>
  </conditionalFormatting>
  <conditionalFormatting sqref="D59:D68">
    <cfRule type="cellIs" dxfId="567" priority="139" operator="lessThan">
      <formula>#REF!</formula>
    </cfRule>
    <cfRule type="cellIs" dxfId="566" priority="140" operator="greaterThan">
      <formula>#REF!</formula>
    </cfRule>
  </conditionalFormatting>
  <conditionalFormatting sqref="D61:D66">
    <cfRule type="cellIs" dxfId="565" priority="135" operator="lessThan">
      <formula>#REF!</formula>
    </cfRule>
    <cfRule type="cellIs" dxfId="564" priority="136" operator="greaterThan">
      <formula>#REF!</formula>
    </cfRule>
  </conditionalFormatting>
  <conditionalFormatting sqref="D63:D66">
    <cfRule type="cellIs" dxfId="563" priority="137" operator="lessThan">
      <formula>#REF!</formula>
    </cfRule>
    <cfRule type="cellIs" dxfId="562" priority="138" operator="greaterThan">
      <formula>#REF!</formula>
    </cfRule>
  </conditionalFormatting>
  <conditionalFormatting sqref="D69">
    <cfRule type="cellIs" dxfId="561" priority="133" operator="lessThan">
      <formula>#REF!</formula>
    </cfRule>
    <cfRule type="cellIs" dxfId="560" priority="134" operator="greaterThan">
      <formula>#REF!</formula>
    </cfRule>
  </conditionalFormatting>
  <conditionalFormatting sqref="D76:D83">
    <cfRule type="cellIs" dxfId="559" priority="132" operator="greaterThan">
      <formula>#REF!</formula>
    </cfRule>
  </conditionalFormatting>
  <conditionalFormatting sqref="D82:D83">
    <cfRule type="cellIs" dxfId="558" priority="161" operator="lessThan">
      <formula>#REF!</formula>
    </cfRule>
    <cfRule type="cellIs" dxfId="557" priority="162" operator="greaterThan">
      <formula>#REF!</formula>
    </cfRule>
  </conditionalFormatting>
  <conditionalFormatting sqref="D83:D88">
    <cfRule type="cellIs" dxfId="556" priority="163" operator="lessThan">
      <formula>#REF!</formula>
    </cfRule>
    <cfRule type="cellIs" dxfId="555" priority="164" operator="greaterThan">
      <formula>#REF!</formula>
    </cfRule>
  </conditionalFormatting>
  <conditionalFormatting sqref="D87:D88">
    <cfRule type="cellIs" dxfId="554" priority="129" operator="lessThan">
      <formula>#REF!</formula>
    </cfRule>
    <cfRule type="cellIs" dxfId="553" priority="130" operator="greaterThan">
      <formula>#REF!</formula>
    </cfRule>
  </conditionalFormatting>
  <conditionalFormatting sqref="D62:E65 D66 D49:F58 G49:J59 G61:J74 F62:F74 E66:E69 D70:E74 K74:L74">
    <cfRule type="cellIs" dxfId="552" priority="179" operator="lessThan">
      <formula>#REF!</formula>
    </cfRule>
  </conditionalFormatting>
  <conditionalFormatting sqref="D49:F58 G49:J59 G61:J74 D62:E65 F62:F74 D66 E66:E69 D70:E74 K74:L74">
    <cfRule type="cellIs" dxfId="551" priority="180" operator="greaterThan">
      <formula>#REF!</formula>
    </cfRule>
  </conditionalFormatting>
  <conditionalFormatting sqref="D76:J83 G87:J88">
    <cfRule type="cellIs" dxfId="550" priority="1" operator="lessThan">
      <formula>#REF!</formula>
    </cfRule>
  </conditionalFormatting>
  <conditionalFormatting sqref="D18:K19">
    <cfRule type="cellIs" dxfId="549" priority="123" operator="lessThan">
      <formula>#REF!</formula>
    </cfRule>
    <cfRule type="cellIs" dxfId="548" priority="124" operator="greaterThan">
      <formula>#REF!</formula>
    </cfRule>
  </conditionalFormatting>
  <conditionalFormatting sqref="D37:K39">
    <cfRule type="cellIs" dxfId="547" priority="87" operator="lessThan">
      <formula>#REF!</formula>
    </cfRule>
    <cfRule type="cellIs" dxfId="546" priority="88" operator="greaterThan">
      <formula>#REF!</formula>
    </cfRule>
  </conditionalFormatting>
  <conditionalFormatting sqref="D8:L10">
    <cfRule type="cellIs" dxfId="545" priority="33" operator="lessThan">
      <formula>#REF!</formula>
    </cfRule>
    <cfRule type="cellIs" dxfId="544" priority="34" operator="greaterThan">
      <formula>#REF!</formula>
    </cfRule>
  </conditionalFormatting>
  <conditionalFormatting sqref="D24:L25 D30:L35 K76:L88">
    <cfRule type="cellIs" dxfId="543" priority="74" operator="greaterThan">
      <formula>#REF!</formula>
    </cfRule>
  </conditionalFormatting>
  <conditionalFormatting sqref="D30:L35 D24:L25 K76:L88">
    <cfRule type="cellIs" dxfId="542" priority="73" operator="lessThan">
      <formula>#REF!</formula>
    </cfRule>
  </conditionalFormatting>
  <conditionalFormatting sqref="D41:L46">
    <cfRule type="cellIs" dxfId="541" priority="59" operator="lessThan">
      <formula>#REF!</formula>
    </cfRule>
    <cfRule type="cellIs" dxfId="540" priority="60" operator="greaterThan">
      <formula>#REF!</formula>
    </cfRule>
  </conditionalFormatting>
  <conditionalFormatting sqref="E59:F61">
    <cfRule type="cellIs" dxfId="539" priority="105" operator="lessThan">
      <formula>#REF!</formula>
    </cfRule>
    <cfRule type="cellIs" dxfId="538" priority="106" operator="greaterThan">
      <formula>#REF!</formula>
    </cfRule>
  </conditionalFormatting>
  <conditionalFormatting sqref="E76:F88">
    <cfRule type="cellIs" dxfId="537" priority="10" operator="greaterThan">
      <formula>#REF!</formula>
    </cfRule>
  </conditionalFormatting>
  <conditionalFormatting sqref="E84:F88">
    <cfRule type="cellIs" dxfId="536" priority="9" operator="lessThan">
      <formula>#REF!</formula>
    </cfRule>
  </conditionalFormatting>
  <conditionalFormatting sqref="E82:G88">
    <cfRule type="cellIs" dxfId="535" priority="13" operator="lessThan">
      <formula>#REF!</formula>
    </cfRule>
    <cfRule type="cellIs" dxfId="534" priority="14" operator="greaterThan">
      <formula>#REF!</formula>
    </cfRule>
  </conditionalFormatting>
  <conditionalFormatting sqref="E12:L16">
    <cfRule type="cellIs" dxfId="533" priority="27" operator="lessThan">
      <formula>#REF!</formula>
    </cfRule>
    <cfRule type="cellIs" dxfId="532" priority="28" operator="greaterThan">
      <formula>#REF!</formula>
    </cfRule>
  </conditionalFormatting>
  <conditionalFormatting sqref="G60:J64 E62:F64 E66:H66 I66:J70">
    <cfRule type="cellIs" dxfId="531" priority="181" operator="lessThan">
      <formula>#REF!</formula>
    </cfRule>
    <cfRule type="cellIs" dxfId="530" priority="182" operator="greaterThan">
      <formula>#REF!</formula>
    </cfRule>
  </conditionalFormatting>
  <conditionalFormatting sqref="G76:J83 G87:J88">
    <cfRule type="cellIs" dxfId="529" priority="2" operator="greaterThan">
      <formula>#REF!</formula>
    </cfRule>
  </conditionalFormatting>
  <conditionalFormatting sqref="H82:J88">
    <cfRule type="cellIs" dxfId="528" priority="3" operator="lessThan">
      <formula>#REF!</formula>
    </cfRule>
    <cfRule type="cellIs" dxfId="527" priority="4" operator="greaterThan">
      <formula>#REF!</formula>
    </cfRule>
  </conditionalFormatting>
  <conditionalFormatting sqref="K37">
    <cfRule type="cellIs" dxfId="526" priority="85" operator="lessThan">
      <formula>#REF!</formula>
    </cfRule>
    <cfRule type="cellIs" dxfId="525" priority="86" operator="greaterThan">
      <formula>#REF!</formula>
    </cfRule>
  </conditionalFormatting>
  <conditionalFormatting sqref="K38">
    <cfRule type="cellIs" dxfId="524" priority="91" operator="lessThan">
      <formula>#REF!</formula>
    </cfRule>
    <cfRule type="cellIs" dxfId="523" priority="92" operator="greaterThan">
      <formula>#REF!</formula>
    </cfRule>
  </conditionalFormatting>
  <conditionalFormatting sqref="K41:K46">
    <cfRule type="cellIs" dxfId="522" priority="115" operator="lessThan">
      <formula>#REF!</formula>
    </cfRule>
    <cfRule type="cellIs" dxfId="521" priority="116" operator="greaterThan">
      <formula>#REF!</formula>
    </cfRule>
  </conditionalFormatting>
  <conditionalFormatting sqref="K49:K56 K58:K66 K68:K73">
    <cfRule type="cellIs" dxfId="520" priority="112" operator="greaterThan">
      <formula>#REF!</formula>
    </cfRule>
  </conditionalFormatting>
  <conditionalFormatting sqref="K49:K57">
    <cfRule type="cellIs" dxfId="519" priority="83" operator="lessThan">
      <formula>#REF!</formula>
    </cfRule>
    <cfRule type="cellIs" dxfId="518" priority="84" operator="greaterThan">
      <formula>#REF!</formula>
    </cfRule>
  </conditionalFormatting>
  <conditionalFormatting sqref="K57">
    <cfRule type="cellIs" dxfId="517" priority="81" operator="lessThan">
      <formula>#REF!</formula>
    </cfRule>
    <cfRule type="cellIs" dxfId="516" priority="82" operator="greaterThan">
      <formula>#REF!</formula>
    </cfRule>
  </conditionalFormatting>
  <conditionalFormatting sqref="K58:K66 K68:K73 K49:K56">
    <cfRule type="cellIs" dxfId="515" priority="111" operator="lessThan">
      <formula>#REF!</formula>
    </cfRule>
  </conditionalFormatting>
  <conditionalFormatting sqref="K58:K73">
    <cfRule type="cellIs" dxfId="514" priority="103" operator="lessThan">
      <formula>#REF!</formula>
    </cfRule>
    <cfRule type="cellIs" dxfId="513" priority="104" operator="greaterThan">
      <formula>#REF!</formula>
    </cfRule>
  </conditionalFormatting>
  <conditionalFormatting sqref="K67">
    <cfRule type="cellIs" dxfId="512" priority="101" operator="lessThan">
      <formula>#REF!</formula>
    </cfRule>
    <cfRule type="cellIs" dxfId="511" priority="102" operator="greaterThan">
      <formula>#REF!</formula>
    </cfRule>
  </conditionalFormatting>
  <conditionalFormatting sqref="K18:L19">
    <cfRule type="cellIs" dxfId="510" priority="19" operator="lessThan">
      <formula>#REF!</formula>
    </cfRule>
    <cfRule type="cellIs" dxfId="509" priority="20" operator="greaterThan">
      <formula>#REF!</formula>
    </cfRule>
  </conditionalFormatting>
  <conditionalFormatting sqref="K33:L33">
    <cfRule type="cellIs" dxfId="508" priority="61" operator="lessThan">
      <formula>#REF!</formula>
    </cfRule>
    <cfRule type="cellIs" dxfId="507" priority="62" operator="greaterThan">
      <formula>#REF!</formula>
    </cfRule>
  </conditionalFormatting>
  <conditionalFormatting sqref="L6">
    <cfRule type="cellIs" dxfId="506" priority="21" operator="lessThan">
      <formula>#REF!</formula>
    </cfRule>
    <cfRule type="cellIs" dxfId="505" priority="22" operator="greaterThan">
      <formula>#REF!</formula>
    </cfRule>
  </conditionalFormatting>
  <conditionalFormatting sqref="L18">
    <cfRule type="cellIs" dxfId="504" priority="17" operator="lessThan">
      <formula>#REF!</formula>
    </cfRule>
    <cfRule type="cellIs" dxfId="503" priority="18" operator="greaterThan">
      <formula>#REF!</formula>
    </cfRule>
  </conditionalFormatting>
  <conditionalFormatting sqref="L19">
    <cfRule type="cellIs" dxfId="502" priority="65" operator="lessThan">
      <formula>#REF!</formula>
    </cfRule>
    <cfRule type="cellIs" dxfId="501" priority="66" operator="greaterThan">
      <formula>#REF!</formula>
    </cfRule>
    <cfRule type="cellIs" dxfId="500" priority="67" operator="lessThan">
      <formula>#REF!</formula>
    </cfRule>
    <cfRule type="cellIs" dxfId="499" priority="68" operator="greaterThan">
      <formula>#REF!</formula>
    </cfRule>
  </conditionalFormatting>
  <conditionalFormatting sqref="L28">
    <cfRule type="cellIs" dxfId="498" priority="15" operator="lessThan">
      <formula>#REF!</formula>
    </cfRule>
    <cfRule type="cellIs" dxfId="497" priority="16" operator="greaterThan">
      <formula>#REF!</formula>
    </cfRule>
  </conditionalFormatting>
  <conditionalFormatting sqref="L37:L38">
    <cfRule type="cellIs" dxfId="496" priority="41" operator="lessThan">
      <formula>#REF!</formula>
    </cfRule>
    <cfRule type="cellIs" dxfId="495" priority="42" operator="greaterThan">
      <formula>#REF!</formula>
    </cfRule>
  </conditionalFormatting>
  <conditionalFormatting sqref="L37:L39">
    <cfRule type="cellIs" dxfId="494" priority="43" operator="lessThan">
      <formula>#REF!</formula>
    </cfRule>
    <cfRule type="cellIs" dxfId="493" priority="44" operator="greaterThan">
      <formula>#REF!</formula>
    </cfRule>
  </conditionalFormatting>
  <conditionalFormatting sqref="L41:L46">
    <cfRule type="cellIs" dxfId="492" priority="57" operator="lessThan">
      <formula>#REF!</formula>
    </cfRule>
    <cfRule type="cellIs" dxfId="491" priority="58" operator="greaterThan">
      <formula>#REF!</formula>
    </cfRule>
  </conditionalFormatting>
  <conditionalFormatting sqref="L49:L73">
    <cfRule type="cellIs" dxfId="490" priority="53" operator="lessThan">
      <formula>#REF!</formula>
    </cfRule>
    <cfRule type="cellIs" dxfId="489" priority="54" operator="greaterThan">
      <formula>#REF!</formula>
    </cfRule>
    <cfRule type="cellIs" dxfId="488" priority="55" operator="lessThan">
      <formula>#REF!</formula>
    </cfRule>
    <cfRule type="cellIs" dxfId="487" priority="56" operator="greaterThan">
      <formula>#REF!</formula>
    </cfRule>
  </conditionalFormatting>
  <pageMargins left="0.7" right="0.7" top="0.78740157499999996" bottom="0.78740157499999996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ECACC-0D69-4A3C-B5F2-796447B86B8D}">
  <sheetPr>
    <pageSetUpPr fitToPage="1"/>
  </sheetPr>
  <dimension ref="A1:L95"/>
  <sheetViews>
    <sheetView zoomScale="110" zoomScaleNormal="110" workbookViewId="0">
      <pane ySplit="5" topLeftCell="A51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3" width="7.7109375" style="163" customWidth="1"/>
    <col min="4" max="7" width="12.7109375" style="141" customWidth="1"/>
    <col min="8" max="8" width="13" style="141" customWidth="1"/>
    <col min="9" max="9" width="48" style="140" customWidth="1"/>
    <col min="10" max="16384" width="9.140625" style="140"/>
  </cols>
  <sheetData>
    <row r="1" spans="1:10" ht="15" customHeight="1" x14ac:dyDescent="0.2">
      <c r="A1" s="140" t="s">
        <v>177</v>
      </c>
      <c r="J1" s="140" t="s">
        <v>237</v>
      </c>
    </row>
    <row r="2" spans="1:10" s="1" customFormat="1" ht="23.25" customHeight="1" x14ac:dyDescent="0.25">
      <c r="A2" s="346" t="s">
        <v>98</v>
      </c>
      <c r="B2" s="346"/>
      <c r="C2" s="346"/>
      <c r="D2" s="347"/>
      <c r="E2" s="347"/>
      <c r="F2" s="347"/>
      <c r="G2" s="347"/>
      <c r="H2" s="347"/>
    </row>
    <row r="3" spans="1:10" ht="13.5" thickBot="1" x14ac:dyDescent="0.25">
      <c r="A3" s="143"/>
      <c r="D3" s="143"/>
      <c r="E3" s="143"/>
      <c r="F3" s="143"/>
      <c r="G3" s="143"/>
      <c r="H3" s="144" t="s">
        <v>1</v>
      </c>
      <c r="J3" s="142"/>
    </row>
    <row r="4" spans="1:10" ht="24.6" customHeight="1" x14ac:dyDescent="0.2">
      <c r="A4" s="296" t="s">
        <v>2</v>
      </c>
      <c r="B4" s="154"/>
      <c r="C4" s="154"/>
      <c r="D4" s="349" t="s">
        <v>178</v>
      </c>
      <c r="E4" s="350"/>
      <c r="F4" s="350"/>
      <c r="G4" s="351"/>
      <c r="H4" s="352" t="s">
        <v>4</v>
      </c>
    </row>
    <row r="5" spans="1:10" ht="24.6" customHeight="1" thickBot="1" x14ac:dyDescent="0.25">
      <c r="A5" s="348"/>
      <c r="B5" s="155" t="s">
        <v>181</v>
      </c>
      <c r="C5" s="155" t="s">
        <v>238</v>
      </c>
      <c r="D5" s="126">
        <v>2021</v>
      </c>
      <c r="E5" s="145">
        <v>2022</v>
      </c>
      <c r="F5" s="127">
        <v>2023</v>
      </c>
      <c r="G5" s="126">
        <v>2024</v>
      </c>
      <c r="H5" s="353"/>
    </row>
    <row r="6" spans="1:10" s="146" customFormat="1" ht="21" customHeight="1" x14ac:dyDescent="0.25">
      <c r="A6" s="301" t="s">
        <v>70</v>
      </c>
      <c r="B6" s="356"/>
      <c r="C6" s="356"/>
      <c r="D6" s="341"/>
      <c r="E6" s="341"/>
      <c r="F6" s="357"/>
      <c r="G6" s="342"/>
      <c r="H6" s="343"/>
    </row>
    <row r="7" spans="1:10" s="147" customFormat="1" ht="18" customHeight="1" x14ac:dyDescent="0.25">
      <c r="A7" s="335" t="s">
        <v>6</v>
      </c>
      <c r="B7" s="354"/>
      <c r="C7" s="354"/>
      <c r="D7" s="336"/>
      <c r="E7" s="336"/>
      <c r="F7" s="336"/>
      <c r="G7" s="336"/>
      <c r="H7" s="337"/>
    </row>
    <row r="8" spans="1:10" s="151" customFormat="1" ht="15" customHeight="1" x14ac:dyDescent="0.25">
      <c r="A8" s="148" t="s">
        <v>7</v>
      </c>
      <c r="B8" s="156">
        <v>3402</v>
      </c>
      <c r="C8" s="164" t="s">
        <v>239</v>
      </c>
      <c r="D8" s="149">
        <v>5576.1411900000003</v>
      </c>
      <c r="E8" s="149">
        <v>91590.16</v>
      </c>
      <c r="F8" s="149">
        <v>60950</v>
      </c>
      <c r="G8" s="149">
        <v>0</v>
      </c>
      <c r="H8" s="150">
        <f>D8+E8+F8+G8</f>
        <v>158116.30119</v>
      </c>
    </row>
    <row r="9" spans="1:10" s="151" customFormat="1" ht="24" customHeight="1" x14ac:dyDescent="0.25">
      <c r="A9" s="148" t="s">
        <v>8</v>
      </c>
      <c r="B9" s="156" t="s">
        <v>182</v>
      </c>
      <c r="C9" s="164" t="s">
        <v>239</v>
      </c>
      <c r="D9" s="149">
        <v>3541.7672600000001</v>
      </c>
      <c r="E9" s="149">
        <v>26967.23</v>
      </c>
      <c r="F9" s="149">
        <v>19995</v>
      </c>
      <c r="G9" s="149">
        <v>0</v>
      </c>
      <c r="H9" s="150">
        <f>D9+E9+F9+G9</f>
        <v>50503.997260000004</v>
      </c>
    </row>
    <row r="10" spans="1:10" s="146" customFormat="1" ht="15" customHeight="1" x14ac:dyDescent="0.25">
      <c r="A10" s="10" t="s">
        <v>9</v>
      </c>
      <c r="B10" s="157"/>
      <c r="C10" s="165"/>
      <c r="D10" s="11">
        <f t="shared" ref="D10:G10" si="0">SUM(D8:D9)</f>
        <v>9117.9084500000008</v>
      </c>
      <c r="E10" s="11">
        <f t="shared" si="0"/>
        <v>118557.39</v>
      </c>
      <c r="F10" s="11">
        <f t="shared" si="0"/>
        <v>80945</v>
      </c>
      <c r="G10" s="11">
        <f t="shared" si="0"/>
        <v>0</v>
      </c>
      <c r="H10" s="12">
        <f>SUM(H8:H9)</f>
        <v>208620.29845</v>
      </c>
    </row>
    <row r="11" spans="1:10" s="147" customFormat="1" ht="18" customHeight="1" x14ac:dyDescent="0.25">
      <c r="A11" s="338" t="s">
        <v>32</v>
      </c>
      <c r="B11" s="355"/>
      <c r="C11" s="355"/>
      <c r="D11" s="339"/>
      <c r="E11" s="339"/>
      <c r="F11" s="339"/>
      <c r="G11" s="339"/>
      <c r="H11" s="340"/>
    </row>
    <row r="12" spans="1:10" s="151" customFormat="1" ht="15" customHeight="1" x14ac:dyDescent="0.25">
      <c r="A12" s="148" t="s">
        <v>83</v>
      </c>
      <c r="B12" s="156" t="s">
        <v>183</v>
      </c>
      <c r="C12" s="164" t="s">
        <v>239</v>
      </c>
      <c r="D12" s="149">
        <v>0</v>
      </c>
      <c r="E12" s="149">
        <v>26810</v>
      </c>
      <c r="F12" s="149">
        <v>0</v>
      </c>
      <c r="G12" s="182">
        <v>0</v>
      </c>
      <c r="H12" s="150">
        <f>D12+E12+F12+G12</f>
        <v>26810</v>
      </c>
    </row>
    <row r="13" spans="1:10" s="151" customFormat="1" ht="15" customHeight="1" x14ac:dyDescent="0.25">
      <c r="A13" s="148" t="s">
        <v>86</v>
      </c>
      <c r="B13" s="156" t="s">
        <v>184</v>
      </c>
      <c r="C13" s="164" t="s">
        <v>239</v>
      </c>
      <c r="D13" s="149">
        <v>0</v>
      </c>
      <c r="E13" s="149">
        <v>10963</v>
      </c>
      <c r="F13" s="149">
        <v>0</v>
      </c>
      <c r="G13" s="182">
        <v>0</v>
      </c>
      <c r="H13" s="150">
        <f>D13+E13+F13+G13</f>
        <v>10963</v>
      </c>
    </row>
    <row r="14" spans="1:10" s="151" customFormat="1" ht="15" customHeight="1" x14ac:dyDescent="0.25">
      <c r="A14" s="148" t="s">
        <v>84</v>
      </c>
      <c r="B14" s="156" t="s">
        <v>185</v>
      </c>
      <c r="C14" s="164" t="s">
        <v>239</v>
      </c>
      <c r="D14" s="149">
        <v>0</v>
      </c>
      <c r="E14" s="149">
        <v>21262</v>
      </c>
      <c r="F14" s="149">
        <v>0</v>
      </c>
      <c r="G14" s="182">
        <v>0</v>
      </c>
      <c r="H14" s="150">
        <f>D14+E14+F14+G14</f>
        <v>21262</v>
      </c>
    </row>
    <row r="15" spans="1:10" s="151" customFormat="1" ht="15" customHeight="1" x14ac:dyDescent="0.25">
      <c r="A15" s="148" t="s">
        <v>85</v>
      </c>
      <c r="B15" s="156" t="s">
        <v>186</v>
      </c>
      <c r="C15" s="164" t="s">
        <v>239</v>
      </c>
      <c r="D15" s="149">
        <v>0</v>
      </c>
      <c r="E15" s="149">
        <v>50842</v>
      </c>
      <c r="F15" s="149">
        <v>0</v>
      </c>
      <c r="G15" s="182">
        <v>0</v>
      </c>
      <c r="H15" s="150">
        <f>D15+E15+F15+G15</f>
        <v>50842</v>
      </c>
    </row>
    <row r="16" spans="1:10" s="146" customFormat="1" ht="15" customHeight="1" x14ac:dyDescent="0.25">
      <c r="A16" s="10" t="s">
        <v>47</v>
      </c>
      <c r="B16" s="157"/>
      <c r="C16" s="165"/>
      <c r="D16" s="11">
        <f>SUM(D12:D15)</f>
        <v>0</v>
      </c>
      <c r="E16" s="11">
        <f t="shared" ref="E16:G16" si="1">SUM(E12:E15)</f>
        <v>109877</v>
      </c>
      <c r="F16" s="11">
        <f t="shared" si="1"/>
        <v>0</v>
      </c>
      <c r="G16" s="11">
        <f t="shared" si="1"/>
        <v>0</v>
      </c>
      <c r="H16" s="12">
        <f>SUM(H12:H15)</f>
        <v>109877</v>
      </c>
    </row>
    <row r="17" spans="1:10" s="147" customFormat="1" ht="18" customHeight="1" x14ac:dyDescent="0.25">
      <c r="A17" s="335" t="s">
        <v>10</v>
      </c>
      <c r="B17" s="354"/>
      <c r="C17" s="354"/>
      <c r="D17" s="336"/>
      <c r="E17" s="336"/>
      <c r="F17" s="336"/>
      <c r="G17" s="336"/>
      <c r="H17" s="337"/>
    </row>
    <row r="18" spans="1:10" s="151" customFormat="1" ht="15" customHeight="1" x14ac:dyDescent="0.25">
      <c r="A18" s="148" t="s">
        <v>11</v>
      </c>
      <c r="B18" s="156" t="s">
        <v>187</v>
      </c>
      <c r="C18" s="164" t="s">
        <v>239</v>
      </c>
      <c r="D18" s="149">
        <v>0</v>
      </c>
      <c r="E18" s="149">
        <v>8443</v>
      </c>
      <c r="F18" s="149">
        <v>27770</v>
      </c>
      <c r="G18" s="182">
        <v>0</v>
      </c>
      <c r="H18" s="150">
        <f>D18+E18+F18+G18</f>
        <v>36213</v>
      </c>
    </row>
    <row r="19" spans="1:10" s="146" customFormat="1" ht="23.45" customHeight="1" thickBot="1" x14ac:dyDescent="0.3">
      <c r="A19" s="10" t="s">
        <v>13</v>
      </c>
      <c r="B19" s="157"/>
      <c r="C19" s="165"/>
      <c r="D19" s="11">
        <f t="shared" ref="D19:G19" si="2">SUM(D18:D18)</f>
        <v>0</v>
      </c>
      <c r="E19" s="11">
        <f t="shared" si="2"/>
        <v>8443</v>
      </c>
      <c r="F19" s="11">
        <f t="shared" si="2"/>
        <v>27770</v>
      </c>
      <c r="G19" s="11">
        <f t="shared" si="2"/>
        <v>0</v>
      </c>
      <c r="H19" s="12">
        <f>SUM(H18:H18)</f>
        <v>36213</v>
      </c>
    </row>
    <row r="20" spans="1:10" s="146" customFormat="1" ht="25.5" customHeight="1" thickBot="1" x14ac:dyDescent="0.3">
      <c r="A20" s="14" t="s">
        <v>71</v>
      </c>
      <c r="B20" s="158"/>
      <c r="C20" s="166"/>
      <c r="D20" s="15">
        <f t="shared" ref="D20:H20" si="3">D10+D16+D19</f>
        <v>9117.9084500000008</v>
      </c>
      <c r="E20" s="15">
        <f t="shared" si="3"/>
        <v>236877.39</v>
      </c>
      <c r="F20" s="15">
        <f t="shared" si="3"/>
        <v>108715</v>
      </c>
      <c r="G20" s="15">
        <f t="shared" si="3"/>
        <v>0</v>
      </c>
      <c r="H20" s="16">
        <f t="shared" si="3"/>
        <v>354710.29845</v>
      </c>
    </row>
    <row r="21" spans="1:10" s="146" customFormat="1" ht="12" customHeight="1" thickBot="1" x14ac:dyDescent="0.3">
      <c r="A21" s="17"/>
      <c r="B21" s="159"/>
      <c r="C21" s="167"/>
      <c r="D21" s="94"/>
      <c r="E21" s="94"/>
      <c r="F21" s="94"/>
      <c r="G21" s="94"/>
      <c r="H21" s="95"/>
    </row>
    <row r="22" spans="1:10" s="146" customFormat="1" ht="21" hidden="1" customHeight="1" x14ac:dyDescent="0.25">
      <c r="A22" s="301" t="s">
        <v>72</v>
      </c>
      <c r="B22" s="356"/>
      <c r="C22" s="356"/>
      <c r="D22" s="341"/>
      <c r="E22" s="341"/>
      <c r="F22" s="357"/>
      <c r="G22" s="342"/>
      <c r="H22" s="343"/>
    </row>
    <row r="23" spans="1:10" s="147" customFormat="1" ht="18" hidden="1" customHeight="1" x14ac:dyDescent="0.25">
      <c r="A23" s="335" t="s">
        <v>48</v>
      </c>
      <c r="B23" s="354"/>
      <c r="C23" s="354"/>
      <c r="D23" s="336"/>
      <c r="E23" s="336"/>
      <c r="F23" s="336"/>
      <c r="G23" s="336"/>
      <c r="H23" s="337"/>
      <c r="J23" s="169"/>
    </row>
    <row r="24" spans="1:10" s="151" customFormat="1" ht="24" hidden="1" customHeight="1" x14ac:dyDescent="0.25">
      <c r="A24" s="148"/>
      <c r="B24" s="156"/>
      <c r="C24" s="164"/>
      <c r="D24" s="149"/>
      <c r="E24" s="149"/>
      <c r="F24" s="149"/>
      <c r="G24" s="182"/>
      <c r="H24" s="150">
        <f>D24+E24+F24+G24</f>
        <v>0</v>
      </c>
    </row>
    <row r="25" spans="1:10" s="146" customFormat="1" ht="15" hidden="1" customHeight="1" thickBot="1" x14ac:dyDescent="0.3">
      <c r="A25" s="10" t="s">
        <v>53</v>
      </c>
      <c r="B25" s="157"/>
      <c r="C25" s="165"/>
      <c r="D25" s="11">
        <f>SUM(D24:D24)</f>
        <v>0</v>
      </c>
      <c r="E25" s="11">
        <f>SUM(E24:E24)</f>
        <v>0</v>
      </c>
      <c r="F25" s="11">
        <f t="shared" ref="F25:G25" si="4">SUM(F24:F24)</f>
        <v>0</v>
      </c>
      <c r="G25" s="11">
        <f t="shared" si="4"/>
        <v>0</v>
      </c>
      <c r="H25" s="12">
        <f>SUM(H24:H24)</f>
        <v>0</v>
      </c>
    </row>
    <row r="26" spans="1:10" s="146" customFormat="1" ht="36" hidden="1" customHeight="1" thickBot="1" x14ac:dyDescent="0.3">
      <c r="A26" s="14" t="s">
        <v>79</v>
      </c>
      <c r="B26" s="158"/>
      <c r="C26" s="166"/>
      <c r="D26" s="15">
        <f>D25</f>
        <v>0</v>
      </c>
      <c r="E26" s="15">
        <f>E25</f>
        <v>0</v>
      </c>
      <c r="F26" s="15">
        <f t="shared" ref="F26:G26" si="5">F25</f>
        <v>0</v>
      </c>
      <c r="G26" s="15">
        <f t="shared" si="5"/>
        <v>0</v>
      </c>
      <c r="H26" s="196">
        <f>H25</f>
        <v>0</v>
      </c>
      <c r="J26" s="188"/>
    </row>
    <row r="27" spans="1:10" s="146" customFormat="1" ht="12" hidden="1" customHeight="1" thickBot="1" x14ac:dyDescent="0.3">
      <c r="A27" s="17"/>
      <c r="B27" s="159"/>
      <c r="C27" s="167"/>
      <c r="D27" s="94"/>
      <c r="E27" s="94"/>
      <c r="F27" s="94"/>
      <c r="G27" s="94"/>
      <c r="H27" s="95"/>
    </row>
    <row r="28" spans="1:10" s="146" customFormat="1" ht="21" customHeight="1" x14ac:dyDescent="0.25">
      <c r="A28" s="301" t="s">
        <v>15</v>
      </c>
      <c r="B28" s="356"/>
      <c r="C28" s="356"/>
      <c r="D28" s="341"/>
      <c r="E28" s="341"/>
      <c r="F28" s="341"/>
      <c r="G28" s="358"/>
      <c r="H28" s="345"/>
    </row>
    <row r="29" spans="1:10" s="147" customFormat="1" ht="18" customHeight="1" x14ac:dyDescent="0.25">
      <c r="A29" s="338" t="s">
        <v>16</v>
      </c>
      <c r="B29" s="355"/>
      <c r="C29" s="355"/>
      <c r="D29" s="339"/>
      <c r="E29" s="339"/>
      <c r="F29" s="339"/>
      <c r="G29" s="339"/>
      <c r="H29" s="340"/>
    </row>
    <row r="30" spans="1:10" s="151" customFormat="1" ht="24" customHeight="1" x14ac:dyDescent="0.25">
      <c r="A30" s="148" t="s">
        <v>162</v>
      </c>
      <c r="B30" s="156" t="s">
        <v>189</v>
      </c>
      <c r="C30" s="164" t="s">
        <v>245</v>
      </c>
      <c r="D30" s="20">
        <v>0</v>
      </c>
      <c r="E30" s="172">
        <v>40000</v>
      </c>
      <c r="F30" s="172">
        <v>52000</v>
      </c>
      <c r="G30" s="20">
        <v>0</v>
      </c>
      <c r="H30" s="150">
        <f>D30+E30+F30+G30</f>
        <v>92000</v>
      </c>
    </row>
    <row r="31" spans="1:10" s="151" customFormat="1" ht="24" customHeight="1" x14ac:dyDescent="0.25">
      <c r="A31" s="148" t="s">
        <v>165</v>
      </c>
      <c r="B31" s="156" t="s">
        <v>191</v>
      </c>
      <c r="C31" s="164" t="s">
        <v>245</v>
      </c>
      <c r="D31" s="20">
        <v>0</v>
      </c>
      <c r="E31" s="172">
        <v>60000</v>
      </c>
      <c r="F31" s="172">
        <v>0</v>
      </c>
      <c r="G31" s="20">
        <v>0</v>
      </c>
      <c r="H31" s="150">
        <f>D31+E31+F31+G31</f>
        <v>60000</v>
      </c>
    </row>
    <row r="32" spans="1:10" s="151" customFormat="1" ht="15" customHeight="1" x14ac:dyDescent="0.25">
      <c r="A32" s="148" t="s">
        <v>180</v>
      </c>
      <c r="B32" s="156" t="s">
        <v>192</v>
      </c>
      <c r="C32" s="164" t="s">
        <v>247</v>
      </c>
      <c r="D32" s="20">
        <v>0</v>
      </c>
      <c r="E32" s="172">
        <v>300</v>
      </c>
      <c r="F32" s="20">
        <v>75000</v>
      </c>
      <c r="G32" s="20">
        <v>15000</v>
      </c>
      <c r="H32" s="150">
        <f>D32+E32+F32+G32</f>
        <v>90300</v>
      </c>
    </row>
    <row r="33" spans="1:12" s="151" customFormat="1" ht="15" customHeight="1" x14ac:dyDescent="0.25">
      <c r="A33" s="200" t="s">
        <v>17</v>
      </c>
      <c r="B33" s="156" t="s">
        <v>193</v>
      </c>
      <c r="C33" s="164" t="s">
        <v>247</v>
      </c>
      <c r="D33" s="20">
        <v>0</v>
      </c>
      <c r="E33" s="172">
        <f>30807-29500</f>
        <v>1307</v>
      </c>
      <c r="F33" s="20">
        <f>277178+30993-52000</f>
        <v>256171</v>
      </c>
      <c r="G33" s="20">
        <v>0</v>
      </c>
      <c r="H33" s="150">
        <f>D33+E33+F33+G33</f>
        <v>257478</v>
      </c>
      <c r="J33" s="179"/>
    </row>
    <row r="34" spans="1:12" s="151" customFormat="1" ht="24" customHeight="1" x14ac:dyDescent="0.25">
      <c r="A34" s="200" t="s">
        <v>92</v>
      </c>
      <c r="B34" s="156" t="s">
        <v>194</v>
      </c>
      <c r="C34" s="164" t="s">
        <v>247</v>
      </c>
      <c r="D34" s="20">
        <v>0</v>
      </c>
      <c r="E34" s="172">
        <v>31298</v>
      </c>
      <c r="F34" s="20">
        <v>29000</v>
      </c>
      <c r="G34" s="20">
        <v>2702</v>
      </c>
      <c r="H34" s="150">
        <f>D34+E34+F34+G34</f>
        <v>63000</v>
      </c>
    </row>
    <row r="35" spans="1:12" s="146" customFormat="1" ht="15" customHeight="1" x14ac:dyDescent="0.25">
      <c r="A35" s="10" t="s">
        <v>19</v>
      </c>
      <c r="B35" s="157"/>
      <c r="C35" s="165"/>
      <c r="D35" s="11">
        <f>SUM(D30:D34)</f>
        <v>0</v>
      </c>
      <c r="E35" s="11">
        <f>SUM(E30:E34)</f>
        <v>132905</v>
      </c>
      <c r="F35" s="11">
        <f>SUM(F30:F34)</f>
        <v>412171</v>
      </c>
      <c r="G35" s="11">
        <f>SUM(G30:G34)</f>
        <v>17702</v>
      </c>
      <c r="H35" s="12">
        <f>SUM(H30:H34)</f>
        <v>562778</v>
      </c>
      <c r="J35" s="188"/>
      <c r="K35" s="188"/>
      <c r="L35" s="188"/>
    </row>
    <row r="36" spans="1:12" s="147" customFormat="1" ht="18" customHeight="1" x14ac:dyDescent="0.25">
      <c r="A36" s="332" t="s">
        <v>20</v>
      </c>
      <c r="B36" s="333"/>
      <c r="C36" s="333"/>
      <c r="D36" s="333"/>
      <c r="E36" s="333"/>
      <c r="F36" s="333"/>
      <c r="G36" s="333"/>
      <c r="H36" s="334"/>
      <c r="J36" s="169"/>
    </row>
    <row r="37" spans="1:12" s="151" customFormat="1" ht="24" customHeight="1" x14ac:dyDescent="0.25">
      <c r="A37" s="21" t="s">
        <v>24</v>
      </c>
      <c r="B37" s="160" t="s">
        <v>195</v>
      </c>
      <c r="C37" s="164" t="s">
        <v>247</v>
      </c>
      <c r="D37" s="20">
        <v>375.1</v>
      </c>
      <c r="E37" s="172">
        <v>5000</v>
      </c>
      <c r="F37" s="20">
        <v>55000</v>
      </c>
      <c r="G37" s="172">
        <v>39557</v>
      </c>
      <c r="H37" s="150">
        <f>D37+E37+F37+G37</f>
        <v>99932.1</v>
      </c>
      <c r="I37" s="146"/>
    </row>
    <row r="38" spans="1:12" s="151" customFormat="1" ht="24" customHeight="1" x14ac:dyDescent="0.25">
      <c r="A38" s="21" t="s">
        <v>23</v>
      </c>
      <c r="B38" s="160" t="s">
        <v>196</v>
      </c>
      <c r="C38" s="164" t="s">
        <v>247</v>
      </c>
      <c r="D38" s="20">
        <v>615</v>
      </c>
      <c r="E38" s="172">
        <v>40400</v>
      </c>
      <c r="F38" s="20">
        <v>10000</v>
      </c>
      <c r="G38" s="172">
        <v>0</v>
      </c>
      <c r="H38" s="150">
        <f>D38+E38+F38+G38</f>
        <v>51015</v>
      </c>
    </row>
    <row r="39" spans="1:12" s="146" customFormat="1" ht="15" customHeight="1" x14ac:dyDescent="0.25">
      <c r="A39" s="10" t="s">
        <v>27</v>
      </c>
      <c r="B39" s="157"/>
      <c r="C39" s="165"/>
      <c r="D39" s="11">
        <f>SUM(D37:D38)</f>
        <v>990.1</v>
      </c>
      <c r="E39" s="11">
        <f>SUM(E37:E38)</f>
        <v>45400</v>
      </c>
      <c r="F39" s="11">
        <f>SUM(F37:F38)</f>
        <v>65000</v>
      </c>
      <c r="G39" s="11">
        <f>SUM(G37:G38)</f>
        <v>39557</v>
      </c>
      <c r="H39" s="12">
        <f>SUM(H37:H38)</f>
        <v>150947.1</v>
      </c>
      <c r="J39" s="188"/>
      <c r="K39" s="188"/>
    </row>
    <row r="40" spans="1:12" s="147" customFormat="1" ht="18" customHeight="1" x14ac:dyDescent="0.25">
      <c r="A40" s="335" t="s">
        <v>6</v>
      </c>
      <c r="B40" s="354"/>
      <c r="C40" s="354"/>
      <c r="D40" s="336"/>
      <c r="E40" s="336"/>
      <c r="F40" s="336"/>
      <c r="G40" s="336"/>
      <c r="H40" s="337"/>
    </row>
    <row r="41" spans="1:12" s="151" customFormat="1" ht="24" customHeight="1" x14ac:dyDescent="0.25">
      <c r="A41" s="148" t="s">
        <v>110</v>
      </c>
      <c r="B41" s="156" t="s">
        <v>198</v>
      </c>
      <c r="C41" s="164" t="s">
        <v>247</v>
      </c>
      <c r="D41" s="20">
        <v>11814</v>
      </c>
      <c r="E41" s="172">
        <v>0</v>
      </c>
      <c r="F41" s="172">
        <v>0</v>
      </c>
      <c r="G41" s="172">
        <v>0</v>
      </c>
      <c r="H41" s="150">
        <f t="shared" ref="H41:H46" si="6">D41+E41+F41+G41</f>
        <v>11814</v>
      </c>
    </row>
    <row r="42" spans="1:12" s="151" customFormat="1" ht="24" customHeight="1" x14ac:dyDescent="0.25">
      <c r="A42" s="23" t="s">
        <v>111</v>
      </c>
      <c r="B42" s="161" t="s">
        <v>199</v>
      </c>
      <c r="C42" s="164" t="s">
        <v>247</v>
      </c>
      <c r="D42" s="20">
        <v>6329.88</v>
      </c>
      <c r="E42" s="172">
        <v>0</v>
      </c>
      <c r="F42" s="172">
        <v>0</v>
      </c>
      <c r="G42" s="172">
        <v>0</v>
      </c>
      <c r="H42" s="150">
        <f t="shared" si="6"/>
        <v>6329.88</v>
      </c>
    </row>
    <row r="43" spans="1:12" s="151" customFormat="1" ht="24" customHeight="1" x14ac:dyDescent="0.25">
      <c r="A43" s="23" t="s">
        <v>113</v>
      </c>
      <c r="B43" s="161" t="s">
        <v>200</v>
      </c>
      <c r="C43" s="164" t="s">
        <v>247</v>
      </c>
      <c r="D43" s="20">
        <v>12143.58</v>
      </c>
      <c r="E43" s="172">
        <v>1042.1199999999999</v>
      </c>
      <c r="F43" s="172">
        <v>0</v>
      </c>
      <c r="G43" s="172">
        <v>0</v>
      </c>
      <c r="H43" s="150">
        <f t="shared" si="6"/>
        <v>13185.7</v>
      </c>
    </row>
    <row r="44" spans="1:12" s="151" customFormat="1" ht="24" customHeight="1" x14ac:dyDescent="0.25">
      <c r="A44" s="23" t="s">
        <v>31</v>
      </c>
      <c r="B44" s="161" t="s">
        <v>201</v>
      </c>
      <c r="C44" s="164" t="s">
        <v>247</v>
      </c>
      <c r="D44" s="20">
        <v>10650</v>
      </c>
      <c r="E44" s="172">
        <f>5700-2850</f>
        <v>2850</v>
      </c>
      <c r="F44" s="172">
        <v>0</v>
      </c>
      <c r="G44" s="172">
        <v>0</v>
      </c>
      <c r="H44" s="150">
        <f t="shared" si="6"/>
        <v>13500</v>
      </c>
    </row>
    <row r="45" spans="1:12" s="151" customFormat="1" ht="24" customHeight="1" x14ac:dyDescent="0.25">
      <c r="A45" s="148" t="s">
        <v>29</v>
      </c>
      <c r="B45" s="156" t="s">
        <v>202</v>
      </c>
      <c r="C45" s="164" t="s">
        <v>239</v>
      </c>
      <c r="D45" s="20">
        <v>0</v>
      </c>
      <c r="E45" s="172">
        <v>29386</v>
      </c>
      <c r="F45" s="172">
        <v>88106</v>
      </c>
      <c r="G45" s="172">
        <v>0</v>
      </c>
      <c r="H45" s="150">
        <f t="shared" si="6"/>
        <v>117492</v>
      </c>
    </row>
    <row r="46" spans="1:12" s="151" customFormat="1" ht="15" customHeight="1" x14ac:dyDescent="0.25">
      <c r="A46" s="23" t="s">
        <v>30</v>
      </c>
      <c r="B46" s="161" t="s">
        <v>203</v>
      </c>
      <c r="C46" s="168" t="s">
        <v>239</v>
      </c>
      <c r="D46" s="20">
        <v>1446.18</v>
      </c>
      <c r="E46" s="172">
        <v>88514.85</v>
      </c>
      <c r="F46" s="172">
        <v>205039</v>
      </c>
      <c r="G46" s="172">
        <v>0</v>
      </c>
      <c r="H46" s="150">
        <f t="shared" si="6"/>
        <v>295000.03000000003</v>
      </c>
    </row>
    <row r="47" spans="1:12" s="146" customFormat="1" ht="15" customHeight="1" x14ac:dyDescent="0.25">
      <c r="A47" s="10" t="s">
        <v>9</v>
      </c>
      <c r="B47" s="157"/>
      <c r="C47" s="165"/>
      <c r="D47" s="11">
        <f>SUM(D41:D46)</f>
        <v>42383.64</v>
      </c>
      <c r="E47" s="11">
        <f>SUM(E41:E46)</f>
        <v>121792.97</v>
      </c>
      <c r="F47" s="11">
        <f>SUM(F41:F46)</f>
        <v>293145</v>
      </c>
      <c r="G47" s="11">
        <f t="shared" ref="G47" si="7">SUM(G41:G46)</f>
        <v>0</v>
      </c>
      <c r="H47" s="12">
        <f>SUM(H41:H46)</f>
        <v>457321.61000000004</v>
      </c>
    </row>
    <row r="48" spans="1:12" s="147" customFormat="1" ht="18" customHeight="1" x14ac:dyDescent="0.25">
      <c r="A48" s="335" t="s">
        <v>32</v>
      </c>
      <c r="B48" s="354"/>
      <c r="C48" s="354"/>
      <c r="D48" s="336"/>
      <c r="E48" s="336"/>
      <c r="F48" s="336"/>
      <c r="G48" s="336"/>
      <c r="H48" s="337"/>
    </row>
    <row r="49" spans="1:11" s="147" customFormat="1" ht="24" customHeight="1" x14ac:dyDescent="0.25">
      <c r="A49" s="148" t="s">
        <v>33</v>
      </c>
      <c r="B49" s="156" t="s">
        <v>204</v>
      </c>
      <c r="C49" s="164" t="s">
        <v>247</v>
      </c>
      <c r="D49" s="20">
        <v>95.59</v>
      </c>
      <c r="E49" s="172">
        <v>44904.41</v>
      </c>
      <c r="F49" s="172">
        <v>0</v>
      </c>
      <c r="G49" s="172">
        <v>0</v>
      </c>
      <c r="H49" s="150">
        <f t="shared" ref="H49:H73" si="8">D49+E49+F49+G49</f>
        <v>45000</v>
      </c>
    </row>
    <row r="50" spans="1:11" s="147" customFormat="1" ht="24" customHeight="1" x14ac:dyDescent="0.25">
      <c r="A50" s="23" t="s">
        <v>39</v>
      </c>
      <c r="B50" s="161" t="s">
        <v>205</v>
      </c>
      <c r="C50" s="164" t="s">
        <v>247</v>
      </c>
      <c r="D50" s="20">
        <v>50386.47</v>
      </c>
      <c r="E50" s="172">
        <v>3269.53</v>
      </c>
      <c r="F50" s="172">
        <v>0</v>
      </c>
      <c r="G50" s="172">
        <v>0</v>
      </c>
      <c r="H50" s="150">
        <f t="shared" si="8"/>
        <v>53656</v>
      </c>
    </row>
    <row r="51" spans="1:11" s="147" customFormat="1" ht="24" customHeight="1" x14ac:dyDescent="0.25">
      <c r="A51" s="23" t="s">
        <v>43</v>
      </c>
      <c r="B51" s="161" t="s">
        <v>206</v>
      </c>
      <c r="C51" s="164" t="s">
        <v>247</v>
      </c>
      <c r="D51" s="20">
        <v>30678.01</v>
      </c>
      <c r="E51" s="172">
        <v>0</v>
      </c>
      <c r="F51" s="172">
        <v>0</v>
      </c>
      <c r="G51" s="172">
        <v>0</v>
      </c>
      <c r="H51" s="150">
        <f t="shared" si="8"/>
        <v>30678.01</v>
      </c>
    </row>
    <row r="52" spans="1:11" s="147" customFormat="1" ht="24" customHeight="1" x14ac:dyDescent="0.25">
      <c r="A52" s="148" t="s">
        <v>44</v>
      </c>
      <c r="B52" s="156" t="s">
        <v>207</v>
      </c>
      <c r="C52" s="164" t="s">
        <v>247</v>
      </c>
      <c r="D52" s="20">
        <v>40000</v>
      </c>
      <c r="E52" s="172">
        <v>0</v>
      </c>
      <c r="F52" s="172">
        <v>0</v>
      </c>
      <c r="G52" s="172">
        <v>0</v>
      </c>
      <c r="H52" s="150">
        <f t="shared" si="8"/>
        <v>40000</v>
      </c>
    </row>
    <row r="53" spans="1:11" s="147" customFormat="1" ht="24" customHeight="1" x14ac:dyDescent="0.25">
      <c r="A53" s="148" t="s">
        <v>208</v>
      </c>
      <c r="B53" s="156" t="s">
        <v>209</v>
      </c>
      <c r="C53" s="164" t="s">
        <v>247</v>
      </c>
      <c r="D53" s="20">
        <v>6200</v>
      </c>
      <c r="E53" s="172">
        <v>0</v>
      </c>
      <c r="F53" s="172">
        <v>0</v>
      </c>
      <c r="G53" s="172">
        <v>0</v>
      </c>
      <c r="H53" s="150">
        <f t="shared" si="8"/>
        <v>6200</v>
      </c>
    </row>
    <row r="54" spans="1:11" s="147" customFormat="1" ht="24" customHeight="1" x14ac:dyDescent="0.25">
      <c r="A54" s="23" t="s">
        <v>89</v>
      </c>
      <c r="B54" s="161" t="s">
        <v>210</v>
      </c>
      <c r="C54" s="164" t="s">
        <v>247</v>
      </c>
      <c r="D54" s="20">
        <v>7025.05</v>
      </c>
      <c r="E54" s="172">
        <v>2094.9499999999998</v>
      </c>
      <c r="F54" s="172">
        <v>0</v>
      </c>
      <c r="G54" s="172">
        <v>0</v>
      </c>
      <c r="H54" s="150">
        <f t="shared" si="8"/>
        <v>9120</v>
      </c>
    </row>
    <row r="55" spans="1:11" s="147" customFormat="1" ht="24" customHeight="1" x14ac:dyDescent="0.25">
      <c r="A55" s="148" t="s">
        <v>131</v>
      </c>
      <c r="B55" s="156" t="s">
        <v>211</v>
      </c>
      <c r="C55" s="164" t="s">
        <v>247</v>
      </c>
      <c r="D55" s="20">
        <v>7949.67</v>
      </c>
      <c r="E55" s="172">
        <v>0</v>
      </c>
      <c r="F55" s="172">
        <v>0</v>
      </c>
      <c r="G55" s="172">
        <v>0</v>
      </c>
      <c r="H55" s="150">
        <f t="shared" si="8"/>
        <v>7949.67</v>
      </c>
    </row>
    <row r="56" spans="1:11" s="147" customFormat="1" ht="24" customHeight="1" x14ac:dyDescent="0.25">
      <c r="A56" s="148" t="s">
        <v>172</v>
      </c>
      <c r="B56" s="156" t="s">
        <v>212</v>
      </c>
      <c r="C56" s="164" t="s">
        <v>247</v>
      </c>
      <c r="D56" s="20">
        <v>0</v>
      </c>
      <c r="E56" s="172">
        <v>15000</v>
      </c>
      <c r="F56" s="172">
        <v>0</v>
      </c>
      <c r="G56" s="172">
        <v>0</v>
      </c>
      <c r="H56" s="150">
        <f t="shared" si="8"/>
        <v>15000</v>
      </c>
    </row>
    <row r="57" spans="1:11" s="147" customFormat="1" ht="24" customHeight="1" x14ac:dyDescent="0.25">
      <c r="A57" s="148" t="s">
        <v>34</v>
      </c>
      <c r="B57" s="195" t="s">
        <v>213</v>
      </c>
      <c r="C57" s="164" t="s">
        <v>247</v>
      </c>
      <c r="D57" s="20">
        <v>0</v>
      </c>
      <c r="E57" s="172">
        <f>500+213</f>
        <v>713</v>
      </c>
      <c r="F57" s="172">
        <v>0</v>
      </c>
      <c r="G57" s="172">
        <v>0</v>
      </c>
      <c r="H57" s="150">
        <f t="shared" si="8"/>
        <v>713</v>
      </c>
      <c r="I57" s="173"/>
    </row>
    <row r="58" spans="1:11" s="147" customFormat="1" ht="24" customHeight="1" x14ac:dyDescent="0.25">
      <c r="A58" s="148" t="s">
        <v>42</v>
      </c>
      <c r="B58" s="156" t="s">
        <v>214</v>
      </c>
      <c r="C58" s="164" t="s">
        <v>247</v>
      </c>
      <c r="D58" s="20">
        <v>43980.06</v>
      </c>
      <c r="E58" s="20">
        <v>13719.93</v>
      </c>
      <c r="F58" s="172">
        <v>0</v>
      </c>
      <c r="G58" s="172">
        <v>0</v>
      </c>
      <c r="H58" s="150">
        <f t="shared" si="8"/>
        <v>57699.99</v>
      </c>
      <c r="I58" s="174"/>
    </row>
    <row r="59" spans="1:11" s="147" customFormat="1" ht="24" customHeight="1" x14ac:dyDescent="0.25">
      <c r="A59" s="148" t="s">
        <v>45</v>
      </c>
      <c r="B59" s="161" t="s">
        <v>215</v>
      </c>
      <c r="C59" s="164" t="s">
        <v>247</v>
      </c>
      <c r="D59" s="20">
        <v>500</v>
      </c>
      <c r="E59" s="20">
        <v>900</v>
      </c>
      <c r="F59" s="172">
        <v>60000</v>
      </c>
      <c r="G59" s="172">
        <v>11950.5</v>
      </c>
      <c r="H59" s="150">
        <f t="shared" si="8"/>
        <v>73350.5</v>
      </c>
    </row>
    <row r="60" spans="1:11" s="147" customFormat="1" ht="33.950000000000003" customHeight="1" x14ac:dyDescent="0.25">
      <c r="A60" s="148" t="s">
        <v>36</v>
      </c>
      <c r="B60" s="161" t="s">
        <v>216</v>
      </c>
      <c r="C60" s="164" t="s">
        <v>256</v>
      </c>
      <c r="D60" s="24">
        <v>18811.419999999998</v>
      </c>
      <c r="E60" s="20">
        <f>27286.58-1000</f>
        <v>26286.58</v>
      </c>
      <c r="F60" s="20">
        <v>0</v>
      </c>
      <c r="G60" s="172">
        <v>0</v>
      </c>
      <c r="H60" s="150">
        <f t="shared" si="8"/>
        <v>45098</v>
      </c>
    </row>
    <row r="61" spans="1:11" s="147" customFormat="1" ht="33.950000000000003" customHeight="1" x14ac:dyDescent="0.25">
      <c r="A61" s="148" t="s">
        <v>81</v>
      </c>
      <c r="B61" s="161" t="s">
        <v>217</v>
      </c>
      <c r="C61" s="164" t="s">
        <v>277</v>
      </c>
      <c r="D61" s="24">
        <v>0</v>
      </c>
      <c r="E61" s="20">
        <v>6500</v>
      </c>
      <c r="F61" s="172">
        <v>0</v>
      </c>
      <c r="G61" s="172">
        <v>0</v>
      </c>
      <c r="H61" s="150">
        <f t="shared" si="8"/>
        <v>6500</v>
      </c>
    </row>
    <row r="62" spans="1:11" s="147" customFormat="1" ht="24" customHeight="1" x14ac:dyDescent="0.25">
      <c r="A62" s="201" t="s">
        <v>38</v>
      </c>
      <c r="B62" s="156" t="s">
        <v>218</v>
      </c>
      <c r="C62" s="164" t="s">
        <v>247</v>
      </c>
      <c r="D62" s="20">
        <v>803.35</v>
      </c>
      <c r="E62" s="172">
        <v>128195.65</v>
      </c>
      <c r="F62" s="172">
        <v>77000</v>
      </c>
      <c r="G62" s="172">
        <v>0</v>
      </c>
      <c r="H62" s="150">
        <f t="shared" si="8"/>
        <v>205999</v>
      </c>
      <c r="J62" s="169"/>
      <c r="K62" s="169"/>
    </row>
    <row r="63" spans="1:11" s="147" customFormat="1" ht="33.950000000000003" customHeight="1" x14ac:dyDescent="0.25">
      <c r="A63" s="148" t="s">
        <v>41</v>
      </c>
      <c r="B63" s="161" t="s">
        <v>219</v>
      </c>
      <c r="C63" s="164" t="s">
        <v>247</v>
      </c>
      <c r="D63" s="24">
        <v>0</v>
      </c>
      <c r="E63" s="172">
        <f>20250-5250</f>
        <v>15000</v>
      </c>
      <c r="F63" s="172">
        <f>17750+5250</f>
        <v>23000</v>
      </c>
      <c r="G63" s="172">
        <v>0</v>
      </c>
      <c r="H63" s="150">
        <f t="shared" si="8"/>
        <v>38000</v>
      </c>
    </row>
    <row r="64" spans="1:11" s="147" customFormat="1" ht="24" customHeight="1" x14ac:dyDescent="0.25">
      <c r="A64" s="148" t="s">
        <v>80</v>
      </c>
      <c r="B64" s="156" t="s">
        <v>220</v>
      </c>
      <c r="C64" s="164" t="s">
        <v>247</v>
      </c>
      <c r="D64" s="20">
        <v>0</v>
      </c>
      <c r="E64" s="172">
        <v>14350</v>
      </c>
      <c r="F64" s="172">
        <v>4500</v>
      </c>
      <c r="G64" s="172">
        <v>0</v>
      </c>
      <c r="H64" s="150">
        <f t="shared" si="8"/>
        <v>18850</v>
      </c>
    </row>
    <row r="65" spans="1:12" s="147" customFormat="1" ht="24" customHeight="1" x14ac:dyDescent="0.25">
      <c r="A65" s="148" t="s">
        <v>68</v>
      </c>
      <c r="B65" s="156" t="s">
        <v>221</v>
      </c>
      <c r="C65" s="164" t="s">
        <v>247</v>
      </c>
      <c r="D65" s="20">
        <v>0</v>
      </c>
      <c r="E65" s="172">
        <v>2090</v>
      </c>
      <c r="F65" s="172">
        <v>0</v>
      </c>
      <c r="G65" s="172">
        <v>0</v>
      </c>
      <c r="H65" s="150">
        <f t="shared" si="8"/>
        <v>2090</v>
      </c>
    </row>
    <row r="66" spans="1:12" s="147" customFormat="1" ht="24" customHeight="1" x14ac:dyDescent="0.25">
      <c r="A66" s="148" t="s">
        <v>40</v>
      </c>
      <c r="B66" s="156" t="s">
        <v>222</v>
      </c>
      <c r="C66" s="164" t="s">
        <v>247</v>
      </c>
      <c r="D66" s="20">
        <v>0</v>
      </c>
      <c r="E66" s="20">
        <v>25000</v>
      </c>
      <c r="F66" s="20">
        <v>0</v>
      </c>
      <c r="G66" s="172">
        <v>0</v>
      </c>
      <c r="H66" s="150">
        <f t="shared" si="8"/>
        <v>25000</v>
      </c>
    </row>
    <row r="67" spans="1:12" s="147" customFormat="1" ht="33.950000000000003" customHeight="1" x14ac:dyDescent="0.25">
      <c r="A67" s="148" t="s">
        <v>37</v>
      </c>
      <c r="B67" s="161" t="s">
        <v>223</v>
      </c>
      <c r="C67" s="164" t="s">
        <v>247</v>
      </c>
      <c r="D67" s="24">
        <v>0</v>
      </c>
      <c r="E67" s="192">
        <f>5500+3600-8965</f>
        <v>135</v>
      </c>
      <c r="F67" s="192">
        <f>8965+2035</f>
        <v>11000</v>
      </c>
      <c r="G67" s="172">
        <v>0</v>
      </c>
      <c r="H67" s="150">
        <f t="shared" si="8"/>
        <v>11135</v>
      </c>
    </row>
    <row r="68" spans="1:12" s="147" customFormat="1" ht="24" customHeight="1" x14ac:dyDescent="0.25">
      <c r="A68" s="148" t="s">
        <v>69</v>
      </c>
      <c r="B68" s="161" t="s">
        <v>224</v>
      </c>
      <c r="C68" s="164" t="s">
        <v>247</v>
      </c>
      <c r="D68" s="20">
        <v>28.6</v>
      </c>
      <c r="E68" s="192">
        <f>11036-1000</f>
        <v>10036</v>
      </c>
      <c r="F68" s="20">
        <v>0</v>
      </c>
      <c r="G68" s="172">
        <v>0</v>
      </c>
      <c r="H68" s="150">
        <f t="shared" si="8"/>
        <v>10064.6</v>
      </c>
    </row>
    <row r="69" spans="1:12" s="151" customFormat="1" ht="15" customHeight="1" x14ac:dyDescent="0.25">
      <c r="A69" s="148" t="s">
        <v>88</v>
      </c>
      <c r="B69" s="160" t="s">
        <v>225</v>
      </c>
      <c r="C69" s="164" t="s">
        <v>247</v>
      </c>
      <c r="D69" s="152">
        <v>0</v>
      </c>
      <c r="E69" s="191">
        <f>50000-10000</f>
        <v>40000</v>
      </c>
      <c r="F69" s="191">
        <f>20500+10000</f>
        <v>30500</v>
      </c>
      <c r="G69" s="172">
        <v>0</v>
      </c>
      <c r="H69" s="150">
        <f t="shared" si="8"/>
        <v>70500</v>
      </c>
      <c r="I69" s="147"/>
    </row>
    <row r="70" spans="1:12" s="147" customFormat="1" ht="24" customHeight="1" x14ac:dyDescent="0.25">
      <c r="A70" s="148" t="s">
        <v>90</v>
      </c>
      <c r="B70" s="156" t="s">
        <v>226</v>
      </c>
      <c r="C70" s="164" t="s">
        <v>247</v>
      </c>
      <c r="D70" s="20">
        <v>127.05</v>
      </c>
      <c r="E70" s="172">
        <v>7373</v>
      </c>
      <c r="F70" s="172">
        <v>14000</v>
      </c>
      <c r="G70" s="172">
        <v>0</v>
      </c>
      <c r="H70" s="150">
        <f t="shared" si="8"/>
        <v>21500.05</v>
      </c>
    </row>
    <row r="71" spans="1:12" s="147" customFormat="1" ht="24" customHeight="1" x14ac:dyDescent="0.25">
      <c r="A71" s="148" t="s">
        <v>91</v>
      </c>
      <c r="B71" s="161" t="s">
        <v>227</v>
      </c>
      <c r="C71" s="164" t="s">
        <v>247</v>
      </c>
      <c r="D71" s="20">
        <v>17970.75</v>
      </c>
      <c r="E71" s="172">
        <v>7029.25</v>
      </c>
      <c r="F71" s="172">
        <v>0</v>
      </c>
      <c r="G71" s="183">
        <v>0</v>
      </c>
      <c r="H71" s="150">
        <f t="shared" si="8"/>
        <v>25000</v>
      </c>
    </row>
    <row r="72" spans="1:12" s="147" customFormat="1" ht="24" customHeight="1" x14ac:dyDescent="0.25">
      <c r="A72" s="148" t="s">
        <v>262</v>
      </c>
      <c r="B72" s="161" t="s">
        <v>263</v>
      </c>
      <c r="C72" s="164" t="s">
        <v>247</v>
      </c>
      <c r="D72" s="20">
        <v>0</v>
      </c>
      <c r="E72" s="192">
        <v>11100</v>
      </c>
      <c r="F72" s="172">
        <v>0</v>
      </c>
      <c r="G72" s="183">
        <v>0</v>
      </c>
      <c r="H72" s="150">
        <f t="shared" si="8"/>
        <v>11100</v>
      </c>
      <c r="I72" s="176"/>
    </row>
    <row r="73" spans="1:12" s="147" customFormat="1" ht="24" customHeight="1" x14ac:dyDescent="0.25">
      <c r="A73" s="148" t="s">
        <v>265</v>
      </c>
      <c r="B73" s="161" t="s">
        <v>266</v>
      </c>
      <c r="C73" s="164" t="s">
        <v>247</v>
      </c>
      <c r="D73" s="20">
        <v>0</v>
      </c>
      <c r="E73" s="192">
        <v>9350</v>
      </c>
      <c r="F73" s="172">
        <v>0</v>
      </c>
      <c r="G73" s="183">
        <v>0</v>
      </c>
      <c r="H73" s="150">
        <f t="shared" si="8"/>
        <v>9350</v>
      </c>
      <c r="I73" s="176"/>
    </row>
    <row r="74" spans="1:12" s="146" customFormat="1" ht="15" customHeight="1" x14ac:dyDescent="0.25">
      <c r="A74" s="10" t="s">
        <v>47</v>
      </c>
      <c r="B74" s="157"/>
      <c r="C74" s="165"/>
      <c r="D74" s="11">
        <f t="shared" ref="D74:H74" si="9">SUM(D49:D73)</f>
        <v>224556.02000000002</v>
      </c>
      <c r="E74" s="11">
        <f t="shared" si="9"/>
        <v>383047.3</v>
      </c>
      <c r="F74" s="11">
        <f t="shared" si="9"/>
        <v>220000</v>
      </c>
      <c r="G74" s="11">
        <f t="shared" si="9"/>
        <v>11950.5</v>
      </c>
      <c r="H74" s="12">
        <f t="shared" si="9"/>
        <v>839553.82000000007</v>
      </c>
      <c r="J74" s="188"/>
      <c r="K74" s="188"/>
      <c r="L74" s="188"/>
    </row>
    <row r="75" spans="1:12" s="147" customFormat="1" ht="18" customHeight="1" x14ac:dyDescent="0.25">
      <c r="A75" s="332" t="s">
        <v>48</v>
      </c>
      <c r="B75" s="333"/>
      <c r="C75" s="333"/>
      <c r="D75" s="333"/>
      <c r="E75" s="333"/>
      <c r="F75" s="333"/>
      <c r="G75" s="333"/>
      <c r="H75" s="334"/>
      <c r="J75" s="169"/>
      <c r="K75" s="169"/>
    </row>
    <row r="76" spans="1:12" s="147" customFormat="1" ht="24" customHeight="1" x14ac:dyDescent="0.25">
      <c r="A76" s="21" t="s">
        <v>97</v>
      </c>
      <c r="B76" s="160" t="s">
        <v>228</v>
      </c>
      <c r="C76" s="164" t="s">
        <v>247</v>
      </c>
      <c r="D76" s="20">
        <v>14723.48</v>
      </c>
      <c r="E76" s="172">
        <v>6976.53</v>
      </c>
      <c r="F76" s="172">
        <v>0</v>
      </c>
      <c r="G76" s="20">
        <v>0</v>
      </c>
      <c r="H76" s="150">
        <f t="shared" ref="H76:H88" si="10">D76+E76+F76+G76</f>
        <v>21700.01</v>
      </c>
      <c r="I76" s="147" t="s">
        <v>300</v>
      </c>
      <c r="J76" s="169"/>
    </row>
    <row r="77" spans="1:12" s="147" customFormat="1" ht="24" customHeight="1" x14ac:dyDescent="0.25">
      <c r="A77" s="21" t="s">
        <v>176</v>
      </c>
      <c r="B77" s="160" t="s">
        <v>229</v>
      </c>
      <c r="C77" s="164" t="s">
        <v>247</v>
      </c>
      <c r="D77" s="24">
        <v>22241.64</v>
      </c>
      <c r="E77" s="192">
        <v>0</v>
      </c>
      <c r="F77" s="192">
        <v>0</v>
      </c>
      <c r="G77" s="24">
        <v>0</v>
      </c>
      <c r="H77" s="150">
        <f t="shared" si="10"/>
        <v>22241.64</v>
      </c>
    </row>
    <row r="78" spans="1:12" s="147" customFormat="1" ht="24" customHeight="1" x14ac:dyDescent="0.25">
      <c r="A78" s="21" t="s">
        <v>141</v>
      </c>
      <c r="B78" s="160" t="s">
        <v>230</v>
      </c>
      <c r="C78" s="164" t="s">
        <v>247</v>
      </c>
      <c r="D78" s="20">
        <v>20898.27</v>
      </c>
      <c r="E78" s="172">
        <v>0</v>
      </c>
      <c r="F78" s="172">
        <v>0</v>
      </c>
      <c r="G78" s="20">
        <v>0</v>
      </c>
      <c r="H78" s="150">
        <f t="shared" si="10"/>
        <v>20898.27</v>
      </c>
    </row>
    <row r="79" spans="1:12" s="147" customFormat="1" ht="24" customHeight="1" x14ac:dyDescent="0.25">
      <c r="A79" s="21" t="s">
        <v>143</v>
      </c>
      <c r="B79" s="160" t="s">
        <v>231</v>
      </c>
      <c r="C79" s="164" t="s">
        <v>247</v>
      </c>
      <c r="D79" s="20">
        <v>28727.64</v>
      </c>
      <c r="E79" s="172">
        <v>0</v>
      </c>
      <c r="F79" s="172">
        <v>0</v>
      </c>
      <c r="G79" s="20">
        <v>0</v>
      </c>
      <c r="H79" s="150">
        <f t="shared" si="10"/>
        <v>28727.64</v>
      </c>
    </row>
    <row r="80" spans="1:12" s="147" customFormat="1" ht="24" customHeight="1" x14ac:dyDescent="0.25">
      <c r="A80" s="21" t="s">
        <v>145</v>
      </c>
      <c r="B80" s="160" t="s">
        <v>232</v>
      </c>
      <c r="C80" s="164" t="s">
        <v>247</v>
      </c>
      <c r="D80" s="20">
        <v>11437.7</v>
      </c>
      <c r="E80" s="172">
        <v>0</v>
      </c>
      <c r="F80" s="172">
        <v>0</v>
      </c>
      <c r="G80" s="20">
        <v>0</v>
      </c>
      <c r="H80" s="150">
        <f t="shared" si="10"/>
        <v>11437.7</v>
      </c>
    </row>
    <row r="81" spans="1:12" s="147" customFormat="1" ht="24" customHeight="1" x14ac:dyDescent="0.25">
      <c r="A81" s="21" t="s">
        <v>147</v>
      </c>
      <c r="B81" s="160" t="s">
        <v>233</v>
      </c>
      <c r="C81" s="164" t="s">
        <v>247</v>
      </c>
      <c r="D81" s="20">
        <v>11567.78</v>
      </c>
      <c r="E81" s="172">
        <v>0</v>
      </c>
      <c r="F81" s="172">
        <v>0</v>
      </c>
      <c r="G81" s="20">
        <v>0</v>
      </c>
      <c r="H81" s="150">
        <f t="shared" si="10"/>
        <v>11567.78</v>
      </c>
    </row>
    <row r="82" spans="1:12" s="147" customFormat="1" ht="15" customHeight="1" x14ac:dyDescent="0.25">
      <c r="A82" s="21" t="s">
        <v>175</v>
      </c>
      <c r="B82" s="160" t="s">
        <v>234</v>
      </c>
      <c r="C82" s="164" t="s">
        <v>247</v>
      </c>
      <c r="D82" s="20">
        <v>1099.1500000000001</v>
      </c>
      <c r="E82" s="172">
        <v>22900.85</v>
      </c>
      <c r="F82" s="172">
        <v>0</v>
      </c>
      <c r="G82" s="20">
        <v>0</v>
      </c>
      <c r="H82" s="150">
        <f t="shared" si="10"/>
        <v>24000</v>
      </c>
    </row>
    <row r="83" spans="1:12" s="147" customFormat="1" ht="24" customHeight="1" x14ac:dyDescent="0.25">
      <c r="A83" s="21" t="s">
        <v>50</v>
      </c>
      <c r="B83" s="160" t="s">
        <v>235</v>
      </c>
      <c r="C83" s="164" t="s">
        <v>247</v>
      </c>
      <c r="D83" s="20">
        <v>34.11</v>
      </c>
      <c r="E83" s="172">
        <v>93382</v>
      </c>
      <c r="F83" s="172">
        <v>50000</v>
      </c>
      <c r="G83" s="20">
        <v>0</v>
      </c>
      <c r="H83" s="150">
        <f t="shared" si="10"/>
        <v>143416.10999999999</v>
      </c>
    </row>
    <row r="84" spans="1:12" s="147" customFormat="1" ht="24" customHeight="1" x14ac:dyDescent="0.25">
      <c r="A84" s="23" t="s">
        <v>49</v>
      </c>
      <c r="B84" s="160" t="s">
        <v>236</v>
      </c>
      <c r="C84" s="164" t="s">
        <v>247</v>
      </c>
      <c r="D84" s="24">
        <v>29.04</v>
      </c>
      <c r="E84" s="172">
        <f>94970.96-80000</f>
        <v>14970.960000000006</v>
      </c>
      <c r="F84" s="192">
        <f>10000+80000</f>
        <v>90000</v>
      </c>
      <c r="G84" s="24">
        <v>0</v>
      </c>
      <c r="H84" s="150">
        <f t="shared" si="10"/>
        <v>105000</v>
      </c>
    </row>
    <row r="85" spans="1:12" s="147" customFormat="1" ht="24" customHeight="1" x14ac:dyDescent="0.25">
      <c r="A85" s="23" t="s">
        <v>285</v>
      </c>
      <c r="B85" s="160" t="s">
        <v>286</v>
      </c>
      <c r="C85" s="164" t="s">
        <v>247</v>
      </c>
      <c r="D85" s="24">
        <v>0</v>
      </c>
      <c r="E85" s="172">
        <v>30200</v>
      </c>
      <c r="F85" s="192">
        <v>0</v>
      </c>
      <c r="G85" s="24">
        <v>0</v>
      </c>
      <c r="H85" s="150">
        <f t="shared" si="10"/>
        <v>30200</v>
      </c>
      <c r="I85" s="176"/>
    </row>
    <row r="86" spans="1:12" s="147" customFormat="1" ht="24" customHeight="1" x14ac:dyDescent="0.25">
      <c r="A86" s="23" t="s">
        <v>287</v>
      </c>
      <c r="B86" s="160" t="s">
        <v>284</v>
      </c>
      <c r="C86" s="164" t="s">
        <v>247</v>
      </c>
      <c r="D86" s="24">
        <v>0</v>
      </c>
      <c r="E86" s="172">
        <v>40000</v>
      </c>
      <c r="F86" s="192">
        <v>140000</v>
      </c>
      <c r="G86" s="24">
        <v>0</v>
      </c>
      <c r="H86" s="150">
        <f t="shared" si="10"/>
        <v>180000</v>
      </c>
      <c r="I86" s="176"/>
    </row>
    <row r="87" spans="1:12" s="151" customFormat="1" ht="24" customHeight="1" x14ac:dyDescent="0.25">
      <c r="A87" s="148" t="s">
        <v>288</v>
      </c>
      <c r="B87" s="156" t="s">
        <v>289</v>
      </c>
      <c r="C87" s="164" t="s">
        <v>247</v>
      </c>
      <c r="D87" s="149">
        <v>0</v>
      </c>
      <c r="E87" s="149">
        <v>15500</v>
      </c>
      <c r="F87" s="149">
        <v>0</v>
      </c>
      <c r="G87" s="182">
        <v>0</v>
      </c>
      <c r="H87" s="150">
        <f t="shared" si="10"/>
        <v>15500</v>
      </c>
    </row>
    <row r="88" spans="1:12" s="151" customFormat="1" ht="24" customHeight="1" x14ac:dyDescent="0.25">
      <c r="A88" s="148" t="s">
        <v>290</v>
      </c>
      <c r="B88" s="156" t="s">
        <v>291</v>
      </c>
      <c r="C88" s="164" t="s">
        <v>247</v>
      </c>
      <c r="D88" s="149">
        <v>0</v>
      </c>
      <c r="E88" s="149">
        <v>20000</v>
      </c>
      <c r="F88" s="149">
        <v>0</v>
      </c>
      <c r="G88" s="182">
        <v>0</v>
      </c>
      <c r="H88" s="150">
        <f t="shared" si="10"/>
        <v>20000</v>
      </c>
    </row>
    <row r="89" spans="1:12" s="146" customFormat="1" ht="15" customHeight="1" thickBot="1" x14ac:dyDescent="0.3">
      <c r="A89" s="10" t="s">
        <v>53</v>
      </c>
      <c r="B89" s="157"/>
      <c r="C89" s="165"/>
      <c r="D89" s="11">
        <f t="shared" ref="D89:G89" si="11">SUM(D76:D88)</f>
        <v>110758.80999999998</v>
      </c>
      <c r="E89" s="11">
        <f t="shared" si="11"/>
        <v>243930.34000000003</v>
      </c>
      <c r="F89" s="11">
        <f t="shared" si="11"/>
        <v>280000</v>
      </c>
      <c r="G89" s="11">
        <f t="shared" si="11"/>
        <v>0</v>
      </c>
      <c r="H89" s="12">
        <f>SUM(H76:H88)</f>
        <v>634689.14999999991</v>
      </c>
      <c r="J89" s="188"/>
      <c r="K89" s="188"/>
      <c r="L89" s="188"/>
    </row>
    <row r="90" spans="1:12" s="146" customFormat="1" ht="25.5" customHeight="1" thickBot="1" x14ac:dyDescent="0.3">
      <c r="A90" s="14" t="s">
        <v>54</v>
      </c>
      <c r="B90" s="158"/>
      <c r="C90" s="166"/>
      <c r="D90" s="15">
        <f>D89+D74+D47+D39+D35</f>
        <v>378688.57</v>
      </c>
      <c r="E90" s="15">
        <f>E89+E74+E47+E39+E35</f>
        <v>927075.61</v>
      </c>
      <c r="F90" s="15">
        <f>F89+F74+F47+F39+F35</f>
        <v>1270316</v>
      </c>
      <c r="G90" s="15">
        <f>G89+G74+G47+G39+G35</f>
        <v>69209.5</v>
      </c>
      <c r="H90" s="16">
        <f>H89+H74+H47+H39+H35</f>
        <v>2645289.6800000002</v>
      </c>
    </row>
    <row r="91" spans="1:12" s="146" customFormat="1" ht="13.5" thickBot="1" x14ac:dyDescent="0.3">
      <c r="A91" s="17"/>
      <c r="B91" s="159"/>
      <c r="C91" s="167"/>
      <c r="D91" s="94"/>
      <c r="E91" s="94"/>
      <c r="F91" s="94"/>
      <c r="G91" s="94"/>
      <c r="H91" s="119"/>
    </row>
    <row r="92" spans="1:12" s="146" customFormat="1" ht="21" customHeight="1" thickBot="1" x14ac:dyDescent="0.3">
      <c r="A92" s="14" t="s">
        <v>55</v>
      </c>
      <c r="B92" s="158"/>
      <c r="C92" s="166"/>
      <c r="D92" s="199">
        <f>SUM(D20,D26,D90)+0.45</f>
        <v>387806.92845000001</v>
      </c>
      <c r="E92" s="199">
        <f>SUM(E20,E26,E90)</f>
        <v>1163953</v>
      </c>
      <c r="F92" s="199">
        <f>SUM(F20,F26,F90)</f>
        <v>1379031</v>
      </c>
      <c r="G92" s="199">
        <f>SUM(G20,G26,G90)</f>
        <v>69209.5</v>
      </c>
      <c r="H92" s="198">
        <f>SUM(H20,H26,H90)</f>
        <v>2999999.9784500003</v>
      </c>
      <c r="J92" s="188"/>
    </row>
    <row r="95" spans="1:12" x14ac:dyDescent="0.2">
      <c r="H95" s="177"/>
      <c r="I95" s="143"/>
    </row>
  </sheetData>
  <mergeCells count="16">
    <mergeCell ref="A23:H23"/>
    <mergeCell ref="A28:H28"/>
    <mergeCell ref="A2:H2"/>
    <mergeCell ref="A4:A5"/>
    <mergeCell ref="H4:H5"/>
    <mergeCell ref="A6:H6"/>
    <mergeCell ref="D4:G4"/>
    <mergeCell ref="A7:H7"/>
    <mergeCell ref="A11:H11"/>
    <mergeCell ref="A17:H17"/>
    <mergeCell ref="A22:H22"/>
    <mergeCell ref="A29:H29"/>
    <mergeCell ref="A36:H36"/>
    <mergeCell ref="A40:H40"/>
    <mergeCell ref="A48:H48"/>
    <mergeCell ref="A75:H75"/>
  </mergeCells>
  <conditionalFormatting sqref="D12:D13">
    <cfRule type="cellIs" dxfId="486" priority="183" operator="lessThan">
      <formula>#REF!</formula>
    </cfRule>
    <cfRule type="cellIs" dxfId="485" priority="184" operator="greaterThan">
      <formula>#REF!</formula>
    </cfRule>
  </conditionalFormatting>
  <conditionalFormatting sqref="D13:D16">
    <cfRule type="cellIs" dxfId="484" priority="171" operator="lessThan">
      <formula>#REF!</formula>
    </cfRule>
    <cfRule type="cellIs" dxfId="483" priority="172" operator="greaterThan">
      <formula>#REF!</formula>
    </cfRule>
  </conditionalFormatting>
  <conditionalFormatting sqref="D59:D68">
    <cfRule type="cellIs" dxfId="482" priority="139" operator="lessThan">
      <formula>#REF!</formula>
    </cfRule>
    <cfRule type="cellIs" dxfId="481" priority="140" operator="greaterThan">
      <formula>#REF!</formula>
    </cfRule>
  </conditionalFormatting>
  <conditionalFormatting sqref="D61:D66">
    <cfRule type="cellIs" dxfId="480" priority="129" operator="lessThan">
      <formula>#REF!</formula>
    </cfRule>
    <cfRule type="cellIs" dxfId="479" priority="130" operator="greaterThan">
      <formula>#REF!</formula>
    </cfRule>
  </conditionalFormatting>
  <conditionalFormatting sqref="D63:D66">
    <cfRule type="cellIs" dxfId="478" priority="135" operator="lessThan">
      <formula>#REF!</formula>
    </cfRule>
    <cfRule type="cellIs" dxfId="477" priority="136" operator="greaterThan">
      <formula>#REF!</formula>
    </cfRule>
  </conditionalFormatting>
  <conditionalFormatting sqref="D69">
    <cfRule type="cellIs" dxfId="476" priority="125" operator="lessThan">
      <formula>#REF!</formula>
    </cfRule>
    <cfRule type="cellIs" dxfId="475" priority="126" operator="greaterThan">
      <formula>#REF!</formula>
    </cfRule>
  </conditionalFormatting>
  <conditionalFormatting sqref="D82:D83">
    <cfRule type="cellIs" dxfId="474" priority="213" operator="lessThan">
      <formula>#REF!</formula>
    </cfRule>
    <cfRule type="cellIs" dxfId="473" priority="214" operator="greaterThan">
      <formula>#REF!</formula>
    </cfRule>
  </conditionalFormatting>
  <conditionalFormatting sqref="D83:D88">
    <cfRule type="cellIs" dxfId="472" priority="217" operator="lessThan">
      <formula>#REF!</formula>
    </cfRule>
    <cfRule type="cellIs" dxfId="471" priority="218" operator="greaterThan">
      <formula>#REF!</formula>
    </cfRule>
  </conditionalFormatting>
  <conditionalFormatting sqref="D87:D88">
    <cfRule type="cellIs" dxfId="470" priority="107" operator="lessThan">
      <formula>#REF!</formula>
    </cfRule>
    <cfRule type="cellIs" dxfId="469" priority="108" operator="greaterThan">
      <formula>#REF!</formula>
    </cfRule>
  </conditionalFormatting>
  <conditionalFormatting sqref="D30:G32 H30:H34 D35:H35 D58:E58 F58:G59 F61:G61 D62:G65 D66 E66:F69 G66:G73 D70:F73 D74:H74 H76:H88 F87:G88">
    <cfRule type="cellIs" dxfId="468" priority="244" operator="greaterThan">
      <formula>#REF!</formula>
    </cfRule>
  </conditionalFormatting>
  <conditionalFormatting sqref="D34:G34">
    <cfRule type="cellIs" dxfId="467" priority="229" operator="lessThan">
      <formula>#REF!</formula>
    </cfRule>
    <cfRule type="cellIs" dxfId="466" priority="230" operator="greaterThan">
      <formula>#REF!</formula>
    </cfRule>
  </conditionalFormatting>
  <conditionalFormatting sqref="D62:G65 D66 H30:H34 D30:G32 D35:H35 D58:E58 F58:G59 F61:G61 E66:F69 G66:G73 D70:F73 D74:H74 H76:H88 F87:G88">
    <cfRule type="cellIs" dxfId="465" priority="243" operator="lessThan">
      <formula>#REF!</formula>
    </cfRule>
  </conditionalFormatting>
  <conditionalFormatting sqref="D76:G83">
    <cfRule type="cellIs" dxfId="464" priority="113" operator="lessThan">
      <formula>#REF!</formula>
    </cfRule>
    <cfRule type="cellIs" dxfId="463" priority="114" operator="greaterThan">
      <formula>#REF!</formula>
    </cfRule>
  </conditionalFormatting>
  <conditionalFormatting sqref="D8:H10">
    <cfRule type="cellIs" dxfId="462" priority="105" operator="lessThan">
      <formula>#REF!</formula>
    </cfRule>
    <cfRule type="cellIs" dxfId="461" priority="106" operator="greaterThan">
      <formula>#REF!</formula>
    </cfRule>
  </conditionalFormatting>
  <conditionalFormatting sqref="D18:H19">
    <cfRule type="cellIs" dxfId="460" priority="101" operator="lessThan">
      <formula>#REF!</formula>
    </cfRule>
    <cfRule type="cellIs" dxfId="459" priority="102" operator="greaterThan">
      <formula>#REF!</formula>
    </cfRule>
  </conditionalFormatting>
  <conditionalFormatting sqref="D24:H25">
    <cfRule type="cellIs" dxfId="458" priority="235" operator="lessThan">
      <formula>#REF!</formula>
    </cfRule>
    <cfRule type="cellIs" dxfId="457" priority="236" operator="greaterThan">
      <formula>#REF!</formula>
    </cfRule>
  </conditionalFormatting>
  <conditionalFormatting sqref="D33:H33">
    <cfRule type="cellIs" dxfId="456" priority="61" operator="lessThan">
      <formula>#REF!</formula>
    </cfRule>
    <cfRule type="cellIs" dxfId="455" priority="62" operator="greaterThan">
      <formula>#REF!</formula>
    </cfRule>
  </conditionalFormatting>
  <conditionalFormatting sqref="D37:H39">
    <cfRule type="cellIs" dxfId="454" priority="33" operator="lessThan">
      <formula>#REF!</formula>
    </cfRule>
    <cfRule type="cellIs" dxfId="453" priority="34" operator="greaterThan">
      <formula>#REF!</formula>
    </cfRule>
  </conditionalFormatting>
  <conditionalFormatting sqref="D41:H46">
    <cfRule type="cellIs" dxfId="452" priority="3" operator="lessThan">
      <formula>#REF!</formula>
    </cfRule>
    <cfRule type="cellIs" dxfId="451" priority="4" operator="greaterThan">
      <formula>#REF!</formula>
    </cfRule>
  </conditionalFormatting>
  <conditionalFormatting sqref="D49:H57">
    <cfRule type="cellIs" dxfId="450" priority="11" operator="lessThan">
      <formula>#REF!</formula>
    </cfRule>
    <cfRule type="cellIs" dxfId="449" priority="12" operator="greaterThan">
      <formula>#REF!</formula>
    </cfRule>
  </conditionalFormatting>
  <conditionalFormatting sqref="E59:E61">
    <cfRule type="cellIs" dxfId="448" priority="75" operator="lessThan">
      <formula>#REF!</formula>
    </cfRule>
    <cfRule type="cellIs" dxfId="447" priority="76" operator="greaterThan">
      <formula>#REF!</formula>
    </cfRule>
  </conditionalFormatting>
  <conditionalFormatting sqref="E84:E88">
    <cfRule type="cellIs" dxfId="446" priority="63" operator="lessThan">
      <formula>#REF!</formula>
    </cfRule>
    <cfRule type="cellIs" dxfId="445" priority="64" operator="greaterThan">
      <formula>#REF!</formula>
    </cfRule>
  </conditionalFormatting>
  <conditionalFormatting sqref="E12:H16">
    <cfRule type="cellIs" dxfId="444" priority="103" operator="lessThan">
      <formula>#REF!</formula>
    </cfRule>
    <cfRule type="cellIs" dxfId="443" priority="104" operator="greaterThan">
      <formula>#REF!</formula>
    </cfRule>
  </conditionalFormatting>
  <conditionalFormatting sqref="F60:G61 E62:G64 E66:G66 G67:G70 E82:G88">
    <cfRule type="cellIs" dxfId="442" priority="245" operator="lessThan">
      <formula>#REF!</formula>
    </cfRule>
    <cfRule type="cellIs" dxfId="441" priority="246" operator="greaterThan">
      <formula>#REF!</formula>
    </cfRule>
  </conditionalFormatting>
  <conditionalFormatting sqref="H18:H19">
    <cfRule type="cellIs" dxfId="440" priority="97" operator="lessThan">
      <formula>#REF!</formula>
    </cfRule>
    <cfRule type="cellIs" dxfId="439" priority="98" operator="greaterThan">
      <formula>#REF!</formula>
    </cfRule>
  </conditionalFormatting>
  <conditionalFormatting sqref="H37">
    <cfRule type="cellIs" dxfId="438" priority="31" operator="lessThan">
      <formula>#REF!</formula>
    </cfRule>
    <cfRule type="cellIs" dxfId="437" priority="32" operator="greaterThan">
      <formula>#REF!</formula>
    </cfRule>
  </conditionalFormatting>
  <conditionalFormatting sqref="H38">
    <cfRule type="cellIs" dxfId="436" priority="47" operator="lessThan">
      <formula>#REF!</formula>
    </cfRule>
    <cfRule type="cellIs" dxfId="435" priority="48" operator="greaterThan">
      <formula>#REF!</formula>
    </cfRule>
  </conditionalFormatting>
  <conditionalFormatting sqref="H41:H46">
    <cfRule type="cellIs" dxfId="434" priority="91" operator="lessThan">
      <formula>#REF!</formula>
    </cfRule>
    <cfRule type="cellIs" dxfId="433" priority="92" operator="greaterThan">
      <formula>#REF!</formula>
    </cfRule>
  </conditionalFormatting>
  <conditionalFormatting sqref="H49:H56 H58:H66 H68:H73">
    <cfRule type="cellIs" dxfId="432" priority="88" operator="greaterThan">
      <formula>#REF!</formula>
    </cfRule>
  </conditionalFormatting>
  <conditionalFormatting sqref="H57">
    <cfRule type="cellIs" dxfId="431" priority="9" operator="lessThan">
      <formula>#REF!</formula>
    </cfRule>
    <cfRule type="cellIs" dxfId="430" priority="10" operator="greaterThan">
      <formula>#REF!</formula>
    </cfRule>
  </conditionalFormatting>
  <conditionalFormatting sqref="H58:H66 H68:H73 H49:H56">
    <cfRule type="cellIs" dxfId="429" priority="87" operator="lessThan">
      <formula>#REF!</formula>
    </cfRule>
  </conditionalFormatting>
  <conditionalFormatting sqref="H58:H73">
    <cfRule type="cellIs" dxfId="428" priority="67" operator="lessThan">
      <formula>#REF!</formula>
    </cfRule>
    <cfRule type="cellIs" dxfId="427" priority="68" operator="greaterThan">
      <formula>#REF!</formula>
    </cfRule>
  </conditionalFormatting>
  <conditionalFormatting sqref="H67">
    <cfRule type="cellIs" dxfId="426" priority="65" operator="lessThan">
      <formula>#REF!</formula>
    </cfRule>
    <cfRule type="cellIs" dxfId="425" priority="66" operator="greaterThan">
      <formula>#REF!</formula>
    </cfRule>
  </conditionalFormatting>
  <pageMargins left="0.25" right="0.25" top="0.75" bottom="0.75" header="0.3" footer="0.3"/>
  <pageSetup paperSize="9" scale="55" fitToHeight="0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66309-76CE-4A34-A038-F91E95DB5C24}">
  <sheetPr>
    <tabColor rgb="FF92D050"/>
  </sheetPr>
  <dimension ref="A1:Q92"/>
  <sheetViews>
    <sheetView workbookViewId="0">
      <pane ySplit="5" topLeftCell="A13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3" width="7.7109375" style="163" customWidth="1"/>
    <col min="4" max="10" width="12.7109375" style="141" customWidth="1"/>
    <col min="11" max="12" width="13" style="141" customWidth="1"/>
    <col min="13" max="13" width="0" style="140" hidden="1" customWidth="1"/>
    <col min="14" max="16384" width="9.140625" style="140"/>
  </cols>
  <sheetData>
    <row r="1" spans="1:17" ht="15" customHeight="1" x14ac:dyDescent="0.2">
      <c r="A1" s="140" t="s">
        <v>301</v>
      </c>
      <c r="M1" s="140" t="s">
        <v>237</v>
      </c>
    </row>
    <row r="2" spans="1:17" s="1" customFormat="1" ht="23.25" customHeight="1" x14ac:dyDescent="0.25">
      <c r="A2" s="346" t="s">
        <v>98</v>
      </c>
      <c r="B2" s="346"/>
      <c r="C2" s="346"/>
      <c r="D2" s="347"/>
      <c r="E2" s="347"/>
      <c r="F2" s="347"/>
      <c r="G2" s="347"/>
      <c r="H2" s="347"/>
      <c r="I2" s="347"/>
      <c r="J2" s="347"/>
      <c r="K2" s="347"/>
    </row>
    <row r="3" spans="1:17" ht="13.5" thickBot="1" x14ac:dyDescent="0.25">
      <c r="A3" s="143"/>
      <c r="D3" s="143"/>
      <c r="E3" s="143"/>
      <c r="F3" s="143"/>
      <c r="G3" s="143"/>
      <c r="H3" s="143"/>
      <c r="I3" s="143"/>
      <c r="J3" s="143"/>
      <c r="K3" s="144" t="s">
        <v>1</v>
      </c>
      <c r="L3" s="144" t="s">
        <v>1</v>
      </c>
      <c r="M3" s="142"/>
    </row>
    <row r="4" spans="1:17" ht="24.6" customHeight="1" x14ac:dyDescent="0.2">
      <c r="A4" s="296" t="s">
        <v>2</v>
      </c>
      <c r="B4" s="154"/>
      <c r="C4" s="154"/>
      <c r="D4" s="349" t="s">
        <v>178</v>
      </c>
      <c r="E4" s="350"/>
      <c r="F4" s="350"/>
      <c r="G4" s="350"/>
      <c r="H4" s="350"/>
      <c r="I4" s="351"/>
      <c r="J4" s="180"/>
      <c r="K4" s="352" t="s">
        <v>269</v>
      </c>
      <c r="L4" s="352" t="s">
        <v>270</v>
      </c>
    </row>
    <row r="5" spans="1:17" ht="24.6" customHeight="1" thickBot="1" x14ac:dyDescent="0.25">
      <c r="A5" s="348"/>
      <c r="B5" s="155" t="s">
        <v>181</v>
      </c>
      <c r="C5" s="155" t="s">
        <v>238</v>
      </c>
      <c r="D5" s="126">
        <v>2021</v>
      </c>
      <c r="E5" s="145" t="s">
        <v>292</v>
      </c>
      <c r="F5" s="127" t="s">
        <v>293</v>
      </c>
      <c r="G5" s="127" t="s">
        <v>294</v>
      </c>
      <c r="H5" s="127" t="s">
        <v>295</v>
      </c>
      <c r="I5" s="126" t="s">
        <v>296</v>
      </c>
      <c r="J5" s="216" t="s">
        <v>297</v>
      </c>
      <c r="K5" s="353"/>
      <c r="L5" s="353"/>
    </row>
    <row r="6" spans="1:17" s="146" customFormat="1" ht="21" customHeight="1" x14ac:dyDescent="0.25">
      <c r="A6" s="301" t="s">
        <v>70</v>
      </c>
      <c r="B6" s="356"/>
      <c r="C6" s="356"/>
      <c r="D6" s="341"/>
      <c r="E6" s="341"/>
      <c r="F6" s="357"/>
      <c r="G6" s="357"/>
      <c r="H6" s="357"/>
      <c r="I6" s="342"/>
      <c r="J6" s="342"/>
      <c r="K6" s="343"/>
      <c r="L6" s="150"/>
    </row>
    <row r="7" spans="1:17" s="147" customFormat="1" ht="18" customHeight="1" x14ac:dyDescent="0.25">
      <c r="A7" s="335" t="s">
        <v>6</v>
      </c>
      <c r="B7" s="354"/>
      <c r="C7" s="354"/>
      <c r="D7" s="336"/>
      <c r="E7" s="336"/>
      <c r="F7" s="336"/>
      <c r="G7" s="336"/>
      <c r="H7" s="336"/>
      <c r="I7" s="336"/>
      <c r="J7" s="336"/>
      <c r="K7" s="337"/>
      <c r="L7" s="214"/>
    </row>
    <row r="8" spans="1:17" s="151" customFormat="1" ht="15" customHeight="1" x14ac:dyDescent="0.25">
      <c r="A8" s="201" t="s">
        <v>7</v>
      </c>
      <c r="B8" s="156">
        <v>3402</v>
      </c>
      <c r="C8" s="164" t="s">
        <v>239</v>
      </c>
      <c r="D8" s="149">
        <v>5576.1411900000003</v>
      </c>
      <c r="E8" s="149">
        <v>91590.16</v>
      </c>
      <c r="F8" s="149">
        <v>63440.160000000003</v>
      </c>
      <c r="G8" s="149">
        <v>60950</v>
      </c>
      <c r="H8" s="149">
        <f>90944+36910+1844</f>
        <v>129698</v>
      </c>
      <c r="I8" s="149">
        <v>0</v>
      </c>
      <c r="J8" s="149">
        <v>0</v>
      </c>
      <c r="K8" s="150">
        <f>D8+E8+G8+I8</f>
        <v>158116.30119</v>
      </c>
      <c r="L8" s="150">
        <f>D8+F8+H8+J8</f>
        <v>198714.30119</v>
      </c>
      <c r="M8" s="179">
        <f>K8-L8</f>
        <v>-40598</v>
      </c>
      <c r="O8" s="179"/>
      <c r="P8" s="179"/>
      <c r="Q8" s="179"/>
    </row>
    <row r="9" spans="1:17" s="151" customFormat="1" ht="24" customHeight="1" x14ac:dyDescent="0.25">
      <c r="A9" s="148" t="s">
        <v>8</v>
      </c>
      <c r="B9" s="156" t="s">
        <v>182</v>
      </c>
      <c r="C9" s="164" t="s">
        <v>239</v>
      </c>
      <c r="D9" s="149">
        <v>3541.7672600000001</v>
      </c>
      <c r="E9" s="149">
        <v>26967.23</v>
      </c>
      <c r="F9" s="149">
        <v>26967.23</v>
      </c>
      <c r="G9" s="149">
        <v>19995</v>
      </c>
      <c r="H9" s="149">
        <v>19995</v>
      </c>
      <c r="I9" s="149">
        <v>0</v>
      </c>
      <c r="J9" s="149">
        <v>0</v>
      </c>
      <c r="K9" s="150">
        <f>D9+E9+G9+I9</f>
        <v>50503.997260000004</v>
      </c>
      <c r="L9" s="150">
        <f>D9+F9+H9+J9</f>
        <v>50503.997260000004</v>
      </c>
      <c r="M9" s="179">
        <f t="shared" ref="M9:M72" si="0">K9-L9</f>
        <v>0</v>
      </c>
      <c r="O9" s="179"/>
      <c r="P9" s="179"/>
    </row>
    <row r="10" spans="1:17" s="146" customFormat="1" ht="15" customHeight="1" x14ac:dyDescent="0.25">
      <c r="A10" s="10" t="s">
        <v>9</v>
      </c>
      <c r="B10" s="157"/>
      <c r="C10" s="165"/>
      <c r="D10" s="11">
        <f t="shared" ref="D10:G10" si="1">SUM(D8:D9)</f>
        <v>9117.9084500000008</v>
      </c>
      <c r="E10" s="11">
        <f t="shared" si="1"/>
        <v>118557.39</v>
      </c>
      <c r="F10" s="11">
        <f t="shared" ref="F10" si="2">SUM(F8:F9)</f>
        <v>90407.39</v>
      </c>
      <c r="G10" s="11">
        <f t="shared" si="1"/>
        <v>80945</v>
      </c>
      <c r="H10" s="11">
        <f t="shared" ref="H10" si="3">SUM(H8:H9)</f>
        <v>149693</v>
      </c>
      <c r="I10" s="11">
        <f>SUM(I8:I9)</f>
        <v>0</v>
      </c>
      <c r="J10" s="11">
        <f t="shared" ref="J10" si="4">SUM(J8:J9)</f>
        <v>0</v>
      </c>
      <c r="K10" s="12">
        <f>SUM(K8:K9)</f>
        <v>208620.29845</v>
      </c>
      <c r="L10" s="12">
        <f>SUM(L8:L9)</f>
        <v>249218.29845</v>
      </c>
      <c r="M10" s="179">
        <f t="shared" si="0"/>
        <v>-40598</v>
      </c>
      <c r="O10" s="179"/>
      <c r="P10" s="179"/>
    </row>
    <row r="11" spans="1:17" s="147" customFormat="1" ht="18" customHeight="1" x14ac:dyDescent="0.25">
      <c r="A11" s="338" t="s">
        <v>32</v>
      </c>
      <c r="B11" s="355"/>
      <c r="C11" s="355"/>
      <c r="D11" s="339"/>
      <c r="E11" s="339"/>
      <c r="F11" s="339"/>
      <c r="G11" s="339"/>
      <c r="H11" s="339"/>
      <c r="I11" s="339"/>
      <c r="J11" s="339"/>
      <c r="K11" s="340"/>
      <c r="L11" s="214"/>
      <c r="M11" s="179">
        <f t="shared" si="0"/>
        <v>0</v>
      </c>
      <c r="O11" s="179"/>
      <c r="P11" s="179"/>
    </row>
    <row r="12" spans="1:17" s="151" customFormat="1" ht="15" customHeight="1" x14ac:dyDescent="0.25">
      <c r="A12" s="148" t="s">
        <v>83</v>
      </c>
      <c r="B12" s="156" t="s">
        <v>183</v>
      </c>
      <c r="C12" s="164" t="s">
        <v>239</v>
      </c>
      <c r="D12" s="149">
        <v>0</v>
      </c>
      <c r="E12" s="149">
        <v>26810</v>
      </c>
      <c r="F12" s="149">
        <v>16017</v>
      </c>
      <c r="G12" s="149">
        <v>0</v>
      </c>
      <c r="H12" s="149">
        <v>10793</v>
      </c>
      <c r="I12" s="182">
        <v>0</v>
      </c>
      <c r="J12" s="182">
        <v>0</v>
      </c>
      <c r="K12" s="150">
        <f>D12+E12+G12+I12</f>
        <v>26810</v>
      </c>
      <c r="L12" s="150">
        <f>D12+F12+H12+J12</f>
        <v>26810</v>
      </c>
      <c r="M12" s="179">
        <f t="shared" si="0"/>
        <v>0</v>
      </c>
      <c r="O12" s="179"/>
      <c r="P12" s="179"/>
      <c r="Q12" s="179"/>
    </row>
    <row r="13" spans="1:17" s="151" customFormat="1" ht="15" customHeight="1" x14ac:dyDescent="0.25">
      <c r="A13" s="148" t="s">
        <v>86</v>
      </c>
      <c r="B13" s="156" t="s">
        <v>184</v>
      </c>
      <c r="C13" s="164" t="s">
        <v>239</v>
      </c>
      <c r="D13" s="149">
        <v>0</v>
      </c>
      <c r="E13" s="149">
        <v>10963</v>
      </c>
      <c r="F13" s="149">
        <v>8963</v>
      </c>
      <c r="G13" s="149">
        <v>0</v>
      </c>
      <c r="H13" s="149">
        <v>2000</v>
      </c>
      <c r="I13" s="182">
        <v>0</v>
      </c>
      <c r="J13" s="182">
        <v>0</v>
      </c>
      <c r="K13" s="150">
        <f t="shared" ref="K13:K15" si="5">D13+E13+G13+I13</f>
        <v>10963</v>
      </c>
      <c r="L13" s="150">
        <f t="shared" ref="L13:L15" si="6">D13+F13+H13+J13</f>
        <v>10963</v>
      </c>
      <c r="M13" s="179">
        <f t="shared" si="0"/>
        <v>0</v>
      </c>
      <c r="O13" s="179"/>
      <c r="P13" s="179"/>
      <c r="Q13" s="179"/>
    </row>
    <row r="14" spans="1:17" s="151" customFormat="1" ht="15" customHeight="1" x14ac:dyDescent="0.25">
      <c r="A14" s="148" t="s">
        <v>84</v>
      </c>
      <c r="B14" s="156" t="s">
        <v>185</v>
      </c>
      <c r="C14" s="164" t="s">
        <v>239</v>
      </c>
      <c r="D14" s="149">
        <v>0</v>
      </c>
      <c r="E14" s="149">
        <v>21262</v>
      </c>
      <c r="F14" s="149">
        <v>16262</v>
      </c>
      <c r="G14" s="149">
        <v>0</v>
      </c>
      <c r="H14" s="149">
        <v>5000</v>
      </c>
      <c r="I14" s="182">
        <v>0</v>
      </c>
      <c r="J14" s="182">
        <v>0</v>
      </c>
      <c r="K14" s="150">
        <f t="shared" si="5"/>
        <v>21262</v>
      </c>
      <c r="L14" s="150">
        <f t="shared" si="6"/>
        <v>21262</v>
      </c>
      <c r="M14" s="179">
        <f t="shared" si="0"/>
        <v>0</v>
      </c>
      <c r="O14" s="179"/>
      <c r="P14" s="179"/>
      <c r="Q14" s="179"/>
    </row>
    <row r="15" spans="1:17" s="151" customFormat="1" ht="15" customHeight="1" x14ac:dyDescent="0.25">
      <c r="A15" s="148" t="s">
        <v>85</v>
      </c>
      <c r="B15" s="156" t="s">
        <v>186</v>
      </c>
      <c r="C15" s="164" t="s">
        <v>239</v>
      </c>
      <c r="D15" s="149">
        <v>0</v>
      </c>
      <c r="E15" s="149">
        <v>50842</v>
      </c>
      <c r="F15" s="149">
        <v>9282</v>
      </c>
      <c r="G15" s="149">
        <v>0</v>
      </c>
      <c r="H15" s="149">
        <v>41560</v>
      </c>
      <c r="I15" s="182">
        <v>0</v>
      </c>
      <c r="J15" s="182">
        <v>0</v>
      </c>
      <c r="K15" s="150">
        <f t="shared" si="5"/>
        <v>50842</v>
      </c>
      <c r="L15" s="150">
        <f t="shared" si="6"/>
        <v>50842</v>
      </c>
      <c r="M15" s="179">
        <f t="shared" si="0"/>
        <v>0</v>
      </c>
      <c r="O15" s="179"/>
      <c r="P15" s="179"/>
      <c r="Q15" s="179"/>
    </row>
    <row r="16" spans="1:17" s="146" customFormat="1" ht="15" customHeight="1" x14ac:dyDescent="0.25">
      <c r="A16" s="10" t="s">
        <v>47</v>
      </c>
      <c r="B16" s="157"/>
      <c r="C16" s="165"/>
      <c r="D16" s="11">
        <f>SUM(D12:D15)</f>
        <v>0</v>
      </c>
      <c r="E16" s="11">
        <f t="shared" ref="E16:J16" si="7">SUM(E12:E15)</f>
        <v>109877</v>
      </c>
      <c r="F16" s="11">
        <f t="shared" si="7"/>
        <v>50524</v>
      </c>
      <c r="G16" s="11">
        <f t="shared" si="7"/>
        <v>0</v>
      </c>
      <c r="H16" s="11">
        <f t="shared" si="7"/>
        <v>59353</v>
      </c>
      <c r="I16" s="11">
        <f t="shared" si="7"/>
        <v>0</v>
      </c>
      <c r="J16" s="11">
        <f t="shared" si="7"/>
        <v>0</v>
      </c>
      <c r="K16" s="12">
        <f>SUM(K12:K15)</f>
        <v>109877</v>
      </c>
      <c r="L16" s="12">
        <f>SUM(L12:L15)</f>
        <v>109877</v>
      </c>
      <c r="M16" s="179">
        <f t="shared" si="0"/>
        <v>0</v>
      </c>
      <c r="O16" s="179"/>
      <c r="P16" s="179"/>
    </row>
    <row r="17" spans="1:16" s="147" customFormat="1" ht="18" customHeight="1" x14ac:dyDescent="0.25">
      <c r="A17" s="335" t="s">
        <v>10</v>
      </c>
      <c r="B17" s="354"/>
      <c r="C17" s="354"/>
      <c r="D17" s="336"/>
      <c r="E17" s="336"/>
      <c r="F17" s="336"/>
      <c r="G17" s="336"/>
      <c r="H17" s="336"/>
      <c r="I17" s="336"/>
      <c r="J17" s="336"/>
      <c r="K17" s="337"/>
      <c r="L17" s="214"/>
      <c r="M17" s="179">
        <f t="shared" si="0"/>
        <v>0</v>
      </c>
      <c r="O17" s="179"/>
      <c r="P17" s="179"/>
    </row>
    <row r="18" spans="1:16" s="151" customFormat="1" ht="15" customHeight="1" x14ac:dyDescent="0.25">
      <c r="A18" s="148" t="s">
        <v>11</v>
      </c>
      <c r="B18" s="156" t="s">
        <v>187</v>
      </c>
      <c r="C18" s="164" t="s">
        <v>239</v>
      </c>
      <c r="D18" s="149">
        <v>0</v>
      </c>
      <c r="E18" s="149">
        <v>8443</v>
      </c>
      <c r="F18" s="149">
        <v>8443</v>
      </c>
      <c r="G18" s="149">
        <v>27770</v>
      </c>
      <c r="H18" s="149">
        <v>25926</v>
      </c>
      <c r="I18" s="182">
        <v>0</v>
      </c>
      <c r="J18" s="182">
        <v>0</v>
      </c>
      <c r="K18" s="150">
        <f>D18+E18+G18</f>
        <v>36213</v>
      </c>
      <c r="L18" s="150">
        <f>F18+H18+J18</f>
        <v>34369</v>
      </c>
      <c r="M18" s="179">
        <f t="shared" si="0"/>
        <v>1844</v>
      </c>
      <c r="O18" s="179"/>
      <c r="P18" s="179"/>
    </row>
    <row r="19" spans="1:16" s="146" customFormat="1" ht="23.45" customHeight="1" thickBot="1" x14ac:dyDescent="0.3">
      <c r="A19" s="10" t="s">
        <v>13</v>
      </c>
      <c r="B19" s="157"/>
      <c r="C19" s="165"/>
      <c r="D19" s="11">
        <f t="shared" ref="D19:I19" si="8">SUM(D18:D18)</f>
        <v>0</v>
      </c>
      <c r="E19" s="11">
        <f>SUM(E18:E18)</f>
        <v>8443</v>
      </c>
      <c r="F19" s="11">
        <f>SUM(F18:F18)</f>
        <v>8443</v>
      </c>
      <c r="G19" s="11">
        <f t="shared" si="8"/>
        <v>27770</v>
      </c>
      <c r="H19" s="11">
        <f t="shared" ref="H19" si="9">SUM(H18:H18)</f>
        <v>25926</v>
      </c>
      <c r="I19" s="11">
        <f t="shared" si="8"/>
        <v>0</v>
      </c>
      <c r="J19" s="11">
        <f t="shared" ref="J19" si="10">SUM(J18:J18)</f>
        <v>0</v>
      </c>
      <c r="K19" s="12">
        <f>SUM(K18:K18)</f>
        <v>36213</v>
      </c>
      <c r="L19" s="150">
        <f>F19+H19+J19</f>
        <v>34369</v>
      </c>
      <c r="M19" s="179">
        <f t="shared" si="0"/>
        <v>1844</v>
      </c>
    </row>
    <row r="20" spans="1:16" s="146" customFormat="1" ht="25.5" customHeight="1" thickBot="1" x14ac:dyDescent="0.3">
      <c r="A20" s="14" t="s">
        <v>71</v>
      </c>
      <c r="B20" s="158"/>
      <c r="C20" s="166"/>
      <c r="D20" s="15">
        <f t="shared" ref="D20" si="11">D10+D16+D19</f>
        <v>9117.9084500000008</v>
      </c>
      <c r="E20" s="15">
        <f>E10+E16+E19</f>
        <v>236877.39</v>
      </c>
      <c r="F20" s="15">
        <f t="shared" ref="F20:J20" si="12">F10+F16+F19</f>
        <v>149374.39000000001</v>
      </c>
      <c r="G20" s="15">
        <f t="shared" si="12"/>
        <v>108715</v>
      </c>
      <c r="H20" s="15">
        <f t="shared" si="12"/>
        <v>234972</v>
      </c>
      <c r="I20" s="15">
        <f t="shared" si="12"/>
        <v>0</v>
      </c>
      <c r="J20" s="15">
        <f t="shared" si="12"/>
        <v>0</v>
      </c>
      <c r="K20" s="16">
        <f>K10+K16+K19</f>
        <v>354710.29845</v>
      </c>
      <c r="L20" s="16">
        <f t="shared" ref="L20" si="13">L10+L16+L19</f>
        <v>393464.29845</v>
      </c>
      <c r="M20" s="179">
        <f t="shared" si="0"/>
        <v>-38754</v>
      </c>
      <c r="O20" s="188"/>
    </row>
    <row r="21" spans="1:16" s="146" customFormat="1" ht="12" customHeight="1" thickBot="1" x14ac:dyDescent="0.3">
      <c r="A21" s="17"/>
      <c r="B21" s="159"/>
      <c r="C21" s="167"/>
      <c r="D21" s="94"/>
      <c r="E21" s="94"/>
      <c r="F21" s="94"/>
      <c r="G21" s="94"/>
      <c r="H21" s="94"/>
      <c r="I21" s="94"/>
      <c r="J21" s="94"/>
      <c r="K21" s="95"/>
      <c r="L21" s="95"/>
      <c r="M21" s="179">
        <f t="shared" si="0"/>
        <v>0</v>
      </c>
    </row>
    <row r="22" spans="1:16" s="146" customFormat="1" ht="21" hidden="1" customHeight="1" x14ac:dyDescent="0.25">
      <c r="A22" s="301" t="s">
        <v>72</v>
      </c>
      <c r="B22" s="356"/>
      <c r="C22" s="356"/>
      <c r="D22" s="341"/>
      <c r="E22" s="341"/>
      <c r="F22" s="357"/>
      <c r="G22" s="357"/>
      <c r="H22" s="357"/>
      <c r="I22" s="342"/>
      <c r="J22" s="342"/>
      <c r="K22" s="343"/>
      <c r="L22" s="215"/>
      <c r="M22" s="179">
        <f t="shared" si="0"/>
        <v>0</v>
      </c>
    </row>
    <row r="23" spans="1:16" s="147" customFormat="1" ht="18" hidden="1" customHeight="1" x14ac:dyDescent="0.25">
      <c r="A23" s="335" t="s">
        <v>48</v>
      </c>
      <c r="B23" s="354"/>
      <c r="C23" s="354"/>
      <c r="D23" s="336"/>
      <c r="E23" s="336"/>
      <c r="F23" s="336"/>
      <c r="G23" s="336"/>
      <c r="H23" s="336"/>
      <c r="I23" s="336"/>
      <c r="J23" s="336"/>
      <c r="K23" s="337"/>
      <c r="L23" s="214"/>
      <c r="M23" s="179">
        <f t="shared" si="0"/>
        <v>0</v>
      </c>
    </row>
    <row r="24" spans="1:16" s="151" customFormat="1" ht="24" hidden="1" customHeight="1" x14ac:dyDescent="0.25">
      <c r="A24" s="148"/>
      <c r="B24" s="156"/>
      <c r="C24" s="164"/>
      <c r="D24" s="149"/>
      <c r="E24" s="149"/>
      <c r="F24" s="149"/>
      <c r="G24" s="149"/>
      <c r="H24" s="182"/>
      <c r="I24" s="182"/>
      <c r="J24" s="182"/>
      <c r="K24" s="150">
        <f>D24+E24+G24+I24</f>
        <v>0</v>
      </c>
      <c r="L24" s="150">
        <f>E24+F24+H24+J24</f>
        <v>0</v>
      </c>
      <c r="M24" s="179">
        <f t="shared" si="0"/>
        <v>0</v>
      </c>
    </row>
    <row r="25" spans="1:16" s="146" customFormat="1" ht="15" hidden="1" customHeight="1" x14ac:dyDescent="0.25">
      <c r="A25" s="10" t="s">
        <v>53</v>
      </c>
      <c r="B25" s="157"/>
      <c r="C25" s="165"/>
      <c r="D25" s="11">
        <f>SUM(D24:D24)</f>
        <v>0</v>
      </c>
      <c r="E25" s="11">
        <f>SUM(E24:E24)</f>
        <v>0</v>
      </c>
      <c r="F25" s="11"/>
      <c r="G25" s="11">
        <f t="shared" ref="G25:I25" si="14">SUM(G24:G24)</f>
        <v>0</v>
      </c>
      <c r="H25" s="11"/>
      <c r="I25" s="11">
        <f t="shared" si="14"/>
        <v>0</v>
      </c>
      <c r="J25" s="202"/>
      <c r="K25" s="12">
        <f>SUM(K24:K24)</f>
        <v>0</v>
      </c>
      <c r="L25" s="12">
        <f>SUM(L24:L24)</f>
        <v>0</v>
      </c>
      <c r="M25" s="179">
        <f t="shared" si="0"/>
        <v>0</v>
      </c>
    </row>
    <row r="26" spans="1:16" s="146" customFormat="1" ht="36" hidden="1" customHeight="1" x14ac:dyDescent="0.25">
      <c r="A26" s="14" t="s">
        <v>79</v>
      </c>
      <c r="B26" s="158"/>
      <c r="C26" s="166"/>
      <c r="D26" s="15">
        <f>D25</f>
        <v>0</v>
      </c>
      <c r="E26" s="15">
        <f>E25</f>
        <v>0</v>
      </c>
      <c r="F26" s="15"/>
      <c r="G26" s="15">
        <f t="shared" ref="G26:I26" si="15">G25</f>
        <v>0</v>
      </c>
      <c r="H26" s="15"/>
      <c r="I26" s="15">
        <f t="shared" si="15"/>
        <v>0</v>
      </c>
      <c r="J26" s="203"/>
      <c r="K26" s="196">
        <f>K25</f>
        <v>0</v>
      </c>
      <c r="L26" s="196">
        <f>L25</f>
        <v>0</v>
      </c>
      <c r="M26" s="179">
        <f t="shared" si="0"/>
        <v>0</v>
      </c>
    </row>
    <row r="27" spans="1:16" s="146" customFormat="1" ht="12" hidden="1" customHeight="1" x14ac:dyDescent="0.25">
      <c r="A27" s="17"/>
      <c r="B27" s="159"/>
      <c r="C27" s="167"/>
      <c r="D27" s="94"/>
      <c r="E27" s="94"/>
      <c r="F27" s="94"/>
      <c r="G27" s="94"/>
      <c r="H27" s="94"/>
      <c r="I27" s="94"/>
      <c r="J27" s="94"/>
      <c r="K27" s="95"/>
      <c r="L27" s="95"/>
      <c r="M27" s="179">
        <f t="shared" si="0"/>
        <v>0</v>
      </c>
    </row>
    <row r="28" spans="1:16" s="146" customFormat="1" ht="21" customHeight="1" x14ac:dyDescent="0.25">
      <c r="A28" s="301" t="s">
        <v>15</v>
      </c>
      <c r="B28" s="356"/>
      <c r="C28" s="356"/>
      <c r="D28" s="341"/>
      <c r="E28" s="341"/>
      <c r="F28" s="341"/>
      <c r="G28" s="341"/>
      <c r="H28" s="357"/>
      <c r="I28" s="358"/>
      <c r="J28" s="358"/>
      <c r="K28" s="345"/>
      <c r="L28" s="150"/>
      <c r="M28" s="179">
        <f t="shared" si="0"/>
        <v>0</v>
      </c>
    </row>
    <row r="29" spans="1:16" s="147" customFormat="1" ht="18" customHeight="1" x14ac:dyDescent="0.25">
      <c r="A29" s="338" t="s">
        <v>16</v>
      </c>
      <c r="B29" s="355"/>
      <c r="C29" s="355"/>
      <c r="D29" s="339"/>
      <c r="E29" s="339"/>
      <c r="F29" s="339"/>
      <c r="G29" s="339"/>
      <c r="H29" s="339"/>
      <c r="I29" s="339"/>
      <c r="J29" s="339"/>
      <c r="K29" s="340"/>
      <c r="L29" s="214"/>
      <c r="M29" s="179">
        <f t="shared" si="0"/>
        <v>0</v>
      </c>
    </row>
    <row r="30" spans="1:16" s="151" customFormat="1" ht="24" customHeight="1" x14ac:dyDescent="0.25">
      <c r="A30" s="148" t="s">
        <v>162</v>
      </c>
      <c r="B30" s="156" t="s">
        <v>189</v>
      </c>
      <c r="C30" s="164" t="s">
        <v>245</v>
      </c>
      <c r="D30" s="20">
        <v>0</v>
      </c>
      <c r="E30" s="172">
        <v>40000</v>
      </c>
      <c r="F30" s="172">
        <v>40000</v>
      </c>
      <c r="G30" s="172">
        <v>52000</v>
      </c>
      <c r="H30" s="172">
        <v>52000</v>
      </c>
      <c r="I30" s="20">
        <v>0</v>
      </c>
      <c r="J30" s="20">
        <v>0</v>
      </c>
      <c r="K30" s="150">
        <f>D30+E30+G30+I30</f>
        <v>92000</v>
      </c>
      <c r="L30" s="150">
        <f>D30+F30+H30+J30</f>
        <v>92000</v>
      </c>
      <c r="M30" s="179">
        <f t="shared" si="0"/>
        <v>0</v>
      </c>
    </row>
    <row r="31" spans="1:16" s="151" customFormat="1" ht="24" customHeight="1" x14ac:dyDescent="0.25">
      <c r="A31" s="148" t="s">
        <v>165</v>
      </c>
      <c r="B31" s="156" t="s">
        <v>191</v>
      </c>
      <c r="C31" s="164" t="s">
        <v>245</v>
      </c>
      <c r="D31" s="20">
        <v>0</v>
      </c>
      <c r="E31" s="172">
        <v>60000</v>
      </c>
      <c r="F31" s="172">
        <v>60000</v>
      </c>
      <c r="G31" s="172">
        <v>0</v>
      </c>
      <c r="H31" s="172">
        <v>0</v>
      </c>
      <c r="I31" s="20">
        <v>0</v>
      </c>
      <c r="J31" s="20">
        <v>0</v>
      </c>
      <c r="K31" s="150">
        <f>D31+E31+G31+I31</f>
        <v>60000</v>
      </c>
      <c r="L31" s="150">
        <f t="shared" ref="L31:L33" si="16">D31+F31+H31+J31</f>
        <v>60000</v>
      </c>
      <c r="M31" s="179">
        <f t="shared" si="0"/>
        <v>0</v>
      </c>
    </row>
    <row r="32" spans="1:16" s="151" customFormat="1" ht="15" customHeight="1" x14ac:dyDescent="0.25">
      <c r="A32" s="148" t="s">
        <v>180</v>
      </c>
      <c r="B32" s="156" t="s">
        <v>192</v>
      </c>
      <c r="C32" s="164" t="s">
        <v>247</v>
      </c>
      <c r="D32" s="20">
        <v>0</v>
      </c>
      <c r="E32" s="172">
        <v>300</v>
      </c>
      <c r="F32" s="172">
        <v>300</v>
      </c>
      <c r="G32" s="20">
        <v>75000</v>
      </c>
      <c r="H32" s="20">
        <v>75000</v>
      </c>
      <c r="I32" s="20">
        <v>15000</v>
      </c>
      <c r="J32" s="20">
        <v>15000</v>
      </c>
      <c r="K32" s="150">
        <f>D32+E32+G32+I32</f>
        <v>90300</v>
      </c>
      <c r="L32" s="150">
        <f t="shared" si="16"/>
        <v>90300</v>
      </c>
      <c r="M32" s="179">
        <f t="shared" si="0"/>
        <v>0</v>
      </c>
    </row>
    <row r="33" spans="1:17" s="151" customFormat="1" ht="15" customHeight="1" x14ac:dyDescent="0.25">
      <c r="A33" s="201" t="s">
        <v>17</v>
      </c>
      <c r="B33" s="156" t="s">
        <v>193</v>
      </c>
      <c r="C33" s="164" t="s">
        <v>247</v>
      </c>
      <c r="D33" s="20">
        <v>0</v>
      </c>
      <c r="E33" s="172">
        <f>30807-29500</f>
        <v>1307</v>
      </c>
      <c r="F33" s="172">
        <f>30807-29500</f>
        <v>1307</v>
      </c>
      <c r="G33" s="20">
        <f>277178+30993-52000</f>
        <v>256171</v>
      </c>
      <c r="H33" s="20">
        <f>277178+30993-52000</f>
        <v>256171</v>
      </c>
      <c r="I33" s="20">
        <v>0</v>
      </c>
      <c r="J33" s="20">
        <v>0</v>
      </c>
      <c r="K33" s="150">
        <f>D33+E33+G33+I33</f>
        <v>257478</v>
      </c>
      <c r="L33" s="150">
        <f t="shared" si="16"/>
        <v>257478</v>
      </c>
      <c r="M33" s="179">
        <f t="shared" si="0"/>
        <v>0</v>
      </c>
    </row>
    <row r="34" spans="1:17" s="151" customFormat="1" ht="24" customHeight="1" x14ac:dyDescent="0.25">
      <c r="A34" s="201" t="s">
        <v>92</v>
      </c>
      <c r="B34" s="156" t="s">
        <v>194</v>
      </c>
      <c r="C34" s="164" t="s">
        <v>247</v>
      </c>
      <c r="D34" s="20">
        <v>0</v>
      </c>
      <c r="E34" s="172">
        <v>31298</v>
      </c>
      <c r="F34" s="172">
        <v>31298</v>
      </c>
      <c r="G34" s="20">
        <v>29000</v>
      </c>
      <c r="H34" s="20">
        <v>29000</v>
      </c>
      <c r="I34" s="20">
        <v>2702</v>
      </c>
      <c r="J34" s="20">
        <v>2702</v>
      </c>
      <c r="K34" s="150">
        <f>D34+E34+G34+I34</f>
        <v>63000</v>
      </c>
      <c r="L34" s="150">
        <f>D34+F34+H34+J34</f>
        <v>63000</v>
      </c>
      <c r="M34" s="179">
        <f t="shared" si="0"/>
        <v>0</v>
      </c>
    </row>
    <row r="35" spans="1:17" s="146" customFormat="1" ht="15" customHeight="1" x14ac:dyDescent="0.25">
      <c r="A35" s="10" t="s">
        <v>19</v>
      </c>
      <c r="B35" s="157"/>
      <c r="C35" s="165"/>
      <c r="D35" s="11">
        <f>SUM(D30:D34)</f>
        <v>0</v>
      </c>
      <c r="E35" s="11">
        <f>SUM(E30:E34)</f>
        <v>132905</v>
      </c>
      <c r="F35" s="11">
        <f>SUM(F30:F34)</f>
        <v>132905</v>
      </c>
      <c r="G35" s="11">
        <f>SUM(G30:G34)</f>
        <v>412171</v>
      </c>
      <c r="H35" s="11">
        <f t="shared" ref="H35:J35" si="17">SUM(H30:H34)</f>
        <v>412171</v>
      </c>
      <c r="I35" s="11">
        <f t="shared" si="17"/>
        <v>17702</v>
      </c>
      <c r="J35" s="11">
        <f t="shared" si="17"/>
        <v>17702</v>
      </c>
      <c r="K35" s="12">
        <f>SUM(K30:K34)</f>
        <v>562778</v>
      </c>
      <c r="L35" s="12">
        <f>SUM(L30:L34)</f>
        <v>562778</v>
      </c>
      <c r="M35" s="179">
        <f t="shared" si="0"/>
        <v>0</v>
      </c>
      <c r="N35" s="188"/>
      <c r="O35" s="188"/>
    </row>
    <row r="36" spans="1:17" s="147" customFormat="1" ht="18" customHeight="1" x14ac:dyDescent="0.25">
      <c r="A36" s="332" t="s">
        <v>20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34"/>
      <c r="L36" s="214"/>
      <c r="M36" s="179">
        <f t="shared" si="0"/>
        <v>0</v>
      </c>
    </row>
    <row r="37" spans="1:17" s="151" customFormat="1" ht="24" customHeight="1" x14ac:dyDescent="0.25">
      <c r="A37" s="21" t="s">
        <v>24</v>
      </c>
      <c r="B37" s="160" t="s">
        <v>195</v>
      </c>
      <c r="C37" s="164" t="s">
        <v>247</v>
      </c>
      <c r="D37" s="20">
        <v>375.1</v>
      </c>
      <c r="E37" s="172">
        <v>5000</v>
      </c>
      <c r="F37" s="172">
        <f>5000-5000</f>
        <v>0</v>
      </c>
      <c r="G37" s="20">
        <v>55000</v>
      </c>
      <c r="H37" s="172">
        <f>55000+5000</f>
        <v>60000</v>
      </c>
      <c r="I37" s="172">
        <v>39557</v>
      </c>
      <c r="J37" s="172">
        <v>39557</v>
      </c>
      <c r="K37" s="150">
        <f>D37+E37+G37+I37</f>
        <v>99932.1</v>
      </c>
      <c r="L37" s="150">
        <f>D37+F37+H37+J37</f>
        <v>99932.1</v>
      </c>
      <c r="M37" s="179">
        <f t="shared" si="0"/>
        <v>0</v>
      </c>
    </row>
    <row r="38" spans="1:17" s="151" customFormat="1" ht="24" customHeight="1" x14ac:dyDescent="0.25">
      <c r="A38" s="21" t="s">
        <v>23</v>
      </c>
      <c r="B38" s="160" t="s">
        <v>196</v>
      </c>
      <c r="C38" s="164" t="s">
        <v>247</v>
      </c>
      <c r="D38" s="20">
        <v>615</v>
      </c>
      <c r="E38" s="172">
        <v>40400</v>
      </c>
      <c r="F38" s="172">
        <f>40400-40300</f>
        <v>100</v>
      </c>
      <c r="G38" s="20">
        <v>10000</v>
      </c>
      <c r="H38" s="172">
        <f>10000+40300</f>
        <v>50300</v>
      </c>
      <c r="I38" s="172">
        <v>0</v>
      </c>
      <c r="J38" s="172">
        <v>0</v>
      </c>
      <c r="K38" s="150">
        <f>D38+E38+G38+I38</f>
        <v>51015</v>
      </c>
      <c r="L38" s="150">
        <f>D38+F38+H38+J38</f>
        <v>51015</v>
      </c>
      <c r="M38" s="179">
        <f t="shared" si="0"/>
        <v>0</v>
      </c>
    </row>
    <row r="39" spans="1:17" s="146" customFormat="1" ht="15" customHeight="1" x14ac:dyDescent="0.25">
      <c r="A39" s="10" t="s">
        <v>27</v>
      </c>
      <c r="B39" s="157"/>
      <c r="C39" s="165"/>
      <c r="D39" s="11">
        <f t="shared" ref="D39:H39" si="18">SUM(D37:D38)</f>
        <v>990.1</v>
      </c>
      <c r="E39" s="11">
        <f t="shared" si="18"/>
        <v>45400</v>
      </c>
      <c r="F39" s="11">
        <f>SUM(F37:F38)</f>
        <v>100</v>
      </c>
      <c r="G39" s="11">
        <f t="shared" si="18"/>
        <v>65000</v>
      </c>
      <c r="H39" s="11">
        <f t="shared" si="18"/>
        <v>110300</v>
      </c>
      <c r="I39" s="11">
        <f>SUM(I37:I38)</f>
        <v>39557</v>
      </c>
      <c r="J39" s="11">
        <f>SUM(J37:J38)</f>
        <v>39557</v>
      </c>
      <c r="K39" s="12">
        <f>SUM(K37:K38)</f>
        <v>150947.1</v>
      </c>
      <c r="L39" s="12">
        <f>SUM(L37:L38)</f>
        <v>150947.1</v>
      </c>
      <c r="M39" s="179">
        <f t="shared" si="0"/>
        <v>0</v>
      </c>
      <c r="N39" s="188"/>
    </row>
    <row r="40" spans="1:17" s="147" customFormat="1" ht="18" customHeight="1" x14ac:dyDescent="0.25">
      <c r="A40" s="335" t="s">
        <v>6</v>
      </c>
      <c r="B40" s="354"/>
      <c r="C40" s="354"/>
      <c r="D40" s="336"/>
      <c r="E40" s="336"/>
      <c r="F40" s="336"/>
      <c r="G40" s="336"/>
      <c r="H40" s="336"/>
      <c r="I40" s="336"/>
      <c r="J40" s="336"/>
      <c r="K40" s="337"/>
      <c r="L40" s="214"/>
      <c r="M40" s="179">
        <f t="shared" si="0"/>
        <v>0</v>
      </c>
    </row>
    <row r="41" spans="1:17" s="151" customFormat="1" ht="24" customHeight="1" x14ac:dyDescent="0.25">
      <c r="A41" s="148" t="s">
        <v>110</v>
      </c>
      <c r="B41" s="156" t="s">
        <v>198</v>
      </c>
      <c r="C41" s="164" t="s">
        <v>247</v>
      </c>
      <c r="D41" s="20">
        <v>11814</v>
      </c>
      <c r="E41" s="172">
        <v>0</v>
      </c>
      <c r="F41" s="172">
        <v>0</v>
      </c>
      <c r="G41" s="172">
        <v>0</v>
      </c>
      <c r="H41" s="172">
        <v>0</v>
      </c>
      <c r="I41" s="172">
        <v>0</v>
      </c>
      <c r="J41" s="172">
        <v>0</v>
      </c>
      <c r="K41" s="150">
        <f t="shared" ref="K41:K46" si="19">D41+E41+G41+I41</f>
        <v>11814</v>
      </c>
      <c r="L41" s="150">
        <f>D41+F41+H41+J41</f>
        <v>11814</v>
      </c>
      <c r="M41" s="179">
        <f t="shared" si="0"/>
        <v>0</v>
      </c>
    </row>
    <row r="42" spans="1:17" s="151" customFormat="1" ht="24" customHeight="1" x14ac:dyDescent="0.25">
      <c r="A42" s="23" t="s">
        <v>111</v>
      </c>
      <c r="B42" s="161" t="s">
        <v>199</v>
      </c>
      <c r="C42" s="164" t="s">
        <v>247</v>
      </c>
      <c r="D42" s="20">
        <v>6329.88</v>
      </c>
      <c r="E42" s="172">
        <v>0</v>
      </c>
      <c r="F42" s="172">
        <v>0</v>
      </c>
      <c r="G42" s="172">
        <v>0</v>
      </c>
      <c r="H42" s="172">
        <v>0</v>
      </c>
      <c r="I42" s="172">
        <v>0</v>
      </c>
      <c r="J42" s="172">
        <v>0</v>
      </c>
      <c r="K42" s="150">
        <f t="shared" si="19"/>
        <v>6329.88</v>
      </c>
      <c r="L42" s="150">
        <f t="shared" ref="L42:L46" si="20">D42+F42+H42+J42</f>
        <v>6329.88</v>
      </c>
      <c r="M42" s="179">
        <f t="shared" si="0"/>
        <v>0</v>
      </c>
    </row>
    <row r="43" spans="1:17" s="151" customFormat="1" ht="24" customHeight="1" x14ac:dyDescent="0.25">
      <c r="A43" s="23" t="s">
        <v>113</v>
      </c>
      <c r="B43" s="161" t="s">
        <v>200</v>
      </c>
      <c r="C43" s="164" t="s">
        <v>247</v>
      </c>
      <c r="D43" s="20">
        <v>12143.58</v>
      </c>
      <c r="E43" s="172">
        <v>1042.1199999999999</v>
      </c>
      <c r="F43" s="172">
        <v>1042.1199999999999</v>
      </c>
      <c r="G43" s="172">
        <v>0</v>
      </c>
      <c r="H43" s="172">
        <v>0</v>
      </c>
      <c r="I43" s="172">
        <v>0</v>
      </c>
      <c r="J43" s="172">
        <v>0</v>
      </c>
      <c r="K43" s="150">
        <f t="shared" si="19"/>
        <v>13185.7</v>
      </c>
      <c r="L43" s="150">
        <f t="shared" si="20"/>
        <v>13185.7</v>
      </c>
      <c r="M43" s="179">
        <f t="shared" si="0"/>
        <v>0</v>
      </c>
    </row>
    <row r="44" spans="1:17" s="151" customFormat="1" ht="24" customHeight="1" x14ac:dyDescent="0.25">
      <c r="A44" s="23" t="s">
        <v>31</v>
      </c>
      <c r="B44" s="161" t="s">
        <v>201</v>
      </c>
      <c r="C44" s="164" t="s">
        <v>247</v>
      </c>
      <c r="D44" s="20">
        <v>10650</v>
      </c>
      <c r="E44" s="172">
        <f>5700-2850</f>
        <v>2850</v>
      </c>
      <c r="F44" s="172">
        <f>5700-2850</f>
        <v>2850</v>
      </c>
      <c r="G44" s="172">
        <v>0</v>
      </c>
      <c r="H44" s="172">
        <v>0</v>
      </c>
      <c r="I44" s="172">
        <v>0</v>
      </c>
      <c r="J44" s="172">
        <v>0</v>
      </c>
      <c r="K44" s="150">
        <f t="shared" si="19"/>
        <v>13500</v>
      </c>
      <c r="L44" s="150">
        <f t="shared" si="20"/>
        <v>13500</v>
      </c>
      <c r="M44" s="179">
        <f t="shared" si="0"/>
        <v>0</v>
      </c>
    </row>
    <row r="45" spans="1:17" s="151" customFormat="1" ht="24" customHeight="1" x14ac:dyDescent="0.25">
      <c r="A45" s="148" t="s">
        <v>29</v>
      </c>
      <c r="B45" s="156" t="s">
        <v>202</v>
      </c>
      <c r="C45" s="164" t="s">
        <v>239</v>
      </c>
      <c r="D45" s="20">
        <v>0</v>
      </c>
      <c r="E45" s="172">
        <v>29386</v>
      </c>
      <c r="F45" s="172">
        <v>11386</v>
      </c>
      <c r="G45" s="172">
        <v>88106</v>
      </c>
      <c r="H45" s="172">
        <v>106106</v>
      </c>
      <c r="I45" s="172">
        <v>0</v>
      </c>
      <c r="J45" s="172">
        <v>0</v>
      </c>
      <c r="K45" s="150">
        <f t="shared" si="19"/>
        <v>117492</v>
      </c>
      <c r="L45" s="150">
        <f t="shared" si="20"/>
        <v>117492</v>
      </c>
      <c r="M45" s="179">
        <f t="shared" si="0"/>
        <v>0</v>
      </c>
      <c r="O45" s="179"/>
      <c r="P45" s="179"/>
      <c r="Q45" s="179"/>
    </row>
    <row r="46" spans="1:17" s="151" customFormat="1" ht="15" customHeight="1" x14ac:dyDescent="0.25">
      <c r="A46" s="23" t="s">
        <v>30</v>
      </c>
      <c r="B46" s="161" t="s">
        <v>203</v>
      </c>
      <c r="C46" s="168" t="s">
        <v>239</v>
      </c>
      <c r="D46" s="20">
        <v>1446.18</v>
      </c>
      <c r="E46" s="172">
        <v>88514.85</v>
      </c>
      <c r="F46" s="172">
        <v>85786.85</v>
      </c>
      <c r="G46" s="172">
        <v>205039</v>
      </c>
      <c r="H46" s="172">
        <v>169013</v>
      </c>
      <c r="I46" s="172">
        <v>0</v>
      </c>
      <c r="J46" s="172">
        <v>0</v>
      </c>
      <c r="K46" s="150">
        <f t="shared" si="19"/>
        <v>295000.03000000003</v>
      </c>
      <c r="L46" s="150">
        <f t="shared" si="20"/>
        <v>256246.03</v>
      </c>
      <c r="M46" s="179">
        <f t="shared" si="0"/>
        <v>38754.000000000029</v>
      </c>
      <c r="O46" s="179"/>
      <c r="P46" s="179"/>
      <c r="Q46" s="179"/>
    </row>
    <row r="47" spans="1:17" s="146" customFormat="1" ht="15" customHeight="1" x14ac:dyDescent="0.25">
      <c r="A47" s="10" t="s">
        <v>9</v>
      </c>
      <c r="B47" s="157"/>
      <c r="C47" s="165"/>
      <c r="D47" s="11">
        <f>SUM(D41:D46)</f>
        <v>42383.64</v>
      </c>
      <c r="E47" s="11">
        <f>SUM(E41:E46)</f>
        <v>121792.97</v>
      </c>
      <c r="F47" s="11">
        <f>SUM(F41:F46)</f>
        <v>101064.97</v>
      </c>
      <c r="G47" s="11">
        <f>SUM(G41:G46)</f>
        <v>293145</v>
      </c>
      <c r="H47" s="11">
        <f>SUM(H41:H46)</f>
        <v>275119</v>
      </c>
      <c r="I47" s="11">
        <f t="shared" ref="I47:J47" si="21">SUM(I41:I46)</f>
        <v>0</v>
      </c>
      <c r="J47" s="11">
        <f t="shared" si="21"/>
        <v>0</v>
      </c>
      <c r="K47" s="12">
        <f>SUM(K41:K46)</f>
        <v>457321.61000000004</v>
      </c>
      <c r="L47" s="12">
        <f>SUM(L41:L46)</f>
        <v>418567.61</v>
      </c>
      <c r="M47" s="179">
        <f t="shared" si="0"/>
        <v>38754.000000000058</v>
      </c>
    </row>
    <row r="48" spans="1:17" s="147" customFormat="1" ht="18" customHeight="1" x14ac:dyDescent="0.25">
      <c r="A48" s="335" t="s">
        <v>32</v>
      </c>
      <c r="B48" s="354"/>
      <c r="C48" s="354"/>
      <c r="D48" s="336"/>
      <c r="E48" s="336"/>
      <c r="F48" s="336"/>
      <c r="G48" s="336"/>
      <c r="H48" s="336"/>
      <c r="I48" s="336"/>
      <c r="J48" s="336"/>
      <c r="K48" s="337"/>
      <c r="L48" s="214"/>
      <c r="M48" s="179">
        <f t="shared" si="0"/>
        <v>0</v>
      </c>
      <c r="Q48" s="169"/>
    </row>
    <row r="49" spans="1:14" s="147" customFormat="1" ht="24" customHeight="1" x14ac:dyDescent="0.25">
      <c r="A49" s="148" t="s">
        <v>33</v>
      </c>
      <c r="B49" s="156" t="s">
        <v>204</v>
      </c>
      <c r="C49" s="164" t="s">
        <v>247</v>
      </c>
      <c r="D49" s="20">
        <v>95.59</v>
      </c>
      <c r="E49" s="172">
        <v>44904.41</v>
      </c>
      <c r="F49" s="172">
        <v>44904.41</v>
      </c>
      <c r="G49" s="172">
        <v>0</v>
      </c>
      <c r="H49" s="172">
        <v>0</v>
      </c>
      <c r="I49" s="172">
        <v>0</v>
      </c>
      <c r="J49" s="172">
        <v>0</v>
      </c>
      <c r="K49" s="150">
        <f t="shared" ref="K49:K73" si="22">D49+E49+G49+I49</f>
        <v>45000</v>
      </c>
      <c r="L49" s="150">
        <f>D49+F49+H49+J49</f>
        <v>45000</v>
      </c>
      <c r="M49" s="179">
        <f t="shared" si="0"/>
        <v>0</v>
      </c>
    </row>
    <row r="50" spans="1:14" s="147" customFormat="1" ht="24" customHeight="1" x14ac:dyDescent="0.25">
      <c r="A50" s="23" t="s">
        <v>39</v>
      </c>
      <c r="B50" s="161" t="s">
        <v>205</v>
      </c>
      <c r="C50" s="164" t="s">
        <v>247</v>
      </c>
      <c r="D50" s="20">
        <v>50386.47</v>
      </c>
      <c r="E50" s="172">
        <v>3269.53</v>
      </c>
      <c r="F50" s="172">
        <v>3269.53</v>
      </c>
      <c r="G50" s="172">
        <v>0</v>
      </c>
      <c r="H50" s="172">
        <v>0</v>
      </c>
      <c r="I50" s="172">
        <v>0</v>
      </c>
      <c r="J50" s="172">
        <v>0</v>
      </c>
      <c r="K50" s="150">
        <f t="shared" si="22"/>
        <v>53656</v>
      </c>
      <c r="L50" s="150">
        <f t="shared" ref="L50:L73" si="23">D50+F50+H50+J50</f>
        <v>53656</v>
      </c>
      <c r="M50" s="179">
        <f t="shared" si="0"/>
        <v>0</v>
      </c>
    </row>
    <row r="51" spans="1:14" s="147" customFormat="1" ht="24" customHeight="1" x14ac:dyDescent="0.25">
      <c r="A51" s="23" t="s">
        <v>43</v>
      </c>
      <c r="B51" s="161" t="s">
        <v>206</v>
      </c>
      <c r="C51" s="164" t="s">
        <v>247</v>
      </c>
      <c r="D51" s="20">
        <v>30678.01</v>
      </c>
      <c r="E51" s="172">
        <v>0</v>
      </c>
      <c r="F51" s="172">
        <v>0</v>
      </c>
      <c r="G51" s="172">
        <v>0</v>
      </c>
      <c r="H51" s="172">
        <v>0</v>
      </c>
      <c r="I51" s="172">
        <v>0</v>
      </c>
      <c r="J51" s="172">
        <v>0</v>
      </c>
      <c r="K51" s="150">
        <f t="shared" si="22"/>
        <v>30678.01</v>
      </c>
      <c r="L51" s="150">
        <f t="shared" si="23"/>
        <v>30678.01</v>
      </c>
      <c r="M51" s="179">
        <f t="shared" si="0"/>
        <v>0</v>
      </c>
    </row>
    <row r="52" spans="1:14" s="147" customFormat="1" ht="24" customHeight="1" x14ac:dyDescent="0.25">
      <c r="A52" s="148" t="s">
        <v>44</v>
      </c>
      <c r="B52" s="156" t="s">
        <v>207</v>
      </c>
      <c r="C52" s="164" t="s">
        <v>247</v>
      </c>
      <c r="D52" s="20">
        <v>40000</v>
      </c>
      <c r="E52" s="172">
        <v>0</v>
      </c>
      <c r="F52" s="172">
        <v>0</v>
      </c>
      <c r="G52" s="172">
        <v>0</v>
      </c>
      <c r="H52" s="172">
        <v>0</v>
      </c>
      <c r="I52" s="172">
        <v>0</v>
      </c>
      <c r="J52" s="172">
        <v>0</v>
      </c>
      <c r="K52" s="150">
        <f t="shared" si="22"/>
        <v>40000</v>
      </c>
      <c r="L52" s="150">
        <f t="shared" si="23"/>
        <v>40000</v>
      </c>
      <c r="M52" s="179">
        <f t="shared" si="0"/>
        <v>0</v>
      </c>
    </row>
    <row r="53" spans="1:14" s="147" customFormat="1" ht="24" customHeight="1" x14ac:dyDescent="0.25">
      <c r="A53" s="148" t="s">
        <v>208</v>
      </c>
      <c r="B53" s="156" t="s">
        <v>209</v>
      </c>
      <c r="C53" s="164" t="s">
        <v>247</v>
      </c>
      <c r="D53" s="20">
        <v>6200</v>
      </c>
      <c r="E53" s="172">
        <v>0</v>
      </c>
      <c r="F53" s="172">
        <v>0</v>
      </c>
      <c r="G53" s="172">
        <v>0</v>
      </c>
      <c r="H53" s="172">
        <v>0</v>
      </c>
      <c r="I53" s="172">
        <v>0</v>
      </c>
      <c r="J53" s="172">
        <v>0</v>
      </c>
      <c r="K53" s="150">
        <f t="shared" si="22"/>
        <v>6200</v>
      </c>
      <c r="L53" s="150">
        <f t="shared" si="23"/>
        <v>6200</v>
      </c>
      <c r="M53" s="179">
        <f t="shared" si="0"/>
        <v>0</v>
      </c>
    </row>
    <row r="54" spans="1:14" s="147" customFormat="1" ht="24" customHeight="1" x14ac:dyDescent="0.25">
      <c r="A54" s="23" t="s">
        <v>89</v>
      </c>
      <c r="B54" s="161" t="s">
        <v>210</v>
      </c>
      <c r="C54" s="164" t="s">
        <v>247</v>
      </c>
      <c r="D54" s="20">
        <v>7025.05</v>
      </c>
      <c r="E54" s="172">
        <v>2094.9499999999998</v>
      </c>
      <c r="F54" s="172">
        <v>2094.9499999999998</v>
      </c>
      <c r="G54" s="172">
        <v>0</v>
      </c>
      <c r="H54" s="172">
        <v>0</v>
      </c>
      <c r="I54" s="172">
        <v>0</v>
      </c>
      <c r="J54" s="172">
        <v>0</v>
      </c>
      <c r="K54" s="150">
        <f t="shared" si="22"/>
        <v>9120</v>
      </c>
      <c r="L54" s="150">
        <f t="shared" si="23"/>
        <v>9120</v>
      </c>
      <c r="M54" s="179">
        <f t="shared" si="0"/>
        <v>0</v>
      </c>
    </row>
    <row r="55" spans="1:14" s="147" customFormat="1" ht="24" customHeight="1" x14ac:dyDescent="0.25">
      <c r="A55" s="148" t="s">
        <v>131</v>
      </c>
      <c r="B55" s="156" t="s">
        <v>211</v>
      </c>
      <c r="C55" s="164" t="s">
        <v>247</v>
      </c>
      <c r="D55" s="20">
        <v>7949.67</v>
      </c>
      <c r="E55" s="172">
        <v>0</v>
      </c>
      <c r="F55" s="172">
        <v>0</v>
      </c>
      <c r="G55" s="172">
        <v>0</v>
      </c>
      <c r="H55" s="172">
        <v>0</v>
      </c>
      <c r="I55" s="172">
        <v>0</v>
      </c>
      <c r="J55" s="172">
        <v>0</v>
      </c>
      <c r="K55" s="150">
        <f t="shared" si="22"/>
        <v>7949.67</v>
      </c>
      <c r="L55" s="150">
        <f t="shared" si="23"/>
        <v>7949.67</v>
      </c>
      <c r="M55" s="179">
        <f t="shared" si="0"/>
        <v>0</v>
      </c>
    </row>
    <row r="56" spans="1:14" s="147" customFormat="1" ht="24" customHeight="1" x14ac:dyDescent="0.25">
      <c r="A56" s="148" t="s">
        <v>172</v>
      </c>
      <c r="B56" s="156" t="s">
        <v>212</v>
      </c>
      <c r="C56" s="164" t="s">
        <v>247</v>
      </c>
      <c r="D56" s="20">
        <v>0</v>
      </c>
      <c r="E56" s="172">
        <v>15000</v>
      </c>
      <c r="F56" s="172">
        <v>15000</v>
      </c>
      <c r="G56" s="172">
        <v>0</v>
      </c>
      <c r="H56" s="172">
        <v>0</v>
      </c>
      <c r="I56" s="172">
        <v>0</v>
      </c>
      <c r="J56" s="172">
        <v>0</v>
      </c>
      <c r="K56" s="150">
        <f t="shared" si="22"/>
        <v>15000</v>
      </c>
      <c r="L56" s="150">
        <f t="shared" si="23"/>
        <v>15000</v>
      </c>
      <c r="M56" s="179">
        <f t="shared" si="0"/>
        <v>0</v>
      </c>
    </row>
    <row r="57" spans="1:14" s="147" customFormat="1" ht="24" customHeight="1" x14ac:dyDescent="0.25">
      <c r="A57" s="148" t="s">
        <v>34</v>
      </c>
      <c r="B57" s="195" t="s">
        <v>213</v>
      </c>
      <c r="C57" s="164" t="s">
        <v>247</v>
      </c>
      <c r="D57" s="20">
        <v>0</v>
      </c>
      <c r="E57" s="172">
        <f>500+213</f>
        <v>713</v>
      </c>
      <c r="F57" s="172">
        <f>500+213</f>
        <v>713</v>
      </c>
      <c r="G57" s="172">
        <v>0</v>
      </c>
      <c r="H57" s="172">
        <v>0</v>
      </c>
      <c r="I57" s="172">
        <v>0</v>
      </c>
      <c r="J57" s="172">
        <v>0</v>
      </c>
      <c r="K57" s="150">
        <f t="shared" si="22"/>
        <v>713</v>
      </c>
      <c r="L57" s="150">
        <f t="shared" si="23"/>
        <v>713</v>
      </c>
      <c r="M57" s="179">
        <f t="shared" si="0"/>
        <v>0</v>
      </c>
    </row>
    <row r="58" spans="1:14" s="147" customFormat="1" ht="24" customHeight="1" x14ac:dyDescent="0.25">
      <c r="A58" s="148" t="s">
        <v>42</v>
      </c>
      <c r="B58" s="156" t="s">
        <v>214</v>
      </c>
      <c r="C58" s="164" t="s">
        <v>247</v>
      </c>
      <c r="D58" s="20">
        <v>43980.06</v>
      </c>
      <c r="E58" s="20">
        <v>13719.93</v>
      </c>
      <c r="F58" s="20">
        <v>13719.93</v>
      </c>
      <c r="G58" s="172">
        <v>0</v>
      </c>
      <c r="H58" s="172">
        <v>0</v>
      </c>
      <c r="I58" s="172">
        <v>0</v>
      </c>
      <c r="J58" s="172">
        <v>0</v>
      </c>
      <c r="K58" s="150">
        <f t="shared" si="22"/>
        <v>57699.99</v>
      </c>
      <c r="L58" s="150">
        <f t="shared" si="23"/>
        <v>57699.99</v>
      </c>
      <c r="M58" s="179">
        <f t="shared" si="0"/>
        <v>0</v>
      </c>
    </row>
    <row r="59" spans="1:14" s="147" customFormat="1" ht="24" customHeight="1" x14ac:dyDescent="0.25">
      <c r="A59" s="148" t="s">
        <v>45</v>
      </c>
      <c r="B59" s="161" t="s">
        <v>215</v>
      </c>
      <c r="C59" s="164" t="s">
        <v>247</v>
      </c>
      <c r="D59" s="20">
        <v>500</v>
      </c>
      <c r="E59" s="20">
        <v>900</v>
      </c>
      <c r="F59" s="20">
        <v>900</v>
      </c>
      <c r="G59" s="172">
        <v>60000</v>
      </c>
      <c r="H59" s="172">
        <v>60000</v>
      </c>
      <c r="I59" s="172">
        <v>11950.5</v>
      </c>
      <c r="J59" s="172">
        <v>11950.5</v>
      </c>
      <c r="K59" s="150">
        <f t="shared" si="22"/>
        <v>73350.5</v>
      </c>
      <c r="L59" s="150">
        <f t="shared" si="23"/>
        <v>73350.5</v>
      </c>
      <c r="M59" s="179">
        <f t="shared" si="0"/>
        <v>0</v>
      </c>
    </row>
    <row r="60" spans="1:14" s="147" customFormat="1" ht="33.950000000000003" customHeight="1" x14ac:dyDescent="0.25">
      <c r="A60" s="148" t="s">
        <v>36</v>
      </c>
      <c r="B60" s="161" t="s">
        <v>216</v>
      </c>
      <c r="C60" s="164" t="s">
        <v>256</v>
      </c>
      <c r="D60" s="24">
        <v>18811.419999999998</v>
      </c>
      <c r="E60" s="20">
        <f>27286.58-1000</f>
        <v>26286.58</v>
      </c>
      <c r="F60" s="20">
        <f>27286.58-1000</f>
        <v>26286.58</v>
      </c>
      <c r="G60" s="20">
        <v>0</v>
      </c>
      <c r="H60" s="20">
        <v>0</v>
      </c>
      <c r="I60" s="172">
        <v>0</v>
      </c>
      <c r="J60" s="172">
        <v>0</v>
      </c>
      <c r="K60" s="150">
        <f t="shared" si="22"/>
        <v>45098</v>
      </c>
      <c r="L60" s="150">
        <f t="shared" si="23"/>
        <v>45098</v>
      </c>
      <c r="M60" s="179">
        <f t="shared" si="0"/>
        <v>0</v>
      </c>
    </row>
    <row r="61" spans="1:14" s="147" customFormat="1" ht="33.950000000000003" customHeight="1" x14ac:dyDescent="0.25">
      <c r="A61" s="148" t="s">
        <v>81</v>
      </c>
      <c r="B61" s="161" t="s">
        <v>217</v>
      </c>
      <c r="C61" s="164" t="s">
        <v>277</v>
      </c>
      <c r="D61" s="24">
        <v>0</v>
      </c>
      <c r="E61" s="20">
        <v>6500</v>
      </c>
      <c r="F61" s="20">
        <v>6500</v>
      </c>
      <c r="G61" s="172">
        <v>0</v>
      </c>
      <c r="H61" s="172">
        <v>0</v>
      </c>
      <c r="I61" s="172">
        <v>0</v>
      </c>
      <c r="J61" s="172">
        <v>0</v>
      </c>
      <c r="K61" s="150">
        <f t="shared" si="22"/>
        <v>6500</v>
      </c>
      <c r="L61" s="150">
        <f t="shared" si="23"/>
        <v>6500</v>
      </c>
      <c r="M61" s="179">
        <f t="shared" si="0"/>
        <v>0</v>
      </c>
    </row>
    <row r="62" spans="1:14" s="147" customFormat="1" ht="24" customHeight="1" x14ac:dyDescent="0.25">
      <c r="A62" s="201" t="s">
        <v>38</v>
      </c>
      <c r="B62" s="156" t="s">
        <v>218</v>
      </c>
      <c r="C62" s="164" t="s">
        <v>247</v>
      </c>
      <c r="D62" s="20">
        <v>803.35</v>
      </c>
      <c r="E62" s="172">
        <v>128195.65</v>
      </c>
      <c r="F62" s="172">
        <f>128195.65-65000</f>
        <v>63195.649999999994</v>
      </c>
      <c r="G62" s="172">
        <v>77000</v>
      </c>
      <c r="H62" s="172">
        <f>77000+65000</f>
        <v>142000</v>
      </c>
      <c r="I62" s="172">
        <v>0</v>
      </c>
      <c r="J62" s="172">
        <v>0</v>
      </c>
      <c r="K62" s="150">
        <f t="shared" si="22"/>
        <v>205999</v>
      </c>
      <c r="L62" s="150">
        <f t="shared" si="23"/>
        <v>205999</v>
      </c>
      <c r="M62" s="179">
        <f t="shared" si="0"/>
        <v>0</v>
      </c>
      <c r="N62" s="169"/>
    </row>
    <row r="63" spans="1:14" s="147" customFormat="1" ht="33.950000000000003" customHeight="1" x14ac:dyDescent="0.25">
      <c r="A63" s="148" t="s">
        <v>41</v>
      </c>
      <c r="B63" s="161" t="s">
        <v>219</v>
      </c>
      <c r="C63" s="164" t="s">
        <v>247</v>
      </c>
      <c r="D63" s="24">
        <v>0</v>
      </c>
      <c r="E63" s="172">
        <f>20250-5250</f>
        <v>15000</v>
      </c>
      <c r="F63" s="172">
        <f>20250-5250-10000</f>
        <v>5000</v>
      </c>
      <c r="G63" s="172">
        <f>17750+5250</f>
        <v>23000</v>
      </c>
      <c r="H63" s="172">
        <f>17750+5250+10000</f>
        <v>33000</v>
      </c>
      <c r="I63" s="172">
        <v>0</v>
      </c>
      <c r="J63" s="172">
        <v>0</v>
      </c>
      <c r="K63" s="150">
        <f t="shared" si="22"/>
        <v>38000</v>
      </c>
      <c r="L63" s="150">
        <f t="shared" si="23"/>
        <v>38000</v>
      </c>
      <c r="M63" s="179">
        <f t="shared" si="0"/>
        <v>0</v>
      </c>
    </row>
    <row r="64" spans="1:14" s="147" customFormat="1" ht="24" customHeight="1" x14ac:dyDescent="0.25">
      <c r="A64" s="148" t="s">
        <v>80</v>
      </c>
      <c r="B64" s="156" t="s">
        <v>220</v>
      </c>
      <c r="C64" s="164" t="s">
        <v>247</v>
      </c>
      <c r="D64" s="20">
        <v>0</v>
      </c>
      <c r="E64" s="172">
        <v>14350</v>
      </c>
      <c r="F64" s="172">
        <v>14350</v>
      </c>
      <c r="G64" s="172">
        <v>4500</v>
      </c>
      <c r="H64" s="172">
        <v>4500</v>
      </c>
      <c r="I64" s="172">
        <v>0</v>
      </c>
      <c r="J64" s="172">
        <v>0</v>
      </c>
      <c r="K64" s="150">
        <f t="shared" si="22"/>
        <v>18850</v>
      </c>
      <c r="L64" s="150">
        <f t="shared" si="23"/>
        <v>18850</v>
      </c>
      <c r="M64" s="179">
        <f t="shared" si="0"/>
        <v>0</v>
      </c>
    </row>
    <row r="65" spans="1:15" s="147" customFormat="1" ht="24" customHeight="1" x14ac:dyDescent="0.25">
      <c r="A65" s="148" t="s">
        <v>68</v>
      </c>
      <c r="B65" s="156" t="s">
        <v>221</v>
      </c>
      <c r="C65" s="164" t="s">
        <v>247</v>
      </c>
      <c r="D65" s="20">
        <v>0</v>
      </c>
      <c r="E65" s="172">
        <v>2090</v>
      </c>
      <c r="F65" s="172">
        <v>2090</v>
      </c>
      <c r="G65" s="172">
        <v>0</v>
      </c>
      <c r="H65" s="172">
        <v>0</v>
      </c>
      <c r="I65" s="172">
        <v>0</v>
      </c>
      <c r="J65" s="172">
        <v>0</v>
      </c>
      <c r="K65" s="150">
        <f t="shared" si="22"/>
        <v>2090</v>
      </c>
      <c r="L65" s="150">
        <f t="shared" si="23"/>
        <v>2090</v>
      </c>
      <c r="M65" s="179">
        <f t="shared" si="0"/>
        <v>0</v>
      </c>
    </row>
    <row r="66" spans="1:15" s="147" customFormat="1" ht="24" customHeight="1" x14ac:dyDescent="0.25">
      <c r="A66" s="148" t="s">
        <v>40</v>
      </c>
      <c r="B66" s="156" t="s">
        <v>222</v>
      </c>
      <c r="C66" s="164" t="s">
        <v>247</v>
      </c>
      <c r="D66" s="20">
        <v>0</v>
      </c>
      <c r="E66" s="20">
        <v>25000</v>
      </c>
      <c r="F66" s="20">
        <v>25000</v>
      </c>
      <c r="G66" s="20">
        <v>0</v>
      </c>
      <c r="H66" s="20">
        <v>0</v>
      </c>
      <c r="I66" s="172">
        <v>0</v>
      </c>
      <c r="J66" s="172">
        <v>0</v>
      </c>
      <c r="K66" s="150">
        <f t="shared" si="22"/>
        <v>25000</v>
      </c>
      <c r="L66" s="150">
        <f t="shared" si="23"/>
        <v>25000</v>
      </c>
      <c r="M66" s="179">
        <f t="shared" si="0"/>
        <v>0</v>
      </c>
    </row>
    <row r="67" spans="1:15" s="147" customFormat="1" ht="33.950000000000003" customHeight="1" x14ac:dyDescent="0.25">
      <c r="A67" s="148" t="s">
        <v>37</v>
      </c>
      <c r="B67" s="161" t="s">
        <v>223</v>
      </c>
      <c r="C67" s="164" t="s">
        <v>247</v>
      </c>
      <c r="D67" s="24">
        <v>0</v>
      </c>
      <c r="E67" s="192">
        <f>5500+3600-8965</f>
        <v>135</v>
      </c>
      <c r="F67" s="192">
        <f>5500+3600-8965</f>
        <v>135</v>
      </c>
      <c r="G67" s="192">
        <f>8965+2035</f>
        <v>11000</v>
      </c>
      <c r="H67" s="192">
        <f>8965+2035</f>
        <v>11000</v>
      </c>
      <c r="I67" s="172">
        <v>0</v>
      </c>
      <c r="J67" s="172">
        <v>0</v>
      </c>
      <c r="K67" s="150">
        <f t="shared" si="22"/>
        <v>11135</v>
      </c>
      <c r="L67" s="150">
        <f t="shared" si="23"/>
        <v>11135</v>
      </c>
      <c r="M67" s="179">
        <f t="shared" si="0"/>
        <v>0</v>
      </c>
    </row>
    <row r="68" spans="1:15" s="147" customFormat="1" ht="24" customHeight="1" x14ac:dyDescent="0.25">
      <c r="A68" s="148" t="s">
        <v>69</v>
      </c>
      <c r="B68" s="161" t="s">
        <v>224</v>
      </c>
      <c r="C68" s="164" t="s">
        <v>247</v>
      </c>
      <c r="D68" s="20">
        <v>28.6</v>
      </c>
      <c r="E68" s="192">
        <f>11036-1000</f>
        <v>10036</v>
      </c>
      <c r="F68" s="192">
        <f>11036-1000-7800</f>
        <v>2236</v>
      </c>
      <c r="G68" s="20">
        <v>0</v>
      </c>
      <c r="H68" s="172">
        <v>7800</v>
      </c>
      <c r="I68" s="172">
        <v>0</v>
      </c>
      <c r="J68" s="172">
        <v>0</v>
      </c>
      <c r="K68" s="150">
        <f t="shared" si="22"/>
        <v>10064.6</v>
      </c>
      <c r="L68" s="150">
        <f>D68+F68+H68+J68</f>
        <v>10064.6</v>
      </c>
      <c r="M68" s="179">
        <f t="shared" si="0"/>
        <v>0</v>
      </c>
    </row>
    <row r="69" spans="1:15" s="151" customFormat="1" ht="15" customHeight="1" x14ac:dyDescent="0.25">
      <c r="A69" s="148" t="s">
        <v>88</v>
      </c>
      <c r="B69" s="160" t="s">
        <v>225</v>
      </c>
      <c r="C69" s="164" t="s">
        <v>247</v>
      </c>
      <c r="D69" s="152">
        <v>0</v>
      </c>
      <c r="E69" s="191">
        <f>50000-10000</f>
        <v>40000</v>
      </c>
      <c r="F69" s="191">
        <f>50000-10000-20000</f>
        <v>20000</v>
      </c>
      <c r="G69" s="191">
        <f>20500+10000</f>
        <v>30500</v>
      </c>
      <c r="H69" s="191">
        <f>20500+10000+20000</f>
        <v>50500</v>
      </c>
      <c r="I69" s="172">
        <v>0</v>
      </c>
      <c r="J69" s="172">
        <v>0</v>
      </c>
      <c r="K69" s="150">
        <f t="shared" si="22"/>
        <v>70500</v>
      </c>
      <c r="L69" s="150">
        <f t="shared" si="23"/>
        <v>70500</v>
      </c>
      <c r="M69" s="179">
        <f t="shared" si="0"/>
        <v>0</v>
      </c>
    </row>
    <row r="70" spans="1:15" s="147" customFormat="1" ht="24" customHeight="1" x14ac:dyDescent="0.25">
      <c r="A70" s="148" t="s">
        <v>90</v>
      </c>
      <c r="B70" s="156" t="s">
        <v>226</v>
      </c>
      <c r="C70" s="164" t="s">
        <v>247</v>
      </c>
      <c r="D70" s="20">
        <v>127.05</v>
      </c>
      <c r="E70" s="172">
        <v>7373</v>
      </c>
      <c r="F70" s="172">
        <f>7373-6700</f>
        <v>673</v>
      </c>
      <c r="G70" s="172">
        <v>14000</v>
      </c>
      <c r="H70" s="172">
        <f>14000+6700</f>
        <v>20700</v>
      </c>
      <c r="I70" s="172">
        <v>0</v>
      </c>
      <c r="J70" s="172">
        <v>0</v>
      </c>
      <c r="K70" s="150">
        <f t="shared" si="22"/>
        <v>21500.05</v>
      </c>
      <c r="L70" s="150">
        <f t="shared" si="23"/>
        <v>21500.05</v>
      </c>
      <c r="M70" s="179">
        <f t="shared" si="0"/>
        <v>0</v>
      </c>
    </row>
    <row r="71" spans="1:15" s="147" customFormat="1" ht="24" customHeight="1" x14ac:dyDescent="0.25">
      <c r="A71" s="148" t="s">
        <v>91</v>
      </c>
      <c r="B71" s="161" t="s">
        <v>227</v>
      </c>
      <c r="C71" s="164" t="s">
        <v>247</v>
      </c>
      <c r="D71" s="20">
        <v>17970.75</v>
      </c>
      <c r="E71" s="172">
        <v>7029.25</v>
      </c>
      <c r="F71" s="172">
        <v>7029.25</v>
      </c>
      <c r="G71" s="172">
        <v>0</v>
      </c>
      <c r="H71" s="172">
        <v>0</v>
      </c>
      <c r="I71" s="183">
        <v>0</v>
      </c>
      <c r="J71" s="183">
        <v>0</v>
      </c>
      <c r="K71" s="150">
        <f t="shared" si="22"/>
        <v>25000</v>
      </c>
      <c r="L71" s="150">
        <f t="shared" si="23"/>
        <v>25000</v>
      </c>
      <c r="M71" s="179">
        <f t="shared" si="0"/>
        <v>0</v>
      </c>
    </row>
    <row r="72" spans="1:15" s="147" customFormat="1" ht="24" customHeight="1" x14ac:dyDescent="0.25">
      <c r="A72" s="148" t="s">
        <v>262</v>
      </c>
      <c r="B72" s="161" t="s">
        <v>263</v>
      </c>
      <c r="C72" s="164" t="s">
        <v>247</v>
      </c>
      <c r="D72" s="20">
        <v>0</v>
      </c>
      <c r="E72" s="192">
        <v>11100</v>
      </c>
      <c r="F72" s="192">
        <v>11100</v>
      </c>
      <c r="G72" s="172">
        <v>0</v>
      </c>
      <c r="H72" s="172">
        <v>0</v>
      </c>
      <c r="I72" s="183">
        <v>0</v>
      </c>
      <c r="J72" s="183">
        <v>0</v>
      </c>
      <c r="K72" s="150">
        <f t="shared" si="22"/>
        <v>11100</v>
      </c>
      <c r="L72" s="150">
        <f t="shared" si="23"/>
        <v>11100</v>
      </c>
      <c r="M72" s="179">
        <f t="shared" si="0"/>
        <v>0</v>
      </c>
    </row>
    <row r="73" spans="1:15" s="147" customFormat="1" ht="24" customHeight="1" x14ac:dyDescent="0.25">
      <c r="A73" s="148" t="s">
        <v>265</v>
      </c>
      <c r="B73" s="161" t="s">
        <v>266</v>
      </c>
      <c r="C73" s="164" t="s">
        <v>247</v>
      </c>
      <c r="D73" s="20">
        <v>0</v>
      </c>
      <c r="E73" s="192">
        <v>9350</v>
      </c>
      <c r="F73" s="192">
        <v>9350</v>
      </c>
      <c r="G73" s="172">
        <v>0</v>
      </c>
      <c r="H73" s="172">
        <v>0</v>
      </c>
      <c r="I73" s="183">
        <v>0</v>
      </c>
      <c r="J73" s="183">
        <v>0</v>
      </c>
      <c r="K73" s="150">
        <f t="shared" si="22"/>
        <v>9350</v>
      </c>
      <c r="L73" s="150">
        <f t="shared" si="23"/>
        <v>9350</v>
      </c>
      <c r="M73" s="179">
        <f t="shared" ref="M73:M92" si="24">K73-L73</f>
        <v>0</v>
      </c>
    </row>
    <row r="74" spans="1:15" s="146" customFormat="1" ht="15" customHeight="1" x14ac:dyDescent="0.25">
      <c r="A74" s="10" t="s">
        <v>47</v>
      </c>
      <c r="B74" s="157"/>
      <c r="C74" s="165"/>
      <c r="D74" s="11">
        <f t="shared" ref="D74:L74" si="25">SUM(D49:D73)</f>
        <v>224556.02000000002</v>
      </c>
      <c r="E74" s="11">
        <f t="shared" si="25"/>
        <v>383047.3</v>
      </c>
      <c r="F74" s="11">
        <f>SUM(F49:F73)</f>
        <v>273547.3</v>
      </c>
      <c r="G74" s="11">
        <f t="shared" si="25"/>
        <v>220000</v>
      </c>
      <c r="H74" s="11">
        <f t="shared" ref="H74" si="26">SUM(H49:H73)</f>
        <v>329500</v>
      </c>
      <c r="I74" s="11">
        <f t="shared" si="25"/>
        <v>11950.5</v>
      </c>
      <c r="J74" s="11">
        <f t="shared" ref="J74" si="27">SUM(J49:J73)</f>
        <v>11950.5</v>
      </c>
      <c r="K74" s="12">
        <f t="shared" si="25"/>
        <v>839553.82000000007</v>
      </c>
      <c r="L74" s="12">
        <f t="shared" si="25"/>
        <v>839553.82000000007</v>
      </c>
      <c r="M74" s="179">
        <f t="shared" si="24"/>
        <v>0</v>
      </c>
      <c r="N74" s="188"/>
      <c r="O74" s="188"/>
    </row>
    <row r="75" spans="1:15" s="147" customFormat="1" ht="18" customHeight="1" x14ac:dyDescent="0.25">
      <c r="A75" s="332" t="s">
        <v>48</v>
      </c>
      <c r="B75" s="333"/>
      <c r="C75" s="333"/>
      <c r="D75" s="333"/>
      <c r="E75" s="333"/>
      <c r="F75" s="333"/>
      <c r="G75" s="333"/>
      <c r="H75" s="333"/>
      <c r="I75" s="333"/>
      <c r="J75" s="333"/>
      <c r="K75" s="334"/>
      <c r="L75" s="214"/>
      <c r="M75" s="179">
        <f t="shared" si="24"/>
        <v>0</v>
      </c>
      <c r="N75" s="169"/>
    </row>
    <row r="76" spans="1:15" s="147" customFormat="1" ht="24" customHeight="1" x14ac:dyDescent="0.25">
      <c r="A76" s="21" t="s">
        <v>97</v>
      </c>
      <c r="B76" s="160" t="s">
        <v>228</v>
      </c>
      <c r="C76" s="164" t="s">
        <v>247</v>
      </c>
      <c r="D76" s="20">
        <v>14723.48</v>
      </c>
      <c r="E76" s="172">
        <v>6976.53</v>
      </c>
      <c r="F76" s="172">
        <v>6976.53</v>
      </c>
      <c r="G76" s="172">
        <v>0</v>
      </c>
      <c r="H76" s="172">
        <v>0</v>
      </c>
      <c r="I76" s="20">
        <v>0</v>
      </c>
      <c r="J76" s="20">
        <v>0</v>
      </c>
      <c r="K76" s="150">
        <f t="shared" ref="K76:K88" si="28">D76+E76+G76+I76</f>
        <v>21700.01</v>
      </c>
      <c r="L76" s="150">
        <f>D76+F76+H76+J76</f>
        <v>21700.01</v>
      </c>
      <c r="M76" s="179">
        <f t="shared" si="24"/>
        <v>0</v>
      </c>
    </row>
    <row r="77" spans="1:15" s="147" customFormat="1" ht="24" customHeight="1" x14ac:dyDescent="0.25">
      <c r="A77" s="21" t="s">
        <v>176</v>
      </c>
      <c r="B77" s="160" t="s">
        <v>229</v>
      </c>
      <c r="C77" s="164" t="s">
        <v>247</v>
      </c>
      <c r="D77" s="24">
        <v>22241.64</v>
      </c>
      <c r="E77" s="192">
        <v>0</v>
      </c>
      <c r="F77" s="192">
        <v>0</v>
      </c>
      <c r="G77" s="192">
        <v>0</v>
      </c>
      <c r="H77" s="192">
        <v>0</v>
      </c>
      <c r="I77" s="24">
        <v>0</v>
      </c>
      <c r="J77" s="24">
        <v>0</v>
      </c>
      <c r="K77" s="150">
        <f t="shared" si="28"/>
        <v>22241.64</v>
      </c>
      <c r="L77" s="150">
        <f t="shared" ref="L77:L88" si="29">D77+F77+H77+J77</f>
        <v>22241.64</v>
      </c>
      <c r="M77" s="179">
        <f t="shared" si="24"/>
        <v>0</v>
      </c>
    </row>
    <row r="78" spans="1:15" s="147" customFormat="1" ht="24" customHeight="1" x14ac:dyDescent="0.25">
      <c r="A78" s="21" t="s">
        <v>141</v>
      </c>
      <c r="B78" s="160" t="s">
        <v>230</v>
      </c>
      <c r="C78" s="164" t="s">
        <v>247</v>
      </c>
      <c r="D78" s="20">
        <v>20898.27</v>
      </c>
      <c r="E78" s="172">
        <v>0</v>
      </c>
      <c r="F78" s="172">
        <v>0</v>
      </c>
      <c r="G78" s="172">
        <v>0</v>
      </c>
      <c r="H78" s="172">
        <v>0</v>
      </c>
      <c r="I78" s="20">
        <v>0</v>
      </c>
      <c r="J78" s="20">
        <v>0</v>
      </c>
      <c r="K78" s="150">
        <f t="shared" si="28"/>
        <v>20898.27</v>
      </c>
      <c r="L78" s="150">
        <f t="shared" si="29"/>
        <v>20898.27</v>
      </c>
      <c r="M78" s="179">
        <f t="shared" si="24"/>
        <v>0</v>
      </c>
    </row>
    <row r="79" spans="1:15" s="147" customFormat="1" ht="24" customHeight="1" x14ac:dyDescent="0.25">
      <c r="A79" s="21" t="s">
        <v>143</v>
      </c>
      <c r="B79" s="160" t="s">
        <v>231</v>
      </c>
      <c r="C79" s="164" t="s">
        <v>247</v>
      </c>
      <c r="D79" s="20">
        <v>28727.64</v>
      </c>
      <c r="E79" s="172">
        <v>0</v>
      </c>
      <c r="F79" s="172">
        <v>0</v>
      </c>
      <c r="G79" s="172">
        <v>0</v>
      </c>
      <c r="H79" s="172">
        <v>0</v>
      </c>
      <c r="I79" s="20">
        <v>0</v>
      </c>
      <c r="J79" s="20">
        <v>0</v>
      </c>
      <c r="K79" s="150">
        <f t="shared" si="28"/>
        <v>28727.64</v>
      </c>
      <c r="L79" s="150">
        <f t="shared" si="29"/>
        <v>28727.64</v>
      </c>
      <c r="M79" s="179">
        <f t="shared" si="24"/>
        <v>0</v>
      </c>
    </row>
    <row r="80" spans="1:15" s="147" customFormat="1" ht="24" customHeight="1" x14ac:dyDescent="0.25">
      <c r="A80" s="21" t="s">
        <v>145</v>
      </c>
      <c r="B80" s="160" t="s">
        <v>232</v>
      </c>
      <c r="C80" s="164" t="s">
        <v>247</v>
      </c>
      <c r="D80" s="20">
        <v>11437.7</v>
      </c>
      <c r="E80" s="172">
        <v>0</v>
      </c>
      <c r="F80" s="172">
        <v>0</v>
      </c>
      <c r="G80" s="172">
        <v>0</v>
      </c>
      <c r="H80" s="172">
        <v>0</v>
      </c>
      <c r="I80" s="20">
        <v>0</v>
      </c>
      <c r="J80" s="20">
        <v>0</v>
      </c>
      <c r="K80" s="150">
        <f t="shared" si="28"/>
        <v>11437.7</v>
      </c>
      <c r="L80" s="150">
        <f t="shared" si="29"/>
        <v>11437.7</v>
      </c>
      <c r="M80" s="179">
        <f t="shared" si="24"/>
        <v>0</v>
      </c>
    </row>
    <row r="81" spans="1:15" s="147" customFormat="1" ht="24" customHeight="1" x14ac:dyDescent="0.25">
      <c r="A81" s="21" t="s">
        <v>147</v>
      </c>
      <c r="B81" s="160" t="s">
        <v>233</v>
      </c>
      <c r="C81" s="164" t="s">
        <v>247</v>
      </c>
      <c r="D81" s="20">
        <v>11567.78</v>
      </c>
      <c r="E81" s="172">
        <v>0</v>
      </c>
      <c r="F81" s="172">
        <v>0</v>
      </c>
      <c r="G81" s="172">
        <v>0</v>
      </c>
      <c r="H81" s="172">
        <v>0</v>
      </c>
      <c r="I81" s="20">
        <v>0</v>
      </c>
      <c r="J81" s="20">
        <v>0</v>
      </c>
      <c r="K81" s="150">
        <f t="shared" si="28"/>
        <v>11567.78</v>
      </c>
      <c r="L81" s="150">
        <f t="shared" si="29"/>
        <v>11567.78</v>
      </c>
      <c r="M81" s="179">
        <f t="shared" si="24"/>
        <v>0</v>
      </c>
    </row>
    <row r="82" spans="1:15" s="147" customFormat="1" ht="15" customHeight="1" x14ac:dyDescent="0.25">
      <c r="A82" s="21" t="s">
        <v>175</v>
      </c>
      <c r="B82" s="160" t="s">
        <v>234</v>
      </c>
      <c r="C82" s="164" t="s">
        <v>247</v>
      </c>
      <c r="D82" s="20">
        <v>1099.1500000000001</v>
      </c>
      <c r="E82" s="172">
        <v>22900.85</v>
      </c>
      <c r="F82" s="172">
        <v>22900.85</v>
      </c>
      <c r="G82" s="172">
        <v>0</v>
      </c>
      <c r="H82" s="172">
        <v>0</v>
      </c>
      <c r="I82" s="20">
        <v>0</v>
      </c>
      <c r="J82" s="20">
        <v>0</v>
      </c>
      <c r="K82" s="150">
        <f t="shared" si="28"/>
        <v>24000</v>
      </c>
      <c r="L82" s="150">
        <f t="shared" si="29"/>
        <v>24000</v>
      </c>
      <c r="M82" s="179">
        <f t="shared" si="24"/>
        <v>0</v>
      </c>
    </row>
    <row r="83" spans="1:15" s="147" customFormat="1" ht="24" customHeight="1" x14ac:dyDescent="0.25">
      <c r="A83" s="21" t="s">
        <v>50</v>
      </c>
      <c r="B83" s="160" t="s">
        <v>235</v>
      </c>
      <c r="C83" s="164" t="s">
        <v>247</v>
      </c>
      <c r="D83" s="20">
        <v>34.11</v>
      </c>
      <c r="E83" s="172">
        <v>93382</v>
      </c>
      <c r="F83" s="172">
        <v>93382</v>
      </c>
      <c r="G83" s="172">
        <v>50000</v>
      </c>
      <c r="H83" s="172">
        <v>50000</v>
      </c>
      <c r="I83" s="20">
        <v>0</v>
      </c>
      <c r="J83" s="20">
        <v>0</v>
      </c>
      <c r="K83" s="150">
        <f t="shared" si="28"/>
        <v>143416.10999999999</v>
      </c>
      <c r="L83" s="150">
        <f t="shared" si="29"/>
        <v>143416.10999999999</v>
      </c>
      <c r="M83" s="179">
        <f t="shared" si="24"/>
        <v>0</v>
      </c>
    </row>
    <row r="84" spans="1:15" s="147" customFormat="1" ht="24" customHeight="1" x14ac:dyDescent="0.25">
      <c r="A84" s="23" t="s">
        <v>49</v>
      </c>
      <c r="B84" s="160" t="s">
        <v>236</v>
      </c>
      <c r="C84" s="164" t="s">
        <v>247</v>
      </c>
      <c r="D84" s="24">
        <v>29.04</v>
      </c>
      <c r="E84" s="172">
        <f>94970.96-80000</f>
        <v>14970.960000000006</v>
      </c>
      <c r="F84" s="172">
        <f>94970.96-80000</f>
        <v>14970.960000000006</v>
      </c>
      <c r="G84" s="192">
        <f>10000+80000</f>
        <v>90000</v>
      </c>
      <c r="H84" s="192">
        <f>10000+80000</f>
        <v>90000</v>
      </c>
      <c r="I84" s="24">
        <v>0</v>
      </c>
      <c r="J84" s="24">
        <v>0</v>
      </c>
      <c r="K84" s="150">
        <f t="shared" si="28"/>
        <v>105000</v>
      </c>
      <c r="L84" s="150">
        <f t="shared" si="29"/>
        <v>105000</v>
      </c>
      <c r="M84" s="179">
        <f t="shared" si="24"/>
        <v>0</v>
      </c>
    </row>
    <row r="85" spans="1:15" s="147" customFormat="1" ht="24" customHeight="1" x14ac:dyDescent="0.25">
      <c r="A85" s="23" t="s">
        <v>285</v>
      </c>
      <c r="B85" s="160" t="s">
        <v>286</v>
      </c>
      <c r="C85" s="164" t="s">
        <v>247</v>
      </c>
      <c r="D85" s="24">
        <v>0</v>
      </c>
      <c r="E85" s="172">
        <v>30200</v>
      </c>
      <c r="F85" s="172">
        <f>30200-26200</f>
        <v>4000</v>
      </c>
      <c r="G85" s="192">
        <v>0</v>
      </c>
      <c r="H85" s="192">
        <f>0+26200</f>
        <v>26200</v>
      </c>
      <c r="I85" s="24">
        <v>0</v>
      </c>
      <c r="J85" s="24">
        <v>0</v>
      </c>
      <c r="K85" s="150">
        <f t="shared" si="28"/>
        <v>30200</v>
      </c>
      <c r="L85" s="150">
        <f t="shared" si="29"/>
        <v>30200</v>
      </c>
      <c r="M85" s="179">
        <f t="shared" si="24"/>
        <v>0</v>
      </c>
    </row>
    <row r="86" spans="1:15" s="147" customFormat="1" ht="24" customHeight="1" x14ac:dyDescent="0.25">
      <c r="A86" s="23" t="s">
        <v>287</v>
      </c>
      <c r="B86" s="160" t="s">
        <v>284</v>
      </c>
      <c r="C86" s="164" t="s">
        <v>247</v>
      </c>
      <c r="D86" s="24">
        <v>0</v>
      </c>
      <c r="E86" s="172">
        <v>40000</v>
      </c>
      <c r="F86" s="172">
        <v>40000</v>
      </c>
      <c r="G86" s="192">
        <v>140000</v>
      </c>
      <c r="H86" s="192">
        <v>140000</v>
      </c>
      <c r="I86" s="24">
        <v>0</v>
      </c>
      <c r="J86" s="24">
        <v>0</v>
      </c>
      <c r="K86" s="150">
        <f t="shared" si="28"/>
        <v>180000</v>
      </c>
      <c r="L86" s="150">
        <f t="shared" si="29"/>
        <v>180000</v>
      </c>
      <c r="M86" s="179">
        <f t="shared" si="24"/>
        <v>0</v>
      </c>
    </row>
    <row r="87" spans="1:15" s="151" customFormat="1" ht="24" customHeight="1" x14ac:dyDescent="0.25">
      <c r="A87" s="148" t="s">
        <v>288</v>
      </c>
      <c r="B87" s="156" t="s">
        <v>289</v>
      </c>
      <c r="C87" s="164" t="s">
        <v>247</v>
      </c>
      <c r="D87" s="149">
        <v>0</v>
      </c>
      <c r="E87" s="149">
        <v>15500</v>
      </c>
      <c r="F87" s="217">
        <f>15500-10500</f>
        <v>5000</v>
      </c>
      <c r="G87" s="149">
        <v>0</v>
      </c>
      <c r="H87" s="217">
        <f>0+10500</f>
        <v>10500</v>
      </c>
      <c r="I87" s="182">
        <v>0</v>
      </c>
      <c r="J87" s="182">
        <v>0</v>
      </c>
      <c r="K87" s="150">
        <f t="shared" si="28"/>
        <v>15500</v>
      </c>
      <c r="L87" s="150">
        <f t="shared" si="29"/>
        <v>15500</v>
      </c>
      <c r="M87" s="179">
        <f t="shared" si="24"/>
        <v>0</v>
      </c>
    </row>
    <row r="88" spans="1:15" s="151" customFormat="1" ht="24" customHeight="1" x14ac:dyDescent="0.25">
      <c r="A88" s="148" t="s">
        <v>290</v>
      </c>
      <c r="B88" s="156" t="s">
        <v>291</v>
      </c>
      <c r="C88" s="164" t="s">
        <v>247</v>
      </c>
      <c r="D88" s="149">
        <v>0</v>
      </c>
      <c r="E88" s="149">
        <v>20000</v>
      </c>
      <c r="F88" s="149">
        <v>20000</v>
      </c>
      <c r="G88" s="149">
        <v>0</v>
      </c>
      <c r="H88" s="149">
        <v>0</v>
      </c>
      <c r="I88" s="182">
        <v>0</v>
      </c>
      <c r="J88" s="182">
        <v>0</v>
      </c>
      <c r="K88" s="150">
        <f t="shared" si="28"/>
        <v>20000</v>
      </c>
      <c r="L88" s="150">
        <f t="shared" si="29"/>
        <v>20000</v>
      </c>
      <c r="M88" s="179">
        <f t="shared" si="24"/>
        <v>0</v>
      </c>
    </row>
    <row r="89" spans="1:15" s="146" customFormat="1" ht="15" customHeight="1" thickBot="1" x14ac:dyDescent="0.3">
      <c r="A89" s="10" t="s">
        <v>53</v>
      </c>
      <c r="B89" s="157"/>
      <c r="C89" s="165"/>
      <c r="D89" s="11">
        <f t="shared" ref="D89:J89" si="30">SUM(D76:D88)</f>
        <v>110758.80999999998</v>
      </c>
      <c r="E89" s="11">
        <f t="shared" si="30"/>
        <v>243930.34000000003</v>
      </c>
      <c r="F89" s="11">
        <f>SUM(F76:F88)</f>
        <v>207230.34000000003</v>
      </c>
      <c r="G89" s="11">
        <f t="shared" si="30"/>
        <v>280000</v>
      </c>
      <c r="H89" s="11">
        <f t="shared" si="30"/>
        <v>316700</v>
      </c>
      <c r="I89" s="11">
        <f t="shared" si="30"/>
        <v>0</v>
      </c>
      <c r="J89" s="11">
        <f t="shared" si="30"/>
        <v>0</v>
      </c>
      <c r="K89" s="12">
        <f>SUM(K76:K88)</f>
        <v>634689.14999999991</v>
      </c>
      <c r="L89" s="12">
        <f>SUM(L76:L88)</f>
        <v>634689.14999999991</v>
      </c>
      <c r="M89" s="179">
        <f t="shared" si="24"/>
        <v>0</v>
      </c>
      <c r="N89" s="188"/>
      <c r="O89" s="188"/>
    </row>
    <row r="90" spans="1:15" s="146" customFormat="1" ht="25.5" customHeight="1" thickBot="1" x14ac:dyDescent="0.3">
      <c r="A90" s="14" t="s">
        <v>54</v>
      </c>
      <c r="B90" s="158"/>
      <c r="C90" s="166"/>
      <c r="D90" s="15">
        <f>D89+D74+D47+D39+D35</f>
        <v>378688.57</v>
      </c>
      <c r="E90" s="15">
        <f>E89+E74+E47+E39+E35</f>
        <v>927075.61</v>
      </c>
      <c r="F90" s="15">
        <f>F89+F74+F47+F39+F35</f>
        <v>714847.61</v>
      </c>
      <c r="G90" s="15">
        <f t="shared" ref="G90:J90" si="31">G89+G74+G47+G39+G35</f>
        <v>1270316</v>
      </c>
      <c r="H90" s="15">
        <f t="shared" si="31"/>
        <v>1443790</v>
      </c>
      <c r="I90" s="15">
        <f t="shared" si="31"/>
        <v>69209.5</v>
      </c>
      <c r="J90" s="15">
        <f t="shared" si="31"/>
        <v>69209.5</v>
      </c>
      <c r="K90" s="16">
        <f>K89+K74+K47+K39+K35</f>
        <v>2645289.6800000002</v>
      </c>
      <c r="L90" s="16">
        <f>L89+L74+L47+L39+L35</f>
        <v>2606535.6800000002</v>
      </c>
      <c r="M90" s="179">
        <f t="shared" si="24"/>
        <v>38754</v>
      </c>
    </row>
    <row r="91" spans="1:15" s="146" customFormat="1" ht="13.5" thickBot="1" x14ac:dyDescent="0.3">
      <c r="A91" s="17"/>
      <c r="B91" s="159"/>
      <c r="C91" s="167"/>
      <c r="D91" s="94"/>
      <c r="E91" s="94"/>
      <c r="F91" s="94"/>
      <c r="G91" s="94"/>
      <c r="H91" s="94"/>
      <c r="I91" s="94"/>
      <c r="J91" s="94"/>
      <c r="K91" s="119"/>
      <c r="L91" s="119"/>
      <c r="M91" s="179">
        <f t="shared" si="24"/>
        <v>0</v>
      </c>
    </row>
    <row r="92" spans="1:15" s="146" customFormat="1" ht="21" customHeight="1" thickBot="1" x14ac:dyDescent="0.3">
      <c r="A92" s="14" t="s">
        <v>55</v>
      </c>
      <c r="B92" s="158"/>
      <c r="C92" s="166"/>
      <c r="D92" s="15">
        <f>SUM(D20,D26,D90)+0.45</f>
        <v>387806.92845000001</v>
      </c>
      <c r="E92" s="15">
        <f>SUM(E20,E26,E90)</f>
        <v>1163953</v>
      </c>
      <c r="F92" s="15">
        <f>SUM(F20,F26,F90)</f>
        <v>864222</v>
      </c>
      <c r="G92" s="15">
        <f t="shared" ref="G92" si="32">SUM(G20,G26,G90)</f>
        <v>1379031</v>
      </c>
      <c r="H92" s="15">
        <f>SUM(H20,H26,H90)</f>
        <v>1678762</v>
      </c>
      <c r="I92" s="15">
        <f>SUM(I20,I26,I90)</f>
        <v>69209.5</v>
      </c>
      <c r="J92" s="15">
        <f>SUM(J20,J26,J90)</f>
        <v>69209.5</v>
      </c>
      <c r="K92" s="16">
        <f>SUM(K20,K26,K90)</f>
        <v>2999999.9784500003</v>
      </c>
      <c r="L92" s="16">
        <f>SUM(L20,L26,L90)</f>
        <v>2999999.9784500003</v>
      </c>
      <c r="M92" s="179">
        <f t="shared" si="24"/>
        <v>0</v>
      </c>
    </row>
  </sheetData>
  <mergeCells count="17">
    <mergeCell ref="A29:K29"/>
    <mergeCell ref="A36:K36"/>
    <mergeCell ref="A40:K40"/>
    <mergeCell ref="A48:K48"/>
    <mergeCell ref="A75:K75"/>
    <mergeCell ref="L4:L5"/>
    <mergeCell ref="A6:K6"/>
    <mergeCell ref="A28:K28"/>
    <mergeCell ref="A2:K2"/>
    <mergeCell ref="A4:A5"/>
    <mergeCell ref="D4:I4"/>
    <mergeCell ref="K4:K5"/>
    <mergeCell ref="A7:K7"/>
    <mergeCell ref="A11:K11"/>
    <mergeCell ref="A17:K17"/>
    <mergeCell ref="A22:K22"/>
    <mergeCell ref="A23:K23"/>
  </mergeCells>
  <conditionalFormatting sqref="D12:D13">
    <cfRule type="cellIs" dxfId="424" priority="137" operator="lessThan">
      <formula>#REF!</formula>
    </cfRule>
    <cfRule type="cellIs" dxfId="423" priority="138" operator="greaterThan">
      <formula>#REF!</formula>
    </cfRule>
  </conditionalFormatting>
  <conditionalFormatting sqref="D13:D16">
    <cfRule type="cellIs" dxfId="422" priority="133" operator="lessThan">
      <formula>#REF!</formula>
    </cfRule>
    <cfRule type="cellIs" dxfId="421" priority="134" operator="greaterThan">
      <formula>#REF!</formula>
    </cfRule>
  </conditionalFormatting>
  <conditionalFormatting sqref="D59:D68">
    <cfRule type="cellIs" dxfId="420" priority="123" operator="lessThan">
      <formula>#REF!</formula>
    </cfRule>
    <cfRule type="cellIs" dxfId="419" priority="124" operator="greaterThan">
      <formula>#REF!</formula>
    </cfRule>
  </conditionalFormatting>
  <conditionalFormatting sqref="D61:D66">
    <cfRule type="cellIs" dxfId="418" priority="119" operator="lessThan">
      <formula>#REF!</formula>
    </cfRule>
    <cfRule type="cellIs" dxfId="417" priority="120" operator="greaterThan">
      <formula>#REF!</formula>
    </cfRule>
  </conditionalFormatting>
  <conditionalFormatting sqref="D63:D66">
    <cfRule type="cellIs" dxfId="416" priority="121" operator="lessThan">
      <formula>#REF!</formula>
    </cfRule>
    <cfRule type="cellIs" dxfId="415" priority="122" operator="greaterThan">
      <formula>#REF!</formula>
    </cfRule>
  </conditionalFormatting>
  <conditionalFormatting sqref="D69">
    <cfRule type="cellIs" dxfId="414" priority="117" operator="lessThan">
      <formula>#REF!</formula>
    </cfRule>
    <cfRule type="cellIs" dxfId="413" priority="118" operator="greaterThan">
      <formula>#REF!</formula>
    </cfRule>
  </conditionalFormatting>
  <conditionalFormatting sqref="D76:D83">
    <cfRule type="cellIs" dxfId="412" priority="116" operator="greaterThan">
      <formula>#REF!</formula>
    </cfRule>
  </conditionalFormatting>
  <conditionalFormatting sqref="D82:D83">
    <cfRule type="cellIs" dxfId="411" priority="145" operator="lessThan">
      <formula>#REF!</formula>
    </cfRule>
    <cfRule type="cellIs" dxfId="410" priority="146" operator="greaterThan">
      <formula>#REF!</formula>
    </cfRule>
  </conditionalFormatting>
  <conditionalFormatting sqref="D83:D88">
    <cfRule type="cellIs" dxfId="409" priority="147" operator="lessThan">
      <formula>#REF!</formula>
    </cfRule>
    <cfRule type="cellIs" dxfId="408" priority="148" operator="greaterThan">
      <formula>#REF!</formula>
    </cfRule>
  </conditionalFormatting>
  <conditionalFormatting sqref="D87:D88">
    <cfRule type="cellIs" dxfId="407" priority="113" operator="lessThan">
      <formula>#REF!</formula>
    </cfRule>
    <cfRule type="cellIs" dxfId="406" priority="114" operator="greaterThan">
      <formula>#REF!</formula>
    </cfRule>
  </conditionalFormatting>
  <conditionalFormatting sqref="D62:E65 D66 D49:F58 G49:J59 G61:J74 F62:F74 E66:E69 D70:E74 K74:L74">
    <cfRule type="cellIs" dxfId="405" priority="163" operator="lessThan">
      <formula>#REF!</formula>
    </cfRule>
  </conditionalFormatting>
  <conditionalFormatting sqref="D49:F58 G49:J59 G61:J74 D62:E65 F62:F74 D66 E66:E69 D70:E74 K74:L74">
    <cfRule type="cellIs" dxfId="404" priority="164" operator="greaterThan">
      <formula>#REF!</formula>
    </cfRule>
  </conditionalFormatting>
  <conditionalFormatting sqref="D76:J83 G87:J88">
    <cfRule type="cellIs" dxfId="403" priority="1" operator="lessThan">
      <formula>#REF!</formula>
    </cfRule>
  </conditionalFormatting>
  <conditionalFormatting sqref="D18:K19">
    <cfRule type="cellIs" dxfId="402" priority="107" operator="lessThan">
      <formula>#REF!</formula>
    </cfRule>
    <cfRule type="cellIs" dxfId="401" priority="108" operator="greaterThan">
      <formula>#REF!</formula>
    </cfRule>
  </conditionalFormatting>
  <conditionalFormatting sqref="D37:K39">
    <cfRule type="cellIs" dxfId="400" priority="71" operator="lessThan">
      <formula>#REF!</formula>
    </cfRule>
    <cfRule type="cellIs" dxfId="399" priority="72" operator="greaterThan">
      <formula>#REF!</formula>
    </cfRule>
  </conditionalFormatting>
  <conditionalFormatting sqref="D8:L10">
    <cfRule type="cellIs" dxfId="398" priority="29" operator="lessThan">
      <formula>#REF!</formula>
    </cfRule>
    <cfRule type="cellIs" dxfId="397" priority="30" operator="greaterThan">
      <formula>#REF!</formula>
    </cfRule>
  </conditionalFormatting>
  <conditionalFormatting sqref="D24:L25 D30:L35 K76:L88">
    <cfRule type="cellIs" dxfId="396" priority="58" operator="greaterThan">
      <formula>#REF!</formula>
    </cfRule>
  </conditionalFormatting>
  <conditionalFormatting sqref="D30:L35 D24:L25 K76:L88">
    <cfRule type="cellIs" dxfId="395" priority="57" operator="lessThan">
      <formula>#REF!</formula>
    </cfRule>
  </conditionalFormatting>
  <conditionalFormatting sqref="D41:L46">
    <cfRule type="cellIs" dxfId="394" priority="43" operator="lessThan">
      <formula>#REF!</formula>
    </cfRule>
    <cfRule type="cellIs" dxfId="393" priority="44" operator="greaterThan">
      <formula>#REF!</formula>
    </cfRule>
  </conditionalFormatting>
  <conditionalFormatting sqref="E59:F61">
    <cfRule type="cellIs" dxfId="392" priority="89" operator="lessThan">
      <formula>#REF!</formula>
    </cfRule>
    <cfRule type="cellIs" dxfId="391" priority="90" operator="greaterThan">
      <formula>#REF!</formula>
    </cfRule>
  </conditionalFormatting>
  <conditionalFormatting sqref="E76:F88">
    <cfRule type="cellIs" dxfId="390" priority="10" operator="greaterThan">
      <formula>#REF!</formula>
    </cfRule>
  </conditionalFormatting>
  <conditionalFormatting sqref="E84:F88">
    <cfRule type="cellIs" dxfId="389" priority="9" operator="lessThan">
      <formula>#REF!</formula>
    </cfRule>
  </conditionalFormatting>
  <conditionalFormatting sqref="E82:G88">
    <cfRule type="cellIs" dxfId="388" priority="13" operator="lessThan">
      <formula>#REF!</formula>
    </cfRule>
    <cfRule type="cellIs" dxfId="387" priority="14" operator="greaterThan">
      <formula>#REF!</formula>
    </cfRule>
  </conditionalFormatting>
  <conditionalFormatting sqref="E12:L16">
    <cfRule type="cellIs" dxfId="386" priority="23" operator="lessThan">
      <formula>#REF!</formula>
    </cfRule>
    <cfRule type="cellIs" dxfId="385" priority="24" operator="greaterThan">
      <formula>#REF!</formula>
    </cfRule>
  </conditionalFormatting>
  <conditionalFormatting sqref="G60:J64 E62:F64 E66:H66 I66:J70">
    <cfRule type="cellIs" dxfId="384" priority="165" operator="lessThan">
      <formula>#REF!</formula>
    </cfRule>
    <cfRule type="cellIs" dxfId="383" priority="166" operator="greaterThan">
      <formula>#REF!</formula>
    </cfRule>
  </conditionalFormatting>
  <conditionalFormatting sqref="G76:J83 G87:J88">
    <cfRule type="cellIs" dxfId="382" priority="2" operator="greaterThan">
      <formula>#REF!</formula>
    </cfRule>
  </conditionalFormatting>
  <conditionalFormatting sqref="H82:J88">
    <cfRule type="cellIs" dxfId="381" priority="3" operator="lessThan">
      <formula>#REF!</formula>
    </cfRule>
    <cfRule type="cellIs" dxfId="380" priority="4" operator="greaterThan">
      <formula>#REF!</formula>
    </cfRule>
  </conditionalFormatting>
  <conditionalFormatting sqref="K37">
    <cfRule type="cellIs" dxfId="379" priority="69" operator="lessThan">
      <formula>#REF!</formula>
    </cfRule>
    <cfRule type="cellIs" dxfId="378" priority="70" operator="greaterThan">
      <formula>#REF!</formula>
    </cfRule>
  </conditionalFormatting>
  <conditionalFormatting sqref="K38">
    <cfRule type="cellIs" dxfId="377" priority="75" operator="lessThan">
      <formula>#REF!</formula>
    </cfRule>
    <cfRule type="cellIs" dxfId="376" priority="76" operator="greaterThan">
      <formula>#REF!</formula>
    </cfRule>
  </conditionalFormatting>
  <conditionalFormatting sqref="K41:K46">
    <cfRule type="cellIs" dxfId="375" priority="99" operator="lessThan">
      <formula>#REF!</formula>
    </cfRule>
    <cfRule type="cellIs" dxfId="374" priority="100" operator="greaterThan">
      <formula>#REF!</formula>
    </cfRule>
  </conditionalFormatting>
  <conditionalFormatting sqref="K49:K56 K58:K66 K68:K73">
    <cfRule type="cellIs" dxfId="373" priority="96" operator="greaterThan">
      <formula>#REF!</formula>
    </cfRule>
  </conditionalFormatting>
  <conditionalFormatting sqref="K49:K57">
    <cfRule type="cellIs" dxfId="372" priority="67" operator="lessThan">
      <formula>#REF!</formula>
    </cfRule>
    <cfRule type="cellIs" dxfId="371" priority="68" operator="greaterThan">
      <formula>#REF!</formula>
    </cfRule>
  </conditionalFormatting>
  <conditionalFormatting sqref="K57">
    <cfRule type="cellIs" dxfId="370" priority="65" operator="lessThan">
      <formula>#REF!</formula>
    </cfRule>
    <cfRule type="cellIs" dxfId="369" priority="66" operator="greaterThan">
      <formula>#REF!</formula>
    </cfRule>
  </conditionalFormatting>
  <conditionalFormatting sqref="K58:K66 K68:K73 K49:K56">
    <cfRule type="cellIs" dxfId="368" priority="95" operator="lessThan">
      <formula>#REF!</formula>
    </cfRule>
  </conditionalFormatting>
  <conditionalFormatting sqref="K58:K73">
    <cfRule type="cellIs" dxfId="367" priority="87" operator="lessThan">
      <formula>#REF!</formula>
    </cfRule>
    <cfRule type="cellIs" dxfId="366" priority="88" operator="greaterThan">
      <formula>#REF!</formula>
    </cfRule>
  </conditionalFormatting>
  <conditionalFormatting sqref="K67">
    <cfRule type="cellIs" dxfId="365" priority="85" operator="lessThan">
      <formula>#REF!</formula>
    </cfRule>
    <cfRule type="cellIs" dxfId="364" priority="86" operator="greaterThan">
      <formula>#REF!</formula>
    </cfRule>
  </conditionalFormatting>
  <conditionalFormatting sqref="K18:L19">
    <cfRule type="cellIs" dxfId="363" priority="19" operator="lessThan">
      <formula>#REF!</formula>
    </cfRule>
    <cfRule type="cellIs" dxfId="362" priority="20" operator="greaterThan">
      <formula>#REF!</formula>
    </cfRule>
  </conditionalFormatting>
  <conditionalFormatting sqref="K33:L33">
    <cfRule type="cellIs" dxfId="361" priority="45" operator="lessThan">
      <formula>#REF!</formula>
    </cfRule>
    <cfRule type="cellIs" dxfId="360" priority="46" operator="greaterThan">
      <formula>#REF!</formula>
    </cfRule>
  </conditionalFormatting>
  <conditionalFormatting sqref="L6">
    <cfRule type="cellIs" dxfId="359" priority="21" operator="lessThan">
      <formula>#REF!</formula>
    </cfRule>
    <cfRule type="cellIs" dxfId="358" priority="22" operator="greaterThan">
      <formula>#REF!</formula>
    </cfRule>
  </conditionalFormatting>
  <conditionalFormatting sqref="L18">
    <cfRule type="cellIs" dxfId="357" priority="17" operator="lessThan">
      <formula>#REF!</formula>
    </cfRule>
    <cfRule type="cellIs" dxfId="356" priority="18" operator="greaterThan">
      <formula>#REF!</formula>
    </cfRule>
  </conditionalFormatting>
  <conditionalFormatting sqref="L19">
    <cfRule type="cellIs" dxfId="355" priority="49" operator="lessThan">
      <formula>#REF!</formula>
    </cfRule>
    <cfRule type="cellIs" dxfId="354" priority="50" operator="greaterThan">
      <formula>#REF!</formula>
    </cfRule>
    <cfRule type="cellIs" dxfId="353" priority="51" operator="lessThan">
      <formula>#REF!</formula>
    </cfRule>
    <cfRule type="cellIs" dxfId="352" priority="52" operator="greaterThan">
      <formula>#REF!</formula>
    </cfRule>
  </conditionalFormatting>
  <conditionalFormatting sqref="L28">
    <cfRule type="cellIs" dxfId="351" priority="15" operator="lessThan">
      <formula>#REF!</formula>
    </cfRule>
    <cfRule type="cellIs" dxfId="350" priority="16" operator="greaterThan">
      <formula>#REF!</formula>
    </cfRule>
  </conditionalFormatting>
  <conditionalFormatting sqref="L37:L38">
    <cfRule type="cellIs" dxfId="349" priority="33" operator="lessThan">
      <formula>#REF!</formula>
    </cfRule>
    <cfRule type="cellIs" dxfId="348" priority="34" operator="greaterThan">
      <formula>#REF!</formula>
    </cfRule>
  </conditionalFormatting>
  <conditionalFormatting sqref="L37:L39">
    <cfRule type="cellIs" dxfId="347" priority="35" operator="lessThan">
      <formula>#REF!</formula>
    </cfRule>
    <cfRule type="cellIs" dxfId="346" priority="36" operator="greaterThan">
      <formula>#REF!</formula>
    </cfRule>
  </conditionalFormatting>
  <conditionalFormatting sqref="L41:L46">
    <cfRule type="cellIs" dxfId="345" priority="41" operator="lessThan">
      <formula>#REF!</formula>
    </cfRule>
    <cfRule type="cellIs" dxfId="344" priority="42" operator="greaterThan">
      <formula>#REF!</formula>
    </cfRule>
  </conditionalFormatting>
  <conditionalFormatting sqref="L49:L73">
    <cfRule type="cellIs" dxfId="343" priority="37" operator="lessThan">
      <formula>#REF!</formula>
    </cfRule>
    <cfRule type="cellIs" dxfId="342" priority="38" operator="greaterThan">
      <formula>#REF!</formula>
    </cfRule>
    <cfRule type="cellIs" dxfId="341" priority="39" operator="lessThan">
      <formula>#REF!</formula>
    </cfRule>
    <cfRule type="cellIs" dxfId="340" priority="40" operator="greaterThan">
      <formula>#REF!</formula>
    </cfRule>
  </conditionalFormatting>
  <pageMargins left="0.7" right="0.7" top="0.78740157499999996" bottom="0.78740157499999996" header="0.3" footer="0.3"/>
  <pageSetup orientation="portrait" r:id="rId1"/>
  <headerFooter>
    <oddFooter>&amp;L&amp;1#&amp;"Calibri"&amp;9&amp;K000000Klasifikace informací: Neveřejné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31D21-DEA0-4C74-9E99-E52A9DE0C4DC}">
  <sheetPr>
    <tabColor rgb="FFFFFF00"/>
    <pageSetUpPr fitToPage="1"/>
  </sheetPr>
  <dimension ref="A1:L91"/>
  <sheetViews>
    <sheetView workbookViewId="0">
      <pane ySplit="5" topLeftCell="A16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140" customWidth="1"/>
    <col min="2" max="2" width="7.7109375" style="153" customWidth="1"/>
    <col min="3" max="3" width="7.7109375" style="163" customWidth="1"/>
    <col min="4" max="7" width="12.7109375" style="141" customWidth="1"/>
    <col min="8" max="8" width="13" style="141" customWidth="1"/>
    <col min="9" max="16384" width="9.140625" style="140"/>
  </cols>
  <sheetData>
    <row r="1" spans="1:12" ht="15" customHeight="1" x14ac:dyDescent="0.2"/>
    <row r="2" spans="1:12" s="1" customFormat="1" ht="23.25" customHeight="1" x14ac:dyDescent="0.25">
      <c r="A2" s="346" t="s">
        <v>98</v>
      </c>
      <c r="B2" s="346"/>
      <c r="C2" s="346"/>
      <c r="D2" s="346"/>
      <c r="E2" s="346"/>
      <c r="F2" s="346"/>
      <c r="G2" s="346"/>
      <c r="H2" s="346"/>
    </row>
    <row r="3" spans="1:12" ht="13.5" thickBot="1" x14ac:dyDescent="0.25">
      <c r="A3" s="143"/>
      <c r="D3" s="143"/>
      <c r="E3" s="143"/>
      <c r="F3" s="143"/>
      <c r="G3" s="143"/>
      <c r="H3" s="144" t="s">
        <v>1</v>
      </c>
    </row>
    <row r="4" spans="1:12" ht="24.6" customHeight="1" x14ac:dyDescent="0.2">
      <c r="A4" s="296" t="s">
        <v>2</v>
      </c>
      <c r="B4" s="154"/>
      <c r="C4" s="154"/>
      <c r="D4" s="349" t="s">
        <v>178</v>
      </c>
      <c r="E4" s="350"/>
      <c r="F4" s="350"/>
      <c r="G4" s="351"/>
      <c r="H4" s="352" t="s">
        <v>4</v>
      </c>
    </row>
    <row r="5" spans="1:12" ht="24.6" customHeight="1" thickBot="1" x14ac:dyDescent="0.25">
      <c r="A5" s="348"/>
      <c r="B5" s="155" t="s">
        <v>181</v>
      </c>
      <c r="C5" s="155" t="s">
        <v>238</v>
      </c>
      <c r="D5" s="209">
        <v>2021</v>
      </c>
      <c r="E5" s="181">
        <v>2022</v>
      </c>
      <c r="F5" s="126">
        <v>2023</v>
      </c>
      <c r="G5" s="216">
        <v>2024</v>
      </c>
      <c r="H5" s="353"/>
    </row>
    <row r="6" spans="1:12" s="146" customFormat="1" ht="21" customHeight="1" x14ac:dyDescent="0.25">
      <c r="A6" s="369" t="s">
        <v>70</v>
      </c>
      <c r="B6" s="370"/>
      <c r="C6" s="370"/>
      <c r="D6" s="370"/>
      <c r="E6" s="370"/>
      <c r="F6" s="370"/>
      <c r="G6" s="370"/>
      <c r="H6" s="371"/>
    </row>
    <row r="7" spans="1:12" s="147" customFormat="1" ht="18" customHeight="1" x14ac:dyDescent="0.25">
      <c r="A7" s="332" t="s">
        <v>20</v>
      </c>
      <c r="B7" s="333"/>
      <c r="C7" s="333"/>
      <c r="D7" s="333"/>
      <c r="E7" s="333"/>
      <c r="F7" s="333"/>
      <c r="G7" s="333"/>
      <c r="H7" s="334"/>
    </row>
    <row r="8" spans="1:12" s="151" customFormat="1" ht="15" customHeight="1" x14ac:dyDescent="0.25">
      <c r="A8" s="218" t="s">
        <v>302</v>
      </c>
      <c r="B8" s="156" t="s">
        <v>303</v>
      </c>
      <c r="C8" s="164" t="s">
        <v>239</v>
      </c>
      <c r="D8" s="149">
        <v>0</v>
      </c>
      <c r="E8" s="149">
        <v>0</v>
      </c>
      <c r="F8" s="162">
        <v>4750</v>
      </c>
      <c r="G8" s="162">
        <v>55250</v>
      </c>
      <c r="H8" s="150">
        <f>D8+E8+F8+G8</f>
        <v>60000</v>
      </c>
      <c r="J8" s="179"/>
      <c r="K8" s="179"/>
      <c r="L8" s="179"/>
    </row>
    <row r="9" spans="1:12" s="146" customFormat="1" ht="15" customHeight="1" x14ac:dyDescent="0.25">
      <c r="A9" s="10" t="s">
        <v>27</v>
      </c>
      <c r="B9" s="157"/>
      <c r="C9" s="165"/>
      <c r="D9" s="11">
        <f>SUM(D8:D8)</f>
        <v>0</v>
      </c>
      <c r="E9" s="11">
        <f>SUM(E8:E8)</f>
        <v>0</v>
      </c>
      <c r="F9" s="11">
        <f>SUM(F8:F8)</f>
        <v>4750</v>
      </c>
      <c r="G9" s="11">
        <f>SUM(G8:G8)</f>
        <v>55250</v>
      </c>
      <c r="H9" s="12">
        <f>SUM(H8:H8)</f>
        <v>60000</v>
      </c>
      <c r="J9" s="179"/>
      <c r="K9" s="179"/>
    </row>
    <row r="10" spans="1:12" s="147" customFormat="1" ht="18" customHeight="1" x14ac:dyDescent="0.25">
      <c r="A10" s="332" t="s">
        <v>6</v>
      </c>
      <c r="B10" s="333"/>
      <c r="C10" s="333"/>
      <c r="D10" s="333"/>
      <c r="E10" s="333"/>
      <c r="F10" s="333"/>
      <c r="G10" s="333"/>
      <c r="H10" s="334"/>
    </row>
    <row r="11" spans="1:12" s="151" customFormat="1" ht="15" customHeight="1" x14ac:dyDescent="0.25">
      <c r="A11" s="201" t="s">
        <v>7</v>
      </c>
      <c r="B11" s="156">
        <v>3402</v>
      </c>
      <c r="C11" s="164" t="s">
        <v>239</v>
      </c>
      <c r="D11" s="149">
        <v>5576.1411900000003</v>
      </c>
      <c r="E11" s="149">
        <v>63440.160000000003</v>
      </c>
      <c r="F11" s="149">
        <f>90944+36910+1844</f>
        <v>129698</v>
      </c>
      <c r="G11" s="149">
        <v>0</v>
      </c>
      <c r="H11" s="150">
        <f>D11+E11+F11+G11</f>
        <v>198714.30119</v>
      </c>
      <c r="J11" s="179"/>
      <c r="K11" s="179"/>
      <c r="L11" s="179"/>
    </row>
    <row r="12" spans="1:12" s="151" customFormat="1" ht="24" customHeight="1" x14ac:dyDescent="0.25">
      <c r="A12" s="148" t="s">
        <v>8</v>
      </c>
      <c r="B12" s="156" t="s">
        <v>182</v>
      </c>
      <c r="C12" s="164" t="s">
        <v>239</v>
      </c>
      <c r="D12" s="149">
        <v>3541.7672600000001</v>
      </c>
      <c r="E12" s="149">
        <v>26967.23</v>
      </c>
      <c r="F12" s="149">
        <v>19995</v>
      </c>
      <c r="G12" s="149">
        <v>0</v>
      </c>
      <c r="H12" s="150">
        <f>D12+E12+F12+G12</f>
        <v>50503.997260000004</v>
      </c>
      <c r="J12" s="179"/>
      <c r="K12" s="179"/>
    </row>
    <row r="13" spans="1:12" s="146" customFormat="1" ht="15" customHeight="1" x14ac:dyDescent="0.25">
      <c r="A13" s="10" t="s">
        <v>9</v>
      </c>
      <c r="B13" s="157"/>
      <c r="C13" s="165"/>
      <c r="D13" s="11">
        <f t="shared" ref="D13" si="0">SUM(D11:D12)</f>
        <v>9117.9084500000008</v>
      </c>
      <c r="E13" s="11">
        <f t="shared" ref="E13:G13" si="1">SUM(E11:E12)</f>
        <v>90407.39</v>
      </c>
      <c r="F13" s="11">
        <f t="shared" si="1"/>
        <v>149693</v>
      </c>
      <c r="G13" s="11">
        <f t="shared" si="1"/>
        <v>0</v>
      </c>
      <c r="H13" s="12">
        <f>SUM(H11:H12)</f>
        <v>249218.29845</v>
      </c>
      <c r="J13" s="179"/>
      <c r="K13" s="179"/>
    </row>
    <row r="14" spans="1:12" s="147" customFormat="1" ht="18" customHeight="1" x14ac:dyDescent="0.25">
      <c r="A14" s="332" t="s">
        <v>32</v>
      </c>
      <c r="B14" s="333"/>
      <c r="C14" s="333"/>
      <c r="D14" s="333"/>
      <c r="E14" s="333"/>
      <c r="F14" s="333"/>
      <c r="G14" s="333"/>
      <c r="H14" s="334"/>
      <c r="J14" s="179"/>
      <c r="K14" s="179"/>
    </row>
    <row r="15" spans="1:12" s="151" customFormat="1" ht="15" customHeight="1" x14ac:dyDescent="0.25">
      <c r="A15" s="148" t="s">
        <v>83</v>
      </c>
      <c r="B15" s="156" t="s">
        <v>183</v>
      </c>
      <c r="C15" s="164" t="s">
        <v>239</v>
      </c>
      <c r="D15" s="149">
        <v>0</v>
      </c>
      <c r="E15" s="149">
        <v>16017</v>
      </c>
      <c r="F15" s="149">
        <v>10793</v>
      </c>
      <c r="G15" s="182">
        <v>0</v>
      </c>
      <c r="H15" s="150">
        <f>D15+E15+F15+G15</f>
        <v>26810</v>
      </c>
      <c r="J15" s="179"/>
      <c r="K15" s="179"/>
      <c r="L15" s="179"/>
    </row>
    <row r="16" spans="1:12" s="151" customFormat="1" ht="15" customHeight="1" x14ac:dyDescent="0.25">
      <c r="A16" s="148" t="s">
        <v>86</v>
      </c>
      <c r="B16" s="156" t="s">
        <v>184</v>
      </c>
      <c r="C16" s="164" t="s">
        <v>239</v>
      </c>
      <c r="D16" s="149">
        <v>0</v>
      </c>
      <c r="E16" s="149">
        <v>8963</v>
      </c>
      <c r="F16" s="149">
        <v>2000</v>
      </c>
      <c r="G16" s="182">
        <v>0</v>
      </c>
      <c r="H16" s="150">
        <f>D16+E16+F16+G16</f>
        <v>10963</v>
      </c>
      <c r="J16" s="179"/>
      <c r="K16" s="179"/>
      <c r="L16" s="179"/>
    </row>
    <row r="17" spans="1:12" s="151" customFormat="1" ht="15" customHeight="1" x14ac:dyDescent="0.25">
      <c r="A17" s="148" t="s">
        <v>84</v>
      </c>
      <c r="B17" s="156" t="s">
        <v>185</v>
      </c>
      <c r="C17" s="164" t="s">
        <v>239</v>
      </c>
      <c r="D17" s="149">
        <v>0</v>
      </c>
      <c r="E17" s="149">
        <v>16262</v>
      </c>
      <c r="F17" s="149">
        <v>5000</v>
      </c>
      <c r="G17" s="182">
        <v>0</v>
      </c>
      <c r="H17" s="150">
        <f>D17+E17+F17+G17</f>
        <v>21262</v>
      </c>
      <c r="J17" s="179"/>
      <c r="K17" s="179"/>
      <c r="L17" s="179"/>
    </row>
    <row r="18" spans="1:12" s="151" customFormat="1" ht="15" customHeight="1" x14ac:dyDescent="0.25">
      <c r="A18" s="148" t="s">
        <v>85</v>
      </c>
      <c r="B18" s="156" t="s">
        <v>186</v>
      </c>
      <c r="C18" s="164" t="s">
        <v>239</v>
      </c>
      <c r="D18" s="149">
        <v>0</v>
      </c>
      <c r="E18" s="149">
        <v>9282</v>
      </c>
      <c r="F18" s="149">
        <v>41560</v>
      </c>
      <c r="G18" s="182">
        <v>0</v>
      </c>
      <c r="H18" s="150">
        <f>D18+E18+F18+G18</f>
        <v>50842</v>
      </c>
      <c r="J18" s="179"/>
      <c r="K18" s="179"/>
      <c r="L18" s="179"/>
    </row>
    <row r="19" spans="1:12" s="146" customFormat="1" ht="15" customHeight="1" x14ac:dyDescent="0.25">
      <c r="A19" s="10" t="s">
        <v>47</v>
      </c>
      <c r="B19" s="157"/>
      <c r="C19" s="165"/>
      <c r="D19" s="11">
        <f>SUM(D15:D18)</f>
        <v>0</v>
      </c>
      <c r="E19" s="11">
        <f t="shared" ref="E19:G19" si="2">SUM(E15:E18)</f>
        <v>50524</v>
      </c>
      <c r="F19" s="11">
        <f t="shared" si="2"/>
        <v>59353</v>
      </c>
      <c r="G19" s="11">
        <f t="shared" si="2"/>
        <v>0</v>
      </c>
      <c r="H19" s="12">
        <f>SUM(H15:H18)</f>
        <v>109877</v>
      </c>
      <c r="J19" s="179"/>
      <c r="K19" s="179"/>
    </row>
    <row r="20" spans="1:12" s="147" customFormat="1" ht="18" customHeight="1" x14ac:dyDescent="0.25">
      <c r="A20" s="332" t="s">
        <v>10</v>
      </c>
      <c r="B20" s="333"/>
      <c r="C20" s="333"/>
      <c r="D20" s="333"/>
      <c r="E20" s="333"/>
      <c r="F20" s="333"/>
      <c r="G20" s="333"/>
      <c r="H20" s="334"/>
      <c r="J20" s="179"/>
      <c r="K20" s="179"/>
    </row>
    <row r="21" spans="1:12" s="151" customFormat="1" ht="15" customHeight="1" x14ac:dyDescent="0.25">
      <c r="A21" s="148" t="s">
        <v>11</v>
      </c>
      <c r="B21" s="156" t="s">
        <v>187</v>
      </c>
      <c r="C21" s="164" t="s">
        <v>239</v>
      </c>
      <c r="D21" s="149">
        <v>0</v>
      </c>
      <c r="E21" s="149">
        <v>8443</v>
      </c>
      <c r="F21" s="149">
        <v>25926</v>
      </c>
      <c r="G21" s="182">
        <v>0</v>
      </c>
      <c r="H21" s="150">
        <f>E21+F21+G21</f>
        <v>34369</v>
      </c>
      <c r="J21" s="179"/>
      <c r="K21" s="179"/>
    </row>
    <row r="22" spans="1:12" s="146" customFormat="1" ht="21.75" thickBot="1" x14ac:dyDescent="0.3">
      <c r="A22" s="10" t="s">
        <v>13</v>
      </c>
      <c r="B22" s="157"/>
      <c r="C22" s="165"/>
      <c r="D22" s="11">
        <f t="shared" ref="D22" si="3">SUM(D21:D21)</f>
        <v>0</v>
      </c>
      <c r="E22" s="11">
        <f>SUM(E21:E21)</f>
        <v>8443</v>
      </c>
      <c r="F22" s="11">
        <f t="shared" ref="F22:G22" si="4">SUM(F21:F21)</f>
        <v>25926</v>
      </c>
      <c r="G22" s="11">
        <f t="shared" si="4"/>
        <v>0</v>
      </c>
      <c r="H22" s="150">
        <f>E22+F22+G22</f>
        <v>34369</v>
      </c>
    </row>
    <row r="23" spans="1:12" s="146" customFormat="1" ht="25.5" customHeight="1" thickBot="1" x14ac:dyDescent="0.3">
      <c r="A23" s="14" t="s">
        <v>71</v>
      </c>
      <c r="B23" s="158"/>
      <c r="C23" s="166"/>
      <c r="D23" s="15">
        <f>D9+D13+D19+D22</f>
        <v>9117.9084500000008</v>
      </c>
      <c r="E23" s="15">
        <f t="shared" ref="E23:H23" si="5">E9+E13+E19+E22</f>
        <v>149374.39000000001</v>
      </c>
      <c r="F23" s="15">
        <f t="shared" si="5"/>
        <v>239722</v>
      </c>
      <c r="G23" s="15">
        <f t="shared" si="5"/>
        <v>55250</v>
      </c>
      <c r="H23" s="16">
        <f t="shared" si="5"/>
        <v>453464.29845</v>
      </c>
      <c r="J23" s="188"/>
    </row>
    <row r="24" spans="1:12" s="146" customFormat="1" ht="12" customHeight="1" thickBot="1" x14ac:dyDescent="0.3">
      <c r="A24" s="17"/>
      <c r="B24" s="159"/>
      <c r="C24" s="167"/>
      <c r="D24" s="94"/>
      <c r="E24" s="94"/>
      <c r="F24" s="94"/>
      <c r="G24" s="94"/>
      <c r="H24" s="95"/>
    </row>
    <row r="25" spans="1:12" s="146" customFormat="1" ht="21" customHeight="1" x14ac:dyDescent="0.25">
      <c r="A25" s="369" t="s">
        <v>15</v>
      </c>
      <c r="B25" s="370"/>
      <c r="C25" s="370"/>
      <c r="D25" s="370"/>
      <c r="E25" s="370"/>
      <c r="F25" s="370"/>
      <c r="G25" s="370"/>
      <c r="H25" s="371"/>
    </row>
    <row r="26" spans="1:12" s="147" customFormat="1" ht="18" customHeight="1" x14ac:dyDescent="0.25">
      <c r="A26" s="332" t="s">
        <v>16</v>
      </c>
      <c r="B26" s="333"/>
      <c r="C26" s="333"/>
      <c r="D26" s="333"/>
      <c r="E26" s="333"/>
      <c r="F26" s="333"/>
      <c r="G26" s="333"/>
      <c r="H26" s="334"/>
    </row>
    <row r="27" spans="1:12" s="151" customFormat="1" ht="24" customHeight="1" x14ac:dyDescent="0.25">
      <c r="A27" s="148" t="s">
        <v>162</v>
      </c>
      <c r="B27" s="156" t="s">
        <v>189</v>
      </c>
      <c r="C27" s="164" t="s">
        <v>245</v>
      </c>
      <c r="D27" s="20">
        <v>0</v>
      </c>
      <c r="E27" s="172">
        <v>40000</v>
      </c>
      <c r="F27" s="172">
        <v>52000</v>
      </c>
      <c r="G27" s="20">
        <v>0</v>
      </c>
      <c r="H27" s="150">
        <f>D27+E27+F27+G27</f>
        <v>92000</v>
      </c>
    </row>
    <row r="28" spans="1:12" s="151" customFormat="1" ht="24" customHeight="1" x14ac:dyDescent="0.25">
      <c r="A28" s="148" t="s">
        <v>165</v>
      </c>
      <c r="B28" s="156" t="s">
        <v>191</v>
      </c>
      <c r="C28" s="164" t="s">
        <v>245</v>
      </c>
      <c r="D28" s="20">
        <v>0</v>
      </c>
      <c r="E28" s="172">
        <v>60000</v>
      </c>
      <c r="F28" s="172">
        <v>0</v>
      </c>
      <c r="G28" s="20">
        <v>0</v>
      </c>
      <c r="H28" s="150">
        <f>D28+E28+F28+G28</f>
        <v>60000</v>
      </c>
    </row>
    <row r="29" spans="1:12" s="151" customFormat="1" ht="15" customHeight="1" x14ac:dyDescent="0.25">
      <c r="A29" s="148" t="s">
        <v>180</v>
      </c>
      <c r="B29" s="156" t="s">
        <v>192</v>
      </c>
      <c r="C29" s="164" t="s">
        <v>247</v>
      </c>
      <c r="D29" s="20">
        <v>0</v>
      </c>
      <c r="E29" s="172">
        <v>300</v>
      </c>
      <c r="F29" s="221">
        <v>75000</v>
      </c>
      <c r="G29" s="20">
        <v>15000</v>
      </c>
      <c r="H29" s="150">
        <f>D29+E29+F29+G29</f>
        <v>90300</v>
      </c>
      <c r="K29" s="179">
        <f>F29+F30+F31+F35+F56+F60+F61+F64+F65+F66+F67+F81+F82+F83+F84+F87+F59</f>
        <v>1051171</v>
      </c>
    </row>
    <row r="30" spans="1:12" s="151" customFormat="1" ht="15" customHeight="1" x14ac:dyDescent="0.25">
      <c r="A30" s="201" t="s">
        <v>17</v>
      </c>
      <c r="B30" s="156" t="s">
        <v>193</v>
      </c>
      <c r="C30" s="164" t="s">
        <v>247</v>
      </c>
      <c r="D30" s="20">
        <v>0</v>
      </c>
      <c r="E30" s="172">
        <f>30807-29500</f>
        <v>1307</v>
      </c>
      <c r="F30" s="221">
        <f>277178+30993-52000</f>
        <v>256171</v>
      </c>
      <c r="G30" s="20">
        <v>0</v>
      </c>
      <c r="H30" s="150">
        <f>D30+E30+F30+G30</f>
        <v>257478</v>
      </c>
    </row>
    <row r="31" spans="1:12" s="151" customFormat="1" ht="24" customHeight="1" x14ac:dyDescent="0.25">
      <c r="A31" s="201" t="s">
        <v>92</v>
      </c>
      <c r="B31" s="156" t="s">
        <v>194</v>
      </c>
      <c r="C31" s="164" t="s">
        <v>247</v>
      </c>
      <c r="D31" s="20">
        <v>0</v>
      </c>
      <c r="E31" s="172">
        <v>31298</v>
      </c>
      <c r="F31" s="221">
        <v>29000</v>
      </c>
      <c r="G31" s="20">
        <v>2702</v>
      </c>
      <c r="H31" s="150">
        <f>D31+E31+F31+G31</f>
        <v>63000</v>
      </c>
    </row>
    <row r="32" spans="1:12" s="146" customFormat="1" ht="15" customHeight="1" x14ac:dyDescent="0.25">
      <c r="A32" s="10" t="s">
        <v>19</v>
      </c>
      <c r="B32" s="157"/>
      <c r="C32" s="165"/>
      <c r="D32" s="11">
        <f>SUM(D27:D31)</f>
        <v>0</v>
      </c>
      <c r="E32" s="11">
        <f>SUM(E27:E31)</f>
        <v>132905</v>
      </c>
      <c r="F32" s="11">
        <f t="shared" ref="F32:G32" si="6">SUM(F27:F31)</f>
        <v>412171</v>
      </c>
      <c r="G32" s="11">
        <f t="shared" si="6"/>
        <v>17702</v>
      </c>
      <c r="H32" s="12">
        <f>SUM(H27:H31)</f>
        <v>562778</v>
      </c>
      <c r="I32" s="188"/>
      <c r="J32" s="188"/>
    </row>
    <row r="33" spans="1:12" s="147" customFormat="1" ht="18" customHeight="1" x14ac:dyDescent="0.25">
      <c r="A33" s="332" t="s">
        <v>20</v>
      </c>
      <c r="B33" s="333"/>
      <c r="C33" s="333"/>
      <c r="D33" s="333"/>
      <c r="E33" s="333"/>
      <c r="F33" s="333"/>
      <c r="G33" s="333"/>
      <c r="H33" s="334"/>
    </row>
    <row r="34" spans="1:12" s="151" customFormat="1" ht="24" customHeight="1" x14ac:dyDescent="0.25">
      <c r="A34" s="21" t="s">
        <v>24</v>
      </c>
      <c r="B34" s="160" t="s">
        <v>195</v>
      </c>
      <c r="C34" s="164" t="s">
        <v>247</v>
      </c>
      <c r="D34" s="20">
        <v>375.1</v>
      </c>
      <c r="E34" s="172">
        <f>5000-5000</f>
        <v>0</v>
      </c>
      <c r="F34" s="31">
        <f>60000-60000</f>
        <v>0</v>
      </c>
      <c r="G34" s="31">
        <f>39557-39557</f>
        <v>0</v>
      </c>
      <c r="H34" s="150">
        <f>D34+E34+F34+G34</f>
        <v>375.1</v>
      </c>
    </row>
    <row r="35" spans="1:12" s="151" customFormat="1" ht="24" customHeight="1" x14ac:dyDescent="0.25">
      <c r="A35" s="21" t="s">
        <v>23</v>
      </c>
      <c r="B35" s="160" t="s">
        <v>196</v>
      </c>
      <c r="C35" s="164" t="s">
        <v>247</v>
      </c>
      <c r="D35" s="20">
        <v>615</v>
      </c>
      <c r="E35" s="172">
        <f>40400-40300</f>
        <v>100</v>
      </c>
      <c r="F35" s="221">
        <f>10000+40300</f>
        <v>50300</v>
      </c>
      <c r="G35" s="172">
        <v>0</v>
      </c>
      <c r="H35" s="150">
        <f>D35+E35+F35+G35</f>
        <v>51015</v>
      </c>
    </row>
    <row r="36" spans="1:12" s="146" customFormat="1" ht="15" customHeight="1" x14ac:dyDescent="0.25">
      <c r="A36" s="10" t="s">
        <v>27</v>
      </c>
      <c r="B36" s="157"/>
      <c r="C36" s="165"/>
      <c r="D36" s="11">
        <f t="shared" ref="D36:F36" si="7">SUM(D34:D35)</f>
        <v>990.1</v>
      </c>
      <c r="E36" s="11">
        <f>SUM(E34:E35)</f>
        <v>100</v>
      </c>
      <c r="F36" s="11">
        <f t="shared" si="7"/>
        <v>50300</v>
      </c>
      <c r="G36" s="11">
        <f>SUM(G34:G35)</f>
        <v>0</v>
      </c>
      <c r="H36" s="12">
        <f>SUM(H34:H35)</f>
        <v>51390.1</v>
      </c>
      <c r="I36" s="188"/>
    </row>
    <row r="37" spans="1:12" s="147" customFormat="1" ht="18" customHeight="1" x14ac:dyDescent="0.25">
      <c r="A37" s="332" t="s">
        <v>6</v>
      </c>
      <c r="B37" s="333"/>
      <c r="C37" s="333"/>
      <c r="D37" s="333"/>
      <c r="E37" s="333"/>
      <c r="F37" s="333"/>
      <c r="G37" s="333"/>
      <c r="H37" s="334"/>
    </row>
    <row r="38" spans="1:12" s="151" customFormat="1" ht="24" customHeight="1" x14ac:dyDescent="0.25">
      <c r="A38" s="148" t="s">
        <v>110</v>
      </c>
      <c r="B38" s="156" t="s">
        <v>198</v>
      </c>
      <c r="C38" s="164" t="s">
        <v>247</v>
      </c>
      <c r="D38" s="20">
        <v>11814</v>
      </c>
      <c r="E38" s="172">
        <v>0</v>
      </c>
      <c r="F38" s="172">
        <v>0</v>
      </c>
      <c r="G38" s="172">
        <v>0</v>
      </c>
      <c r="H38" s="150">
        <f t="shared" ref="H38:H43" si="8">D38+E38+F38+G38</f>
        <v>11814</v>
      </c>
    </row>
    <row r="39" spans="1:12" s="151" customFormat="1" ht="24" customHeight="1" x14ac:dyDescent="0.25">
      <c r="A39" s="23" t="s">
        <v>111</v>
      </c>
      <c r="B39" s="161" t="s">
        <v>199</v>
      </c>
      <c r="C39" s="164" t="s">
        <v>247</v>
      </c>
      <c r="D39" s="20">
        <v>6329.88</v>
      </c>
      <c r="E39" s="172">
        <v>0</v>
      </c>
      <c r="F39" s="172">
        <v>0</v>
      </c>
      <c r="G39" s="172">
        <v>0</v>
      </c>
      <c r="H39" s="150">
        <f t="shared" si="8"/>
        <v>6329.88</v>
      </c>
    </row>
    <row r="40" spans="1:12" s="151" customFormat="1" ht="24" customHeight="1" x14ac:dyDescent="0.25">
      <c r="A40" s="23" t="s">
        <v>113</v>
      </c>
      <c r="B40" s="161" t="s">
        <v>200</v>
      </c>
      <c r="C40" s="164" t="s">
        <v>247</v>
      </c>
      <c r="D40" s="20">
        <v>12143.58</v>
      </c>
      <c r="E40" s="172">
        <v>1042.1199999999999</v>
      </c>
      <c r="F40" s="172">
        <v>0</v>
      </c>
      <c r="G40" s="172">
        <v>0</v>
      </c>
      <c r="H40" s="150">
        <f t="shared" si="8"/>
        <v>13185.7</v>
      </c>
    </row>
    <row r="41" spans="1:12" s="151" customFormat="1" ht="24" customHeight="1" x14ac:dyDescent="0.25">
      <c r="A41" s="23" t="s">
        <v>31</v>
      </c>
      <c r="B41" s="161" t="s">
        <v>201</v>
      </c>
      <c r="C41" s="164" t="s">
        <v>247</v>
      </c>
      <c r="D41" s="20">
        <v>10650</v>
      </c>
      <c r="E41" s="172">
        <f>5700-2850</f>
        <v>2850</v>
      </c>
      <c r="F41" s="172">
        <v>0</v>
      </c>
      <c r="G41" s="172">
        <v>0</v>
      </c>
      <c r="H41" s="150">
        <f t="shared" si="8"/>
        <v>13500</v>
      </c>
    </row>
    <row r="42" spans="1:12" s="151" customFormat="1" ht="24" customHeight="1" x14ac:dyDescent="0.25">
      <c r="A42" s="148" t="s">
        <v>29</v>
      </c>
      <c r="B42" s="156" t="s">
        <v>202</v>
      </c>
      <c r="C42" s="164" t="s">
        <v>239</v>
      </c>
      <c r="D42" s="20">
        <v>0</v>
      </c>
      <c r="E42" s="172">
        <v>11386</v>
      </c>
      <c r="F42" s="172">
        <v>106106</v>
      </c>
      <c r="G42" s="172">
        <v>0</v>
      </c>
      <c r="H42" s="150">
        <f t="shared" si="8"/>
        <v>117492</v>
      </c>
      <c r="J42" s="179"/>
      <c r="K42" s="179"/>
      <c r="L42" s="179"/>
    </row>
    <row r="43" spans="1:12" s="151" customFormat="1" ht="15" customHeight="1" x14ac:dyDescent="0.25">
      <c r="A43" s="23" t="s">
        <v>30</v>
      </c>
      <c r="B43" s="161" t="s">
        <v>203</v>
      </c>
      <c r="C43" s="168" t="s">
        <v>239</v>
      </c>
      <c r="D43" s="20">
        <v>1446.18</v>
      </c>
      <c r="E43" s="172">
        <v>85786.85</v>
      </c>
      <c r="F43" s="172">
        <v>169013</v>
      </c>
      <c r="G43" s="172">
        <v>0</v>
      </c>
      <c r="H43" s="150">
        <f t="shared" si="8"/>
        <v>256246.03</v>
      </c>
      <c r="J43" s="179"/>
      <c r="K43" s="179"/>
      <c r="L43" s="179"/>
    </row>
    <row r="44" spans="1:12" s="146" customFormat="1" ht="15" customHeight="1" x14ac:dyDescent="0.25">
      <c r="A44" s="10" t="s">
        <v>9</v>
      </c>
      <c r="B44" s="157"/>
      <c r="C44" s="165"/>
      <c r="D44" s="11">
        <f>SUM(D38:D43)</f>
        <v>42383.64</v>
      </c>
      <c r="E44" s="11">
        <f>SUM(E38:E43)</f>
        <v>101064.97</v>
      </c>
      <c r="F44" s="11">
        <f>SUM(F38:F43)</f>
        <v>275119</v>
      </c>
      <c r="G44" s="11">
        <f t="shared" ref="G44" si="9">SUM(G38:G43)</f>
        <v>0</v>
      </c>
      <c r="H44" s="12">
        <f>SUM(H38:H43)</f>
        <v>418567.61</v>
      </c>
    </row>
    <row r="45" spans="1:12" s="147" customFormat="1" ht="18" customHeight="1" x14ac:dyDescent="0.25">
      <c r="A45" s="332" t="s">
        <v>32</v>
      </c>
      <c r="B45" s="333"/>
      <c r="C45" s="333"/>
      <c r="D45" s="333"/>
      <c r="E45" s="333"/>
      <c r="F45" s="333"/>
      <c r="G45" s="333"/>
      <c r="H45" s="334"/>
      <c r="L45" s="169"/>
    </row>
    <row r="46" spans="1:12" s="147" customFormat="1" ht="24" customHeight="1" x14ac:dyDescent="0.25">
      <c r="A46" s="148" t="s">
        <v>33</v>
      </c>
      <c r="B46" s="156" t="s">
        <v>204</v>
      </c>
      <c r="C46" s="164" t="s">
        <v>247</v>
      </c>
      <c r="D46" s="20">
        <v>95.59</v>
      </c>
      <c r="E46" s="172">
        <v>44904.41</v>
      </c>
      <c r="F46" s="172">
        <v>0</v>
      </c>
      <c r="G46" s="172">
        <v>0</v>
      </c>
      <c r="H46" s="150">
        <f t="shared" ref="H46:H71" si="10">D46+E46+F46+G46</f>
        <v>45000</v>
      </c>
    </row>
    <row r="47" spans="1:12" s="147" customFormat="1" ht="24" customHeight="1" x14ac:dyDescent="0.25">
      <c r="A47" s="23" t="s">
        <v>39</v>
      </c>
      <c r="B47" s="161" t="s">
        <v>205</v>
      </c>
      <c r="C47" s="164" t="s">
        <v>247</v>
      </c>
      <c r="D47" s="20">
        <v>50386.47</v>
      </c>
      <c r="E47" s="172">
        <v>3269.53</v>
      </c>
      <c r="F47" s="172">
        <v>0</v>
      </c>
      <c r="G47" s="172">
        <v>0</v>
      </c>
      <c r="H47" s="150">
        <f t="shared" si="10"/>
        <v>53656</v>
      </c>
    </row>
    <row r="48" spans="1:12" s="147" customFormat="1" ht="24" customHeight="1" x14ac:dyDescent="0.25">
      <c r="A48" s="23" t="s">
        <v>43</v>
      </c>
      <c r="B48" s="161" t="s">
        <v>206</v>
      </c>
      <c r="C48" s="164" t="s">
        <v>247</v>
      </c>
      <c r="D48" s="20">
        <v>30678.01</v>
      </c>
      <c r="E48" s="172">
        <v>0</v>
      </c>
      <c r="F48" s="172">
        <v>0</v>
      </c>
      <c r="G48" s="172">
        <v>0</v>
      </c>
      <c r="H48" s="150">
        <f t="shared" si="10"/>
        <v>30678.01</v>
      </c>
    </row>
    <row r="49" spans="1:9" s="147" customFormat="1" ht="24" customHeight="1" x14ac:dyDescent="0.25">
      <c r="A49" s="148" t="s">
        <v>44</v>
      </c>
      <c r="B49" s="156" t="s">
        <v>207</v>
      </c>
      <c r="C49" s="164" t="s">
        <v>247</v>
      </c>
      <c r="D49" s="20">
        <v>40000</v>
      </c>
      <c r="E49" s="172">
        <v>0</v>
      </c>
      <c r="F49" s="172">
        <v>0</v>
      </c>
      <c r="G49" s="172">
        <v>0</v>
      </c>
      <c r="H49" s="150">
        <f t="shared" si="10"/>
        <v>40000</v>
      </c>
    </row>
    <row r="50" spans="1:9" s="147" customFormat="1" ht="24" customHeight="1" x14ac:dyDescent="0.25">
      <c r="A50" s="148" t="s">
        <v>208</v>
      </c>
      <c r="B50" s="156" t="s">
        <v>209</v>
      </c>
      <c r="C50" s="164" t="s">
        <v>247</v>
      </c>
      <c r="D50" s="20">
        <v>6200</v>
      </c>
      <c r="E50" s="172">
        <v>0</v>
      </c>
      <c r="F50" s="172">
        <v>0</v>
      </c>
      <c r="G50" s="172">
        <v>0</v>
      </c>
      <c r="H50" s="150">
        <f t="shared" si="10"/>
        <v>6200</v>
      </c>
    </row>
    <row r="51" spans="1:9" s="147" customFormat="1" ht="24" customHeight="1" x14ac:dyDescent="0.25">
      <c r="A51" s="23" t="s">
        <v>89</v>
      </c>
      <c r="B51" s="161" t="s">
        <v>210</v>
      </c>
      <c r="C51" s="164" t="s">
        <v>247</v>
      </c>
      <c r="D51" s="20">
        <v>7025.05</v>
      </c>
      <c r="E51" s="172">
        <v>2094.9499999999998</v>
      </c>
      <c r="F51" s="172">
        <v>0</v>
      </c>
      <c r="G51" s="172">
        <v>0</v>
      </c>
      <c r="H51" s="150">
        <f t="shared" si="10"/>
        <v>9120</v>
      </c>
    </row>
    <row r="52" spans="1:9" s="147" customFormat="1" ht="24" customHeight="1" x14ac:dyDescent="0.25">
      <c r="A52" s="148" t="s">
        <v>131</v>
      </c>
      <c r="B52" s="156" t="s">
        <v>211</v>
      </c>
      <c r="C52" s="164" t="s">
        <v>247</v>
      </c>
      <c r="D52" s="20">
        <v>7949.67</v>
      </c>
      <c r="E52" s="172">
        <v>0</v>
      </c>
      <c r="F52" s="172">
        <v>0</v>
      </c>
      <c r="G52" s="172">
        <v>0</v>
      </c>
      <c r="H52" s="150">
        <f t="shared" si="10"/>
        <v>7949.67</v>
      </c>
    </row>
    <row r="53" spans="1:9" s="147" customFormat="1" ht="24" customHeight="1" x14ac:dyDescent="0.25">
      <c r="A53" s="148" t="s">
        <v>172</v>
      </c>
      <c r="B53" s="156" t="s">
        <v>212</v>
      </c>
      <c r="C53" s="164" t="s">
        <v>247</v>
      </c>
      <c r="D53" s="20">
        <v>0</v>
      </c>
      <c r="E53" s="31">
        <f>15000-1057</f>
        <v>13943</v>
      </c>
      <c r="F53" s="172">
        <v>0</v>
      </c>
      <c r="G53" s="172">
        <v>0</v>
      </c>
      <c r="H53" s="150">
        <f t="shared" si="10"/>
        <v>13943</v>
      </c>
    </row>
    <row r="54" spans="1:9" s="147" customFormat="1" ht="24" customHeight="1" x14ac:dyDescent="0.25">
      <c r="A54" s="148" t="s">
        <v>34</v>
      </c>
      <c r="B54" s="195" t="s">
        <v>213</v>
      </c>
      <c r="C54" s="164" t="s">
        <v>247</v>
      </c>
      <c r="D54" s="20">
        <v>0</v>
      </c>
      <c r="E54" s="172">
        <f>500+213</f>
        <v>713</v>
      </c>
      <c r="F54" s="172">
        <v>0</v>
      </c>
      <c r="G54" s="172">
        <v>0</v>
      </c>
      <c r="H54" s="150">
        <f t="shared" si="10"/>
        <v>713</v>
      </c>
    </row>
    <row r="55" spans="1:9" s="147" customFormat="1" ht="24" customHeight="1" x14ac:dyDescent="0.25">
      <c r="A55" s="148" t="s">
        <v>42</v>
      </c>
      <c r="B55" s="156" t="s">
        <v>214</v>
      </c>
      <c r="C55" s="164" t="s">
        <v>247</v>
      </c>
      <c r="D55" s="20">
        <v>43980.06</v>
      </c>
      <c r="E55" s="20">
        <v>13719.93</v>
      </c>
      <c r="F55" s="172">
        <v>0</v>
      </c>
      <c r="G55" s="172">
        <v>0</v>
      </c>
      <c r="H55" s="150">
        <f t="shared" si="10"/>
        <v>57699.99</v>
      </c>
    </row>
    <row r="56" spans="1:9" s="147" customFormat="1" ht="24" customHeight="1" x14ac:dyDescent="0.25">
      <c r="A56" s="148" t="s">
        <v>45</v>
      </c>
      <c r="B56" s="161" t="s">
        <v>215</v>
      </c>
      <c r="C56" s="164" t="s">
        <v>247</v>
      </c>
      <c r="D56" s="20">
        <v>500</v>
      </c>
      <c r="E56" s="20">
        <v>900</v>
      </c>
      <c r="F56" s="221">
        <v>60000</v>
      </c>
      <c r="G56" s="172">
        <v>11950.5</v>
      </c>
      <c r="H56" s="150">
        <f t="shared" si="10"/>
        <v>73350.5</v>
      </c>
    </row>
    <row r="57" spans="1:9" s="147" customFormat="1" ht="33.950000000000003" customHeight="1" x14ac:dyDescent="0.25">
      <c r="A57" s="148" t="s">
        <v>36</v>
      </c>
      <c r="B57" s="161" t="s">
        <v>216</v>
      </c>
      <c r="C57" s="164" t="s">
        <v>256</v>
      </c>
      <c r="D57" s="24">
        <v>18811.419999999998</v>
      </c>
      <c r="E57" s="20">
        <f>27286.58-1000</f>
        <v>26286.58</v>
      </c>
      <c r="F57" s="20">
        <v>0</v>
      </c>
      <c r="G57" s="172">
        <v>0</v>
      </c>
      <c r="H57" s="150">
        <f t="shared" si="10"/>
        <v>45098</v>
      </c>
    </row>
    <row r="58" spans="1:9" s="147" customFormat="1" ht="33.950000000000003" customHeight="1" x14ac:dyDescent="0.25">
      <c r="A58" s="148" t="s">
        <v>81</v>
      </c>
      <c r="B58" s="161" t="s">
        <v>217</v>
      </c>
      <c r="C58" s="164" t="s">
        <v>277</v>
      </c>
      <c r="D58" s="24">
        <v>0</v>
      </c>
      <c r="E58" s="20">
        <v>6500</v>
      </c>
      <c r="F58" s="172">
        <v>0</v>
      </c>
      <c r="G58" s="172">
        <v>0</v>
      </c>
      <c r="H58" s="150">
        <f t="shared" si="10"/>
        <v>6500</v>
      </c>
    </row>
    <row r="59" spans="1:9" s="147" customFormat="1" ht="24" customHeight="1" x14ac:dyDescent="0.25">
      <c r="A59" s="201" t="s">
        <v>38</v>
      </c>
      <c r="B59" s="156" t="s">
        <v>218</v>
      </c>
      <c r="C59" s="164" t="s">
        <v>247</v>
      </c>
      <c r="D59" s="20">
        <v>803.35</v>
      </c>
      <c r="E59" s="172">
        <f>128195.65-65000</f>
        <v>63195.649999999994</v>
      </c>
      <c r="F59" s="172">
        <f>77000+65000</f>
        <v>142000</v>
      </c>
      <c r="G59" s="172">
        <v>0</v>
      </c>
      <c r="H59" s="150">
        <f t="shared" si="10"/>
        <v>205999</v>
      </c>
      <c r="I59" s="169"/>
    </row>
    <row r="60" spans="1:9" s="147" customFormat="1" ht="33.950000000000003" customHeight="1" x14ac:dyDescent="0.25">
      <c r="A60" s="148" t="s">
        <v>41</v>
      </c>
      <c r="B60" s="161" t="s">
        <v>219</v>
      </c>
      <c r="C60" s="164" t="s">
        <v>247</v>
      </c>
      <c r="D60" s="24">
        <v>0</v>
      </c>
      <c r="E60" s="172">
        <f>20250-5250-10000</f>
        <v>5000</v>
      </c>
      <c r="F60" s="221">
        <f>17750+5250+10000</f>
        <v>33000</v>
      </c>
      <c r="G60" s="31">
        <v>24000</v>
      </c>
      <c r="H60" s="150">
        <f t="shared" si="10"/>
        <v>62000</v>
      </c>
    </row>
    <row r="61" spans="1:9" s="147" customFormat="1" ht="24" customHeight="1" x14ac:dyDescent="0.25">
      <c r="A61" s="148" t="s">
        <v>80</v>
      </c>
      <c r="B61" s="156" t="s">
        <v>220</v>
      </c>
      <c r="C61" s="164" t="s">
        <v>247</v>
      </c>
      <c r="D61" s="20">
        <v>0</v>
      </c>
      <c r="E61" s="172">
        <v>14350</v>
      </c>
      <c r="F61" s="221">
        <v>4500</v>
      </c>
      <c r="G61" s="172">
        <v>0</v>
      </c>
      <c r="H61" s="150">
        <f t="shared" si="10"/>
        <v>18850</v>
      </c>
    </row>
    <row r="62" spans="1:9" s="147" customFormat="1" ht="24" customHeight="1" x14ac:dyDescent="0.25">
      <c r="A62" s="148" t="s">
        <v>68</v>
      </c>
      <c r="B62" s="156" t="s">
        <v>221</v>
      </c>
      <c r="C62" s="164" t="s">
        <v>247</v>
      </c>
      <c r="D62" s="20">
        <v>0</v>
      </c>
      <c r="E62" s="172">
        <v>2090</v>
      </c>
      <c r="F62" s="172">
        <v>0</v>
      </c>
      <c r="G62" s="172">
        <v>0</v>
      </c>
      <c r="H62" s="150">
        <f t="shared" si="10"/>
        <v>2090</v>
      </c>
    </row>
    <row r="63" spans="1:9" s="147" customFormat="1" ht="24" customHeight="1" x14ac:dyDescent="0.25">
      <c r="A63" s="148" t="s">
        <v>40</v>
      </c>
      <c r="B63" s="156" t="s">
        <v>222</v>
      </c>
      <c r="C63" s="164" t="s">
        <v>247</v>
      </c>
      <c r="D63" s="20">
        <v>0</v>
      </c>
      <c r="E63" s="20">
        <v>25000</v>
      </c>
      <c r="F63" s="20">
        <v>0</v>
      </c>
      <c r="G63" s="172">
        <v>0</v>
      </c>
      <c r="H63" s="150">
        <f t="shared" si="10"/>
        <v>25000</v>
      </c>
    </row>
    <row r="64" spans="1:9" s="147" customFormat="1" ht="33.950000000000003" customHeight="1" x14ac:dyDescent="0.25">
      <c r="A64" s="148" t="s">
        <v>37</v>
      </c>
      <c r="B64" s="161" t="s">
        <v>223</v>
      </c>
      <c r="C64" s="164" t="s">
        <v>247</v>
      </c>
      <c r="D64" s="24">
        <v>0</v>
      </c>
      <c r="E64" s="192">
        <f>5500+3600-8965</f>
        <v>135</v>
      </c>
      <c r="F64" s="222">
        <f>8965+2035</f>
        <v>11000</v>
      </c>
      <c r="G64" s="172">
        <v>0</v>
      </c>
      <c r="H64" s="150">
        <f t="shared" si="10"/>
        <v>11135</v>
      </c>
    </row>
    <row r="65" spans="1:10" s="147" customFormat="1" ht="24" customHeight="1" x14ac:dyDescent="0.25">
      <c r="A65" s="148" t="s">
        <v>69</v>
      </c>
      <c r="B65" s="161" t="s">
        <v>224</v>
      </c>
      <c r="C65" s="164" t="s">
        <v>247</v>
      </c>
      <c r="D65" s="20">
        <v>28.6</v>
      </c>
      <c r="E65" s="192">
        <f>11036-1000-7800</f>
        <v>2236</v>
      </c>
      <c r="F65" s="221">
        <v>7800</v>
      </c>
      <c r="G65" s="172">
        <v>0</v>
      </c>
      <c r="H65" s="150">
        <f t="shared" si="10"/>
        <v>10064.6</v>
      </c>
    </row>
    <row r="66" spans="1:10" s="151" customFormat="1" ht="15" customHeight="1" x14ac:dyDescent="0.25">
      <c r="A66" s="148" t="s">
        <v>88</v>
      </c>
      <c r="B66" s="160" t="s">
        <v>225</v>
      </c>
      <c r="C66" s="164" t="s">
        <v>247</v>
      </c>
      <c r="D66" s="152">
        <v>0</v>
      </c>
      <c r="E66" s="191">
        <f>50000-10000-20000</f>
        <v>20000</v>
      </c>
      <c r="F66" s="224">
        <f>20500+10000+20000</f>
        <v>50500</v>
      </c>
      <c r="G66" s="172">
        <v>0</v>
      </c>
      <c r="H66" s="150">
        <f t="shared" si="10"/>
        <v>70500</v>
      </c>
    </row>
    <row r="67" spans="1:10" s="147" customFormat="1" ht="24" customHeight="1" x14ac:dyDescent="0.25">
      <c r="A67" s="148" t="s">
        <v>90</v>
      </c>
      <c r="B67" s="156" t="s">
        <v>226</v>
      </c>
      <c r="C67" s="164" t="s">
        <v>247</v>
      </c>
      <c r="D67" s="20">
        <v>127.05</v>
      </c>
      <c r="E67" s="172">
        <f>7373-6700</f>
        <v>673</v>
      </c>
      <c r="F67" s="221">
        <f>14000+6700</f>
        <v>20700</v>
      </c>
      <c r="G67" s="172">
        <v>0</v>
      </c>
      <c r="H67" s="150">
        <f>D67+E67+F67+G67</f>
        <v>21500.05</v>
      </c>
    </row>
    <row r="68" spans="1:10" s="147" customFormat="1" ht="24" customHeight="1" x14ac:dyDescent="0.25">
      <c r="A68" s="148" t="s">
        <v>91</v>
      </c>
      <c r="B68" s="161" t="s">
        <v>227</v>
      </c>
      <c r="C68" s="164" t="s">
        <v>247</v>
      </c>
      <c r="D68" s="20">
        <v>17970.75</v>
      </c>
      <c r="E68" s="172">
        <v>7029.25</v>
      </c>
      <c r="F68" s="172">
        <v>0</v>
      </c>
      <c r="G68" s="183">
        <v>0</v>
      </c>
      <c r="H68" s="150">
        <f t="shared" si="10"/>
        <v>25000</v>
      </c>
    </row>
    <row r="69" spans="1:10" s="147" customFormat="1" ht="24" customHeight="1" x14ac:dyDescent="0.25">
      <c r="A69" s="148" t="s">
        <v>262</v>
      </c>
      <c r="B69" s="161" t="s">
        <v>263</v>
      </c>
      <c r="C69" s="164" t="s">
        <v>247</v>
      </c>
      <c r="D69" s="20">
        <v>0</v>
      </c>
      <c r="E69" s="192">
        <v>11100</v>
      </c>
      <c r="F69" s="172">
        <v>0</v>
      </c>
      <c r="G69" s="183">
        <v>0</v>
      </c>
      <c r="H69" s="150">
        <f t="shared" si="10"/>
        <v>11100</v>
      </c>
    </row>
    <row r="70" spans="1:10" s="147" customFormat="1" ht="24" customHeight="1" x14ac:dyDescent="0.25">
      <c r="A70" s="148" t="s">
        <v>304</v>
      </c>
      <c r="B70" s="161" t="s">
        <v>266</v>
      </c>
      <c r="C70" s="164" t="s">
        <v>247</v>
      </c>
      <c r="D70" s="20">
        <v>0</v>
      </c>
      <c r="E70" s="192">
        <v>9350</v>
      </c>
      <c r="F70" s="172">
        <v>0</v>
      </c>
      <c r="G70" s="183">
        <v>0</v>
      </c>
      <c r="H70" s="150">
        <f t="shared" si="10"/>
        <v>9350</v>
      </c>
      <c r="I70" s="147" t="s">
        <v>305</v>
      </c>
    </row>
    <row r="71" spans="1:10" s="147" customFormat="1" ht="24" customHeight="1" x14ac:dyDescent="0.25">
      <c r="A71" s="218" t="s">
        <v>306</v>
      </c>
      <c r="B71" s="161" t="s">
        <v>307</v>
      </c>
      <c r="C71" s="164" t="s">
        <v>247</v>
      </c>
      <c r="D71" s="20">
        <v>0</v>
      </c>
      <c r="E71" s="192">
        <v>0</v>
      </c>
      <c r="F71" s="172">
        <v>0</v>
      </c>
      <c r="G71" s="219">
        <v>16614</v>
      </c>
      <c r="H71" s="150">
        <f t="shared" si="10"/>
        <v>16614</v>
      </c>
    </row>
    <row r="72" spans="1:10" s="146" customFormat="1" ht="15" customHeight="1" x14ac:dyDescent="0.25">
      <c r="A72" s="10" t="s">
        <v>47</v>
      </c>
      <c r="B72" s="157"/>
      <c r="C72" s="165"/>
      <c r="D72" s="11">
        <f t="shared" ref="D72:H72" si="11">SUM(D46:D71)</f>
        <v>224556.02000000002</v>
      </c>
      <c r="E72" s="11">
        <f>SUM(E46:E71)</f>
        <v>272490.3</v>
      </c>
      <c r="F72" s="11">
        <f t="shared" ref="F72:G72" si="12">SUM(F46:F71)</f>
        <v>329500</v>
      </c>
      <c r="G72" s="11">
        <f t="shared" si="12"/>
        <v>52564.5</v>
      </c>
      <c r="H72" s="12">
        <f t="shared" si="11"/>
        <v>879110.82000000007</v>
      </c>
      <c r="I72" s="188"/>
      <c r="J72" s="188"/>
    </row>
    <row r="73" spans="1:10" s="147" customFormat="1" ht="18" customHeight="1" x14ac:dyDescent="0.25">
      <c r="A73" s="332" t="s">
        <v>48</v>
      </c>
      <c r="B73" s="333"/>
      <c r="C73" s="333"/>
      <c r="D73" s="333"/>
      <c r="E73" s="333"/>
      <c r="F73" s="333"/>
      <c r="G73" s="333"/>
      <c r="H73" s="334"/>
      <c r="I73" s="169"/>
    </row>
    <row r="74" spans="1:10" s="147" customFormat="1" ht="24" customHeight="1" x14ac:dyDescent="0.25">
      <c r="A74" s="21" t="s">
        <v>97</v>
      </c>
      <c r="B74" s="160" t="s">
        <v>228</v>
      </c>
      <c r="C74" s="164" t="s">
        <v>247</v>
      </c>
      <c r="D74" s="20">
        <v>14723.48</v>
      </c>
      <c r="E74" s="172">
        <v>6976.53</v>
      </c>
      <c r="F74" s="172">
        <v>0</v>
      </c>
      <c r="G74" s="20">
        <v>0</v>
      </c>
      <c r="H74" s="150">
        <f t="shared" ref="H74:H87" si="13">D74+E74+F74+G74</f>
        <v>21700.01</v>
      </c>
    </row>
    <row r="75" spans="1:10" s="147" customFormat="1" ht="24" customHeight="1" x14ac:dyDescent="0.25">
      <c r="A75" s="21" t="s">
        <v>176</v>
      </c>
      <c r="B75" s="160" t="s">
        <v>229</v>
      </c>
      <c r="C75" s="164" t="s">
        <v>247</v>
      </c>
      <c r="D75" s="24">
        <v>22241.64</v>
      </c>
      <c r="E75" s="192">
        <v>0</v>
      </c>
      <c r="F75" s="192">
        <v>0</v>
      </c>
      <c r="G75" s="24">
        <v>0</v>
      </c>
      <c r="H75" s="150">
        <f t="shared" si="13"/>
        <v>22241.64</v>
      </c>
    </row>
    <row r="76" spans="1:10" s="147" customFormat="1" ht="24" customHeight="1" x14ac:dyDescent="0.25">
      <c r="A76" s="21" t="s">
        <v>141</v>
      </c>
      <c r="B76" s="160" t="s">
        <v>230</v>
      </c>
      <c r="C76" s="164" t="s">
        <v>247</v>
      </c>
      <c r="D76" s="20">
        <v>20898.27</v>
      </c>
      <c r="E76" s="172">
        <v>0</v>
      </c>
      <c r="F76" s="172">
        <v>0</v>
      </c>
      <c r="G76" s="20">
        <v>0</v>
      </c>
      <c r="H76" s="150">
        <f t="shared" si="13"/>
        <v>20898.27</v>
      </c>
    </row>
    <row r="77" spans="1:10" s="147" customFormat="1" ht="24" customHeight="1" x14ac:dyDescent="0.25">
      <c r="A77" s="21" t="s">
        <v>143</v>
      </c>
      <c r="B77" s="160" t="s">
        <v>231</v>
      </c>
      <c r="C77" s="164" t="s">
        <v>247</v>
      </c>
      <c r="D77" s="20">
        <v>28727.64</v>
      </c>
      <c r="E77" s="172">
        <v>0</v>
      </c>
      <c r="F77" s="172">
        <v>0</v>
      </c>
      <c r="G77" s="20">
        <v>0</v>
      </c>
      <c r="H77" s="150">
        <f t="shared" si="13"/>
        <v>28727.64</v>
      </c>
    </row>
    <row r="78" spans="1:10" s="147" customFormat="1" ht="24" customHeight="1" x14ac:dyDescent="0.25">
      <c r="A78" s="21" t="s">
        <v>145</v>
      </c>
      <c r="B78" s="160" t="s">
        <v>232</v>
      </c>
      <c r="C78" s="164" t="s">
        <v>247</v>
      </c>
      <c r="D78" s="20">
        <v>11437.7</v>
      </c>
      <c r="E78" s="172">
        <v>0</v>
      </c>
      <c r="F78" s="172">
        <v>0</v>
      </c>
      <c r="G78" s="20">
        <v>0</v>
      </c>
      <c r="H78" s="150">
        <f t="shared" si="13"/>
        <v>11437.7</v>
      </c>
    </row>
    <row r="79" spans="1:10" s="147" customFormat="1" ht="24" customHeight="1" x14ac:dyDescent="0.25">
      <c r="A79" s="21" t="s">
        <v>147</v>
      </c>
      <c r="B79" s="160" t="s">
        <v>233</v>
      </c>
      <c r="C79" s="164" t="s">
        <v>247</v>
      </c>
      <c r="D79" s="20">
        <v>11567.78</v>
      </c>
      <c r="E79" s="172">
        <v>0</v>
      </c>
      <c r="F79" s="172">
        <v>0</v>
      </c>
      <c r="G79" s="20">
        <v>0</v>
      </c>
      <c r="H79" s="150">
        <f t="shared" si="13"/>
        <v>11567.78</v>
      </c>
    </row>
    <row r="80" spans="1:10" s="147" customFormat="1" ht="15" customHeight="1" x14ac:dyDescent="0.25">
      <c r="A80" s="21" t="s">
        <v>175</v>
      </c>
      <c r="B80" s="160" t="s">
        <v>234</v>
      </c>
      <c r="C80" s="164" t="s">
        <v>247</v>
      </c>
      <c r="D80" s="20">
        <v>1099.1500000000001</v>
      </c>
      <c r="E80" s="172">
        <v>22900.85</v>
      </c>
      <c r="F80" s="172">
        <v>0</v>
      </c>
      <c r="G80" s="20">
        <v>0</v>
      </c>
      <c r="H80" s="150">
        <f t="shared" si="13"/>
        <v>24000</v>
      </c>
    </row>
    <row r="81" spans="1:10" s="147" customFormat="1" ht="24" customHeight="1" x14ac:dyDescent="0.25">
      <c r="A81" s="21" t="s">
        <v>50</v>
      </c>
      <c r="B81" s="160" t="s">
        <v>235</v>
      </c>
      <c r="C81" s="164" t="s">
        <v>247</v>
      </c>
      <c r="D81" s="20">
        <v>34.11</v>
      </c>
      <c r="E81" s="172">
        <v>93382</v>
      </c>
      <c r="F81" s="221">
        <v>50000</v>
      </c>
      <c r="G81" s="20">
        <v>0</v>
      </c>
      <c r="H81" s="150">
        <f t="shared" si="13"/>
        <v>143416.10999999999</v>
      </c>
    </row>
    <row r="82" spans="1:10" s="147" customFormat="1" ht="24" customHeight="1" x14ac:dyDescent="0.25">
      <c r="A82" s="23" t="s">
        <v>49</v>
      </c>
      <c r="B82" s="160" t="s">
        <v>236</v>
      </c>
      <c r="C82" s="164" t="s">
        <v>247</v>
      </c>
      <c r="D82" s="24">
        <v>29.04</v>
      </c>
      <c r="E82" s="172">
        <f>94970.96-80000</f>
        <v>14970.960000000006</v>
      </c>
      <c r="F82" s="222">
        <f>10000+80000</f>
        <v>90000</v>
      </c>
      <c r="G82" s="24">
        <v>0</v>
      </c>
      <c r="H82" s="150">
        <f t="shared" si="13"/>
        <v>105000</v>
      </c>
    </row>
    <row r="83" spans="1:10" s="147" customFormat="1" ht="24" customHeight="1" x14ac:dyDescent="0.25">
      <c r="A83" s="23" t="s">
        <v>308</v>
      </c>
      <c r="B83" s="160" t="s">
        <v>286</v>
      </c>
      <c r="C83" s="164" t="s">
        <v>247</v>
      </c>
      <c r="D83" s="24">
        <v>0</v>
      </c>
      <c r="E83" s="172">
        <f>30200-26200</f>
        <v>4000</v>
      </c>
      <c r="F83" s="222">
        <f>0+26200</f>
        <v>26200</v>
      </c>
      <c r="G83" s="24">
        <v>0</v>
      </c>
      <c r="H83" s="150">
        <f t="shared" si="13"/>
        <v>30200</v>
      </c>
    </row>
    <row r="84" spans="1:10" s="147" customFormat="1" ht="24" customHeight="1" x14ac:dyDescent="0.25">
      <c r="A84" s="23" t="s">
        <v>309</v>
      </c>
      <c r="B84" s="160" t="s">
        <v>284</v>
      </c>
      <c r="C84" s="164" t="s">
        <v>247</v>
      </c>
      <c r="D84" s="24">
        <v>0</v>
      </c>
      <c r="E84" s="172">
        <v>40000</v>
      </c>
      <c r="F84" s="222">
        <v>140000</v>
      </c>
      <c r="G84" s="24">
        <v>0</v>
      </c>
      <c r="H84" s="150">
        <f t="shared" si="13"/>
        <v>180000</v>
      </c>
    </row>
    <row r="85" spans="1:10" s="151" customFormat="1" ht="24" customHeight="1" x14ac:dyDescent="0.25">
      <c r="A85" s="148" t="s">
        <v>310</v>
      </c>
      <c r="B85" s="156" t="s">
        <v>289</v>
      </c>
      <c r="C85" s="164" t="s">
        <v>247</v>
      </c>
      <c r="D85" s="149">
        <v>0</v>
      </c>
      <c r="E85" s="162">
        <f>15500-10500-3000</f>
        <v>2000</v>
      </c>
      <c r="F85" s="162">
        <f>0+10500-10500</f>
        <v>0</v>
      </c>
      <c r="G85" s="182">
        <v>0</v>
      </c>
      <c r="H85" s="150">
        <f t="shared" si="13"/>
        <v>2000</v>
      </c>
    </row>
    <row r="86" spans="1:10" s="151" customFormat="1" ht="24" customHeight="1" x14ac:dyDescent="0.25">
      <c r="A86" s="148" t="s">
        <v>311</v>
      </c>
      <c r="B86" s="156" t="s">
        <v>291</v>
      </c>
      <c r="C86" s="164" t="s">
        <v>247</v>
      </c>
      <c r="D86" s="149">
        <v>0</v>
      </c>
      <c r="E86" s="162">
        <f>20000-2000</f>
        <v>18000</v>
      </c>
      <c r="F86" s="149">
        <v>0</v>
      </c>
      <c r="G86" s="182">
        <v>0</v>
      </c>
      <c r="H86" s="150">
        <f t="shared" si="13"/>
        <v>18000</v>
      </c>
    </row>
    <row r="87" spans="1:10" s="151" customFormat="1" ht="24" customHeight="1" x14ac:dyDescent="0.25">
      <c r="A87" s="218" t="s">
        <v>312</v>
      </c>
      <c r="B87" s="156" t="s">
        <v>313</v>
      </c>
      <c r="C87" s="164" t="s">
        <v>247</v>
      </c>
      <c r="D87" s="149">
        <v>0</v>
      </c>
      <c r="E87" s="149">
        <v>0</v>
      </c>
      <c r="F87" s="223">
        <v>5000</v>
      </c>
      <c r="G87" s="220">
        <v>10500</v>
      </c>
      <c r="H87" s="150">
        <f t="shared" si="13"/>
        <v>15500</v>
      </c>
    </row>
    <row r="88" spans="1:10" s="146" customFormat="1" ht="15" customHeight="1" thickBot="1" x14ac:dyDescent="0.3">
      <c r="A88" s="10" t="s">
        <v>53</v>
      </c>
      <c r="B88" s="157"/>
      <c r="C88" s="165"/>
      <c r="D88" s="11">
        <f t="shared" ref="D88:G88" si="14">SUM(D74:D87)</f>
        <v>110758.80999999998</v>
      </c>
      <c r="E88" s="11">
        <f>SUM(E74:E87)</f>
        <v>202230.34000000003</v>
      </c>
      <c r="F88" s="11">
        <f t="shared" si="14"/>
        <v>311200</v>
      </c>
      <c r="G88" s="11">
        <f t="shared" si="14"/>
        <v>10500</v>
      </c>
      <c r="H88" s="12">
        <f>SUM(H74:H87)</f>
        <v>634689.14999999991</v>
      </c>
      <c r="I88" s="188"/>
      <c r="J88" s="188"/>
    </row>
    <row r="89" spans="1:10" s="146" customFormat="1" ht="25.5" customHeight="1" thickBot="1" x14ac:dyDescent="0.3">
      <c r="A89" s="14" t="s">
        <v>54</v>
      </c>
      <c r="B89" s="158"/>
      <c r="C89" s="166"/>
      <c r="D89" s="15">
        <f>D88+D72+D44+D36+D32</f>
        <v>378688.57</v>
      </c>
      <c r="E89" s="15">
        <f>E88+E72+E44+E36+E32</f>
        <v>708790.61</v>
      </c>
      <c r="F89" s="15">
        <f t="shared" ref="F89:G89" si="15">F88+F72+F44+F36+F32</f>
        <v>1378290</v>
      </c>
      <c r="G89" s="15">
        <f t="shared" si="15"/>
        <v>80766.5</v>
      </c>
      <c r="H89" s="16">
        <f>H88+H72+H44+H36+H32</f>
        <v>2546535.6800000002</v>
      </c>
    </row>
    <row r="90" spans="1:10" s="146" customFormat="1" ht="13.5" thickBot="1" x14ac:dyDescent="0.3">
      <c r="A90" s="17"/>
      <c r="B90" s="159"/>
      <c r="C90" s="167"/>
      <c r="D90" s="94"/>
      <c r="E90" s="94"/>
      <c r="F90" s="94"/>
      <c r="G90" s="94"/>
      <c r="H90" s="119"/>
    </row>
    <row r="91" spans="1:10" s="146" customFormat="1" ht="21" customHeight="1" thickBot="1" x14ac:dyDescent="0.3">
      <c r="A91" s="14" t="s">
        <v>55</v>
      </c>
      <c r="B91" s="158"/>
      <c r="C91" s="166"/>
      <c r="D91" s="15">
        <f>SUM(D23,D89)+0.45</f>
        <v>387806.92845000001</v>
      </c>
      <c r="E91" s="15">
        <f>SUM(E23,E89)</f>
        <v>858165</v>
      </c>
      <c r="F91" s="15">
        <f t="shared" ref="F91:G91" si="16">SUM(F23,F89)</f>
        <v>1618012</v>
      </c>
      <c r="G91" s="15">
        <f t="shared" si="16"/>
        <v>136016.5</v>
      </c>
      <c r="H91" s="16">
        <f>SUM(H23,H89)</f>
        <v>2999999.9784500003</v>
      </c>
    </row>
  </sheetData>
  <mergeCells count="15">
    <mergeCell ref="A37:H37"/>
    <mergeCell ref="A45:H45"/>
    <mergeCell ref="A73:H73"/>
    <mergeCell ref="A10:H10"/>
    <mergeCell ref="A14:H14"/>
    <mergeCell ref="A20:H20"/>
    <mergeCell ref="A25:H25"/>
    <mergeCell ref="A26:H26"/>
    <mergeCell ref="A33:H33"/>
    <mergeCell ref="A7:H7"/>
    <mergeCell ref="A2:H2"/>
    <mergeCell ref="A4:A5"/>
    <mergeCell ref="D4:G4"/>
    <mergeCell ref="H4:H5"/>
    <mergeCell ref="A6:H6"/>
  </mergeCells>
  <conditionalFormatting sqref="D15:D16">
    <cfRule type="cellIs" dxfId="339" priority="91" operator="lessThan">
      <formula>#REF!</formula>
    </cfRule>
    <cfRule type="cellIs" dxfId="338" priority="92" operator="greaterThan">
      <formula>#REF!</formula>
    </cfRule>
  </conditionalFormatting>
  <conditionalFormatting sqref="D16:D19">
    <cfRule type="cellIs" dxfId="337" priority="87" operator="lessThan">
      <formula>#REF!</formula>
    </cfRule>
    <cfRule type="cellIs" dxfId="336" priority="88" operator="greaterThan">
      <formula>#REF!</formula>
    </cfRule>
  </conditionalFormatting>
  <conditionalFormatting sqref="D56:D65">
    <cfRule type="cellIs" dxfId="335" priority="77" operator="lessThan">
      <formula>#REF!</formula>
    </cfRule>
    <cfRule type="cellIs" dxfId="334" priority="78" operator="greaterThan">
      <formula>#REF!</formula>
    </cfRule>
  </conditionalFormatting>
  <conditionalFormatting sqref="D58:D63">
    <cfRule type="cellIs" dxfId="333" priority="73" operator="lessThan">
      <formula>#REF!</formula>
    </cfRule>
    <cfRule type="cellIs" dxfId="332" priority="74" operator="greaterThan">
      <formula>#REF!</formula>
    </cfRule>
  </conditionalFormatting>
  <conditionalFormatting sqref="D59:D63 D46:E55 F46:G56 F58:G69 D70:G72">
    <cfRule type="cellIs" dxfId="331" priority="115" operator="lessThan">
      <formula>#REF!</formula>
    </cfRule>
  </conditionalFormatting>
  <conditionalFormatting sqref="D60:D63">
    <cfRule type="cellIs" dxfId="330" priority="75" operator="lessThan">
      <formula>#REF!</formula>
    </cfRule>
    <cfRule type="cellIs" dxfId="329" priority="76" operator="greaterThan">
      <formula>#REF!</formula>
    </cfRule>
  </conditionalFormatting>
  <conditionalFormatting sqref="D66:D69">
    <cfRule type="cellIs" dxfId="328" priority="71" operator="lessThan">
      <formula>#REF!</formula>
    </cfRule>
    <cfRule type="cellIs" dxfId="327" priority="72" operator="greaterThan">
      <formula>#REF!</formula>
    </cfRule>
  </conditionalFormatting>
  <conditionalFormatting sqref="D80:D81">
    <cfRule type="cellIs" dxfId="326" priority="99" operator="lessThan">
      <formula>#REF!</formula>
    </cfRule>
    <cfRule type="cellIs" dxfId="325" priority="100" operator="greaterThan">
      <formula>#REF!</formula>
    </cfRule>
  </conditionalFormatting>
  <conditionalFormatting sqref="D81:D87">
    <cfRule type="cellIs" dxfId="324" priority="101" operator="lessThan">
      <formula>#REF!</formula>
    </cfRule>
    <cfRule type="cellIs" dxfId="323" priority="102" operator="greaterThan">
      <formula>#REF!</formula>
    </cfRule>
  </conditionalFormatting>
  <conditionalFormatting sqref="D85:D87">
    <cfRule type="cellIs" dxfId="322" priority="67" operator="lessThan">
      <formula>#REF!</formula>
    </cfRule>
    <cfRule type="cellIs" dxfId="321" priority="68" operator="greaterThan">
      <formula>#REF!</formula>
    </cfRule>
  </conditionalFormatting>
  <conditionalFormatting sqref="D46:E55 F46:G56 F58:G69 D59:D63 D70:G72">
    <cfRule type="cellIs" dxfId="320" priority="116" operator="greaterThan">
      <formula>#REF!</formula>
    </cfRule>
  </conditionalFormatting>
  <conditionalFormatting sqref="D74:G81 F85:G87">
    <cfRule type="cellIs" dxfId="319" priority="9" operator="lessThan">
      <formula>#REF!</formula>
    </cfRule>
    <cfRule type="cellIs" dxfId="318" priority="10" operator="greaterThan">
      <formula>#REF!</formula>
    </cfRule>
  </conditionalFormatting>
  <conditionalFormatting sqref="D8:H9">
    <cfRule type="cellIs" dxfId="317" priority="1" operator="lessThan">
      <formula>#REF!</formula>
    </cfRule>
    <cfRule type="cellIs" dxfId="316" priority="2" operator="greaterThan">
      <formula>#REF!</formula>
    </cfRule>
  </conditionalFormatting>
  <conditionalFormatting sqref="D11:H13">
    <cfRule type="cellIs" dxfId="315" priority="33" operator="lessThan">
      <formula>#REF!</formula>
    </cfRule>
    <cfRule type="cellIs" dxfId="314" priority="34" operator="greaterThan">
      <formula>#REF!</formula>
    </cfRule>
  </conditionalFormatting>
  <conditionalFormatting sqref="D21:H22">
    <cfRule type="cellIs" dxfId="313" priority="25" operator="lessThan">
      <formula>#REF!</formula>
    </cfRule>
    <cfRule type="cellIs" dxfId="312" priority="26" operator="greaterThan">
      <formula>#REF!</formula>
    </cfRule>
  </conditionalFormatting>
  <conditionalFormatting sqref="D27:H32 H74:H87">
    <cfRule type="cellIs" dxfId="311" priority="61" operator="lessThan">
      <formula>#REF!</formula>
    </cfRule>
    <cfRule type="cellIs" dxfId="310" priority="62" operator="greaterThan">
      <formula>#REF!</formula>
    </cfRule>
  </conditionalFormatting>
  <conditionalFormatting sqref="D34:H36">
    <cfRule type="cellIs" dxfId="309" priority="39" operator="lessThan">
      <formula>#REF!</formula>
    </cfRule>
    <cfRule type="cellIs" dxfId="308" priority="40" operator="greaterThan">
      <formula>#REF!</formula>
    </cfRule>
  </conditionalFormatting>
  <conditionalFormatting sqref="D38:H43">
    <cfRule type="cellIs" dxfId="307" priority="47" operator="lessThan">
      <formula>#REF!</formula>
    </cfRule>
    <cfRule type="cellIs" dxfId="306" priority="48" operator="greaterThan">
      <formula>#REF!</formula>
    </cfRule>
  </conditionalFormatting>
  <conditionalFormatting sqref="E56:E69">
    <cfRule type="cellIs" dxfId="305" priority="113" operator="lessThan">
      <formula>#REF!</formula>
    </cfRule>
    <cfRule type="cellIs" dxfId="304" priority="114" operator="greaterThan">
      <formula>#REF!</formula>
    </cfRule>
  </conditionalFormatting>
  <conditionalFormatting sqref="E80:E87">
    <cfRule type="cellIs" dxfId="303" priority="21" operator="lessThan">
      <formula>#REF!</formula>
    </cfRule>
    <cfRule type="cellIs" dxfId="302" priority="22" operator="greaterThan">
      <formula>#REF!</formula>
    </cfRule>
  </conditionalFormatting>
  <conditionalFormatting sqref="E82:E87">
    <cfRule type="cellIs" dxfId="301" priority="17" operator="lessThan">
      <formula>#REF!</formula>
    </cfRule>
    <cfRule type="cellIs" dxfId="300" priority="18" operator="greaterThan">
      <formula>#REF!</formula>
    </cfRule>
  </conditionalFormatting>
  <conditionalFormatting sqref="E15:H19">
    <cfRule type="cellIs" dxfId="299" priority="27" operator="lessThan">
      <formula>#REF!</formula>
    </cfRule>
    <cfRule type="cellIs" dxfId="298" priority="28" operator="greaterThan">
      <formula>#REF!</formula>
    </cfRule>
  </conditionalFormatting>
  <conditionalFormatting sqref="F57:G61 E59:E61 E63:F63 G63:G67">
    <cfRule type="cellIs" dxfId="297" priority="118" operator="greaterThan">
      <formula>#REF!</formula>
    </cfRule>
  </conditionalFormatting>
  <conditionalFormatting sqref="F57:G61 E63:F63 G63:G67 E59:E61">
    <cfRule type="cellIs" dxfId="296" priority="117" operator="lessThan">
      <formula>#REF!</formula>
    </cfRule>
  </conditionalFormatting>
  <conditionalFormatting sqref="F80:G87">
    <cfRule type="cellIs" dxfId="295" priority="11" operator="lessThan">
      <formula>#REF!</formula>
    </cfRule>
    <cfRule type="cellIs" dxfId="294" priority="12" operator="greaterThan">
      <formula>#REF!</formula>
    </cfRule>
  </conditionalFormatting>
  <conditionalFormatting sqref="H21">
    <cfRule type="cellIs" dxfId="293" priority="23" operator="lessThan">
      <formula>#REF!</formula>
    </cfRule>
    <cfRule type="cellIs" dxfId="292" priority="24" operator="greaterThan">
      <formula>#REF!</formula>
    </cfRule>
  </conditionalFormatting>
  <conditionalFormatting sqref="H22">
    <cfRule type="cellIs" dxfId="291" priority="53" operator="lessThan">
      <formula>#REF!</formula>
    </cfRule>
    <cfRule type="cellIs" dxfId="290" priority="54" operator="greaterThan">
      <formula>#REF!</formula>
    </cfRule>
    <cfRule type="cellIs" dxfId="289" priority="55" operator="lessThan">
      <formula>#REF!</formula>
    </cfRule>
    <cfRule type="cellIs" dxfId="288" priority="56" operator="greaterThan">
      <formula>#REF!</formula>
    </cfRule>
  </conditionalFormatting>
  <conditionalFormatting sqref="H30">
    <cfRule type="cellIs" dxfId="287" priority="49" operator="lessThan">
      <formula>#REF!</formula>
    </cfRule>
    <cfRule type="cellIs" dxfId="286" priority="50" operator="greaterThan">
      <formula>#REF!</formula>
    </cfRule>
  </conditionalFormatting>
  <conditionalFormatting sqref="H34:H35">
    <cfRule type="cellIs" dxfId="285" priority="37" operator="lessThan">
      <formula>#REF!</formula>
    </cfRule>
    <cfRule type="cellIs" dxfId="284" priority="38" operator="greaterThan">
      <formula>#REF!</formula>
    </cfRule>
  </conditionalFormatting>
  <conditionalFormatting sqref="H38:H43">
    <cfRule type="cellIs" dxfId="283" priority="45" operator="lessThan">
      <formula>#REF!</formula>
    </cfRule>
    <cfRule type="cellIs" dxfId="282" priority="46" operator="greaterThan">
      <formula>#REF!</formula>
    </cfRule>
  </conditionalFormatting>
  <conditionalFormatting sqref="H46:H71">
    <cfRule type="cellIs" dxfId="281" priority="41" operator="lessThan">
      <formula>#REF!</formula>
    </cfRule>
    <cfRule type="cellIs" dxfId="280" priority="42" operator="greaterThan">
      <formula>#REF!</formula>
    </cfRule>
  </conditionalFormatting>
  <conditionalFormatting sqref="H46:H72">
    <cfRule type="cellIs" dxfId="279" priority="43" operator="lessThan">
      <formula>#REF!</formula>
    </cfRule>
    <cfRule type="cellIs" dxfId="278" priority="44" operator="greaterThan">
      <formula>#REF!</formula>
    </cfRule>
  </conditionalFormatting>
  <pageMargins left="0.7" right="0.7" top="0.78740157499999996" bottom="0.78740157499999996" header="0.3" footer="0.3"/>
  <pageSetup scale="62" fitToHeight="0" orientation="landscape" r:id="rId1"/>
  <headerFooter>
    <oddFooter>&amp;L&amp;1#&amp;"Calibri"&amp;9&amp;K000000Klasifikace informací: Neveřejné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0B21D-59E6-415D-9A52-2AFF677FED25}">
  <sheetPr>
    <tabColor rgb="FF92D050"/>
    <pageSetUpPr fitToPage="1"/>
  </sheetPr>
  <dimension ref="A1:L91"/>
  <sheetViews>
    <sheetView zoomScaleNormal="100" zoomScaleSheetLayoutView="100" workbookViewId="0">
      <pane ySplit="5" topLeftCell="A69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225" customWidth="1"/>
    <col min="2" max="2" width="7.7109375" style="226" customWidth="1"/>
    <col min="3" max="3" width="7.7109375" style="227" customWidth="1"/>
    <col min="4" max="7" width="12.7109375" style="228" customWidth="1"/>
    <col min="8" max="8" width="14.140625" style="228" customWidth="1"/>
    <col min="9" max="16384" width="9.140625" style="225"/>
  </cols>
  <sheetData>
    <row r="1" spans="1:12" ht="15" customHeight="1" x14ac:dyDescent="0.2">
      <c r="A1" s="225" t="s">
        <v>177</v>
      </c>
    </row>
    <row r="2" spans="1:12" s="1" customFormat="1" ht="23.25" customHeight="1" x14ac:dyDescent="0.25">
      <c r="A2" s="375" t="s">
        <v>98</v>
      </c>
      <c r="B2" s="375"/>
      <c r="C2" s="375"/>
      <c r="D2" s="375"/>
      <c r="E2" s="375"/>
      <c r="F2" s="375"/>
      <c r="G2" s="375"/>
      <c r="H2" s="375"/>
    </row>
    <row r="3" spans="1:12" ht="13.5" thickBot="1" x14ac:dyDescent="0.25">
      <c r="A3" s="229"/>
      <c r="D3" s="229"/>
      <c r="E3" s="229"/>
      <c r="F3" s="229"/>
      <c r="G3" s="229"/>
      <c r="H3" s="230" t="s">
        <v>1</v>
      </c>
    </row>
    <row r="4" spans="1:12" ht="24.6" customHeight="1" x14ac:dyDescent="0.2">
      <c r="A4" s="296" t="s">
        <v>2</v>
      </c>
      <c r="B4" s="154"/>
      <c r="C4" s="154"/>
      <c r="D4" s="377" t="s">
        <v>178</v>
      </c>
      <c r="E4" s="378"/>
      <c r="F4" s="378"/>
      <c r="G4" s="379"/>
      <c r="H4" s="352" t="s">
        <v>4</v>
      </c>
    </row>
    <row r="5" spans="1:12" ht="24.6" customHeight="1" thickBot="1" x14ac:dyDescent="0.25">
      <c r="A5" s="376"/>
      <c r="B5" s="231" t="s">
        <v>181</v>
      </c>
      <c r="C5" s="231" t="s">
        <v>238</v>
      </c>
      <c r="D5" s="209">
        <v>2021</v>
      </c>
      <c r="E5" s="181">
        <v>2022</v>
      </c>
      <c r="F5" s="126">
        <v>2023</v>
      </c>
      <c r="G5" s="216">
        <v>2024</v>
      </c>
      <c r="H5" s="353"/>
    </row>
    <row r="6" spans="1:12" s="232" customFormat="1" ht="21" customHeight="1" x14ac:dyDescent="0.25">
      <c r="A6" s="369" t="s">
        <v>70</v>
      </c>
      <c r="B6" s="370"/>
      <c r="C6" s="370"/>
      <c r="D6" s="370"/>
      <c r="E6" s="370"/>
      <c r="F6" s="370"/>
      <c r="G6" s="370"/>
      <c r="H6" s="371"/>
    </row>
    <row r="7" spans="1:12" s="233" customFormat="1" ht="18" customHeight="1" x14ac:dyDescent="0.25">
      <c r="A7" s="372" t="s">
        <v>20</v>
      </c>
      <c r="B7" s="373"/>
      <c r="C7" s="373"/>
      <c r="D7" s="373"/>
      <c r="E7" s="373"/>
      <c r="F7" s="373"/>
      <c r="G7" s="373"/>
      <c r="H7" s="374"/>
    </row>
    <row r="8" spans="1:12" s="239" customFormat="1" ht="15" customHeight="1" x14ac:dyDescent="0.25">
      <c r="A8" s="234" t="s">
        <v>302</v>
      </c>
      <c r="B8" s="235" t="s">
        <v>303</v>
      </c>
      <c r="C8" s="236" t="s">
        <v>239</v>
      </c>
      <c r="D8" s="237">
        <v>0</v>
      </c>
      <c r="E8" s="237">
        <v>0</v>
      </c>
      <c r="F8" s="237">
        <v>4750</v>
      </c>
      <c r="G8" s="237">
        <v>55250</v>
      </c>
      <c r="H8" s="238">
        <f>D8+E8+F8+G8</f>
        <v>60000</v>
      </c>
      <c r="J8" s="240"/>
      <c r="K8" s="240"/>
      <c r="L8" s="240"/>
    </row>
    <row r="9" spans="1:12" s="232" customFormat="1" ht="15" customHeight="1" x14ac:dyDescent="0.25">
      <c r="A9" s="10" t="s">
        <v>27</v>
      </c>
      <c r="B9" s="157"/>
      <c r="C9" s="165"/>
      <c r="D9" s="11">
        <f>SUM(D8:D8)</f>
        <v>0</v>
      </c>
      <c r="E9" s="11">
        <f>SUM(E8:E8)</f>
        <v>0</v>
      </c>
      <c r="F9" s="11">
        <f>SUM(F8:F8)</f>
        <v>4750</v>
      </c>
      <c r="G9" s="11">
        <f>SUM(G8:G8)</f>
        <v>55250</v>
      </c>
      <c r="H9" s="12">
        <f>SUM(H8:H8)</f>
        <v>60000</v>
      </c>
      <c r="J9" s="240"/>
      <c r="K9" s="240"/>
    </row>
    <row r="10" spans="1:12" s="233" customFormat="1" ht="18" customHeight="1" x14ac:dyDescent="0.25">
      <c r="A10" s="372" t="s">
        <v>6</v>
      </c>
      <c r="B10" s="373"/>
      <c r="C10" s="373"/>
      <c r="D10" s="373"/>
      <c r="E10" s="373"/>
      <c r="F10" s="373"/>
      <c r="G10" s="373"/>
      <c r="H10" s="374"/>
    </row>
    <row r="11" spans="1:12" s="239" customFormat="1" ht="15" customHeight="1" x14ac:dyDescent="0.25">
      <c r="A11" s="241" t="s">
        <v>7</v>
      </c>
      <c r="B11" s="235">
        <v>3402</v>
      </c>
      <c r="C11" s="236" t="s">
        <v>239</v>
      </c>
      <c r="D11" s="237">
        <v>5576.1411900000003</v>
      </c>
      <c r="E11" s="237">
        <v>63440.160000000003</v>
      </c>
      <c r="F11" s="237">
        <f>90944+36910+1844</f>
        <v>129698</v>
      </c>
      <c r="G11" s="237">
        <v>0</v>
      </c>
      <c r="H11" s="238">
        <f>D11+E11+F11+G11</f>
        <v>198714.30119</v>
      </c>
      <c r="J11" s="240"/>
      <c r="K11" s="240"/>
      <c r="L11" s="240"/>
    </row>
    <row r="12" spans="1:12" s="239" customFormat="1" ht="24" customHeight="1" x14ac:dyDescent="0.25">
      <c r="A12" s="234" t="s">
        <v>8</v>
      </c>
      <c r="B12" s="235" t="s">
        <v>182</v>
      </c>
      <c r="C12" s="236" t="s">
        <v>239</v>
      </c>
      <c r="D12" s="237">
        <v>3541.7672600000001</v>
      </c>
      <c r="E12" s="237">
        <v>26967.23</v>
      </c>
      <c r="F12" s="237">
        <v>19995</v>
      </c>
      <c r="G12" s="237">
        <v>0</v>
      </c>
      <c r="H12" s="238">
        <f>D12+E12+F12+G12</f>
        <v>50503.997260000004</v>
      </c>
      <c r="J12" s="240"/>
      <c r="K12" s="240"/>
    </row>
    <row r="13" spans="1:12" s="232" customFormat="1" ht="15" customHeight="1" x14ac:dyDescent="0.25">
      <c r="A13" s="10" t="s">
        <v>9</v>
      </c>
      <c r="B13" s="157"/>
      <c r="C13" s="165"/>
      <c r="D13" s="11">
        <f t="shared" ref="D13" si="0">SUM(D11:D12)</f>
        <v>9117.9084500000008</v>
      </c>
      <c r="E13" s="11">
        <f t="shared" ref="E13:G13" si="1">SUM(E11:E12)</f>
        <v>90407.39</v>
      </c>
      <c r="F13" s="11">
        <f t="shared" si="1"/>
        <v>149693</v>
      </c>
      <c r="G13" s="11">
        <f t="shared" si="1"/>
        <v>0</v>
      </c>
      <c r="H13" s="12">
        <f>SUM(H11:H12)</f>
        <v>249218.29845</v>
      </c>
      <c r="J13" s="240"/>
      <c r="K13" s="240"/>
    </row>
    <row r="14" spans="1:12" s="233" customFormat="1" ht="18" customHeight="1" x14ac:dyDescent="0.25">
      <c r="A14" s="372" t="s">
        <v>32</v>
      </c>
      <c r="B14" s="373"/>
      <c r="C14" s="373"/>
      <c r="D14" s="373"/>
      <c r="E14" s="373"/>
      <c r="F14" s="373"/>
      <c r="G14" s="373"/>
      <c r="H14" s="374"/>
      <c r="J14" s="240"/>
      <c r="K14" s="240"/>
    </row>
    <row r="15" spans="1:12" s="239" customFormat="1" ht="15" customHeight="1" x14ac:dyDescent="0.25">
      <c r="A15" s="234" t="s">
        <v>83</v>
      </c>
      <c r="B15" s="235" t="s">
        <v>183</v>
      </c>
      <c r="C15" s="236" t="s">
        <v>239</v>
      </c>
      <c r="D15" s="237">
        <v>0</v>
      </c>
      <c r="E15" s="237">
        <v>16017</v>
      </c>
      <c r="F15" s="237">
        <v>10793</v>
      </c>
      <c r="G15" s="242">
        <v>0</v>
      </c>
      <c r="H15" s="238">
        <f>D15+E15+F15+G15</f>
        <v>26810</v>
      </c>
      <c r="J15" s="240"/>
      <c r="K15" s="240"/>
      <c r="L15" s="240"/>
    </row>
    <row r="16" spans="1:12" s="239" customFormat="1" ht="15" customHeight="1" x14ac:dyDescent="0.25">
      <c r="A16" s="234" t="s">
        <v>86</v>
      </c>
      <c r="B16" s="235" t="s">
        <v>184</v>
      </c>
      <c r="C16" s="236" t="s">
        <v>239</v>
      </c>
      <c r="D16" s="237">
        <v>0</v>
      </c>
      <c r="E16" s="237">
        <v>8963</v>
      </c>
      <c r="F16" s="237">
        <v>2000</v>
      </c>
      <c r="G16" s="242">
        <v>0</v>
      </c>
      <c r="H16" s="238">
        <f>D16+E16+F16+G16</f>
        <v>10963</v>
      </c>
      <c r="J16" s="240"/>
      <c r="K16" s="240"/>
      <c r="L16" s="240"/>
    </row>
    <row r="17" spans="1:12" s="239" customFormat="1" ht="15" customHeight="1" x14ac:dyDescent="0.25">
      <c r="A17" s="234" t="s">
        <v>84</v>
      </c>
      <c r="B17" s="235" t="s">
        <v>185</v>
      </c>
      <c r="C17" s="236" t="s">
        <v>239</v>
      </c>
      <c r="D17" s="237">
        <v>0</v>
      </c>
      <c r="E17" s="237">
        <v>16262</v>
      </c>
      <c r="F17" s="237">
        <v>5000</v>
      </c>
      <c r="G17" s="242">
        <v>0</v>
      </c>
      <c r="H17" s="238">
        <f>D17+E17+F17+G17</f>
        <v>21262</v>
      </c>
      <c r="J17" s="240"/>
      <c r="K17" s="240"/>
      <c r="L17" s="240"/>
    </row>
    <row r="18" spans="1:12" s="239" customFormat="1" ht="15" customHeight="1" x14ac:dyDescent="0.25">
      <c r="A18" s="234" t="s">
        <v>85</v>
      </c>
      <c r="B18" s="235" t="s">
        <v>186</v>
      </c>
      <c r="C18" s="236" t="s">
        <v>239</v>
      </c>
      <c r="D18" s="237">
        <v>0</v>
      </c>
      <c r="E18" s="237">
        <v>9282</v>
      </c>
      <c r="F18" s="237">
        <v>41560</v>
      </c>
      <c r="G18" s="242">
        <v>0</v>
      </c>
      <c r="H18" s="238">
        <f>D18+E18+F18+G18</f>
        <v>50842</v>
      </c>
      <c r="J18" s="240"/>
      <c r="K18" s="240"/>
      <c r="L18" s="240"/>
    </row>
    <row r="19" spans="1:12" s="232" customFormat="1" ht="15" customHeight="1" x14ac:dyDescent="0.25">
      <c r="A19" s="10" t="s">
        <v>47</v>
      </c>
      <c r="B19" s="157"/>
      <c r="C19" s="165"/>
      <c r="D19" s="11">
        <f>SUM(D15:D18)</f>
        <v>0</v>
      </c>
      <c r="E19" s="11">
        <f t="shared" ref="E19:G19" si="2">SUM(E15:E18)</f>
        <v>50524</v>
      </c>
      <c r="F19" s="11">
        <f t="shared" si="2"/>
        <v>59353</v>
      </c>
      <c r="G19" s="11">
        <f t="shared" si="2"/>
        <v>0</v>
      </c>
      <c r="H19" s="12">
        <f>SUM(H15:H18)</f>
        <v>109877</v>
      </c>
      <c r="J19" s="240"/>
      <c r="K19" s="240"/>
    </row>
    <row r="20" spans="1:12" s="233" customFormat="1" ht="18" customHeight="1" x14ac:dyDescent="0.25">
      <c r="A20" s="372" t="s">
        <v>10</v>
      </c>
      <c r="B20" s="373"/>
      <c r="C20" s="373"/>
      <c r="D20" s="373"/>
      <c r="E20" s="373"/>
      <c r="F20" s="373"/>
      <c r="G20" s="373"/>
      <c r="H20" s="374"/>
      <c r="J20" s="240"/>
      <c r="K20" s="240"/>
    </row>
    <row r="21" spans="1:12" s="239" customFormat="1" ht="15" customHeight="1" x14ac:dyDescent="0.25">
      <c r="A21" s="234" t="s">
        <v>11</v>
      </c>
      <c r="B21" s="235" t="s">
        <v>187</v>
      </c>
      <c r="C21" s="236" t="s">
        <v>239</v>
      </c>
      <c r="D21" s="237">
        <v>0</v>
      </c>
      <c r="E21" s="237">
        <v>8443</v>
      </c>
      <c r="F21" s="237">
        <v>25926</v>
      </c>
      <c r="G21" s="242">
        <v>0</v>
      </c>
      <c r="H21" s="238">
        <f>E21+F21+G21</f>
        <v>34369</v>
      </c>
      <c r="J21" s="240"/>
      <c r="K21" s="240"/>
    </row>
    <row r="22" spans="1:12" s="232" customFormat="1" ht="21.75" thickBot="1" x14ac:dyDescent="0.3">
      <c r="A22" s="10" t="s">
        <v>13</v>
      </c>
      <c r="B22" s="157"/>
      <c r="C22" s="165"/>
      <c r="D22" s="11">
        <f t="shared" ref="D22" si="3">SUM(D21:D21)</f>
        <v>0</v>
      </c>
      <c r="E22" s="11">
        <f>SUM(E21:E21)</f>
        <v>8443</v>
      </c>
      <c r="F22" s="11">
        <f t="shared" ref="F22:G22" si="4">SUM(F21:F21)</f>
        <v>25926</v>
      </c>
      <c r="G22" s="11">
        <f t="shared" si="4"/>
        <v>0</v>
      </c>
      <c r="H22" s="238">
        <f>E22+F22+G22</f>
        <v>34369</v>
      </c>
    </row>
    <row r="23" spans="1:12" s="232" customFormat="1" ht="25.5" customHeight="1" thickBot="1" x14ac:dyDescent="0.3">
      <c r="A23" s="14" t="s">
        <v>71</v>
      </c>
      <c r="B23" s="158"/>
      <c r="C23" s="166"/>
      <c r="D23" s="15">
        <f>D9+D13+D19+D22</f>
        <v>9117.9084500000008</v>
      </c>
      <c r="E23" s="15">
        <f t="shared" ref="E23:H23" si="5">E9+E13+E19+E22</f>
        <v>149374.39000000001</v>
      </c>
      <c r="F23" s="15">
        <f t="shared" si="5"/>
        <v>239722</v>
      </c>
      <c r="G23" s="15">
        <f t="shared" si="5"/>
        <v>55250</v>
      </c>
      <c r="H23" s="16">
        <f t="shared" si="5"/>
        <v>453464.29845</v>
      </c>
      <c r="J23" s="243"/>
    </row>
    <row r="24" spans="1:12" s="232" customFormat="1" ht="12" customHeight="1" thickBot="1" x14ac:dyDescent="0.3">
      <c r="A24" s="17"/>
      <c r="B24" s="159"/>
      <c r="C24" s="167"/>
      <c r="D24" s="94"/>
      <c r="E24" s="94"/>
      <c r="F24" s="94"/>
      <c r="G24" s="94"/>
      <c r="H24" s="95"/>
    </row>
    <row r="25" spans="1:12" s="232" customFormat="1" ht="21" customHeight="1" x14ac:dyDescent="0.25">
      <c r="A25" s="369" t="s">
        <v>15</v>
      </c>
      <c r="B25" s="370"/>
      <c r="C25" s="370"/>
      <c r="D25" s="370"/>
      <c r="E25" s="370"/>
      <c r="F25" s="370"/>
      <c r="G25" s="370"/>
      <c r="H25" s="371"/>
    </row>
    <row r="26" spans="1:12" s="233" customFormat="1" ht="18" customHeight="1" x14ac:dyDescent="0.25">
      <c r="A26" s="372" t="s">
        <v>16</v>
      </c>
      <c r="B26" s="373"/>
      <c r="C26" s="373"/>
      <c r="D26" s="373"/>
      <c r="E26" s="373"/>
      <c r="F26" s="373"/>
      <c r="G26" s="373"/>
      <c r="H26" s="374"/>
    </row>
    <row r="27" spans="1:12" s="239" customFormat="1" ht="24" customHeight="1" x14ac:dyDescent="0.25">
      <c r="A27" s="234" t="s">
        <v>162</v>
      </c>
      <c r="B27" s="235" t="s">
        <v>189</v>
      </c>
      <c r="C27" s="236" t="s">
        <v>245</v>
      </c>
      <c r="D27" s="20">
        <v>0</v>
      </c>
      <c r="E27" s="172">
        <v>40000</v>
      </c>
      <c r="F27" s="172">
        <v>52000</v>
      </c>
      <c r="G27" s="20">
        <v>0</v>
      </c>
      <c r="H27" s="238">
        <f>D27+E27+F27+G27</f>
        <v>92000</v>
      </c>
    </row>
    <row r="28" spans="1:12" s="239" customFormat="1" ht="24" customHeight="1" x14ac:dyDescent="0.25">
      <c r="A28" s="234" t="s">
        <v>165</v>
      </c>
      <c r="B28" s="235" t="s">
        <v>191</v>
      </c>
      <c r="C28" s="236" t="s">
        <v>245</v>
      </c>
      <c r="D28" s="20">
        <v>0</v>
      </c>
      <c r="E28" s="172">
        <v>60000</v>
      </c>
      <c r="F28" s="172">
        <v>0</v>
      </c>
      <c r="G28" s="20">
        <v>0</v>
      </c>
      <c r="H28" s="238">
        <f>D28+E28+F28+G28</f>
        <v>60000</v>
      </c>
    </row>
    <row r="29" spans="1:12" s="239" customFormat="1" ht="15" customHeight="1" x14ac:dyDescent="0.25">
      <c r="A29" s="234" t="s">
        <v>180</v>
      </c>
      <c r="B29" s="235" t="s">
        <v>192</v>
      </c>
      <c r="C29" s="236" t="s">
        <v>247</v>
      </c>
      <c r="D29" s="20">
        <v>0</v>
      </c>
      <c r="E29" s="172">
        <v>300</v>
      </c>
      <c r="F29" s="20">
        <v>75000</v>
      </c>
      <c r="G29" s="20">
        <v>15000</v>
      </c>
      <c r="H29" s="238">
        <f>D29+E29+F29+G29</f>
        <v>90300</v>
      </c>
    </row>
    <row r="30" spans="1:12" s="239" customFormat="1" ht="15" customHeight="1" x14ac:dyDescent="0.25">
      <c r="A30" s="241" t="s">
        <v>17</v>
      </c>
      <c r="B30" s="235" t="s">
        <v>193</v>
      </c>
      <c r="C30" s="236" t="s">
        <v>247</v>
      </c>
      <c r="D30" s="20">
        <v>0</v>
      </c>
      <c r="E30" s="172">
        <f>30807-29500</f>
        <v>1307</v>
      </c>
      <c r="F30" s="20">
        <f>277178+30993-52000</f>
        <v>256171</v>
      </c>
      <c r="G30" s="20">
        <v>0</v>
      </c>
      <c r="H30" s="238">
        <f>D30+E30+F30+G30</f>
        <v>257478</v>
      </c>
    </row>
    <row r="31" spans="1:12" s="239" customFormat="1" ht="24" customHeight="1" x14ac:dyDescent="0.25">
      <c r="A31" s="241" t="s">
        <v>92</v>
      </c>
      <c r="B31" s="235" t="s">
        <v>194</v>
      </c>
      <c r="C31" s="236" t="s">
        <v>247</v>
      </c>
      <c r="D31" s="20">
        <v>0</v>
      </c>
      <c r="E31" s="172">
        <v>31298</v>
      </c>
      <c r="F31" s="20">
        <v>29000</v>
      </c>
      <c r="G31" s="20">
        <v>2702</v>
      </c>
      <c r="H31" s="238">
        <f>D31+E31+F31+G31</f>
        <v>63000</v>
      </c>
    </row>
    <row r="32" spans="1:12" s="232" customFormat="1" ht="15" customHeight="1" x14ac:dyDescent="0.25">
      <c r="A32" s="10" t="s">
        <v>19</v>
      </c>
      <c r="B32" s="157"/>
      <c r="C32" s="165"/>
      <c r="D32" s="11">
        <f>SUM(D27:D31)</f>
        <v>0</v>
      </c>
      <c r="E32" s="11">
        <f>SUM(E27:E31)</f>
        <v>132905</v>
      </c>
      <c r="F32" s="11">
        <f t="shared" ref="F32:G32" si="6">SUM(F27:F31)</f>
        <v>412171</v>
      </c>
      <c r="G32" s="11">
        <f t="shared" si="6"/>
        <v>17702</v>
      </c>
      <c r="H32" s="12">
        <f>SUM(H27:H31)</f>
        <v>562778</v>
      </c>
      <c r="I32" s="243"/>
      <c r="J32" s="243"/>
    </row>
    <row r="33" spans="1:12" s="233" customFormat="1" ht="18" customHeight="1" x14ac:dyDescent="0.25">
      <c r="A33" s="372" t="s">
        <v>20</v>
      </c>
      <c r="B33" s="373"/>
      <c r="C33" s="373"/>
      <c r="D33" s="373"/>
      <c r="E33" s="373"/>
      <c r="F33" s="373"/>
      <c r="G33" s="373"/>
      <c r="H33" s="374"/>
    </row>
    <row r="34" spans="1:12" s="239" customFormat="1" ht="24" customHeight="1" x14ac:dyDescent="0.25">
      <c r="A34" s="21" t="s">
        <v>24</v>
      </c>
      <c r="B34" s="160" t="s">
        <v>195</v>
      </c>
      <c r="C34" s="236" t="s">
        <v>247</v>
      </c>
      <c r="D34" s="20">
        <v>375.1</v>
      </c>
      <c r="E34" s="172">
        <f>5000-5000</f>
        <v>0</v>
      </c>
      <c r="F34" s="20">
        <f>60000-60000</f>
        <v>0</v>
      </c>
      <c r="G34" s="20">
        <f>39557-39557</f>
        <v>0</v>
      </c>
      <c r="H34" s="238">
        <f>D34+E34+F34+G34</f>
        <v>375.1</v>
      </c>
    </row>
    <row r="35" spans="1:12" s="239" customFormat="1" ht="24" customHeight="1" x14ac:dyDescent="0.25">
      <c r="A35" s="21" t="s">
        <v>23</v>
      </c>
      <c r="B35" s="160" t="s">
        <v>196</v>
      </c>
      <c r="C35" s="236" t="s">
        <v>247</v>
      </c>
      <c r="D35" s="20">
        <v>615</v>
      </c>
      <c r="E35" s="172">
        <f>40400-40300</f>
        <v>100</v>
      </c>
      <c r="F35" s="172">
        <f>10000+40300</f>
        <v>50300</v>
      </c>
      <c r="G35" s="172">
        <v>0</v>
      </c>
      <c r="H35" s="238">
        <f>D35+E35+F35+G35</f>
        <v>51015</v>
      </c>
    </row>
    <row r="36" spans="1:12" s="232" customFormat="1" ht="15" customHeight="1" x14ac:dyDescent="0.25">
      <c r="A36" s="10" t="s">
        <v>27</v>
      </c>
      <c r="B36" s="157"/>
      <c r="C36" s="165"/>
      <c r="D36" s="11">
        <f t="shared" ref="D36:F36" si="7">SUM(D34:D35)</f>
        <v>990.1</v>
      </c>
      <c r="E36" s="11">
        <f>SUM(E34:E35)</f>
        <v>100</v>
      </c>
      <c r="F36" s="11">
        <f t="shared" si="7"/>
        <v>50300</v>
      </c>
      <c r="G36" s="11">
        <f>SUM(G34:G35)</f>
        <v>0</v>
      </c>
      <c r="H36" s="12">
        <f>SUM(H34:H35)</f>
        <v>51390.1</v>
      </c>
      <c r="I36" s="243"/>
    </row>
    <row r="37" spans="1:12" s="233" customFormat="1" ht="18" customHeight="1" x14ac:dyDescent="0.25">
      <c r="A37" s="372" t="s">
        <v>6</v>
      </c>
      <c r="B37" s="373"/>
      <c r="C37" s="373"/>
      <c r="D37" s="373"/>
      <c r="E37" s="373"/>
      <c r="F37" s="373"/>
      <c r="G37" s="373"/>
      <c r="H37" s="374"/>
    </row>
    <row r="38" spans="1:12" s="239" customFormat="1" ht="24" customHeight="1" x14ac:dyDescent="0.25">
      <c r="A38" s="234" t="s">
        <v>110</v>
      </c>
      <c r="B38" s="235" t="s">
        <v>198</v>
      </c>
      <c r="C38" s="236" t="s">
        <v>247</v>
      </c>
      <c r="D38" s="20">
        <v>11814</v>
      </c>
      <c r="E38" s="172">
        <v>0</v>
      </c>
      <c r="F38" s="172">
        <v>0</v>
      </c>
      <c r="G38" s="172">
        <v>0</v>
      </c>
      <c r="H38" s="238">
        <f t="shared" ref="H38:H43" si="8">D38+E38+F38+G38</f>
        <v>11814</v>
      </c>
    </row>
    <row r="39" spans="1:12" s="239" customFormat="1" ht="24" customHeight="1" x14ac:dyDescent="0.25">
      <c r="A39" s="23" t="s">
        <v>111</v>
      </c>
      <c r="B39" s="161" t="s">
        <v>199</v>
      </c>
      <c r="C39" s="236" t="s">
        <v>247</v>
      </c>
      <c r="D39" s="20">
        <v>6329.88</v>
      </c>
      <c r="E39" s="172">
        <v>0</v>
      </c>
      <c r="F39" s="172">
        <v>0</v>
      </c>
      <c r="G39" s="172">
        <v>0</v>
      </c>
      <c r="H39" s="238">
        <f t="shared" si="8"/>
        <v>6329.88</v>
      </c>
    </row>
    <row r="40" spans="1:12" s="239" customFormat="1" ht="24" customHeight="1" x14ac:dyDescent="0.25">
      <c r="A40" s="23" t="s">
        <v>113</v>
      </c>
      <c r="B40" s="161" t="s">
        <v>200</v>
      </c>
      <c r="C40" s="236" t="s">
        <v>247</v>
      </c>
      <c r="D40" s="20">
        <v>12143.58</v>
      </c>
      <c r="E40" s="172">
        <v>1042.1199999999999</v>
      </c>
      <c r="F40" s="172">
        <v>0</v>
      </c>
      <c r="G40" s="172">
        <v>0</v>
      </c>
      <c r="H40" s="238">
        <f t="shared" si="8"/>
        <v>13185.7</v>
      </c>
    </row>
    <row r="41" spans="1:12" s="239" customFormat="1" ht="24" customHeight="1" x14ac:dyDescent="0.25">
      <c r="A41" s="23" t="s">
        <v>31</v>
      </c>
      <c r="B41" s="161" t="s">
        <v>201</v>
      </c>
      <c r="C41" s="236" t="s">
        <v>247</v>
      </c>
      <c r="D41" s="20">
        <v>10650</v>
      </c>
      <c r="E41" s="172">
        <f>5700-2850</f>
        <v>2850</v>
      </c>
      <c r="F41" s="172">
        <v>0</v>
      </c>
      <c r="G41" s="172">
        <v>0</v>
      </c>
      <c r="H41" s="238">
        <f t="shared" si="8"/>
        <v>13500</v>
      </c>
    </row>
    <row r="42" spans="1:12" s="239" customFormat="1" ht="24" customHeight="1" x14ac:dyDescent="0.25">
      <c r="A42" s="234" t="s">
        <v>29</v>
      </c>
      <c r="B42" s="235" t="s">
        <v>202</v>
      </c>
      <c r="C42" s="236" t="s">
        <v>239</v>
      </c>
      <c r="D42" s="20">
        <v>0</v>
      </c>
      <c r="E42" s="172">
        <v>11386</v>
      </c>
      <c r="F42" s="172">
        <v>106106</v>
      </c>
      <c r="G42" s="172">
        <v>0</v>
      </c>
      <c r="H42" s="238">
        <f t="shared" si="8"/>
        <v>117492</v>
      </c>
      <c r="J42" s="240"/>
      <c r="K42" s="240"/>
      <c r="L42" s="240"/>
    </row>
    <row r="43" spans="1:12" s="239" customFormat="1" ht="15" customHeight="1" x14ac:dyDescent="0.25">
      <c r="A43" s="23" t="s">
        <v>30</v>
      </c>
      <c r="B43" s="161" t="s">
        <v>203</v>
      </c>
      <c r="C43" s="168" t="s">
        <v>239</v>
      </c>
      <c r="D43" s="20">
        <v>1446.18</v>
      </c>
      <c r="E43" s="172">
        <v>85786.85</v>
      </c>
      <c r="F43" s="172">
        <v>169013</v>
      </c>
      <c r="G43" s="172">
        <v>0</v>
      </c>
      <c r="H43" s="238">
        <f t="shared" si="8"/>
        <v>256246.03</v>
      </c>
      <c r="J43" s="240"/>
      <c r="K43" s="240"/>
      <c r="L43" s="240"/>
    </row>
    <row r="44" spans="1:12" s="232" customFormat="1" ht="15" customHeight="1" x14ac:dyDescent="0.25">
      <c r="A44" s="10" t="s">
        <v>9</v>
      </c>
      <c r="B44" s="157"/>
      <c r="C44" s="165"/>
      <c r="D44" s="11">
        <f>SUM(D38:D43)</f>
        <v>42383.64</v>
      </c>
      <c r="E44" s="11">
        <f>SUM(E38:E43)</f>
        <v>101064.97</v>
      </c>
      <c r="F44" s="11">
        <f>SUM(F38:F43)</f>
        <v>275119</v>
      </c>
      <c r="G44" s="11">
        <f t="shared" ref="G44" si="9">SUM(G38:G43)</f>
        <v>0</v>
      </c>
      <c r="H44" s="12">
        <f>SUM(H38:H43)</f>
        <v>418567.61</v>
      </c>
    </row>
    <row r="45" spans="1:12" s="233" customFormat="1" ht="18" customHeight="1" x14ac:dyDescent="0.25">
      <c r="A45" s="372" t="s">
        <v>32</v>
      </c>
      <c r="B45" s="373"/>
      <c r="C45" s="373"/>
      <c r="D45" s="373"/>
      <c r="E45" s="373"/>
      <c r="F45" s="373"/>
      <c r="G45" s="373"/>
      <c r="H45" s="374"/>
      <c r="L45" s="244"/>
    </row>
    <row r="46" spans="1:12" s="233" customFormat="1" ht="24" customHeight="1" x14ac:dyDescent="0.25">
      <c r="A46" s="234" t="s">
        <v>33</v>
      </c>
      <c r="B46" s="235" t="s">
        <v>204</v>
      </c>
      <c r="C46" s="236" t="s">
        <v>247</v>
      </c>
      <c r="D46" s="20">
        <v>95.59</v>
      </c>
      <c r="E46" s="172">
        <v>44904.41</v>
      </c>
      <c r="F46" s="172">
        <v>0</v>
      </c>
      <c r="G46" s="172">
        <v>0</v>
      </c>
      <c r="H46" s="238">
        <f t="shared" ref="H46:H71" si="10">D46+E46+F46+G46</f>
        <v>45000</v>
      </c>
    </row>
    <row r="47" spans="1:12" s="233" customFormat="1" ht="24" customHeight="1" x14ac:dyDescent="0.25">
      <c r="A47" s="23" t="s">
        <v>39</v>
      </c>
      <c r="B47" s="161" t="s">
        <v>205</v>
      </c>
      <c r="C47" s="236" t="s">
        <v>247</v>
      </c>
      <c r="D47" s="20">
        <v>50386.47</v>
      </c>
      <c r="E47" s="172">
        <v>3269.53</v>
      </c>
      <c r="F47" s="172">
        <v>0</v>
      </c>
      <c r="G47" s="172">
        <v>0</v>
      </c>
      <c r="H47" s="238">
        <f t="shared" si="10"/>
        <v>53656</v>
      </c>
    </row>
    <row r="48" spans="1:12" s="233" customFormat="1" ht="24" customHeight="1" x14ac:dyDescent="0.25">
      <c r="A48" s="23" t="s">
        <v>43</v>
      </c>
      <c r="B48" s="161" t="s">
        <v>206</v>
      </c>
      <c r="C48" s="236" t="s">
        <v>247</v>
      </c>
      <c r="D48" s="20">
        <v>30678.01</v>
      </c>
      <c r="E48" s="172">
        <v>0</v>
      </c>
      <c r="F48" s="172">
        <v>0</v>
      </c>
      <c r="G48" s="172">
        <v>0</v>
      </c>
      <c r="H48" s="238">
        <f t="shared" si="10"/>
        <v>30678.01</v>
      </c>
    </row>
    <row r="49" spans="1:9" s="233" customFormat="1" ht="24" customHeight="1" x14ac:dyDescent="0.25">
      <c r="A49" s="234" t="s">
        <v>44</v>
      </c>
      <c r="B49" s="235" t="s">
        <v>207</v>
      </c>
      <c r="C49" s="236" t="s">
        <v>247</v>
      </c>
      <c r="D49" s="20">
        <v>40000</v>
      </c>
      <c r="E49" s="172">
        <v>0</v>
      </c>
      <c r="F49" s="172">
        <v>0</v>
      </c>
      <c r="G49" s="172">
        <v>0</v>
      </c>
      <c r="H49" s="238">
        <f t="shared" si="10"/>
        <v>40000</v>
      </c>
    </row>
    <row r="50" spans="1:9" s="233" customFormat="1" ht="24" customHeight="1" x14ac:dyDescent="0.25">
      <c r="A50" s="234" t="s">
        <v>208</v>
      </c>
      <c r="B50" s="235" t="s">
        <v>209</v>
      </c>
      <c r="C50" s="236" t="s">
        <v>247</v>
      </c>
      <c r="D50" s="20">
        <v>6200</v>
      </c>
      <c r="E50" s="172">
        <v>0</v>
      </c>
      <c r="F50" s="172">
        <v>0</v>
      </c>
      <c r="G50" s="172">
        <v>0</v>
      </c>
      <c r="H50" s="238">
        <f t="shared" si="10"/>
        <v>6200</v>
      </c>
    </row>
    <row r="51" spans="1:9" s="233" customFormat="1" ht="24" customHeight="1" x14ac:dyDescent="0.25">
      <c r="A51" s="23" t="s">
        <v>89</v>
      </c>
      <c r="B51" s="161" t="s">
        <v>210</v>
      </c>
      <c r="C51" s="236" t="s">
        <v>247</v>
      </c>
      <c r="D51" s="20">
        <v>7025.05</v>
      </c>
      <c r="E51" s="172">
        <v>2094.9499999999998</v>
      </c>
      <c r="F51" s="172">
        <v>0</v>
      </c>
      <c r="G51" s="172">
        <v>0</v>
      </c>
      <c r="H51" s="238">
        <f t="shared" si="10"/>
        <v>9120</v>
      </c>
    </row>
    <row r="52" spans="1:9" s="233" customFormat="1" ht="24" customHeight="1" x14ac:dyDescent="0.25">
      <c r="A52" s="234" t="s">
        <v>131</v>
      </c>
      <c r="B52" s="235" t="s">
        <v>211</v>
      </c>
      <c r="C52" s="236" t="s">
        <v>247</v>
      </c>
      <c r="D52" s="20">
        <v>7949.67</v>
      </c>
      <c r="E52" s="172">
        <v>0</v>
      </c>
      <c r="F52" s="172">
        <v>0</v>
      </c>
      <c r="G52" s="172">
        <v>0</v>
      </c>
      <c r="H52" s="238">
        <f t="shared" si="10"/>
        <v>7949.67</v>
      </c>
    </row>
    <row r="53" spans="1:9" s="233" customFormat="1" ht="24" customHeight="1" x14ac:dyDescent="0.25">
      <c r="A53" s="234" t="s">
        <v>172</v>
      </c>
      <c r="B53" s="235" t="s">
        <v>212</v>
      </c>
      <c r="C53" s="236" t="s">
        <v>247</v>
      </c>
      <c r="D53" s="20">
        <v>0</v>
      </c>
      <c r="E53" s="20">
        <f>15000-1057</f>
        <v>13943</v>
      </c>
      <c r="F53" s="172">
        <v>0</v>
      </c>
      <c r="G53" s="172">
        <v>0</v>
      </c>
      <c r="H53" s="238">
        <f t="shared" si="10"/>
        <v>13943</v>
      </c>
    </row>
    <row r="54" spans="1:9" s="233" customFormat="1" ht="24" customHeight="1" x14ac:dyDescent="0.25">
      <c r="A54" s="234" t="s">
        <v>34</v>
      </c>
      <c r="B54" s="195" t="s">
        <v>213</v>
      </c>
      <c r="C54" s="236" t="s">
        <v>247</v>
      </c>
      <c r="D54" s="20">
        <v>0</v>
      </c>
      <c r="E54" s="172">
        <f>500+213</f>
        <v>713</v>
      </c>
      <c r="F54" s="172">
        <v>0</v>
      </c>
      <c r="G54" s="172">
        <v>0</v>
      </c>
      <c r="H54" s="238">
        <f t="shared" si="10"/>
        <v>713</v>
      </c>
    </row>
    <row r="55" spans="1:9" s="233" customFormat="1" ht="24" customHeight="1" x14ac:dyDescent="0.25">
      <c r="A55" s="234" t="s">
        <v>42</v>
      </c>
      <c r="B55" s="235" t="s">
        <v>214</v>
      </c>
      <c r="C55" s="236" t="s">
        <v>247</v>
      </c>
      <c r="D55" s="20">
        <v>43980.06</v>
      </c>
      <c r="E55" s="20">
        <v>13719.93</v>
      </c>
      <c r="F55" s="172">
        <v>0</v>
      </c>
      <c r="G55" s="172">
        <v>0</v>
      </c>
      <c r="H55" s="238">
        <f t="shared" si="10"/>
        <v>57699.99</v>
      </c>
    </row>
    <row r="56" spans="1:9" s="233" customFormat="1" ht="24" customHeight="1" x14ac:dyDescent="0.25">
      <c r="A56" s="234" t="s">
        <v>45</v>
      </c>
      <c r="B56" s="161" t="s">
        <v>215</v>
      </c>
      <c r="C56" s="236" t="s">
        <v>247</v>
      </c>
      <c r="D56" s="20">
        <v>500</v>
      </c>
      <c r="E56" s="20">
        <v>900</v>
      </c>
      <c r="F56" s="172">
        <v>60000</v>
      </c>
      <c r="G56" s="172">
        <v>11950.5</v>
      </c>
      <c r="H56" s="238">
        <f t="shared" si="10"/>
        <v>73350.5</v>
      </c>
    </row>
    <row r="57" spans="1:9" s="233" customFormat="1" ht="33.950000000000003" customHeight="1" x14ac:dyDescent="0.25">
      <c r="A57" s="234" t="s">
        <v>36</v>
      </c>
      <c r="B57" s="161" t="s">
        <v>216</v>
      </c>
      <c r="C57" s="236" t="s">
        <v>256</v>
      </c>
      <c r="D57" s="24">
        <v>18811.419999999998</v>
      </c>
      <c r="E57" s="20">
        <f>27286.58-1000</f>
        <v>26286.58</v>
      </c>
      <c r="F57" s="20">
        <v>0</v>
      </c>
      <c r="G57" s="172">
        <v>0</v>
      </c>
      <c r="H57" s="238">
        <f t="shared" si="10"/>
        <v>45098</v>
      </c>
    </row>
    <row r="58" spans="1:9" s="233" customFormat="1" ht="33.950000000000003" customHeight="1" x14ac:dyDescent="0.25">
      <c r="A58" s="234" t="s">
        <v>81</v>
      </c>
      <c r="B58" s="161" t="s">
        <v>217</v>
      </c>
      <c r="C58" s="236" t="s">
        <v>277</v>
      </c>
      <c r="D58" s="24">
        <v>0</v>
      </c>
      <c r="E58" s="20">
        <v>6500</v>
      </c>
      <c r="F58" s="172">
        <v>0</v>
      </c>
      <c r="G58" s="172">
        <v>0</v>
      </c>
      <c r="H58" s="238">
        <f t="shared" si="10"/>
        <v>6500</v>
      </c>
    </row>
    <row r="59" spans="1:9" s="233" customFormat="1" ht="24" customHeight="1" x14ac:dyDescent="0.25">
      <c r="A59" s="241" t="s">
        <v>38</v>
      </c>
      <c r="B59" s="235" t="s">
        <v>218</v>
      </c>
      <c r="C59" s="236" t="s">
        <v>247</v>
      </c>
      <c r="D59" s="20">
        <v>803.35</v>
      </c>
      <c r="E59" s="172">
        <f>128195.65-65000</f>
        <v>63195.649999999994</v>
      </c>
      <c r="F59" s="172">
        <f>77000+65000</f>
        <v>142000</v>
      </c>
      <c r="G59" s="172">
        <v>0</v>
      </c>
      <c r="H59" s="238">
        <f t="shared" si="10"/>
        <v>205999</v>
      </c>
      <c r="I59" s="244"/>
    </row>
    <row r="60" spans="1:9" s="233" customFormat="1" ht="33.950000000000003" customHeight="1" x14ac:dyDescent="0.25">
      <c r="A60" s="234" t="s">
        <v>41</v>
      </c>
      <c r="B60" s="161" t="s">
        <v>219</v>
      </c>
      <c r="C60" s="236" t="s">
        <v>247</v>
      </c>
      <c r="D60" s="24">
        <v>0</v>
      </c>
      <c r="E60" s="172">
        <f>20250-5250-10000</f>
        <v>5000</v>
      </c>
      <c r="F60" s="172">
        <f>17750+5250+10000</f>
        <v>33000</v>
      </c>
      <c r="G60" s="20">
        <v>24000</v>
      </c>
      <c r="H60" s="238">
        <f t="shared" si="10"/>
        <v>62000</v>
      </c>
    </row>
    <row r="61" spans="1:9" s="233" customFormat="1" ht="24" customHeight="1" x14ac:dyDescent="0.25">
      <c r="A61" s="234" t="s">
        <v>80</v>
      </c>
      <c r="B61" s="235" t="s">
        <v>220</v>
      </c>
      <c r="C61" s="236" t="s">
        <v>247</v>
      </c>
      <c r="D61" s="20">
        <v>0</v>
      </c>
      <c r="E61" s="172">
        <v>14350</v>
      </c>
      <c r="F61" s="172">
        <v>4500</v>
      </c>
      <c r="G61" s="172">
        <v>0</v>
      </c>
      <c r="H61" s="238">
        <f t="shared" si="10"/>
        <v>18850</v>
      </c>
    </row>
    <row r="62" spans="1:9" s="233" customFormat="1" ht="24" customHeight="1" x14ac:dyDescent="0.25">
      <c r="A62" s="234" t="s">
        <v>68</v>
      </c>
      <c r="B62" s="235" t="s">
        <v>221</v>
      </c>
      <c r="C62" s="236" t="s">
        <v>247</v>
      </c>
      <c r="D62" s="20">
        <v>0</v>
      </c>
      <c r="E62" s="172">
        <v>2090</v>
      </c>
      <c r="F62" s="172">
        <v>0</v>
      </c>
      <c r="G62" s="172">
        <v>0</v>
      </c>
      <c r="H62" s="238">
        <f t="shared" si="10"/>
        <v>2090</v>
      </c>
    </row>
    <row r="63" spans="1:9" s="233" customFormat="1" ht="24" customHeight="1" x14ac:dyDescent="0.25">
      <c r="A63" s="234" t="s">
        <v>40</v>
      </c>
      <c r="B63" s="235" t="s">
        <v>222</v>
      </c>
      <c r="C63" s="236" t="s">
        <v>247</v>
      </c>
      <c r="D63" s="20">
        <v>0</v>
      </c>
      <c r="E63" s="20">
        <v>25000</v>
      </c>
      <c r="F63" s="20">
        <v>0</v>
      </c>
      <c r="G63" s="172">
        <v>0</v>
      </c>
      <c r="H63" s="238">
        <f t="shared" si="10"/>
        <v>25000</v>
      </c>
    </row>
    <row r="64" spans="1:9" s="233" customFormat="1" ht="33.950000000000003" customHeight="1" x14ac:dyDescent="0.25">
      <c r="A64" s="234" t="s">
        <v>37</v>
      </c>
      <c r="B64" s="161" t="s">
        <v>223</v>
      </c>
      <c r="C64" s="236" t="s">
        <v>247</v>
      </c>
      <c r="D64" s="24">
        <v>0</v>
      </c>
      <c r="E64" s="192">
        <f>5500+3600-8965</f>
        <v>135</v>
      </c>
      <c r="F64" s="192">
        <f>8965+2035</f>
        <v>11000</v>
      </c>
      <c r="G64" s="172">
        <v>0</v>
      </c>
      <c r="H64" s="238">
        <f t="shared" si="10"/>
        <v>11135</v>
      </c>
    </row>
    <row r="65" spans="1:10" s="233" customFormat="1" ht="24" customHeight="1" x14ac:dyDescent="0.25">
      <c r="A65" s="234" t="s">
        <v>69</v>
      </c>
      <c r="B65" s="161" t="s">
        <v>224</v>
      </c>
      <c r="C65" s="236" t="s">
        <v>247</v>
      </c>
      <c r="D65" s="20">
        <v>28.6</v>
      </c>
      <c r="E65" s="192">
        <f>11036-1000-7800</f>
        <v>2236</v>
      </c>
      <c r="F65" s="172">
        <v>7800</v>
      </c>
      <c r="G65" s="172">
        <v>0</v>
      </c>
      <c r="H65" s="238">
        <f t="shared" si="10"/>
        <v>10064.6</v>
      </c>
    </row>
    <row r="66" spans="1:10" s="239" customFormat="1" ht="15" customHeight="1" x14ac:dyDescent="0.25">
      <c r="A66" s="234" t="s">
        <v>88</v>
      </c>
      <c r="B66" s="160" t="s">
        <v>225</v>
      </c>
      <c r="C66" s="236" t="s">
        <v>247</v>
      </c>
      <c r="D66" s="245">
        <v>0</v>
      </c>
      <c r="E66" s="246">
        <f>50000-10000-20000</f>
        <v>20000</v>
      </c>
      <c r="F66" s="246">
        <f>20500+10000+20000</f>
        <v>50500</v>
      </c>
      <c r="G66" s="172">
        <v>0</v>
      </c>
      <c r="H66" s="238">
        <f t="shared" si="10"/>
        <v>70500</v>
      </c>
    </row>
    <row r="67" spans="1:10" s="233" customFormat="1" ht="24" customHeight="1" x14ac:dyDescent="0.25">
      <c r="A67" s="234" t="s">
        <v>90</v>
      </c>
      <c r="B67" s="235" t="s">
        <v>226</v>
      </c>
      <c r="C67" s="236" t="s">
        <v>247</v>
      </c>
      <c r="D67" s="20">
        <v>127.05</v>
      </c>
      <c r="E67" s="172">
        <f>7373-6700</f>
        <v>673</v>
      </c>
      <c r="F67" s="172">
        <f>14000+6700</f>
        <v>20700</v>
      </c>
      <c r="G67" s="172">
        <v>0</v>
      </c>
      <c r="H67" s="238">
        <f>D67+E67+F67+G67</f>
        <v>21500.05</v>
      </c>
    </row>
    <row r="68" spans="1:10" s="233" customFormat="1" ht="24" customHeight="1" x14ac:dyDescent="0.25">
      <c r="A68" s="234" t="s">
        <v>91</v>
      </c>
      <c r="B68" s="161" t="s">
        <v>227</v>
      </c>
      <c r="C68" s="236" t="s">
        <v>247</v>
      </c>
      <c r="D68" s="20">
        <v>17970.75</v>
      </c>
      <c r="E68" s="172">
        <v>7029.25</v>
      </c>
      <c r="F68" s="172">
        <v>0</v>
      </c>
      <c r="G68" s="183">
        <v>0</v>
      </c>
      <c r="H68" s="238">
        <f t="shared" si="10"/>
        <v>25000</v>
      </c>
    </row>
    <row r="69" spans="1:10" s="233" customFormat="1" ht="24" customHeight="1" x14ac:dyDescent="0.25">
      <c r="A69" s="234" t="s">
        <v>262</v>
      </c>
      <c r="B69" s="161" t="s">
        <v>263</v>
      </c>
      <c r="C69" s="236" t="s">
        <v>247</v>
      </c>
      <c r="D69" s="20">
        <v>0</v>
      </c>
      <c r="E69" s="192">
        <v>11100</v>
      </c>
      <c r="F69" s="172">
        <v>0</v>
      </c>
      <c r="G69" s="183">
        <v>0</v>
      </c>
      <c r="H69" s="238">
        <f t="shared" si="10"/>
        <v>11100</v>
      </c>
    </row>
    <row r="70" spans="1:10" s="233" customFormat="1" ht="24" customHeight="1" x14ac:dyDescent="0.25">
      <c r="A70" s="234" t="s">
        <v>304</v>
      </c>
      <c r="B70" s="161" t="s">
        <v>266</v>
      </c>
      <c r="C70" s="236" t="s">
        <v>247</v>
      </c>
      <c r="D70" s="20">
        <v>0</v>
      </c>
      <c r="E70" s="192">
        <v>9350</v>
      </c>
      <c r="F70" s="172">
        <v>0</v>
      </c>
      <c r="G70" s="183">
        <v>0</v>
      </c>
      <c r="H70" s="238">
        <f t="shared" si="10"/>
        <v>9350</v>
      </c>
    </row>
    <row r="71" spans="1:10" s="233" customFormat="1" ht="24" customHeight="1" x14ac:dyDescent="0.25">
      <c r="A71" s="234" t="s">
        <v>306</v>
      </c>
      <c r="B71" s="161" t="s">
        <v>307</v>
      </c>
      <c r="C71" s="236" t="s">
        <v>247</v>
      </c>
      <c r="D71" s="20">
        <v>0</v>
      </c>
      <c r="E71" s="24">
        <v>0</v>
      </c>
      <c r="F71" s="20">
        <v>0</v>
      </c>
      <c r="G71" s="183">
        <v>16614</v>
      </c>
      <c r="H71" s="238">
        <f t="shared" si="10"/>
        <v>16614</v>
      </c>
    </row>
    <row r="72" spans="1:10" s="232" customFormat="1" ht="15" customHeight="1" x14ac:dyDescent="0.25">
      <c r="A72" s="10" t="s">
        <v>47</v>
      </c>
      <c r="B72" s="157"/>
      <c r="C72" s="165"/>
      <c r="D72" s="11">
        <f t="shared" ref="D72:H72" si="11">SUM(D46:D71)</f>
        <v>224556.02000000002</v>
      </c>
      <c r="E72" s="11">
        <f>SUM(E46:E71)</f>
        <v>272490.3</v>
      </c>
      <c r="F72" s="11">
        <f t="shared" ref="F72:G72" si="12">SUM(F46:F71)</f>
        <v>329500</v>
      </c>
      <c r="G72" s="11">
        <f t="shared" si="12"/>
        <v>52564.5</v>
      </c>
      <c r="H72" s="12">
        <f t="shared" si="11"/>
        <v>879110.82000000007</v>
      </c>
      <c r="I72" s="243"/>
      <c r="J72" s="243"/>
    </row>
    <row r="73" spans="1:10" s="233" customFormat="1" ht="18" customHeight="1" x14ac:dyDescent="0.25">
      <c r="A73" s="372" t="s">
        <v>48</v>
      </c>
      <c r="B73" s="373"/>
      <c r="C73" s="373"/>
      <c r="D73" s="373"/>
      <c r="E73" s="373"/>
      <c r="F73" s="373"/>
      <c r="G73" s="373"/>
      <c r="H73" s="374"/>
      <c r="I73" s="244"/>
    </row>
    <row r="74" spans="1:10" s="233" customFormat="1" ht="24" customHeight="1" x14ac:dyDescent="0.25">
      <c r="A74" s="21" t="s">
        <v>97</v>
      </c>
      <c r="B74" s="160" t="s">
        <v>228</v>
      </c>
      <c r="C74" s="236" t="s">
        <v>247</v>
      </c>
      <c r="D74" s="20">
        <v>14723.48</v>
      </c>
      <c r="E74" s="172">
        <v>6976.53</v>
      </c>
      <c r="F74" s="172">
        <v>0</v>
      </c>
      <c r="G74" s="20">
        <v>0</v>
      </c>
      <c r="H74" s="238">
        <f t="shared" ref="H74:H87" si="13">D74+E74+F74+G74</f>
        <v>21700.01</v>
      </c>
    </row>
    <row r="75" spans="1:10" s="233" customFormat="1" ht="24" customHeight="1" x14ac:dyDescent="0.25">
      <c r="A75" s="21" t="s">
        <v>176</v>
      </c>
      <c r="B75" s="160" t="s">
        <v>229</v>
      </c>
      <c r="C75" s="236" t="s">
        <v>247</v>
      </c>
      <c r="D75" s="24">
        <v>22241.64</v>
      </c>
      <c r="E75" s="192">
        <v>0</v>
      </c>
      <c r="F75" s="192">
        <v>0</v>
      </c>
      <c r="G75" s="24">
        <v>0</v>
      </c>
      <c r="H75" s="238">
        <f t="shared" si="13"/>
        <v>22241.64</v>
      </c>
    </row>
    <row r="76" spans="1:10" s="233" customFormat="1" ht="24" customHeight="1" x14ac:dyDescent="0.25">
      <c r="A76" s="21" t="s">
        <v>141</v>
      </c>
      <c r="B76" s="160" t="s">
        <v>230</v>
      </c>
      <c r="C76" s="236" t="s">
        <v>247</v>
      </c>
      <c r="D76" s="20">
        <v>20898.27</v>
      </c>
      <c r="E76" s="172">
        <v>0</v>
      </c>
      <c r="F76" s="172">
        <v>0</v>
      </c>
      <c r="G76" s="20">
        <v>0</v>
      </c>
      <c r="H76" s="238">
        <f t="shared" si="13"/>
        <v>20898.27</v>
      </c>
    </row>
    <row r="77" spans="1:10" s="233" customFormat="1" ht="24" customHeight="1" x14ac:dyDescent="0.25">
      <c r="A77" s="21" t="s">
        <v>143</v>
      </c>
      <c r="B77" s="160" t="s">
        <v>231</v>
      </c>
      <c r="C77" s="236" t="s">
        <v>247</v>
      </c>
      <c r="D77" s="20">
        <v>28727.64</v>
      </c>
      <c r="E77" s="172">
        <v>0</v>
      </c>
      <c r="F77" s="172">
        <v>0</v>
      </c>
      <c r="G77" s="20">
        <v>0</v>
      </c>
      <c r="H77" s="238">
        <f t="shared" si="13"/>
        <v>28727.64</v>
      </c>
    </row>
    <row r="78" spans="1:10" s="233" customFormat="1" ht="24" customHeight="1" x14ac:dyDescent="0.25">
      <c r="A78" s="21" t="s">
        <v>145</v>
      </c>
      <c r="B78" s="160" t="s">
        <v>232</v>
      </c>
      <c r="C78" s="236" t="s">
        <v>247</v>
      </c>
      <c r="D78" s="20">
        <v>11437.7</v>
      </c>
      <c r="E78" s="172">
        <v>0</v>
      </c>
      <c r="F78" s="172">
        <v>0</v>
      </c>
      <c r="G78" s="20">
        <v>0</v>
      </c>
      <c r="H78" s="238">
        <f t="shared" si="13"/>
        <v>11437.7</v>
      </c>
    </row>
    <row r="79" spans="1:10" s="233" customFormat="1" ht="24" customHeight="1" x14ac:dyDescent="0.25">
      <c r="A79" s="21" t="s">
        <v>147</v>
      </c>
      <c r="B79" s="160" t="s">
        <v>233</v>
      </c>
      <c r="C79" s="236" t="s">
        <v>247</v>
      </c>
      <c r="D79" s="20">
        <v>11567.78</v>
      </c>
      <c r="E79" s="172">
        <v>0</v>
      </c>
      <c r="F79" s="172">
        <v>0</v>
      </c>
      <c r="G79" s="20">
        <v>0</v>
      </c>
      <c r="H79" s="238">
        <f t="shared" si="13"/>
        <v>11567.78</v>
      </c>
    </row>
    <row r="80" spans="1:10" s="233" customFormat="1" ht="15" customHeight="1" x14ac:dyDescent="0.25">
      <c r="A80" s="21" t="s">
        <v>175</v>
      </c>
      <c r="B80" s="160" t="s">
        <v>234</v>
      </c>
      <c r="C80" s="236" t="s">
        <v>247</v>
      </c>
      <c r="D80" s="20">
        <v>1099.1500000000001</v>
      </c>
      <c r="E80" s="172">
        <v>22900.85</v>
      </c>
      <c r="F80" s="172">
        <v>0</v>
      </c>
      <c r="G80" s="20">
        <v>0</v>
      </c>
      <c r="H80" s="238">
        <f t="shared" si="13"/>
        <v>24000</v>
      </c>
    </row>
    <row r="81" spans="1:10" s="233" customFormat="1" ht="24" customHeight="1" x14ac:dyDescent="0.25">
      <c r="A81" s="21" t="s">
        <v>50</v>
      </c>
      <c r="B81" s="160" t="s">
        <v>235</v>
      </c>
      <c r="C81" s="236" t="s">
        <v>247</v>
      </c>
      <c r="D81" s="20">
        <v>34.11</v>
      </c>
      <c r="E81" s="172">
        <v>93382</v>
      </c>
      <c r="F81" s="172">
        <v>50000</v>
      </c>
      <c r="G81" s="20">
        <v>0</v>
      </c>
      <c r="H81" s="238">
        <f t="shared" si="13"/>
        <v>143416.10999999999</v>
      </c>
    </row>
    <row r="82" spans="1:10" s="233" customFormat="1" ht="24" customHeight="1" x14ac:dyDescent="0.25">
      <c r="A82" s="23" t="s">
        <v>49</v>
      </c>
      <c r="B82" s="160" t="s">
        <v>236</v>
      </c>
      <c r="C82" s="236" t="s">
        <v>247</v>
      </c>
      <c r="D82" s="24">
        <v>29.04</v>
      </c>
      <c r="E82" s="172">
        <f>94970.96-80000</f>
        <v>14970.960000000006</v>
      </c>
      <c r="F82" s="192">
        <f>10000+80000</f>
        <v>90000</v>
      </c>
      <c r="G82" s="24">
        <v>0</v>
      </c>
      <c r="H82" s="238">
        <f t="shared" si="13"/>
        <v>105000</v>
      </c>
    </row>
    <row r="83" spans="1:10" s="233" customFormat="1" ht="24" customHeight="1" x14ac:dyDescent="0.25">
      <c r="A83" s="23" t="s">
        <v>308</v>
      </c>
      <c r="B83" s="160" t="s">
        <v>286</v>
      </c>
      <c r="C83" s="236" t="s">
        <v>247</v>
      </c>
      <c r="D83" s="24">
        <v>0</v>
      </c>
      <c r="E83" s="172">
        <f>30200-26200</f>
        <v>4000</v>
      </c>
      <c r="F83" s="192">
        <f>0+26200</f>
        <v>26200</v>
      </c>
      <c r="G83" s="24">
        <v>0</v>
      </c>
      <c r="H83" s="238">
        <f t="shared" si="13"/>
        <v>30200</v>
      </c>
    </row>
    <row r="84" spans="1:10" s="233" customFormat="1" ht="24" customHeight="1" x14ac:dyDescent="0.25">
      <c r="A84" s="23" t="s">
        <v>309</v>
      </c>
      <c r="B84" s="160" t="s">
        <v>284</v>
      </c>
      <c r="C84" s="236" t="s">
        <v>247</v>
      </c>
      <c r="D84" s="24">
        <v>0</v>
      </c>
      <c r="E84" s="172">
        <v>40000</v>
      </c>
      <c r="F84" s="192">
        <v>140000</v>
      </c>
      <c r="G84" s="24">
        <v>0</v>
      </c>
      <c r="H84" s="238">
        <f t="shared" si="13"/>
        <v>180000</v>
      </c>
    </row>
    <row r="85" spans="1:10" s="239" customFormat="1" ht="24" customHeight="1" x14ac:dyDescent="0.25">
      <c r="A85" s="234" t="s">
        <v>310</v>
      </c>
      <c r="B85" s="235" t="s">
        <v>289</v>
      </c>
      <c r="C85" s="236" t="s">
        <v>247</v>
      </c>
      <c r="D85" s="237">
        <v>0</v>
      </c>
      <c r="E85" s="237">
        <f>15500-10500-3000</f>
        <v>2000</v>
      </c>
      <c r="F85" s="237">
        <f>0+10500-10500</f>
        <v>0</v>
      </c>
      <c r="G85" s="242">
        <v>0</v>
      </c>
      <c r="H85" s="238">
        <f t="shared" si="13"/>
        <v>2000</v>
      </c>
    </row>
    <row r="86" spans="1:10" s="239" customFormat="1" ht="24" customHeight="1" x14ac:dyDescent="0.25">
      <c r="A86" s="234" t="s">
        <v>311</v>
      </c>
      <c r="B86" s="235" t="s">
        <v>291</v>
      </c>
      <c r="C86" s="236" t="s">
        <v>247</v>
      </c>
      <c r="D86" s="237">
        <v>0</v>
      </c>
      <c r="E86" s="237">
        <f>20000-2000</f>
        <v>18000</v>
      </c>
      <c r="F86" s="237">
        <v>0</v>
      </c>
      <c r="G86" s="242">
        <v>0</v>
      </c>
      <c r="H86" s="238">
        <f t="shared" si="13"/>
        <v>18000</v>
      </c>
    </row>
    <row r="87" spans="1:10" s="239" customFormat="1" ht="24" customHeight="1" x14ac:dyDescent="0.25">
      <c r="A87" s="234" t="s">
        <v>312</v>
      </c>
      <c r="B87" s="235" t="s">
        <v>313</v>
      </c>
      <c r="C87" s="236" t="s">
        <v>247</v>
      </c>
      <c r="D87" s="237">
        <v>0</v>
      </c>
      <c r="E87" s="237">
        <v>0</v>
      </c>
      <c r="F87" s="237">
        <v>5000</v>
      </c>
      <c r="G87" s="242">
        <v>10500</v>
      </c>
      <c r="H87" s="238">
        <f t="shared" si="13"/>
        <v>15500</v>
      </c>
    </row>
    <row r="88" spans="1:10" s="232" customFormat="1" ht="15" customHeight="1" thickBot="1" x14ac:dyDescent="0.3">
      <c r="A88" s="10" t="s">
        <v>53</v>
      </c>
      <c r="B88" s="157"/>
      <c r="C88" s="165"/>
      <c r="D88" s="11">
        <f t="shared" ref="D88:G88" si="14">SUM(D74:D87)</f>
        <v>110758.80999999998</v>
      </c>
      <c r="E88" s="11">
        <f>SUM(E74:E87)</f>
        <v>202230.34000000003</v>
      </c>
      <c r="F88" s="11">
        <f t="shared" si="14"/>
        <v>311200</v>
      </c>
      <c r="G88" s="11">
        <f t="shared" si="14"/>
        <v>10500</v>
      </c>
      <c r="H88" s="12">
        <f>SUM(H74:H87)</f>
        <v>634689.14999999991</v>
      </c>
      <c r="I88" s="243"/>
      <c r="J88" s="243"/>
    </row>
    <row r="89" spans="1:10" s="232" customFormat="1" ht="25.5" customHeight="1" thickBot="1" x14ac:dyDescent="0.3">
      <c r="A89" s="14" t="s">
        <v>54</v>
      </c>
      <c r="B89" s="158"/>
      <c r="C89" s="166"/>
      <c r="D89" s="15">
        <f>D88+D72+D44+D36+D32</f>
        <v>378688.57</v>
      </c>
      <c r="E89" s="15">
        <f>E88+E72+E44+E36+E32</f>
        <v>708790.61</v>
      </c>
      <c r="F89" s="15">
        <f t="shared" ref="F89:G89" si="15">F88+F72+F44+F36+F32</f>
        <v>1378290</v>
      </c>
      <c r="G89" s="15">
        <f t="shared" si="15"/>
        <v>80766.5</v>
      </c>
      <c r="H89" s="16">
        <f>H88+H72+H44+H36+H32</f>
        <v>2546535.6800000002</v>
      </c>
    </row>
    <row r="90" spans="1:10" s="232" customFormat="1" ht="13.5" thickBot="1" x14ac:dyDescent="0.3">
      <c r="A90" s="17"/>
      <c r="B90" s="159"/>
      <c r="C90" s="167"/>
      <c r="D90" s="94"/>
      <c r="E90" s="94"/>
      <c r="F90" s="94"/>
      <c r="G90" s="94"/>
      <c r="H90" s="247"/>
    </row>
    <row r="91" spans="1:10" s="232" customFormat="1" ht="21" customHeight="1" thickBot="1" x14ac:dyDescent="0.3">
      <c r="A91" s="14" t="s">
        <v>55</v>
      </c>
      <c r="B91" s="158"/>
      <c r="C91" s="166"/>
      <c r="D91" s="15">
        <f>SUM(D23,D89)+0.45</f>
        <v>387806.92845000001</v>
      </c>
      <c r="E91" s="15">
        <f>SUM(E23,E89)</f>
        <v>858165</v>
      </c>
      <c r="F91" s="15">
        <f t="shared" ref="F91:G91" si="16">SUM(F23,F89)</f>
        <v>1618012</v>
      </c>
      <c r="G91" s="15">
        <f t="shared" si="16"/>
        <v>136016.5</v>
      </c>
      <c r="H91" s="16">
        <f>SUM(H23,H89)</f>
        <v>2999999.9784500003</v>
      </c>
    </row>
  </sheetData>
  <mergeCells count="15">
    <mergeCell ref="A7:H7"/>
    <mergeCell ref="A2:H2"/>
    <mergeCell ref="A4:A5"/>
    <mergeCell ref="D4:G4"/>
    <mergeCell ref="H4:H5"/>
    <mergeCell ref="A6:H6"/>
    <mergeCell ref="A37:H37"/>
    <mergeCell ref="A45:H45"/>
    <mergeCell ref="A73:H73"/>
    <mergeCell ref="A10:H10"/>
    <mergeCell ref="A14:H14"/>
    <mergeCell ref="A20:H20"/>
    <mergeCell ref="A25:H25"/>
    <mergeCell ref="A26:H26"/>
    <mergeCell ref="A33:H33"/>
  </mergeCells>
  <conditionalFormatting sqref="D15:D16">
    <cfRule type="cellIs" dxfId="277" priority="91" operator="lessThan">
      <formula>#REF!</formula>
    </cfRule>
    <cfRule type="cellIs" dxfId="276" priority="92" operator="greaterThan">
      <formula>#REF!</formula>
    </cfRule>
  </conditionalFormatting>
  <conditionalFormatting sqref="D16:D19">
    <cfRule type="cellIs" dxfId="275" priority="87" operator="lessThan">
      <formula>#REF!</formula>
    </cfRule>
    <cfRule type="cellIs" dxfId="274" priority="88" operator="greaterThan">
      <formula>#REF!</formula>
    </cfRule>
  </conditionalFormatting>
  <conditionalFormatting sqref="D56:D65">
    <cfRule type="cellIs" dxfId="273" priority="77" operator="lessThan">
      <formula>#REF!</formula>
    </cfRule>
    <cfRule type="cellIs" dxfId="272" priority="78" operator="greaterThan">
      <formula>#REF!</formula>
    </cfRule>
  </conditionalFormatting>
  <conditionalFormatting sqref="D58:D63">
    <cfRule type="cellIs" dxfId="271" priority="73" operator="lessThan">
      <formula>#REF!</formula>
    </cfRule>
    <cfRule type="cellIs" dxfId="270" priority="74" operator="greaterThan">
      <formula>#REF!</formula>
    </cfRule>
  </conditionalFormatting>
  <conditionalFormatting sqref="D59:D63 D46:E55 F46:G56 F58:G69 D70:G72">
    <cfRule type="cellIs" dxfId="269" priority="115" operator="lessThan">
      <formula>#REF!</formula>
    </cfRule>
  </conditionalFormatting>
  <conditionalFormatting sqref="D60:D63">
    <cfRule type="cellIs" dxfId="268" priority="75" operator="lessThan">
      <formula>#REF!</formula>
    </cfRule>
    <cfRule type="cellIs" dxfId="267" priority="76" operator="greaterThan">
      <formula>#REF!</formula>
    </cfRule>
  </conditionalFormatting>
  <conditionalFormatting sqref="D66:D69">
    <cfRule type="cellIs" dxfId="266" priority="71" operator="lessThan">
      <formula>#REF!</formula>
    </cfRule>
    <cfRule type="cellIs" dxfId="265" priority="72" operator="greaterThan">
      <formula>#REF!</formula>
    </cfRule>
  </conditionalFormatting>
  <conditionalFormatting sqref="D80:D81">
    <cfRule type="cellIs" dxfId="264" priority="99" operator="lessThan">
      <formula>#REF!</formula>
    </cfRule>
    <cfRule type="cellIs" dxfId="263" priority="100" operator="greaterThan">
      <formula>#REF!</formula>
    </cfRule>
  </conditionalFormatting>
  <conditionalFormatting sqref="D81:D87">
    <cfRule type="cellIs" dxfId="262" priority="101" operator="lessThan">
      <formula>#REF!</formula>
    </cfRule>
    <cfRule type="cellIs" dxfId="261" priority="102" operator="greaterThan">
      <formula>#REF!</formula>
    </cfRule>
  </conditionalFormatting>
  <conditionalFormatting sqref="D85:D87">
    <cfRule type="cellIs" dxfId="260" priority="67" operator="lessThan">
      <formula>#REF!</formula>
    </cfRule>
    <cfRule type="cellIs" dxfId="259" priority="68" operator="greaterThan">
      <formula>#REF!</formula>
    </cfRule>
  </conditionalFormatting>
  <conditionalFormatting sqref="D46:E55 F46:G56 F58:G69 D59:D63 D70:G72">
    <cfRule type="cellIs" dxfId="258" priority="116" operator="greaterThan">
      <formula>#REF!</formula>
    </cfRule>
  </conditionalFormatting>
  <conditionalFormatting sqref="D74:G81 F85:G87">
    <cfRule type="cellIs" dxfId="257" priority="9" operator="lessThan">
      <formula>#REF!</formula>
    </cfRule>
    <cfRule type="cellIs" dxfId="256" priority="10" operator="greaterThan">
      <formula>#REF!</formula>
    </cfRule>
  </conditionalFormatting>
  <conditionalFormatting sqref="D8:H9">
    <cfRule type="cellIs" dxfId="255" priority="1" operator="lessThan">
      <formula>#REF!</formula>
    </cfRule>
    <cfRule type="cellIs" dxfId="254" priority="2" operator="greaterThan">
      <formula>#REF!</formula>
    </cfRule>
  </conditionalFormatting>
  <conditionalFormatting sqref="D11:H13">
    <cfRule type="cellIs" dxfId="253" priority="33" operator="lessThan">
      <formula>#REF!</formula>
    </cfRule>
    <cfRule type="cellIs" dxfId="252" priority="34" operator="greaterThan">
      <formula>#REF!</formula>
    </cfRule>
  </conditionalFormatting>
  <conditionalFormatting sqref="D21:H22">
    <cfRule type="cellIs" dxfId="251" priority="25" operator="lessThan">
      <formula>#REF!</formula>
    </cfRule>
    <cfRule type="cellIs" dxfId="250" priority="26" operator="greaterThan">
      <formula>#REF!</formula>
    </cfRule>
  </conditionalFormatting>
  <conditionalFormatting sqref="D27:H32 H74:H87">
    <cfRule type="cellIs" dxfId="249" priority="61" operator="lessThan">
      <formula>#REF!</formula>
    </cfRule>
    <cfRule type="cellIs" dxfId="248" priority="62" operator="greaterThan">
      <formula>#REF!</formula>
    </cfRule>
  </conditionalFormatting>
  <conditionalFormatting sqref="D34:H36">
    <cfRule type="cellIs" dxfId="247" priority="39" operator="lessThan">
      <formula>#REF!</formula>
    </cfRule>
    <cfRule type="cellIs" dxfId="246" priority="40" operator="greaterThan">
      <formula>#REF!</formula>
    </cfRule>
  </conditionalFormatting>
  <conditionalFormatting sqref="D38:H43">
    <cfRule type="cellIs" dxfId="245" priority="47" operator="lessThan">
      <formula>#REF!</formula>
    </cfRule>
    <cfRule type="cellIs" dxfId="244" priority="48" operator="greaterThan">
      <formula>#REF!</formula>
    </cfRule>
  </conditionalFormatting>
  <conditionalFormatting sqref="E56:E69">
    <cfRule type="cellIs" dxfId="243" priority="113" operator="lessThan">
      <formula>#REF!</formula>
    </cfRule>
    <cfRule type="cellIs" dxfId="242" priority="114" operator="greaterThan">
      <formula>#REF!</formula>
    </cfRule>
  </conditionalFormatting>
  <conditionalFormatting sqref="E80:E87">
    <cfRule type="cellIs" dxfId="241" priority="21" operator="lessThan">
      <formula>#REF!</formula>
    </cfRule>
    <cfRule type="cellIs" dxfId="240" priority="22" operator="greaterThan">
      <formula>#REF!</formula>
    </cfRule>
  </conditionalFormatting>
  <conditionalFormatting sqref="E82:E87">
    <cfRule type="cellIs" dxfId="239" priority="17" operator="lessThan">
      <formula>#REF!</formula>
    </cfRule>
    <cfRule type="cellIs" dxfId="238" priority="18" operator="greaterThan">
      <formula>#REF!</formula>
    </cfRule>
  </conditionalFormatting>
  <conditionalFormatting sqref="E15:H19">
    <cfRule type="cellIs" dxfId="237" priority="27" operator="lessThan">
      <formula>#REF!</formula>
    </cfRule>
    <cfRule type="cellIs" dxfId="236" priority="28" operator="greaterThan">
      <formula>#REF!</formula>
    </cfRule>
  </conditionalFormatting>
  <conditionalFormatting sqref="F57:G61 E59:E61 E63:F63 G63:G67">
    <cfRule type="cellIs" dxfId="235" priority="118" operator="greaterThan">
      <formula>#REF!</formula>
    </cfRule>
  </conditionalFormatting>
  <conditionalFormatting sqref="F57:G61 E63:F63 G63:G67 E59:E61">
    <cfRule type="cellIs" dxfId="234" priority="117" operator="lessThan">
      <formula>#REF!</formula>
    </cfRule>
  </conditionalFormatting>
  <conditionalFormatting sqref="F80:G87">
    <cfRule type="cellIs" dxfId="233" priority="11" operator="lessThan">
      <formula>#REF!</formula>
    </cfRule>
    <cfRule type="cellIs" dxfId="232" priority="12" operator="greaterThan">
      <formula>#REF!</formula>
    </cfRule>
  </conditionalFormatting>
  <conditionalFormatting sqref="H21">
    <cfRule type="cellIs" dxfId="231" priority="23" operator="lessThan">
      <formula>#REF!</formula>
    </cfRule>
    <cfRule type="cellIs" dxfId="230" priority="24" operator="greaterThan">
      <formula>#REF!</formula>
    </cfRule>
  </conditionalFormatting>
  <conditionalFormatting sqref="H22">
    <cfRule type="cellIs" dxfId="229" priority="53" operator="lessThan">
      <formula>#REF!</formula>
    </cfRule>
    <cfRule type="cellIs" dxfId="228" priority="54" operator="greaterThan">
      <formula>#REF!</formula>
    </cfRule>
    <cfRule type="cellIs" dxfId="227" priority="55" operator="lessThan">
      <formula>#REF!</formula>
    </cfRule>
    <cfRule type="cellIs" dxfId="226" priority="56" operator="greaterThan">
      <formula>#REF!</formula>
    </cfRule>
  </conditionalFormatting>
  <conditionalFormatting sqref="H30">
    <cfRule type="cellIs" dxfId="225" priority="49" operator="lessThan">
      <formula>#REF!</formula>
    </cfRule>
    <cfRule type="cellIs" dxfId="224" priority="50" operator="greaterThan">
      <formula>#REF!</formula>
    </cfRule>
  </conditionalFormatting>
  <conditionalFormatting sqref="H34:H35">
    <cfRule type="cellIs" dxfId="223" priority="37" operator="lessThan">
      <formula>#REF!</formula>
    </cfRule>
    <cfRule type="cellIs" dxfId="222" priority="38" operator="greaterThan">
      <formula>#REF!</formula>
    </cfRule>
  </conditionalFormatting>
  <conditionalFormatting sqref="H38:H43">
    <cfRule type="cellIs" dxfId="221" priority="45" operator="lessThan">
      <formula>#REF!</formula>
    </cfRule>
    <cfRule type="cellIs" dxfId="220" priority="46" operator="greaterThan">
      <formula>#REF!</formula>
    </cfRule>
  </conditionalFormatting>
  <conditionalFormatting sqref="H46:H71">
    <cfRule type="cellIs" dxfId="219" priority="41" operator="lessThan">
      <formula>#REF!</formula>
    </cfRule>
    <cfRule type="cellIs" dxfId="218" priority="42" operator="greaterThan">
      <formula>#REF!</formula>
    </cfRule>
  </conditionalFormatting>
  <conditionalFormatting sqref="H46:H72">
    <cfRule type="cellIs" dxfId="217" priority="43" operator="lessThan">
      <formula>#REF!</formula>
    </cfRule>
    <cfRule type="cellIs" dxfId="216" priority="44" operator="greaterThan">
      <formula>#REF!</formula>
    </cfRule>
  </conditionalFormatting>
  <pageMargins left="0.39370078740157483" right="0.39370078740157483" top="0.59055118110236227" bottom="0.39370078740157483" header="0.31496062992125984" footer="0.11811023622047245"/>
  <pageSetup paperSize="9" scale="72" firstPageNumber="41" fitToHeight="0" orientation="portrait" r:id="rId1"/>
  <headerFooter>
    <oddFooter>&amp;C&amp;"Tahoma,Obyčejné"&amp;P</oddFooter>
  </headerFooter>
  <rowBreaks count="1" manualBreakCount="1">
    <brk id="50" max="7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1E033-0C7F-418B-ADC8-B4FD1577F50D}">
  <sheetPr>
    <pageSetUpPr fitToPage="1"/>
  </sheetPr>
  <dimension ref="A1:L91"/>
  <sheetViews>
    <sheetView zoomScaleNormal="100" zoomScaleSheetLayoutView="100" workbookViewId="0">
      <pane ySplit="5" topLeftCell="A82" activePane="bottomLeft" state="frozen"/>
      <selection activeCell="F20" sqref="F20"/>
      <selection pane="bottomLeft" activeCell="L81" sqref="L81"/>
    </sheetView>
  </sheetViews>
  <sheetFormatPr defaultColWidth="9.140625" defaultRowHeight="12.75" x14ac:dyDescent="0.2"/>
  <cols>
    <col min="1" max="1" width="50.7109375" style="225" customWidth="1"/>
    <col min="2" max="2" width="7.7109375" style="226" customWidth="1"/>
    <col min="3" max="3" width="7.7109375" style="227" customWidth="1"/>
    <col min="4" max="5" width="12.7109375" style="228" customWidth="1"/>
    <col min="6" max="6" width="12.7109375" style="248" customWidth="1"/>
    <col min="7" max="7" width="12.7109375" style="228" customWidth="1"/>
    <col min="8" max="8" width="14.140625" style="228" customWidth="1"/>
    <col min="9" max="16384" width="9.140625" style="225"/>
  </cols>
  <sheetData>
    <row r="1" spans="1:12" ht="15" customHeight="1" x14ac:dyDescent="0.2">
      <c r="A1" s="225" t="s">
        <v>177</v>
      </c>
    </row>
    <row r="2" spans="1:12" s="1" customFormat="1" ht="23.25" customHeight="1" x14ac:dyDescent="0.25">
      <c r="A2" s="375" t="s">
        <v>98</v>
      </c>
      <c r="B2" s="375"/>
      <c r="C2" s="375"/>
      <c r="D2" s="375"/>
      <c r="E2" s="375"/>
      <c r="F2" s="375"/>
      <c r="G2" s="375"/>
      <c r="H2" s="375"/>
    </row>
    <row r="3" spans="1:12" ht="13.5" thickBot="1" x14ac:dyDescent="0.25">
      <c r="A3" s="229"/>
      <c r="D3" s="229"/>
      <c r="E3" s="229"/>
      <c r="F3" s="249"/>
      <c r="G3" s="229"/>
      <c r="H3" s="230" t="s">
        <v>1</v>
      </c>
    </row>
    <row r="4" spans="1:12" ht="24.6" customHeight="1" x14ac:dyDescent="0.2">
      <c r="A4" s="296" t="s">
        <v>2</v>
      </c>
      <c r="B4" s="154"/>
      <c r="C4" s="154"/>
      <c r="D4" s="377" t="s">
        <v>178</v>
      </c>
      <c r="E4" s="378"/>
      <c r="F4" s="378"/>
      <c r="G4" s="379"/>
      <c r="H4" s="352" t="s">
        <v>4</v>
      </c>
    </row>
    <row r="5" spans="1:12" ht="24.6" customHeight="1" thickBot="1" x14ac:dyDescent="0.25">
      <c r="A5" s="376"/>
      <c r="B5" s="231" t="s">
        <v>181</v>
      </c>
      <c r="C5" s="231" t="s">
        <v>238</v>
      </c>
      <c r="D5" s="209">
        <v>2021</v>
      </c>
      <c r="E5" s="181">
        <v>2022</v>
      </c>
      <c r="F5" s="250">
        <v>2023</v>
      </c>
      <c r="G5" s="216">
        <v>2024</v>
      </c>
      <c r="H5" s="353"/>
    </row>
    <row r="6" spans="1:12" s="232" customFormat="1" ht="21" customHeight="1" x14ac:dyDescent="0.25">
      <c r="A6" s="369" t="s">
        <v>70</v>
      </c>
      <c r="B6" s="370"/>
      <c r="C6" s="370"/>
      <c r="D6" s="370"/>
      <c r="E6" s="370"/>
      <c r="F6" s="370"/>
      <c r="G6" s="370"/>
      <c r="H6" s="371"/>
    </row>
    <row r="7" spans="1:12" s="233" customFormat="1" ht="18" customHeight="1" x14ac:dyDescent="0.25">
      <c r="A7" s="372" t="s">
        <v>20</v>
      </c>
      <c r="B7" s="373"/>
      <c r="C7" s="373"/>
      <c r="D7" s="373"/>
      <c r="E7" s="373"/>
      <c r="F7" s="373"/>
      <c r="G7" s="373"/>
      <c r="H7" s="374"/>
    </row>
    <row r="8" spans="1:12" s="239" customFormat="1" ht="15" customHeight="1" x14ac:dyDescent="0.25">
      <c r="A8" s="234" t="s">
        <v>302</v>
      </c>
      <c r="B8" s="235" t="s">
        <v>303</v>
      </c>
      <c r="C8" s="236" t="s">
        <v>239</v>
      </c>
      <c r="D8" s="237">
        <v>0</v>
      </c>
      <c r="E8" s="237">
        <v>0</v>
      </c>
      <c r="F8" s="251">
        <v>4750</v>
      </c>
      <c r="G8" s="237">
        <v>55250</v>
      </c>
      <c r="H8" s="238">
        <f>D8+E8+F8+G8</f>
        <v>60000</v>
      </c>
      <c r="J8" s="240"/>
      <c r="K8" s="240"/>
      <c r="L8" s="240"/>
    </row>
    <row r="9" spans="1:12" s="232" customFormat="1" ht="15" customHeight="1" x14ac:dyDescent="0.25">
      <c r="A9" s="10" t="s">
        <v>27</v>
      </c>
      <c r="B9" s="157"/>
      <c r="C9" s="165"/>
      <c r="D9" s="11">
        <f>SUM(D8:D8)</f>
        <v>0</v>
      </c>
      <c r="E9" s="11">
        <f>SUM(E8:E8)</f>
        <v>0</v>
      </c>
      <c r="F9" s="252">
        <f>SUM(F8:F8)</f>
        <v>4750</v>
      </c>
      <c r="G9" s="11">
        <f>SUM(G8:G8)</f>
        <v>55250</v>
      </c>
      <c r="H9" s="12">
        <f>SUM(H8:H8)</f>
        <v>60000</v>
      </c>
      <c r="J9" s="240"/>
      <c r="K9" s="240"/>
    </row>
    <row r="10" spans="1:12" s="233" customFormat="1" ht="18" customHeight="1" x14ac:dyDescent="0.25">
      <c r="A10" s="372" t="s">
        <v>6</v>
      </c>
      <c r="B10" s="373"/>
      <c r="C10" s="373"/>
      <c r="D10" s="373"/>
      <c r="E10" s="373"/>
      <c r="F10" s="373"/>
      <c r="G10" s="373"/>
      <c r="H10" s="374"/>
    </row>
    <row r="11" spans="1:12" s="239" customFormat="1" ht="15" customHeight="1" x14ac:dyDescent="0.25">
      <c r="A11" s="241" t="s">
        <v>7</v>
      </c>
      <c r="B11" s="235">
        <v>3402</v>
      </c>
      <c r="C11" s="236" t="s">
        <v>239</v>
      </c>
      <c r="D11" s="237">
        <v>5576.1411900000003</v>
      </c>
      <c r="E11" s="237">
        <v>35366.094799999999</v>
      </c>
      <c r="F11" s="251">
        <v>157772.06</v>
      </c>
      <c r="G11" s="237">
        <v>0</v>
      </c>
      <c r="H11" s="238">
        <f>D11+E11+F11+G11</f>
        <v>198714.29599000001</v>
      </c>
      <c r="J11" s="240"/>
      <c r="K11" s="240"/>
      <c r="L11" s="240"/>
    </row>
    <row r="12" spans="1:12" s="239" customFormat="1" ht="24" customHeight="1" x14ac:dyDescent="0.25">
      <c r="A12" s="234" t="s">
        <v>8</v>
      </c>
      <c r="B12" s="235" t="s">
        <v>182</v>
      </c>
      <c r="C12" s="236" t="s">
        <v>239</v>
      </c>
      <c r="D12" s="237">
        <v>3541.7672600000001</v>
      </c>
      <c r="E12" s="237">
        <v>15139.03263</v>
      </c>
      <c r="F12" s="251">
        <v>31823.200000000001</v>
      </c>
      <c r="G12" s="237">
        <v>0</v>
      </c>
      <c r="H12" s="238">
        <f>D12+E12+F12+G12</f>
        <v>50503.999889999999</v>
      </c>
      <c r="J12" s="240"/>
      <c r="K12" s="240"/>
    </row>
    <row r="13" spans="1:12" s="232" customFormat="1" ht="15" customHeight="1" x14ac:dyDescent="0.25">
      <c r="A13" s="10" t="s">
        <v>9</v>
      </c>
      <c r="B13" s="157"/>
      <c r="C13" s="165"/>
      <c r="D13" s="11">
        <f t="shared" ref="D13" si="0">SUM(D11:D12)</f>
        <v>9117.9084500000008</v>
      </c>
      <c r="E13" s="11">
        <f t="shared" ref="E13:G13" si="1">SUM(E11:E12)</f>
        <v>50505.12743</v>
      </c>
      <c r="F13" s="252">
        <f t="shared" si="1"/>
        <v>189595.26</v>
      </c>
      <c r="G13" s="11">
        <f t="shared" si="1"/>
        <v>0</v>
      </c>
      <c r="H13" s="12">
        <f>SUM(H11:H12)</f>
        <v>249218.29588000002</v>
      </c>
      <c r="J13" s="240"/>
      <c r="K13" s="240"/>
    </row>
    <row r="14" spans="1:12" s="233" customFormat="1" ht="18" customHeight="1" x14ac:dyDescent="0.25">
      <c r="A14" s="372" t="s">
        <v>32</v>
      </c>
      <c r="B14" s="373"/>
      <c r="C14" s="373"/>
      <c r="D14" s="373"/>
      <c r="E14" s="373"/>
      <c r="F14" s="373"/>
      <c r="G14" s="373"/>
      <c r="H14" s="374"/>
      <c r="J14" s="240"/>
      <c r="K14" s="240"/>
    </row>
    <row r="15" spans="1:12" s="239" customFormat="1" ht="15" customHeight="1" x14ac:dyDescent="0.25">
      <c r="A15" s="234" t="s">
        <v>83</v>
      </c>
      <c r="B15" s="235" t="s">
        <v>183</v>
      </c>
      <c r="C15" s="236" t="s">
        <v>239</v>
      </c>
      <c r="D15" s="237">
        <v>0</v>
      </c>
      <c r="E15" s="237">
        <v>12240.953</v>
      </c>
      <c r="F15" s="251">
        <v>14569.04</v>
      </c>
      <c r="G15" s="242">
        <v>0</v>
      </c>
      <c r="H15" s="238">
        <f>D15+E15+F15+G15</f>
        <v>26809.993000000002</v>
      </c>
      <c r="J15" s="240"/>
      <c r="K15" s="240"/>
      <c r="L15" s="240"/>
    </row>
    <row r="16" spans="1:12" s="239" customFormat="1" ht="15" customHeight="1" x14ac:dyDescent="0.25">
      <c r="A16" s="234" t="s">
        <v>86</v>
      </c>
      <c r="B16" s="235" t="s">
        <v>184</v>
      </c>
      <c r="C16" s="236" t="s">
        <v>239</v>
      </c>
      <c r="D16" s="237">
        <v>0</v>
      </c>
      <c r="E16" s="237">
        <v>1146.6377500000001</v>
      </c>
      <c r="F16" s="251">
        <v>9816.36</v>
      </c>
      <c r="G16" s="242">
        <v>0</v>
      </c>
      <c r="H16" s="238">
        <f>D16+E16+F16+G16</f>
        <v>10962.99775</v>
      </c>
      <c r="J16" s="240"/>
      <c r="K16" s="240"/>
      <c r="L16" s="240"/>
    </row>
    <row r="17" spans="1:12" s="239" customFormat="1" ht="15" customHeight="1" x14ac:dyDescent="0.25">
      <c r="A17" s="234" t="s">
        <v>84</v>
      </c>
      <c r="B17" s="235" t="s">
        <v>185</v>
      </c>
      <c r="C17" s="236" t="s">
        <v>239</v>
      </c>
      <c r="D17" s="237">
        <v>0</v>
      </c>
      <c r="E17" s="237">
        <v>10946.249320000001</v>
      </c>
      <c r="F17" s="251">
        <v>10315.75</v>
      </c>
      <c r="G17" s="242">
        <v>0</v>
      </c>
      <c r="H17" s="238">
        <f>D17+E17+F17+G17</f>
        <v>21261.999320000003</v>
      </c>
      <c r="J17" s="240"/>
      <c r="K17" s="240"/>
      <c r="L17" s="240"/>
    </row>
    <row r="18" spans="1:12" s="239" customFormat="1" ht="15" customHeight="1" x14ac:dyDescent="0.25">
      <c r="A18" s="234" t="s">
        <v>85</v>
      </c>
      <c r="B18" s="235" t="s">
        <v>186</v>
      </c>
      <c r="C18" s="236" t="s">
        <v>239</v>
      </c>
      <c r="D18" s="237">
        <v>0</v>
      </c>
      <c r="E18" s="237">
        <v>59.375120000000003</v>
      </c>
      <c r="F18" s="251">
        <v>50782.62</v>
      </c>
      <c r="G18" s="242">
        <v>0</v>
      </c>
      <c r="H18" s="238">
        <f>D18+E18+F18+G18</f>
        <v>50841.99512</v>
      </c>
      <c r="J18" s="240"/>
      <c r="K18" s="240"/>
      <c r="L18" s="240"/>
    </row>
    <row r="19" spans="1:12" s="232" customFormat="1" ht="15" customHeight="1" x14ac:dyDescent="0.25">
      <c r="A19" s="10" t="s">
        <v>47</v>
      </c>
      <c r="B19" s="157"/>
      <c r="C19" s="165"/>
      <c r="D19" s="11">
        <f>SUM(D15:D18)</f>
        <v>0</v>
      </c>
      <c r="E19" s="11">
        <f t="shared" ref="E19:G19" si="2">SUM(E15:E18)</f>
        <v>24393.215189999999</v>
      </c>
      <c r="F19" s="252">
        <f t="shared" si="2"/>
        <v>85483.77</v>
      </c>
      <c r="G19" s="11">
        <f t="shared" si="2"/>
        <v>0</v>
      </c>
      <c r="H19" s="12">
        <f>SUM(H15:H18)</f>
        <v>109876.98519000001</v>
      </c>
      <c r="J19" s="240"/>
      <c r="K19" s="240"/>
    </row>
    <row r="20" spans="1:12" s="233" customFormat="1" ht="18" customHeight="1" x14ac:dyDescent="0.25">
      <c r="A20" s="372" t="s">
        <v>10</v>
      </c>
      <c r="B20" s="373"/>
      <c r="C20" s="373"/>
      <c r="D20" s="373"/>
      <c r="E20" s="373"/>
      <c r="F20" s="373"/>
      <c r="G20" s="373"/>
      <c r="H20" s="374"/>
      <c r="J20" s="240"/>
      <c r="K20" s="240"/>
    </row>
    <row r="21" spans="1:12" s="239" customFormat="1" ht="15" customHeight="1" x14ac:dyDescent="0.25">
      <c r="A21" s="234" t="s">
        <v>11</v>
      </c>
      <c r="B21" s="235" t="s">
        <v>187</v>
      </c>
      <c r="C21" s="236" t="s">
        <v>239</v>
      </c>
      <c r="D21" s="237">
        <v>0</v>
      </c>
      <c r="E21" s="237">
        <v>5994.8141100000003</v>
      </c>
      <c r="F21" s="251">
        <v>28374.19</v>
      </c>
      <c r="G21" s="242">
        <v>0</v>
      </c>
      <c r="H21" s="238">
        <f>E21+F21+G21</f>
        <v>34369.004110000002</v>
      </c>
      <c r="J21" s="240"/>
      <c r="K21" s="240"/>
    </row>
    <row r="22" spans="1:12" s="232" customFormat="1" ht="21.75" thickBot="1" x14ac:dyDescent="0.3">
      <c r="A22" s="10" t="s">
        <v>13</v>
      </c>
      <c r="B22" s="157"/>
      <c r="C22" s="165"/>
      <c r="D22" s="11">
        <f t="shared" ref="D22" si="3">SUM(D21:D21)</f>
        <v>0</v>
      </c>
      <c r="E22" s="11">
        <f>SUM(E21:E21)</f>
        <v>5994.8141100000003</v>
      </c>
      <c r="F22" s="252">
        <f t="shared" ref="F22:G22" si="4">SUM(F21:F21)</f>
        <v>28374.19</v>
      </c>
      <c r="G22" s="11">
        <f t="shared" si="4"/>
        <v>0</v>
      </c>
      <c r="H22" s="238">
        <f>E22+F22+G22</f>
        <v>34369.004110000002</v>
      </c>
    </row>
    <row r="23" spans="1:12" s="232" customFormat="1" ht="25.5" customHeight="1" thickBot="1" x14ac:dyDescent="0.3">
      <c r="A23" s="14" t="s">
        <v>71</v>
      </c>
      <c r="B23" s="158"/>
      <c r="C23" s="166"/>
      <c r="D23" s="15">
        <f>D9+D13+D19+D22</f>
        <v>9117.9084500000008</v>
      </c>
      <c r="E23" s="15">
        <f t="shared" ref="E23:H23" si="5">E9+E13+E19+E22</f>
        <v>80893.156730000002</v>
      </c>
      <c r="F23" s="253">
        <f t="shared" si="5"/>
        <v>308203.22000000003</v>
      </c>
      <c r="G23" s="15">
        <f t="shared" si="5"/>
        <v>55250</v>
      </c>
      <c r="H23" s="16">
        <f t="shared" si="5"/>
        <v>453464.28518000001</v>
      </c>
      <c r="J23" s="243"/>
    </row>
    <row r="24" spans="1:12" s="232" customFormat="1" ht="12" customHeight="1" thickBot="1" x14ac:dyDescent="0.3">
      <c r="A24" s="17"/>
      <c r="B24" s="159"/>
      <c r="C24" s="167"/>
      <c r="D24" s="94"/>
      <c r="E24" s="94"/>
      <c r="F24" s="254"/>
      <c r="G24" s="94"/>
      <c r="H24" s="95"/>
    </row>
    <row r="25" spans="1:12" s="232" customFormat="1" ht="21" customHeight="1" x14ac:dyDescent="0.25">
      <c r="A25" s="369" t="s">
        <v>15</v>
      </c>
      <c r="B25" s="370"/>
      <c r="C25" s="370"/>
      <c r="D25" s="370"/>
      <c r="E25" s="370"/>
      <c r="F25" s="370"/>
      <c r="G25" s="370"/>
      <c r="H25" s="371"/>
    </row>
    <row r="26" spans="1:12" s="233" customFormat="1" ht="18" customHeight="1" x14ac:dyDescent="0.25">
      <c r="A26" s="372" t="s">
        <v>16</v>
      </c>
      <c r="B26" s="373"/>
      <c r="C26" s="373"/>
      <c r="D26" s="373"/>
      <c r="E26" s="373"/>
      <c r="F26" s="373"/>
      <c r="G26" s="373"/>
      <c r="H26" s="374"/>
    </row>
    <row r="27" spans="1:12" s="239" customFormat="1" ht="24" customHeight="1" x14ac:dyDescent="0.25">
      <c r="A27" s="234" t="s">
        <v>162</v>
      </c>
      <c r="B27" s="235" t="s">
        <v>189</v>
      </c>
      <c r="C27" s="236" t="s">
        <v>245</v>
      </c>
      <c r="D27" s="20">
        <v>0</v>
      </c>
      <c r="E27" s="172">
        <v>26500</v>
      </c>
      <c r="F27" s="31">
        <v>65500</v>
      </c>
      <c r="G27" s="20">
        <v>0</v>
      </c>
      <c r="H27" s="238">
        <f>D27+E27+F27+G27</f>
        <v>92000</v>
      </c>
    </row>
    <row r="28" spans="1:12" s="239" customFormat="1" ht="24" customHeight="1" x14ac:dyDescent="0.25">
      <c r="A28" s="234" t="s">
        <v>165</v>
      </c>
      <c r="B28" s="235" t="s">
        <v>191</v>
      </c>
      <c r="C28" s="236" t="s">
        <v>245</v>
      </c>
      <c r="D28" s="20">
        <v>0</v>
      </c>
      <c r="E28" s="172">
        <v>60000</v>
      </c>
      <c r="F28" s="31">
        <v>0</v>
      </c>
      <c r="G28" s="20">
        <v>0</v>
      </c>
      <c r="H28" s="238">
        <f>D28+E28+F28+G28</f>
        <v>60000</v>
      </c>
    </row>
    <row r="29" spans="1:12" s="239" customFormat="1" ht="15" customHeight="1" x14ac:dyDescent="0.25">
      <c r="A29" s="234" t="s">
        <v>180</v>
      </c>
      <c r="B29" s="235" t="s">
        <v>192</v>
      </c>
      <c r="C29" s="236" t="s">
        <v>247</v>
      </c>
      <c r="D29" s="20">
        <v>0</v>
      </c>
      <c r="E29" s="172">
        <v>0</v>
      </c>
      <c r="F29" s="31">
        <v>75300</v>
      </c>
      <c r="G29" s="20">
        <v>15000</v>
      </c>
      <c r="H29" s="238">
        <f>D29+E29+F29+G29</f>
        <v>90300</v>
      </c>
    </row>
    <row r="30" spans="1:12" s="239" customFormat="1" ht="15" customHeight="1" x14ac:dyDescent="0.25">
      <c r="A30" s="241" t="s">
        <v>17</v>
      </c>
      <c r="B30" s="235" t="s">
        <v>193</v>
      </c>
      <c r="C30" s="236" t="s">
        <v>247</v>
      </c>
      <c r="D30" s="20">
        <v>0</v>
      </c>
      <c r="E30" s="172">
        <v>421.08</v>
      </c>
      <c r="F30" s="31">
        <v>257056.92</v>
      </c>
      <c r="G30" s="20">
        <v>0</v>
      </c>
      <c r="H30" s="238">
        <f>D30+E30+F30+G30</f>
        <v>257478</v>
      </c>
    </row>
    <row r="31" spans="1:12" s="239" customFormat="1" ht="24" customHeight="1" x14ac:dyDescent="0.25">
      <c r="A31" s="241" t="s">
        <v>92</v>
      </c>
      <c r="B31" s="235" t="s">
        <v>194</v>
      </c>
      <c r="C31" s="236" t="s">
        <v>247</v>
      </c>
      <c r="D31" s="20">
        <v>0</v>
      </c>
      <c r="E31" s="172">
        <v>23024.390660000001</v>
      </c>
      <c r="F31" s="31">
        <v>37273.599999999999</v>
      </c>
      <c r="G31" s="20">
        <v>2702</v>
      </c>
      <c r="H31" s="238">
        <f>D31+E31+F31+G31</f>
        <v>62999.990659999996</v>
      </c>
    </row>
    <row r="32" spans="1:12" s="232" customFormat="1" ht="15" customHeight="1" x14ac:dyDescent="0.25">
      <c r="A32" s="10" t="s">
        <v>19</v>
      </c>
      <c r="B32" s="157"/>
      <c r="C32" s="165"/>
      <c r="D32" s="11">
        <f>SUM(D27:D31)</f>
        <v>0</v>
      </c>
      <c r="E32" s="11">
        <f>SUM(E27:E31)</f>
        <v>109945.47066000001</v>
      </c>
      <c r="F32" s="252">
        <f t="shared" ref="F32:G32" si="6">SUM(F27:F31)</f>
        <v>435130.52</v>
      </c>
      <c r="G32" s="11">
        <f t="shared" si="6"/>
        <v>17702</v>
      </c>
      <c r="H32" s="12">
        <f>SUM(H27:H31)</f>
        <v>562777.99066000001</v>
      </c>
      <c r="I32" s="243"/>
      <c r="J32" s="243"/>
    </row>
    <row r="33" spans="1:12" s="233" customFormat="1" ht="18" customHeight="1" x14ac:dyDescent="0.25">
      <c r="A33" s="372" t="s">
        <v>20</v>
      </c>
      <c r="B33" s="373"/>
      <c r="C33" s="373"/>
      <c r="D33" s="373"/>
      <c r="E33" s="373"/>
      <c r="F33" s="373"/>
      <c r="G33" s="373"/>
      <c r="H33" s="374"/>
    </row>
    <row r="34" spans="1:12" s="239" customFormat="1" ht="24" customHeight="1" x14ac:dyDescent="0.25">
      <c r="A34" s="21" t="s">
        <v>24</v>
      </c>
      <c r="B34" s="160" t="s">
        <v>195</v>
      </c>
      <c r="C34" s="236" t="s">
        <v>247</v>
      </c>
      <c r="D34" s="20">
        <v>375.1</v>
      </c>
      <c r="E34" s="172">
        <f>5000-5000</f>
        <v>0</v>
      </c>
      <c r="F34" s="31">
        <f>60000-60000</f>
        <v>0</v>
      </c>
      <c r="G34" s="20">
        <f>39557-39557</f>
        <v>0</v>
      </c>
      <c r="H34" s="238">
        <f>D34+E34+F34+G34</f>
        <v>375.1</v>
      </c>
    </row>
    <row r="35" spans="1:12" s="239" customFormat="1" ht="24" customHeight="1" x14ac:dyDescent="0.25">
      <c r="A35" s="21" t="s">
        <v>23</v>
      </c>
      <c r="B35" s="160" t="s">
        <v>196</v>
      </c>
      <c r="C35" s="236" t="s">
        <v>247</v>
      </c>
      <c r="D35" s="20">
        <v>615</v>
      </c>
      <c r="E35" s="172">
        <v>89.54</v>
      </c>
      <c r="F35" s="31">
        <v>50310.46</v>
      </c>
      <c r="G35" s="172">
        <v>0</v>
      </c>
      <c r="H35" s="238">
        <f>D35+E35+F35+G35</f>
        <v>51015</v>
      </c>
    </row>
    <row r="36" spans="1:12" s="232" customFormat="1" ht="15" customHeight="1" x14ac:dyDescent="0.25">
      <c r="A36" s="10" t="s">
        <v>27</v>
      </c>
      <c r="B36" s="157"/>
      <c r="C36" s="165"/>
      <c r="D36" s="11">
        <f t="shared" ref="D36:F36" si="7">SUM(D34:D35)</f>
        <v>990.1</v>
      </c>
      <c r="E36" s="11">
        <f>SUM(E34:E35)</f>
        <v>89.54</v>
      </c>
      <c r="F36" s="252">
        <f t="shared" si="7"/>
        <v>50310.46</v>
      </c>
      <c r="G36" s="11">
        <f>SUM(G34:G35)</f>
        <v>0</v>
      </c>
      <c r="H36" s="12">
        <f>SUM(H34:H35)</f>
        <v>51390.1</v>
      </c>
      <c r="I36" s="243"/>
    </row>
    <row r="37" spans="1:12" s="233" customFormat="1" ht="18" customHeight="1" x14ac:dyDescent="0.25">
      <c r="A37" s="372" t="s">
        <v>6</v>
      </c>
      <c r="B37" s="373"/>
      <c r="C37" s="373"/>
      <c r="D37" s="373"/>
      <c r="E37" s="373"/>
      <c r="F37" s="373"/>
      <c r="G37" s="373"/>
      <c r="H37" s="374"/>
    </row>
    <row r="38" spans="1:12" s="239" customFormat="1" ht="24" customHeight="1" x14ac:dyDescent="0.25">
      <c r="A38" s="234" t="s">
        <v>110</v>
      </c>
      <c r="B38" s="235" t="s">
        <v>198</v>
      </c>
      <c r="C38" s="236" t="s">
        <v>247</v>
      </c>
      <c r="D38" s="20">
        <v>11814</v>
      </c>
      <c r="E38" s="172">
        <v>0</v>
      </c>
      <c r="F38" s="31">
        <v>0</v>
      </c>
      <c r="G38" s="172">
        <v>0</v>
      </c>
      <c r="H38" s="238">
        <f t="shared" ref="H38:H43" si="8">D38+E38+F38+G38</f>
        <v>11814</v>
      </c>
    </row>
    <row r="39" spans="1:12" s="239" customFormat="1" ht="24" customHeight="1" x14ac:dyDescent="0.25">
      <c r="A39" s="23" t="s">
        <v>111</v>
      </c>
      <c r="B39" s="161" t="s">
        <v>199</v>
      </c>
      <c r="C39" s="236" t="s">
        <v>247</v>
      </c>
      <c r="D39" s="20">
        <v>6329.88</v>
      </c>
      <c r="E39" s="172">
        <v>0</v>
      </c>
      <c r="F39" s="31">
        <v>0</v>
      </c>
      <c r="G39" s="172">
        <v>0</v>
      </c>
      <c r="H39" s="238">
        <f t="shared" si="8"/>
        <v>6329.88</v>
      </c>
    </row>
    <row r="40" spans="1:12" s="239" customFormat="1" ht="24" customHeight="1" x14ac:dyDescent="0.25">
      <c r="A40" s="23" t="s">
        <v>113</v>
      </c>
      <c r="B40" s="161" t="s">
        <v>200</v>
      </c>
      <c r="C40" s="236" t="s">
        <v>247</v>
      </c>
      <c r="D40" s="20">
        <v>12143.58</v>
      </c>
      <c r="E40" s="172">
        <v>1042.1199999999999</v>
      </c>
      <c r="F40" s="31">
        <v>0</v>
      </c>
      <c r="G40" s="172">
        <v>0</v>
      </c>
      <c r="H40" s="238">
        <f t="shared" si="8"/>
        <v>13185.7</v>
      </c>
    </row>
    <row r="41" spans="1:12" s="239" customFormat="1" ht="24" customHeight="1" x14ac:dyDescent="0.25">
      <c r="A41" s="23" t="s">
        <v>31</v>
      </c>
      <c r="B41" s="161" t="s">
        <v>201</v>
      </c>
      <c r="C41" s="236" t="s">
        <v>247</v>
      </c>
      <c r="D41" s="20">
        <v>10650</v>
      </c>
      <c r="E41" s="172">
        <v>0</v>
      </c>
      <c r="F41" s="31">
        <v>2850</v>
      </c>
      <c r="G41" s="172">
        <v>0</v>
      </c>
      <c r="H41" s="238">
        <f t="shared" si="8"/>
        <v>13500</v>
      </c>
    </row>
    <row r="42" spans="1:12" s="239" customFormat="1" ht="24" customHeight="1" x14ac:dyDescent="0.25">
      <c r="A42" s="234" t="s">
        <v>29</v>
      </c>
      <c r="B42" s="235" t="s">
        <v>202</v>
      </c>
      <c r="C42" s="236" t="s">
        <v>239</v>
      </c>
      <c r="D42" s="20">
        <v>0</v>
      </c>
      <c r="E42" s="172">
        <v>0</v>
      </c>
      <c r="F42" s="31">
        <v>117492</v>
      </c>
      <c r="G42" s="172">
        <v>0</v>
      </c>
      <c r="H42" s="238">
        <f t="shared" si="8"/>
        <v>117492</v>
      </c>
      <c r="J42" s="240"/>
      <c r="K42" s="240"/>
      <c r="L42" s="240"/>
    </row>
    <row r="43" spans="1:12" s="239" customFormat="1" ht="15" customHeight="1" x14ac:dyDescent="0.25">
      <c r="A43" s="23" t="s">
        <v>30</v>
      </c>
      <c r="B43" s="161" t="s">
        <v>203</v>
      </c>
      <c r="C43" s="168" t="s">
        <v>239</v>
      </c>
      <c r="D43" s="20">
        <v>1446.18</v>
      </c>
      <c r="E43" s="172">
        <v>14564.74171</v>
      </c>
      <c r="F43" s="31">
        <v>240235.1</v>
      </c>
      <c r="G43" s="172">
        <v>0</v>
      </c>
      <c r="H43" s="238">
        <f t="shared" si="8"/>
        <v>256246.02171</v>
      </c>
      <c r="J43" s="240"/>
      <c r="K43" s="240"/>
      <c r="L43" s="240"/>
    </row>
    <row r="44" spans="1:12" s="232" customFormat="1" ht="15" customHeight="1" x14ac:dyDescent="0.25">
      <c r="A44" s="10" t="s">
        <v>9</v>
      </c>
      <c r="B44" s="157"/>
      <c r="C44" s="165"/>
      <c r="D44" s="11">
        <f>SUM(D38:D43)</f>
        <v>42383.64</v>
      </c>
      <c r="E44" s="11">
        <f>SUM(E38:E43)</f>
        <v>15606.861710000001</v>
      </c>
      <c r="F44" s="252">
        <f>SUM(F38:F43)</f>
        <v>360577.1</v>
      </c>
      <c r="G44" s="11">
        <f t="shared" ref="G44" si="9">SUM(G38:G43)</f>
        <v>0</v>
      </c>
      <c r="H44" s="12">
        <f>SUM(H38:H43)</f>
        <v>418567.60171000002</v>
      </c>
    </row>
    <row r="45" spans="1:12" s="233" customFormat="1" ht="18" customHeight="1" x14ac:dyDescent="0.25">
      <c r="A45" s="372" t="s">
        <v>32</v>
      </c>
      <c r="B45" s="373"/>
      <c r="C45" s="373"/>
      <c r="D45" s="373"/>
      <c r="E45" s="373"/>
      <c r="F45" s="373"/>
      <c r="G45" s="373"/>
      <c r="H45" s="374"/>
      <c r="L45" s="244"/>
    </row>
    <row r="46" spans="1:12" s="233" customFormat="1" ht="24" customHeight="1" x14ac:dyDescent="0.25">
      <c r="A46" s="234" t="s">
        <v>33</v>
      </c>
      <c r="B46" s="235" t="s">
        <v>204</v>
      </c>
      <c r="C46" s="236" t="s">
        <v>247</v>
      </c>
      <c r="D46" s="20">
        <v>95.59</v>
      </c>
      <c r="E46" s="172">
        <v>44904.41</v>
      </c>
      <c r="F46" s="31">
        <v>0</v>
      </c>
      <c r="G46" s="172">
        <v>0</v>
      </c>
      <c r="H46" s="238">
        <f t="shared" ref="H46:H71" si="10">D46+E46+F46+G46</f>
        <v>45000</v>
      </c>
    </row>
    <row r="47" spans="1:12" s="233" customFormat="1" ht="24" customHeight="1" x14ac:dyDescent="0.25">
      <c r="A47" s="23" t="s">
        <v>39</v>
      </c>
      <c r="B47" s="161" t="s">
        <v>205</v>
      </c>
      <c r="C47" s="236" t="s">
        <v>247</v>
      </c>
      <c r="D47" s="20">
        <v>50386.47</v>
      </c>
      <c r="E47" s="172">
        <v>3269.53</v>
      </c>
      <c r="F47" s="31">
        <v>0</v>
      </c>
      <c r="G47" s="172">
        <v>0</v>
      </c>
      <c r="H47" s="238">
        <f t="shared" si="10"/>
        <v>53656</v>
      </c>
    </row>
    <row r="48" spans="1:12" s="233" customFormat="1" ht="24" customHeight="1" x14ac:dyDescent="0.25">
      <c r="A48" s="23" t="s">
        <v>43</v>
      </c>
      <c r="B48" s="161" t="s">
        <v>206</v>
      </c>
      <c r="C48" s="236" t="s">
        <v>247</v>
      </c>
      <c r="D48" s="20">
        <v>30678.01</v>
      </c>
      <c r="E48" s="172">
        <v>0</v>
      </c>
      <c r="F48" s="31">
        <v>0</v>
      </c>
      <c r="G48" s="172">
        <v>0</v>
      </c>
      <c r="H48" s="238">
        <f t="shared" si="10"/>
        <v>30678.01</v>
      </c>
    </row>
    <row r="49" spans="1:9" s="233" customFormat="1" ht="24" customHeight="1" x14ac:dyDescent="0.25">
      <c r="A49" s="234" t="s">
        <v>44</v>
      </c>
      <c r="B49" s="235" t="s">
        <v>207</v>
      </c>
      <c r="C49" s="236" t="s">
        <v>247</v>
      </c>
      <c r="D49" s="20">
        <v>40000</v>
      </c>
      <c r="E49" s="172">
        <v>0</v>
      </c>
      <c r="F49" s="31">
        <v>0</v>
      </c>
      <c r="G49" s="172">
        <v>0</v>
      </c>
      <c r="H49" s="238">
        <f t="shared" si="10"/>
        <v>40000</v>
      </c>
    </row>
    <row r="50" spans="1:9" s="233" customFormat="1" ht="24" customHeight="1" x14ac:dyDescent="0.25">
      <c r="A50" s="234" t="s">
        <v>208</v>
      </c>
      <c r="B50" s="235" t="s">
        <v>209</v>
      </c>
      <c r="C50" s="236" t="s">
        <v>247</v>
      </c>
      <c r="D50" s="20">
        <v>6200</v>
      </c>
      <c r="E50" s="172">
        <v>0</v>
      </c>
      <c r="F50" s="31">
        <v>0</v>
      </c>
      <c r="G50" s="172">
        <v>0</v>
      </c>
      <c r="H50" s="238">
        <f t="shared" si="10"/>
        <v>6200</v>
      </c>
    </row>
    <row r="51" spans="1:9" s="233" customFormat="1" ht="24" customHeight="1" x14ac:dyDescent="0.25">
      <c r="A51" s="23" t="s">
        <v>89</v>
      </c>
      <c r="B51" s="161" t="s">
        <v>210</v>
      </c>
      <c r="C51" s="236" t="s">
        <v>247</v>
      </c>
      <c r="D51" s="20">
        <v>7025.05</v>
      </c>
      <c r="E51" s="172">
        <v>2094.9499999999998</v>
      </c>
      <c r="F51" s="31">
        <v>0</v>
      </c>
      <c r="G51" s="172">
        <v>0</v>
      </c>
      <c r="H51" s="238">
        <f t="shared" si="10"/>
        <v>9120</v>
      </c>
    </row>
    <row r="52" spans="1:9" s="233" customFormat="1" ht="24" customHeight="1" x14ac:dyDescent="0.25">
      <c r="A52" s="234" t="s">
        <v>131</v>
      </c>
      <c r="B52" s="235" t="s">
        <v>211</v>
      </c>
      <c r="C52" s="236" t="s">
        <v>247</v>
      </c>
      <c r="D52" s="20">
        <v>7949.67</v>
      </c>
      <c r="E52" s="172">
        <v>0</v>
      </c>
      <c r="F52" s="31">
        <v>0</v>
      </c>
      <c r="G52" s="172">
        <v>0</v>
      </c>
      <c r="H52" s="238">
        <f t="shared" si="10"/>
        <v>7949.67</v>
      </c>
    </row>
    <row r="53" spans="1:9" s="233" customFormat="1" ht="24" customHeight="1" x14ac:dyDescent="0.25">
      <c r="A53" s="234" t="s">
        <v>172</v>
      </c>
      <c r="B53" s="235" t="s">
        <v>212</v>
      </c>
      <c r="C53" s="236" t="s">
        <v>247</v>
      </c>
      <c r="D53" s="20">
        <v>0</v>
      </c>
      <c r="E53" s="20">
        <v>13942.72262</v>
      </c>
      <c r="F53" s="31">
        <v>0</v>
      </c>
      <c r="G53" s="172">
        <v>0</v>
      </c>
      <c r="H53" s="238">
        <f t="shared" si="10"/>
        <v>13942.72262</v>
      </c>
    </row>
    <row r="54" spans="1:9" s="233" customFormat="1" ht="24" customHeight="1" x14ac:dyDescent="0.25">
      <c r="A54" s="234" t="s">
        <v>34</v>
      </c>
      <c r="B54" s="195" t="s">
        <v>213</v>
      </c>
      <c r="C54" s="236" t="s">
        <v>247</v>
      </c>
      <c r="D54" s="20">
        <v>0</v>
      </c>
      <c r="E54" s="172">
        <v>325.27999999999997</v>
      </c>
      <c r="F54" s="31">
        <v>387.72</v>
      </c>
      <c r="G54" s="172">
        <v>0</v>
      </c>
      <c r="H54" s="238">
        <f t="shared" si="10"/>
        <v>713</v>
      </c>
    </row>
    <row r="55" spans="1:9" s="233" customFormat="1" ht="24" customHeight="1" x14ac:dyDescent="0.25">
      <c r="A55" s="234" t="s">
        <v>42</v>
      </c>
      <c r="B55" s="235" t="s">
        <v>214</v>
      </c>
      <c r="C55" s="236" t="s">
        <v>247</v>
      </c>
      <c r="D55" s="20">
        <v>43980.06</v>
      </c>
      <c r="E55" s="20">
        <v>1584.91535</v>
      </c>
      <c r="F55" s="31">
        <v>12135.02</v>
      </c>
      <c r="G55" s="172">
        <v>0</v>
      </c>
      <c r="H55" s="238">
        <f t="shared" si="10"/>
        <v>57699.995349999997</v>
      </c>
    </row>
    <row r="56" spans="1:9" s="233" customFormat="1" ht="24" customHeight="1" x14ac:dyDescent="0.25">
      <c r="A56" s="234" t="s">
        <v>45</v>
      </c>
      <c r="B56" s="161" t="s">
        <v>215</v>
      </c>
      <c r="C56" s="236" t="s">
        <v>247</v>
      </c>
      <c r="D56" s="20">
        <v>500</v>
      </c>
      <c r="E56" s="20">
        <v>196.96</v>
      </c>
      <c r="F56" s="31">
        <v>60703.040000000001</v>
      </c>
      <c r="G56" s="172">
        <v>11950.5</v>
      </c>
      <c r="H56" s="238">
        <f t="shared" si="10"/>
        <v>73350.5</v>
      </c>
    </row>
    <row r="57" spans="1:9" s="233" customFormat="1" ht="33.950000000000003" customHeight="1" x14ac:dyDescent="0.25">
      <c r="A57" s="234" t="s">
        <v>36</v>
      </c>
      <c r="B57" s="161" t="s">
        <v>216</v>
      </c>
      <c r="C57" s="236" t="s">
        <v>256</v>
      </c>
      <c r="D57" s="24">
        <v>18811.419999999998</v>
      </c>
      <c r="E57" s="20">
        <v>25877.71342</v>
      </c>
      <c r="F57" s="31">
        <v>268.05</v>
      </c>
      <c r="G57" s="172">
        <v>0</v>
      </c>
      <c r="H57" s="238">
        <f t="shared" si="10"/>
        <v>44957.183420000001</v>
      </c>
    </row>
    <row r="58" spans="1:9" s="233" customFormat="1" ht="33.950000000000003" customHeight="1" x14ac:dyDescent="0.25">
      <c r="A58" s="234" t="s">
        <v>81</v>
      </c>
      <c r="B58" s="161" t="s">
        <v>217</v>
      </c>
      <c r="C58" s="236" t="s">
        <v>277</v>
      </c>
      <c r="D58" s="24">
        <v>0</v>
      </c>
      <c r="E58" s="20">
        <v>0</v>
      </c>
      <c r="F58" s="31">
        <v>6500</v>
      </c>
      <c r="G58" s="172">
        <v>0</v>
      </c>
      <c r="H58" s="238">
        <f t="shared" si="10"/>
        <v>6500</v>
      </c>
    </row>
    <row r="59" spans="1:9" s="233" customFormat="1" ht="24" customHeight="1" x14ac:dyDescent="0.25">
      <c r="A59" s="241" t="s">
        <v>38</v>
      </c>
      <c r="B59" s="235" t="s">
        <v>218</v>
      </c>
      <c r="C59" s="236" t="s">
        <v>247</v>
      </c>
      <c r="D59" s="20">
        <v>803.35</v>
      </c>
      <c r="E59" s="20">
        <v>51491.672209999997</v>
      </c>
      <c r="F59" s="31">
        <v>153703.97</v>
      </c>
      <c r="G59" s="172">
        <v>0</v>
      </c>
      <c r="H59" s="238">
        <f t="shared" si="10"/>
        <v>205998.99221</v>
      </c>
      <c r="I59" s="244"/>
    </row>
    <row r="60" spans="1:9" s="233" customFormat="1" ht="33.950000000000003" customHeight="1" x14ac:dyDescent="0.25">
      <c r="A60" s="234" t="s">
        <v>41</v>
      </c>
      <c r="B60" s="161" t="s">
        <v>219</v>
      </c>
      <c r="C60" s="236" t="s">
        <v>247</v>
      </c>
      <c r="D60" s="24">
        <v>0</v>
      </c>
      <c r="E60" s="172">
        <v>0</v>
      </c>
      <c r="F60" s="31">
        <v>38000</v>
      </c>
      <c r="G60" s="20">
        <v>24000</v>
      </c>
      <c r="H60" s="238">
        <f t="shared" si="10"/>
        <v>62000</v>
      </c>
    </row>
    <row r="61" spans="1:9" s="233" customFormat="1" ht="24" customHeight="1" x14ac:dyDescent="0.25">
      <c r="A61" s="234" t="s">
        <v>80</v>
      </c>
      <c r="B61" s="235" t="s">
        <v>220</v>
      </c>
      <c r="C61" s="236" t="s">
        <v>247</v>
      </c>
      <c r="D61" s="20">
        <v>0</v>
      </c>
      <c r="E61" s="172">
        <v>263.57</v>
      </c>
      <c r="F61" s="31">
        <v>18586.43</v>
      </c>
      <c r="G61" s="172">
        <v>0</v>
      </c>
      <c r="H61" s="238">
        <f t="shared" si="10"/>
        <v>18850</v>
      </c>
    </row>
    <row r="62" spans="1:9" s="233" customFormat="1" ht="24" customHeight="1" x14ac:dyDescent="0.25">
      <c r="A62" s="234" t="s">
        <v>68</v>
      </c>
      <c r="B62" s="235" t="s">
        <v>221</v>
      </c>
      <c r="C62" s="236" t="s">
        <v>247</v>
      </c>
      <c r="D62" s="20">
        <v>0</v>
      </c>
      <c r="E62" s="172">
        <v>188.41300000000001</v>
      </c>
      <c r="F62" s="31">
        <v>1901.58</v>
      </c>
      <c r="G62" s="172">
        <v>0</v>
      </c>
      <c r="H62" s="238">
        <f t="shared" si="10"/>
        <v>2089.9929999999999</v>
      </c>
    </row>
    <row r="63" spans="1:9" s="233" customFormat="1" ht="24" customHeight="1" x14ac:dyDescent="0.25">
      <c r="A63" s="234" t="s">
        <v>40</v>
      </c>
      <c r="B63" s="235" t="s">
        <v>222</v>
      </c>
      <c r="C63" s="236" t="s">
        <v>247</v>
      </c>
      <c r="D63" s="20">
        <v>0</v>
      </c>
      <c r="E63" s="20">
        <v>24042.860769999999</v>
      </c>
      <c r="F63" s="31">
        <v>957.14</v>
      </c>
      <c r="G63" s="172">
        <v>0</v>
      </c>
      <c r="H63" s="238">
        <f t="shared" si="10"/>
        <v>25000.000769999999</v>
      </c>
    </row>
    <row r="64" spans="1:9" s="233" customFormat="1" ht="33.950000000000003" customHeight="1" x14ac:dyDescent="0.25">
      <c r="A64" s="234" t="s">
        <v>37</v>
      </c>
      <c r="B64" s="161" t="s">
        <v>223</v>
      </c>
      <c r="C64" s="236" t="s">
        <v>247</v>
      </c>
      <c r="D64" s="24">
        <v>0</v>
      </c>
      <c r="E64" s="192">
        <v>9.1709999999999994</v>
      </c>
      <c r="F64" s="55">
        <v>11125.82</v>
      </c>
      <c r="G64" s="172">
        <v>0</v>
      </c>
      <c r="H64" s="238">
        <f t="shared" si="10"/>
        <v>11134.991</v>
      </c>
    </row>
    <row r="65" spans="1:10" s="233" customFormat="1" ht="24" customHeight="1" x14ac:dyDescent="0.25">
      <c r="A65" s="234" t="s">
        <v>69</v>
      </c>
      <c r="B65" s="161" t="s">
        <v>224</v>
      </c>
      <c r="C65" s="236" t="s">
        <v>247</v>
      </c>
      <c r="D65" s="20">
        <v>28.6</v>
      </c>
      <c r="E65" s="192">
        <v>62.500129999999999</v>
      </c>
      <c r="F65" s="31">
        <v>9973.49</v>
      </c>
      <c r="G65" s="172">
        <v>0</v>
      </c>
      <c r="H65" s="238">
        <f t="shared" si="10"/>
        <v>10064.59013</v>
      </c>
    </row>
    <row r="66" spans="1:10" s="239" customFormat="1" ht="15" customHeight="1" x14ac:dyDescent="0.25">
      <c r="A66" s="234" t="s">
        <v>88</v>
      </c>
      <c r="B66" s="160" t="s">
        <v>225</v>
      </c>
      <c r="C66" s="236" t="s">
        <v>247</v>
      </c>
      <c r="D66" s="245">
        <v>0</v>
      </c>
      <c r="E66" s="246">
        <v>0</v>
      </c>
      <c r="F66" s="255">
        <v>70500</v>
      </c>
      <c r="G66" s="172">
        <v>0</v>
      </c>
      <c r="H66" s="238">
        <f t="shared" si="10"/>
        <v>70500</v>
      </c>
    </row>
    <row r="67" spans="1:10" s="233" customFormat="1" ht="24" customHeight="1" x14ac:dyDescent="0.25">
      <c r="A67" s="234" t="s">
        <v>90</v>
      </c>
      <c r="B67" s="235" t="s">
        <v>226</v>
      </c>
      <c r="C67" s="236" t="s">
        <v>247</v>
      </c>
      <c r="D67" s="20">
        <v>127.05</v>
      </c>
      <c r="E67" s="172">
        <v>554.17999999999995</v>
      </c>
      <c r="F67" s="31">
        <v>20818.82</v>
      </c>
      <c r="G67" s="172">
        <v>0</v>
      </c>
      <c r="H67" s="238">
        <f>D67+E67+F67+G67</f>
        <v>21500.05</v>
      </c>
    </row>
    <row r="68" spans="1:10" s="233" customFormat="1" ht="24" customHeight="1" x14ac:dyDescent="0.25">
      <c r="A68" s="234" t="s">
        <v>91</v>
      </c>
      <c r="B68" s="161" t="s">
        <v>227</v>
      </c>
      <c r="C68" s="236" t="s">
        <v>247</v>
      </c>
      <c r="D68" s="20">
        <v>17970.75</v>
      </c>
      <c r="E68" s="172">
        <v>7029.2466400000003</v>
      </c>
      <c r="F68" s="31">
        <v>0</v>
      </c>
      <c r="G68" s="183">
        <v>0</v>
      </c>
      <c r="H68" s="238">
        <f t="shared" si="10"/>
        <v>24999.996640000001</v>
      </c>
    </row>
    <row r="69" spans="1:10" s="233" customFormat="1" ht="24" customHeight="1" x14ac:dyDescent="0.25">
      <c r="A69" s="234" t="s">
        <v>262</v>
      </c>
      <c r="B69" s="161" t="s">
        <v>263</v>
      </c>
      <c r="C69" s="236" t="s">
        <v>247</v>
      </c>
      <c r="D69" s="20">
        <v>0</v>
      </c>
      <c r="E69" s="192">
        <v>11095.038860000001</v>
      </c>
      <c r="F69" s="31">
        <v>0</v>
      </c>
      <c r="G69" s="183">
        <v>0</v>
      </c>
      <c r="H69" s="238">
        <f t="shared" si="10"/>
        <v>11095.038860000001</v>
      </c>
    </row>
    <row r="70" spans="1:10" s="233" customFormat="1" ht="24" customHeight="1" x14ac:dyDescent="0.25">
      <c r="A70" s="234" t="s">
        <v>304</v>
      </c>
      <c r="B70" s="161" t="s">
        <v>266</v>
      </c>
      <c r="C70" s="236" t="s">
        <v>247</v>
      </c>
      <c r="D70" s="20">
        <v>0</v>
      </c>
      <c r="E70" s="192">
        <v>9081.3629999999994</v>
      </c>
      <c r="F70" s="31">
        <v>0</v>
      </c>
      <c r="G70" s="183">
        <v>0</v>
      </c>
      <c r="H70" s="238">
        <f t="shared" si="10"/>
        <v>9081.3629999999994</v>
      </c>
    </row>
    <row r="71" spans="1:10" s="233" customFormat="1" ht="24" customHeight="1" x14ac:dyDescent="0.25">
      <c r="A71" s="234" t="s">
        <v>306</v>
      </c>
      <c r="B71" s="161" t="s">
        <v>307</v>
      </c>
      <c r="C71" s="236" t="s">
        <v>247</v>
      </c>
      <c r="D71" s="20">
        <v>0</v>
      </c>
      <c r="E71" s="24">
        <v>0</v>
      </c>
      <c r="F71" s="31">
        <v>0</v>
      </c>
      <c r="G71" s="183">
        <v>16614</v>
      </c>
      <c r="H71" s="238">
        <f t="shared" si="10"/>
        <v>16614</v>
      </c>
    </row>
    <row r="72" spans="1:10" s="232" customFormat="1" ht="15" customHeight="1" x14ac:dyDescent="0.25">
      <c r="A72" s="10" t="s">
        <v>47</v>
      </c>
      <c r="B72" s="157"/>
      <c r="C72" s="165"/>
      <c r="D72" s="11">
        <f t="shared" ref="D72:H72" si="11">SUM(D46:D71)</f>
        <v>224556.02000000002</v>
      </c>
      <c r="E72" s="11">
        <f>SUM(E46:E71)</f>
        <v>196014.497</v>
      </c>
      <c r="F72" s="252">
        <f t="shared" ref="F72:G72" si="12">SUM(F46:F71)</f>
        <v>405561.08</v>
      </c>
      <c r="G72" s="11">
        <f t="shared" si="12"/>
        <v>52564.5</v>
      </c>
      <c r="H72" s="12">
        <f t="shared" si="11"/>
        <v>878696.09700000018</v>
      </c>
      <c r="I72" s="243"/>
      <c r="J72" s="243"/>
    </row>
    <row r="73" spans="1:10" s="233" customFormat="1" ht="18" customHeight="1" x14ac:dyDescent="0.25">
      <c r="A73" s="372" t="s">
        <v>48</v>
      </c>
      <c r="B73" s="373"/>
      <c r="C73" s="373"/>
      <c r="D73" s="373"/>
      <c r="E73" s="373"/>
      <c r="F73" s="373"/>
      <c r="G73" s="373"/>
      <c r="H73" s="374"/>
      <c r="I73" s="244"/>
    </row>
    <row r="74" spans="1:10" s="233" customFormat="1" ht="24" customHeight="1" x14ac:dyDescent="0.25">
      <c r="A74" s="21" t="s">
        <v>97</v>
      </c>
      <c r="B74" s="160" t="s">
        <v>228</v>
      </c>
      <c r="C74" s="236" t="s">
        <v>247</v>
      </c>
      <c r="D74" s="20">
        <v>14723.48</v>
      </c>
      <c r="E74" s="172">
        <v>6976.5198700000001</v>
      </c>
      <c r="F74" s="31">
        <v>0</v>
      </c>
      <c r="G74" s="20">
        <v>0</v>
      </c>
      <c r="H74" s="238">
        <f t="shared" ref="H74:H87" si="13">D74+E74+F74+G74</f>
        <v>21699.99987</v>
      </c>
    </row>
    <row r="75" spans="1:10" s="233" customFormat="1" ht="24" customHeight="1" x14ac:dyDescent="0.25">
      <c r="A75" s="21" t="s">
        <v>176</v>
      </c>
      <c r="B75" s="160" t="s">
        <v>229</v>
      </c>
      <c r="C75" s="236" t="s">
        <v>247</v>
      </c>
      <c r="D75" s="24">
        <v>22241.64</v>
      </c>
      <c r="E75" s="192">
        <v>0</v>
      </c>
      <c r="F75" s="55">
        <v>0</v>
      </c>
      <c r="G75" s="24">
        <v>0</v>
      </c>
      <c r="H75" s="238">
        <f t="shared" si="13"/>
        <v>22241.64</v>
      </c>
    </row>
    <row r="76" spans="1:10" s="233" customFormat="1" ht="24" customHeight="1" x14ac:dyDescent="0.25">
      <c r="A76" s="21" t="s">
        <v>141</v>
      </c>
      <c r="B76" s="160" t="s">
        <v>230</v>
      </c>
      <c r="C76" s="236" t="s">
        <v>247</v>
      </c>
      <c r="D76" s="20">
        <v>20898.27</v>
      </c>
      <c r="E76" s="172">
        <v>0</v>
      </c>
      <c r="F76" s="31">
        <v>0</v>
      </c>
      <c r="G76" s="20">
        <v>0</v>
      </c>
      <c r="H76" s="238">
        <f t="shared" si="13"/>
        <v>20898.27</v>
      </c>
    </row>
    <row r="77" spans="1:10" s="233" customFormat="1" ht="24" customHeight="1" x14ac:dyDescent="0.25">
      <c r="A77" s="21" t="s">
        <v>143</v>
      </c>
      <c r="B77" s="160" t="s">
        <v>231</v>
      </c>
      <c r="C77" s="236" t="s">
        <v>247</v>
      </c>
      <c r="D77" s="20">
        <v>28727.64</v>
      </c>
      <c r="E77" s="172">
        <v>0</v>
      </c>
      <c r="F77" s="31">
        <v>0</v>
      </c>
      <c r="G77" s="20">
        <v>0</v>
      </c>
      <c r="H77" s="238">
        <f t="shared" si="13"/>
        <v>28727.64</v>
      </c>
    </row>
    <row r="78" spans="1:10" s="233" customFormat="1" ht="24" customHeight="1" x14ac:dyDescent="0.25">
      <c r="A78" s="21" t="s">
        <v>145</v>
      </c>
      <c r="B78" s="160" t="s">
        <v>232</v>
      </c>
      <c r="C78" s="236" t="s">
        <v>247</v>
      </c>
      <c r="D78" s="20">
        <v>11437.7</v>
      </c>
      <c r="E78" s="172">
        <v>0</v>
      </c>
      <c r="F78" s="31">
        <v>0</v>
      </c>
      <c r="G78" s="20">
        <v>0</v>
      </c>
      <c r="H78" s="238">
        <f t="shared" si="13"/>
        <v>11437.7</v>
      </c>
    </row>
    <row r="79" spans="1:10" s="233" customFormat="1" ht="24" customHeight="1" x14ac:dyDescent="0.25">
      <c r="A79" s="21" t="s">
        <v>147</v>
      </c>
      <c r="B79" s="160" t="s">
        <v>233</v>
      </c>
      <c r="C79" s="236" t="s">
        <v>247</v>
      </c>
      <c r="D79" s="20">
        <v>11567.78</v>
      </c>
      <c r="E79" s="172">
        <v>0</v>
      </c>
      <c r="F79" s="31">
        <v>0</v>
      </c>
      <c r="G79" s="20">
        <v>0</v>
      </c>
      <c r="H79" s="238">
        <f t="shared" si="13"/>
        <v>11567.78</v>
      </c>
    </row>
    <row r="80" spans="1:10" s="233" customFormat="1" ht="15" customHeight="1" x14ac:dyDescent="0.25">
      <c r="A80" s="21" t="s">
        <v>175</v>
      </c>
      <c r="B80" s="160" t="s">
        <v>234</v>
      </c>
      <c r="C80" s="236" t="s">
        <v>247</v>
      </c>
      <c r="D80" s="20">
        <v>1099.1500000000001</v>
      </c>
      <c r="E80" s="172">
        <v>0</v>
      </c>
      <c r="F80" s="31">
        <v>22900.85</v>
      </c>
      <c r="G80" s="20">
        <v>0</v>
      </c>
      <c r="H80" s="238">
        <f t="shared" si="13"/>
        <v>24000</v>
      </c>
    </row>
    <row r="81" spans="1:10" s="233" customFormat="1" ht="24" customHeight="1" x14ac:dyDescent="0.25">
      <c r="A81" s="21" t="s">
        <v>50</v>
      </c>
      <c r="B81" s="160" t="s">
        <v>235</v>
      </c>
      <c r="C81" s="236" t="s">
        <v>247</v>
      </c>
      <c r="D81" s="20">
        <v>34.11</v>
      </c>
      <c r="E81" s="172">
        <v>93382</v>
      </c>
      <c r="F81" s="31">
        <v>50000</v>
      </c>
      <c r="G81" s="20">
        <v>0</v>
      </c>
      <c r="H81" s="238">
        <f t="shared" si="13"/>
        <v>143416.10999999999</v>
      </c>
    </row>
    <row r="82" spans="1:10" s="233" customFormat="1" ht="24" customHeight="1" x14ac:dyDescent="0.25">
      <c r="A82" s="23" t="s">
        <v>49</v>
      </c>
      <c r="B82" s="160" t="s">
        <v>236</v>
      </c>
      <c r="C82" s="236" t="s">
        <v>247</v>
      </c>
      <c r="D82" s="24">
        <v>29.04</v>
      </c>
      <c r="E82" s="172">
        <v>262.20699999999999</v>
      </c>
      <c r="F82" s="55">
        <v>104708.76</v>
      </c>
      <c r="G82" s="24">
        <v>0</v>
      </c>
      <c r="H82" s="238">
        <f t="shared" si="13"/>
        <v>105000.007</v>
      </c>
    </row>
    <row r="83" spans="1:10" s="233" customFormat="1" ht="24" customHeight="1" x14ac:dyDescent="0.25">
      <c r="A83" s="23" t="s">
        <v>308</v>
      </c>
      <c r="B83" s="160" t="s">
        <v>286</v>
      </c>
      <c r="C83" s="236" t="s">
        <v>247</v>
      </c>
      <c r="D83" s="24">
        <v>0</v>
      </c>
      <c r="E83" s="172">
        <v>1073.91875</v>
      </c>
      <c r="F83" s="55">
        <v>29126.09</v>
      </c>
      <c r="G83" s="24">
        <v>0</v>
      </c>
      <c r="H83" s="238">
        <f t="shared" si="13"/>
        <v>30200.008750000001</v>
      </c>
    </row>
    <row r="84" spans="1:10" s="233" customFormat="1" ht="24" customHeight="1" x14ac:dyDescent="0.25">
      <c r="A84" s="23" t="s">
        <v>309</v>
      </c>
      <c r="B84" s="160" t="s">
        <v>284</v>
      </c>
      <c r="C84" s="236" t="s">
        <v>247</v>
      </c>
      <c r="D84" s="24">
        <v>0</v>
      </c>
      <c r="E84" s="172">
        <v>25.52</v>
      </c>
      <c r="F84" s="55">
        <v>179974.48</v>
      </c>
      <c r="G84" s="24">
        <v>0</v>
      </c>
      <c r="H84" s="238">
        <f t="shared" si="13"/>
        <v>180000</v>
      </c>
    </row>
    <row r="85" spans="1:10" s="239" customFormat="1" ht="24" customHeight="1" x14ac:dyDescent="0.25">
      <c r="A85" s="234" t="s">
        <v>310</v>
      </c>
      <c r="B85" s="235" t="s">
        <v>289</v>
      </c>
      <c r="C85" s="236" t="s">
        <v>247</v>
      </c>
      <c r="D85" s="237">
        <v>0</v>
      </c>
      <c r="E85" s="237">
        <v>0</v>
      </c>
      <c r="F85" s="251">
        <v>2000</v>
      </c>
      <c r="G85" s="242">
        <v>0</v>
      </c>
      <c r="H85" s="238">
        <f t="shared" si="13"/>
        <v>2000</v>
      </c>
    </row>
    <row r="86" spans="1:10" s="239" customFormat="1" ht="24" customHeight="1" x14ac:dyDescent="0.25">
      <c r="A86" s="234" t="s">
        <v>311</v>
      </c>
      <c r="B86" s="235" t="s">
        <v>291</v>
      </c>
      <c r="C86" s="236" t="s">
        <v>247</v>
      </c>
      <c r="D86" s="237">
        <v>0</v>
      </c>
      <c r="E86" s="237">
        <f>20000-2000</f>
        <v>18000</v>
      </c>
      <c r="F86" s="251">
        <v>0</v>
      </c>
      <c r="G86" s="242">
        <v>0</v>
      </c>
      <c r="H86" s="238">
        <f t="shared" si="13"/>
        <v>18000</v>
      </c>
    </row>
    <row r="87" spans="1:10" s="239" customFormat="1" ht="24" customHeight="1" x14ac:dyDescent="0.25">
      <c r="A87" s="234" t="s">
        <v>312</v>
      </c>
      <c r="B87" s="235" t="s">
        <v>313</v>
      </c>
      <c r="C87" s="236" t="s">
        <v>247</v>
      </c>
      <c r="D87" s="237">
        <v>0</v>
      </c>
      <c r="E87" s="237">
        <v>0</v>
      </c>
      <c r="F87" s="251">
        <v>5000</v>
      </c>
      <c r="G87" s="242">
        <v>10500</v>
      </c>
      <c r="H87" s="238">
        <f t="shared" si="13"/>
        <v>15500</v>
      </c>
    </row>
    <row r="88" spans="1:10" s="232" customFormat="1" ht="15" customHeight="1" thickBot="1" x14ac:dyDescent="0.3">
      <c r="A88" s="10" t="s">
        <v>53</v>
      </c>
      <c r="B88" s="157"/>
      <c r="C88" s="165"/>
      <c r="D88" s="11">
        <f t="shared" ref="D88:G88" si="14">SUM(D74:D87)</f>
        <v>110758.80999999998</v>
      </c>
      <c r="E88" s="11">
        <f>SUM(E74:E87)</f>
        <v>119720.16562</v>
      </c>
      <c r="F88" s="252">
        <f t="shared" si="14"/>
        <v>393710.18</v>
      </c>
      <c r="G88" s="11">
        <f t="shared" si="14"/>
        <v>10500</v>
      </c>
      <c r="H88" s="12">
        <f>SUM(H74:H87)</f>
        <v>634689.15561999986</v>
      </c>
      <c r="I88" s="243"/>
      <c r="J88" s="243"/>
    </row>
    <row r="89" spans="1:10" s="232" customFormat="1" ht="25.5" customHeight="1" thickBot="1" x14ac:dyDescent="0.3">
      <c r="A89" s="14" t="s">
        <v>54</v>
      </c>
      <c r="B89" s="158"/>
      <c r="C89" s="166"/>
      <c r="D89" s="15">
        <f>D88+D72+D44+D36+D32</f>
        <v>378688.57</v>
      </c>
      <c r="E89" s="15">
        <f>E88+E72+E44+E36+E32</f>
        <v>441376.53499000001</v>
      </c>
      <c r="F89" s="253">
        <f t="shared" ref="F89:G89" si="15">F88+F72+F44+F36+F32</f>
        <v>1645289.3399999999</v>
      </c>
      <c r="G89" s="15">
        <f t="shared" si="15"/>
        <v>80766.5</v>
      </c>
      <c r="H89" s="16">
        <f>H88+H72+H44+H36+H32</f>
        <v>2546120.9449900002</v>
      </c>
    </row>
    <row r="90" spans="1:10" s="232" customFormat="1" ht="13.5" thickBot="1" x14ac:dyDescent="0.3">
      <c r="A90" s="17"/>
      <c r="B90" s="159"/>
      <c r="C90" s="167"/>
      <c r="D90" s="94"/>
      <c r="E90" s="94"/>
      <c r="F90" s="254"/>
      <c r="G90" s="94"/>
      <c r="H90" s="247"/>
    </row>
    <row r="91" spans="1:10" s="232" customFormat="1" ht="21" customHeight="1" thickBot="1" x14ac:dyDescent="0.3">
      <c r="A91" s="14" t="s">
        <v>55</v>
      </c>
      <c r="B91" s="158"/>
      <c r="C91" s="166"/>
      <c r="D91" s="15">
        <f>SUM(D23,D89)+0.45</f>
        <v>387806.92845000001</v>
      </c>
      <c r="E91" s="15">
        <f>SUM(E23,E89)</f>
        <v>522269.69172</v>
      </c>
      <c r="F91" s="253">
        <f t="shared" ref="F91:G91" si="16">SUM(F23,F89)</f>
        <v>1953492.5599999998</v>
      </c>
      <c r="G91" s="15">
        <f t="shared" si="16"/>
        <v>136016.5</v>
      </c>
      <c r="H91" s="16">
        <f>SUM(H23,H89)</f>
        <v>2999585.2301700003</v>
      </c>
    </row>
  </sheetData>
  <mergeCells count="15">
    <mergeCell ref="A37:H37"/>
    <mergeCell ref="A45:H45"/>
    <mergeCell ref="A73:H73"/>
    <mergeCell ref="A10:H10"/>
    <mergeCell ref="A14:H14"/>
    <mergeCell ref="A20:H20"/>
    <mergeCell ref="A25:H25"/>
    <mergeCell ref="A26:H26"/>
    <mergeCell ref="A33:H33"/>
    <mergeCell ref="A7:H7"/>
    <mergeCell ref="A2:H2"/>
    <mergeCell ref="A4:A5"/>
    <mergeCell ref="D4:G4"/>
    <mergeCell ref="H4:H5"/>
    <mergeCell ref="A6:H6"/>
  </mergeCells>
  <conditionalFormatting sqref="D15:D16">
    <cfRule type="cellIs" dxfId="215" priority="95" operator="lessThan">
      <formula>#REF!</formula>
    </cfRule>
    <cfRule type="cellIs" dxfId="214" priority="96" operator="greaterThan">
      <formula>#REF!</formula>
    </cfRule>
  </conditionalFormatting>
  <conditionalFormatting sqref="D16:D19">
    <cfRule type="cellIs" dxfId="213" priority="91" operator="lessThan">
      <formula>#REF!</formula>
    </cfRule>
    <cfRule type="cellIs" dxfId="212" priority="92" operator="greaterThan">
      <formula>#REF!</formula>
    </cfRule>
  </conditionalFormatting>
  <conditionalFormatting sqref="D56:D65">
    <cfRule type="cellIs" dxfId="211" priority="81" operator="lessThan">
      <formula>#REF!</formula>
    </cfRule>
    <cfRule type="cellIs" dxfId="210" priority="82" operator="greaterThan">
      <formula>#REF!</formula>
    </cfRule>
  </conditionalFormatting>
  <conditionalFormatting sqref="D58:D63">
    <cfRule type="cellIs" dxfId="209" priority="77" operator="lessThan">
      <formula>#REF!</formula>
    </cfRule>
    <cfRule type="cellIs" dxfId="208" priority="78" operator="greaterThan">
      <formula>#REF!</formula>
    </cfRule>
  </conditionalFormatting>
  <conditionalFormatting sqref="D59:D63 D46:E55 F46:G56 F58:G69 D70:G72">
    <cfRule type="cellIs" dxfId="207" priority="119" operator="lessThan">
      <formula>#REF!</formula>
    </cfRule>
  </conditionalFormatting>
  <conditionalFormatting sqref="D60:D63">
    <cfRule type="cellIs" dxfId="206" priority="79" operator="lessThan">
      <formula>#REF!</formula>
    </cfRule>
    <cfRule type="cellIs" dxfId="205" priority="80" operator="greaterThan">
      <formula>#REF!</formula>
    </cfRule>
  </conditionalFormatting>
  <conditionalFormatting sqref="D66:D69">
    <cfRule type="cellIs" dxfId="204" priority="75" operator="lessThan">
      <formula>#REF!</formula>
    </cfRule>
    <cfRule type="cellIs" dxfId="203" priority="76" operator="greaterThan">
      <formula>#REF!</formula>
    </cfRule>
  </conditionalFormatting>
  <conditionalFormatting sqref="D80:D81">
    <cfRule type="cellIs" dxfId="202" priority="103" operator="lessThan">
      <formula>#REF!</formula>
    </cfRule>
    <cfRule type="cellIs" dxfId="201" priority="104" operator="greaterThan">
      <formula>#REF!</formula>
    </cfRule>
  </conditionalFormatting>
  <conditionalFormatting sqref="D81:D87">
    <cfRule type="cellIs" dxfId="200" priority="105" operator="lessThan">
      <formula>#REF!</formula>
    </cfRule>
    <cfRule type="cellIs" dxfId="199" priority="106" operator="greaterThan">
      <formula>#REF!</formula>
    </cfRule>
  </conditionalFormatting>
  <conditionalFormatting sqref="D85:D87">
    <cfRule type="cellIs" dxfId="198" priority="71" operator="lessThan">
      <formula>#REF!</formula>
    </cfRule>
    <cfRule type="cellIs" dxfId="197" priority="72" operator="greaterThan">
      <formula>#REF!</formula>
    </cfRule>
  </conditionalFormatting>
  <conditionalFormatting sqref="D46:E55 F46:G56 F58:G69 D59:D63 D70:G72">
    <cfRule type="cellIs" dxfId="196" priority="120" operator="greaterThan">
      <formula>#REF!</formula>
    </cfRule>
  </conditionalFormatting>
  <conditionalFormatting sqref="D74:G81">
    <cfRule type="cellIs" dxfId="195" priority="3" operator="lessThan">
      <formula>#REF!</formula>
    </cfRule>
    <cfRule type="cellIs" dxfId="194" priority="4" operator="greaterThan">
      <formula>#REF!</formula>
    </cfRule>
  </conditionalFormatting>
  <conditionalFormatting sqref="D8:H9">
    <cfRule type="cellIs" dxfId="193" priority="5" operator="lessThan">
      <formula>#REF!</formula>
    </cfRule>
    <cfRule type="cellIs" dxfId="192" priority="6" operator="greaterThan">
      <formula>#REF!</formula>
    </cfRule>
  </conditionalFormatting>
  <conditionalFormatting sqref="D11:H13">
    <cfRule type="cellIs" dxfId="191" priority="37" operator="lessThan">
      <formula>#REF!</formula>
    </cfRule>
    <cfRule type="cellIs" dxfId="190" priority="38" operator="greaterThan">
      <formula>#REF!</formula>
    </cfRule>
  </conditionalFormatting>
  <conditionalFormatting sqref="D21:H22">
    <cfRule type="cellIs" dxfId="189" priority="29" operator="lessThan">
      <formula>#REF!</formula>
    </cfRule>
    <cfRule type="cellIs" dxfId="188" priority="30" operator="greaterThan">
      <formula>#REF!</formula>
    </cfRule>
  </conditionalFormatting>
  <conditionalFormatting sqref="D27:H32 H74:H87">
    <cfRule type="cellIs" dxfId="187" priority="65" operator="lessThan">
      <formula>#REF!</formula>
    </cfRule>
    <cfRule type="cellIs" dxfId="186" priority="66" operator="greaterThan">
      <formula>#REF!</formula>
    </cfRule>
  </conditionalFormatting>
  <conditionalFormatting sqref="D34:H36">
    <cfRule type="cellIs" dxfId="185" priority="43" operator="lessThan">
      <formula>#REF!</formula>
    </cfRule>
    <cfRule type="cellIs" dxfId="184" priority="44" operator="greaterThan">
      <formula>#REF!</formula>
    </cfRule>
  </conditionalFormatting>
  <conditionalFormatting sqref="D38:H43">
    <cfRule type="cellIs" dxfId="183" priority="51" operator="lessThan">
      <formula>#REF!</formula>
    </cfRule>
    <cfRule type="cellIs" dxfId="182" priority="52" operator="greaterThan">
      <formula>#REF!</formula>
    </cfRule>
  </conditionalFormatting>
  <conditionalFormatting sqref="E56:E69">
    <cfRule type="cellIs" dxfId="181" priority="117" operator="lessThan">
      <formula>#REF!</formula>
    </cfRule>
    <cfRule type="cellIs" dxfId="180" priority="118" operator="greaterThan">
      <formula>#REF!</formula>
    </cfRule>
  </conditionalFormatting>
  <conditionalFormatting sqref="E80:E87">
    <cfRule type="cellIs" dxfId="179" priority="25" operator="lessThan">
      <formula>#REF!</formula>
    </cfRule>
    <cfRule type="cellIs" dxfId="178" priority="26" operator="greaterThan">
      <formula>#REF!</formula>
    </cfRule>
  </conditionalFormatting>
  <conditionalFormatting sqref="E82:E87">
    <cfRule type="cellIs" dxfId="177" priority="21" operator="lessThan">
      <formula>#REF!</formula>
    </cfRule>
    <cfRule type="cellIs" dxfId="176" priority="22" operator="greaterThan">
      <formula>#REF!</formula>
    </cfRule>
  </conditionalFormatting>
  <conditionalFormatting sqref="E15:H19">
    <cfRule type="cellIs" dxfId="175" priority="31" operator="lessThan">
      <formula>#REF!</formula>
    </cfRule>
    <cfRule type="cellIs" dxfId="174" priority="32" operator="greaterThan">
      <formula>#REF!</formula>
    </cfRule>
  </conditionalFormatting>
  <conditionalFormatting sqref="F80">
    <cfRule type="cellIs" dxfId="173" priority="1" operator="lessThan">
      <formula>#REF!</formula>
    </cfRule>
    <cfRule type="cellIs" dxfId="172" priority="2" operator="greaterThan">
      <formula>#REF!</formula>
    </cfRule>
  </conditionalFormatting>
  <conditionalFormatting sqref="F81:F87">
    <cfRule type="cellIs" dxfId="171" priority="19" operator="lessThan">
      <formula>#REF!</formula>
    </cfRule>
    <cfRule type="cellIs" dxfId="170" priority="20" operator="greaterThan">
      <formula>#REF!</formula>
    </cfRule>
  </conditionalFormatting>
  <conditionalFormatting sqref="F57:G61 E59:E61 E63:F63 G63:G67">
    <cfRule type="cellIs" dxfId="169" priority="122" operator="greaterThan">
      <formula>#REF!</formula>
    </cfRule>
  </conditionalFormatting>
  <conditionalFormatting sqref="F57:G61 E63:F63 G63:G67 E59:E61">
    <cfRule type="cellIs" dxfId="168" priority="121" operator="lessThan">
      <formula>#REF!</formula>
    </cfRule>
  </conditionalFormatting>
  <conditionalFormatting sqref="F85:G87">
    <cfRule type="cellIs" dxfId="167" priority="13" operator="lessThan">
      <formula>#REF!</formula>
    </cfRule>
    <cfRule type="cellIs" dxfId="166" priority="14" operator="greaterThan">
      <formula>#REF!</formula>
    </cfRule>
  </conditionalFormatting>
  <conditionalFormatting sqref="G80:G87">
    <cfRule type="cellIs" dxfId="165" priority="15" operator="lessThan">
      <formula>#REF!</formula>
    </cfRule>
    <cfRule type="cellIs" dxfId="164" priority="16" operator="greaterThan">
      <formula>#REF!</formula>
    </cfRule>
  </conditionalFormatting>
  <conditionalFormatting sqref="H21">
    <cfRule type="cellIs" dxfId="163" priority="27" operator="lessThan">
      <formula>#REF!</formula>
    </cfRule>
    <cfRule type="cellIs" dxfId="162" priority="28" operator="greaterThan">
      <formula>#REF!</formula>
    </cfRule>
  </conditionalFormatting>
  <conditionalFormatting sqref="H22">
    <cfRule type="cellIs" dxfId="161" priority="57" operator="lessThan">
      <formula>#REF!</formula>
    </cfRule>
    <cfRule type="cellIs" dxfId="160" priority="58" operator="greaterThan">
      <formula>#REF!</formula>
    </cfRule>
    <cfRule type="cellIs" dxfId="159" priority="59" operator="lessThan">
      <formula>#REF!</formula>
    </cfRule>
    <cfRule type="cellIs" dxfId="158" priority="60" operator="greaterThan">
      <formula>#REF!</formula>
    </cfRule>
  </conditionalFormatting>
  <conditionalFormatting sqref="H30">
    <cfRule type="cellIs" dxfId="157" priority="53" operator="lessThan">
      <formula>#REF!</formula>
    </cfRule>
    <cfRule type="cellIs" dxfId="156" priority="54" operator="greaterThan">
      <formula>#REF!</formula>
    </cfRule>
  </conditionalFormatting>
  <conditionalFormatting sqref="H34:H35">
    <cfRule type="cellIs" dxfId="155" priority="41" operator="lessThan">
      <formula>#REF!</formula>
    </cfRule>
    <cfRule type="cellIs" dxfId="154" priority="42" operator="greaterThan">
      <formula>#REF!</formula>
    </cfRule>
  </conditionalFormatting>
  <conditionalFormatting sqref="H38:H43">
    <cfRule type="cellIs" dxfId="153" priority="49" operator="lessThan">
      <formula>#REF!</formula>
    </cfRule>
    <cfRule type="cellIs" dxfId="152" priority="50" operator="greaterThan">
      <formula>#REF!</formula>
    </cfRule>
  </conditionalFormatting>
  <conditionalFormatting sqref="H46:H71">
    <cfRule type="cellIs" dxfId="151" priority="45" operator="lessThan">
      <formula>#REF!</formula>
    </cfRule>
    <cfRule type="cellIs" dxfId="150" priority="46" operator="greaterThan">
      <formula>#REF!</formula>
    </cfRule>
  </conditionalFormatting>
  <conditionalFormatting sqref="H46:H72">
    <cfRule type="cellIs" dxfId="149" priority="47" operator="lessThan">
      <formula>#REF!</formula>
    </cfRule>
    <cfRule type="cellIs" dxfId="148" priority="48" operator="greaterThan">
      <formula>#REF!</formula>
    </cfRule>
  </conditionalFormatting>
  <pageMargins left="0.39370078740157483" right="0.39370078740157483" top="0.59055118110236227" bottom="0.39370078740157483" header="0.31496062992125984" footer="0.11811023622047245"/>
  <pageSetup paperSize="9" scale="72" firstPageNumber="41" fitToHeight="0" orientation="portrait" r:id="rId1"/>
  <headerFooter>
    <oddFooter>&amp;C&amp;"Tahoma,Obyčejné"&amp;P</oddFooter>
  </headerFooter>
  <rowBreaks count="1" manualBreakCount="1">
    <brk id="50" max="7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3E3F7-A01B-4A0F-A668-53BA1203D47B}">
  <sheetPr>
    <pageSetUpPr fitToPage="1"/>
  </sheetPr>
  <dimension ref="A1:Q104"/>
  <sheetViews>
    <sheetView tabSelected="1" zoomScaleNormal="100" workbookViewId="0">
      <pane ySplit="5" topLeftCell="A6" activePane="bottomLeft" state="frozen"/>
      <selection pane="bottomLeft" activeCell="P3" sqref="P3"/>
    </sheetView>
  </sheetViews>
  <sheetFormatPr defaultColWidth="9.140625" defaultRowHeight="12.75" x14ac:dyDescent="0.2"/>
  <cols>
    <col min="1" max="1" width="50.7109375" style="225" customWidth="1"/>
    <col min="2" max="2" width="7.7109375" style="226" customWidth="1"/>
    <col min="3" max="3" width="7.7109375" style="227" customWidth="1"/>
    <col min="4" max="5" width="12.7109375" style="228" customWidth="1"/>
    <col min="6" max="6" width="12.7109375" style="259" customWidth="1"/>
    <col min="7" max="7" width="12.7109375" style="259" hidden="1" customWidth="1"/>
    <col min="8" max="8" width="12.7109375" style="259" customWidth="1"/>
    <col min="9" max="9" width="12.7109375" style="228" customWidth="1"/>
    <col min="10" max="10" width="12.7109375" style="228" hidden="1" customWidth="1"/>
    <col min="11" max="11" width="12.7109375" style="228" customWidth="1"/>
    <col min="12" max="13" width="14.140625" style="228" customWidth="1"/>
    <col min="14" max="14" width="21.140625" style="225" hidden="1" customWidth="1"/>
    <col min="15" max="15" width="0" style="272" hidden="1" customWidth="1"/>
    <col min="16" max="16" width="9.140625" style="225"/>
    <col min="17" max="17" width="0" style="225" hidden="1" customWidth="1"/>
    <col min="18" max="16384" width="9.140625" style="225"/>
  </cols>
  <sheetData>
    <row r="1" spans="1:17" ht="15" customHeight="1" x14ac:dyDescent="0.2"/>
    <row r="2" spans="1:17" s="1" customFormat="1" ht="23.25" customHeight="1" x14ac:dyDescent="0.25">
      <c r="A2" s="375" t="s">
        <v>98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O2" s="273"/>
    </row>
    <row r="3" spans="1:17" ht="13.5" thickBot="1" x14ac:dyDescent="0.25">
      <c r="A3" s="229"/>
      <c r="D3" s="229"/>
      <c r="E3" s="229"/>
      <c r="F3" s="260"/>
      <c r="G3" s="260"/>
      <c r="H3" s="260"/>
      <c r="I3" s="229"/>
      <c r="J3" s="229"/>
      <c r="K3" s="229"/>
      <c r="L3" s="230"/>
      <c r="M3" s="230" t="s">
        <v>1</v>
      </c>
    </row>
    <row r="4" spans="1:17" ht="24.6" customHeight="1" x14ac:dyDescent="0.2">
      <c r="A4" s="381" t="s">
        <v>2</v>
      </c>
      <c r="B4" s="154"/>
      <c r="C4" s="154"/>
      <c r="D4" s="385" t="s">
        <v>178</v>
      </c>
      <c r="E4" s="386"/>
      <c r="F4" s="386"/>
      <c r="G4" s="386"/>
      <c r="H4" s="386"/>
      <c r="I4" s="386"/>
      <c r="J4" s="386"/>
      <c r="K4" s="387"/>
      <c r="L4" s="383" t="s">
        <v>269</v>
      </c>
      <c r="M4" s="352" t="s">
        <v>270</v>
      </c>
    </row>
    <row r="5" spans="1:17" ht="24.6" customHeight="1" thickBot="1" x14ac:dyDescent="0.25">
      <c r="A5" s="382"/>
      <c r="B5" s="290" t="s">
        <v>181</v>
      </c>
      <c r="C5" s="291" t="s">
        <v>238</v>
      </c>
      <c r="D5" s="292">
        <v>2021</v>
      </c>
      <c r="E5" s="292">
        <v>2022</v>
      </c>
      <c r="F5" s="293" t="s">
        <v>314</v>
      </c>
      <c r="G5" s="293" t="s">
        <v>315</v>
      </c>
      <c r="H5" s="293" t="s">
        <v>272</v>
      </c>
      <c r="I5" s="293" t="s">
        <v>316</v>
      </c>
      <c r="J5" s="293" t="s">
        <v>315</v>
      </c>
      <c r="K5" s="293" t="s">
        <v>273</v>
      </c>
      <c r="L5" s="384"/>
      <c r="M5" s="380"/>
      <c r="N5" s="225" t="s">
        <v>317</v>
      </c>
    </row>
    <row r="6" spans="1:17" s="232" customFormat="1" ht="21" customHeight="1" x14ac:dyDescent="0.25">
      <c r="A6" s="369" t="s">
        <v>70</v>
      </c>
      <c r="B6" s="370"/>
      <c r="C6" s="370"/>
      <c r="D6" s="370"/>
      <c r="E6" s="370"/>
      <c r="F6" s="370"/>
      <c r="G6" s="370"/>
      <c r="H6" s="370"/>
      <c r="I6" s="370"/>
      <c r="J6" s="370"/>
      <c r="K6" s="370"/>
      <c r="L6" s="370"/>
      <c r="M6" s="371"/>
      <c r="O6" s="274"/>
    </row>
    <row r="7" spans="1:17" s="233" customFormat="1" ht="18" customHeight="1" x14ac:dyDescent="0.25">
      <c r="A7" s="372" t="s">
        <v>20</v>
      </c>
      <c r="B7" s="373"/>
      <c r="C7" s="373"/>
      <c r="D7" s="373"/>
      <c r="E7" s="373"/>
      <c r="F7" s="373"/>
      <c r="G7" s="373"/>
      <c r="H7" s="373"/>
      <c r="I7" s="373"/>
      <c r="J7" s="373"/>
      <c r="K7" s="373"/>
      <c r="L7" s="373"/>
      <c r="M7" s="374"/>
      <c r="O7" s="275"/>
    </row>
    <row r="8" spans="1:17" s="239" customFormat="1" ht="15" customHeight="1" x14ac:dyDescent="0.25">
      <c r="A8" s="234" t="s">
        <v>302</v>
      </c>
      <c r="B8" s="235" t="s">
        <v>303</v>
      </c>
      <c r="C8" s="236" t="s">
        <v>239</v>
      </c>
      <c r="D8" s="237">
        <v>0</v>
      </c>
      <c r="E8" s="237">
        <v>0</v>
      </c>
      <c r="F8" s="261">
        <v>4750</v>
      </c>
      <c r="G8" s="261"/>
      <c r="H8" s="261">
        <f>G8+F8</f>
        <v>4750</v>
      </c>
      <c r="I8" s="237">
        <v>55250</v>
      </c>
      <c r="J8" s="242"/>
      <c r="K8" s="242">
        <f>J8+I8</f>
        <v>55250</v>
      </c>
      <c r="L8" s="265">
        <f>D8+E8+F8+I8</f>
        <v>60000</v>
      </c>
      <c r="M8" s="238">
        <f>K8+H8+E8+D8</f>
        <v>60000</v>
      </c>
      <c r="N8" s="239">
        <v>0</v>
      </c>
      <c r="O8" s="276"/>
      <c r="P8" s="240"/>
      <c r="Q8" s="240"/>
    </row>
    <row r="9" spans="1:17" s="232" customFormat="1" ht="15" customHeight="1" x14ac:dyDescent="0.25">
      <c r="A9" s="10" t="s">
        <v>27</v>
      </c>
      <c r="B9" s="157"/>
      <c r="C9" s="165"/>
      <c r="D9" s="11">
        <f>SUM(D8:D8)</f>
        <v>0</v>
      </c>
      <c r="E9" s="11">
        <f>SUM(E8:E8)</f>
        <v>0</v>
      </c>
      <c r="F9" s="11">
        <f>SUM(F8:F8)</f>
        <v>4750</v>
      </c>
      <c r="G9" s="11">
        <f t="shared" ref="G9:I9" si="0">SUM(G8:G8)</f>
        <v>0</v>
      </c>
      <c r="H9" s="11">
        <f t="shared" si="0"/>
        <v>4750</v>
      </c>
      <c r="I9" s="11">
        <f t="shared" si="0"/>
        <v>55250</v>
      </c>
      <c r="J9" s="11">
        <f t="shared" ref="J9" si="1">SUM(J8:J8)</f>
        <v>0</v>
      </c>
      <c r="K9" s="11">
        <f t="shared" ref="K9" si="2">SUM(K8:K8)</f>
        <v>55250</v>
      </c>
      <c r="L9" s="202">
        <f>SUM(L8:L8)</f>
        <v>60000</v>
      </c>
      <c r="M9" s="12">
        <f>SUM(M8:M8)</f>
        <v>60000</v>
      </c>
      <c r="O9" s="276"/>
      <c r="P9" s="240"/>
    </row>
    <row r="10" spans="1:17" s="233" customFormat="1" ht="18" customHeight="1" x14ac:dyDescent="0.25">
      <c r="A10" s="372" t="s">
        <v>6</v>
      </c>
      <c r="B10" s="373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4"/>
      <c r="O10" s="275"/>
    </row>
    <row r="11" spans="1:17" s="239" customFormat="1" ht="15" customHeight="1" x14ac:dyDescent="0.25">
      <c r="A11" s="241" t="s">
        <v>7</v>
      </c>
      <c r="B11" s="235">
        <v>3402</v>
      </c>
      <c r="C11" s="236" t="s">
        <v>239</v>
      </c>
      <c r="D11" s="237">
        <v>5576.1411900000003</v>
      </c>
      <c r="E11" s="237">
        <v>35366.094799999999</v>
      </c>
      <c r="F11" s="261">
        <v>157772.06</v>
      </c>
      <c r="G11" s="261"/>
      <c r="H11" s="261">
        <f>G11+F11</f>
        <v>157772.06</v>
      </c>
      <c r="I11" s="237">
        <v>0</v>
      </c>
      <c r="J11" s="242"/>
      <c r="K11" s="242">
        <f>J11+I11</f>
        <v>0</v>
      </c>
      <c r="L11" s="265">
        <f>D11+E11+F11+I11</f>
        <v>198714.29599000001</v>
      </c>
      <c r="M11" s="238">
        <f>K11+H11+E11+D11</f>
        <v>198714.29598999998</v>
      </c>
      <c r="N11" s="256">
        <v>6812.0865000000003</v>
      </c>
      <c r="O11" s="276"/>
      <c r="P11" s="240"/>
      <c r="Q11" s="240"/>
    </row>
    <row r="12" spans="1:17" s="239" customFormat="1" ht="24" customHeight="1" x14ac:dyDescent="0.25">
      <c r="A12" s="234" t="s">
        <v>8</v>
      </c>
      <c r="B12" s="235" t="s">
        <v>182</v>
      </c>
      <c r="C12" s="236" t="s">
        <v>239</v>
      </c>
      <c r="D12" s="237">
        <v>3541.7672600000001</v>
      </c>
      <c r="E12" s="237">
        <v>15139.03263</v>
      </c>
      <c r="F12" s="261">
        <v>31823.200000000001</v>
      </c>
      <c r="G12" s="261"/>
      <c r="H12" s="261">
        <f>G12+F12</f>
        <v>31823.200000000001</v>
      </c>
      <c r="I12" s="237">
        <v>0</v>
      </c>
      <c r="J12" s="242"/>
      <c r="K12" s="242">
        <f>J12+I12</f>
        <v>0</v>
      </c>
      <c r="L12" s="265">
        <f>D12+E12+F12+I12</f>
        <v>50503.999889999999</v>
      </c>
      <c r="M12" s="238">
        <f>K12+H12+E12+D12</f>
        <v>50503.999889999999</v>
      </c>
      <c r="N12" s="256">
        <v>31823</v>
      </c>
      <c r="O12" s="276"/>
      <c r="P12" s="240"/>
    </row>
    <row r="13" spans="1:17" s="232" customFormat="1" ht="15" customHeight="1" x14ac:dyDescent="0.25">
      <c r="A13" s="10" t="s">
        <v>9</v>
      </c>
      <c r="B13" s="157"/>
      <c r="C13" s="165"/>
      <c r="D13" s="11">
        <f t="shared" ref="D13" si="3">SUM(D11:D12)</f>
        <v>9117.9084500000008</v>
      </c>
      <c r="E13" s="11">
        <f t="shared" ref="E13:K13" si="4">SUM(E11:E12)</f>
        <v>50505.12743</v>
      </c>
      <c r="F13" s="11">
        <f t="shared" si="4"/>
        <v>189595.26</v>
      </c>
      <c r="G13" s="11">
        <f t="shared" si="4"/>
        <v>0</v>
      </c>
      <c r="H13" s="11">
        <f t="shared" si="4"/>
        <v>189595.26</v>
      </c>
      <c r="I13" s="11">
        <f t="shared" si="4"/>
        <v>0</v>
      </c>
      <c r="J13" s="11">
        <f t="shared" si="4"/>
        <v>0</v>
      </c>
      <c r="K13" s="11">
        <f t="shared" si="4"/>
        <v>0</v>
      </c>
      <c r="L13" s="202">
        <f>SUM(L11:L12)</f>
        <v>249218.29588000002</v>
      </c>
      <c r="M13" s="12">
        <f>SUM(M11:M12)</f>
        <v>249218.29587999999</v>
      </c>
      <c r="N13" s="256"/>
      <c r="O13" s="276"/>
      <c r="P13" s="240"/>
    </row>
    <row r="14" spans="1:17" s="233" customFormat="1" ht="18" customHeight="1" x14ac:dyDescent="0.25">
      <c r="A14" s="372" t="s">
        <v>32</v>
      </c>
      <c r="B14" s="373"/>
      <c r="C14" s="373"/>
      <c r="D14" s="373"/>
      <c r="E14" s="373"/>
      <c r="F14" s="373"/>
      <c r="G14" s="373"/>
      <c r="H14" s="373"/>
      <c r="I14" s="373"/>
      <c r="J14" s="373"/>
      <c r="K14" s="373"/>
      <c r="L14" s="373"/>
      <c r="M14" s="374"/>
      <c r="N14" s="256"/>
      <c r="O14" s="276"/>
      <c r="P14" s="240"/>
    </row>
    <row r="15" spans="1:17" s="239" customFormat="1" ht="15" customHeight="1" x14ac:dyDescent="0.25">
      <c r="A15" s="234" t="s">
        <v>83</v>
      </c>
      <c r="B15" s="235" t="s">
        <v>183</v>
      </c>
      <c r="C15" s="236" t="s">
        <v>239</v>
      </c>
      <c r="D15" s="237">
        <v>0</v>
      </c>
      <c r="E15" s="237">
        <v>12240.953</v>
      </c>
      <c r="F15" s="261">
        <v>14569.04</v>
      </c>
      <c r="G15" s="262"/>
      <c r="H15" s="262">
        <f>G15+F15</f>
        <v>14569.04</v>
      </c>
      <c r="I15" s="242">
        <v>0</v>
      </c>
      <c r="J15" s="242"/>
      <c r="K15" s="242">
        <f>J15+I15</f>
        <v>0</v>
      </c>
      <c r="L15" s="265">
        <f>D15+E15+F15+I15</f>
        <v>26809.993000000002</v>
      </c>
      <c r="M15" s="238">
        <f>K15+H15+E15+D15</f>
        <v>26809.993000000002</v>
      </c>
      <c r="N15" s="256">
        <v>14596.04</v>
      </c>
      <c r="O15" s="276"/>
      <c r="P15" s="240"/>
      <c r="Q15" s="240"/>
    </row>
    <row r="16" spans="1:17" s="239" customFormat="1" ht="15" customHeight="1" x14ac:dyDescent="0.25">
      <c r="A16" s="234" t="s">
        <v>86</v>
      </c>
      <c r="B16" s="235" t="s">
        <v>184</v>
      </c>
      <c r="C16" s="236" t="s">
        <v>239</v>
      </c>
      <c r="D16" s="237">
        <v>0</v>
      </c>
      <c r="E16" s="237">
        <v>1146.6377500000001</v>
      </c>
      <c r="F16" s="261">
        <v>9816.36</v>
      </c>
      <c r="G16" s="262"/>
      <c r="H16" s="262">
        <f t="shared" ref="H16:H18" si="5">G16+F16</f>
        <v>9816.36</v>
      </c>
      <c r="I16" s="242">
        <v>0</v>
      </c>
      <c r="J16" s="242"/>
      <c r="K16" s="242">
        <f t="shared" ref="K16:K18" si="6">J16+I16</f>
        <v>0</v>
      </c>
      <c r="L16" s="265">
        <f>D16+E16+F16+I16</f>
        <v>10962.99775</v>
      </c>
      <c r="M16" s="238">
        <f t="shared" ref="M16:M18" si="7">K16+H16+E16+D16</f>
        <v>10962.99775</v>
      </c>
      <c r="N16" s="257">
        <v>2157.1860000000001</v>
      </c>
      <c r="O16" s="276"/>
      <c r="P16" s="240"/>
      <c r="Q16" s="240"/>
    </row>
    <row r="17" spans="1:17" s="239" customFormat="1" ht="15" customHeight="1" x14ac:dyDescent="0.25">
      <c r="A17" s="234" t="s">
        <v>84</v>
      </c>
      <c r="B17" s="235" t="s">
        <v>185</v>
      </c>
      <c r="C17" s="236" t="s">
        <v>239</v>
      </c>
      <c r="D17" s="237">
        <v>0</v>
      </c>
      <c r="E17" s="237">
        <v>10946.249320000001</v>
      </c>
      <c r="F17" s="261">
        <v>10315.75</v>
      </c>
      <c r="G17" s="262"/>
      <c r="H17" s="262">
        <f t="shared" si="5"/>
        <v>10315.75</v>
      </c>
      <c r="I17" s="242">
        <v>0</v>
      </c>
      <c r="J17" s="242"/>
      <c r="K17" s="242">
        <f t="shared" si="6"/>
        <v>0</v>
      </c>
      <c r="L17" s="265">
        <f>D17+E17+F17+I17</f>
        <v>21261.999320000003</v>
      </c>
      <c r="M17" s="238">
        <f t="shared" si="7"/>
        <v>21261.999320000003</v>
      </c>
      <c r="N17" s="257">
        <v>3582.0529999999999</v>
      </c>
      <c r="O17" s="276"/>
      <c r="P17" s="240"/>
      <c r="Q17" s="240"/>
    </row>
    <row r="18" spans="1:17" s="239" customFormat="1" ht="15" customHeight="1" x14ac:dyDescent="0.25">
      <c r="A18" s="234" t="s">
        <v>85</v>
      </c>
      <c r="B18" s="235" t="s">
        <v>186</v>
      </c>
      <c r="C18" s="236" t="s">
        <v>239</v>
      </c>
      <c r="D18" s="237">
        <v>0</v>
      </c>
      <c r="E18" s="237">
        <v>59.375120000000003</v>
      </c>
      <c r="F18" s="261">
        <v>50782.62</v>
      </c>
      <c r="G18" s="262"/>
      <c r="H18" s="262">
        <f t="shared" si="5"/>
        <v>50782.62</v>
      </c>
      <c r="I18" s="242">
        <v>0</v>
      </c>
      <c r="J18" s="242"/>
      <c r="K18" s="242">
        <f t="shared" si="6"/>
        <v>0</v>
      </c>
      <c r="L18" s="265">
        <f>D18+E18+F18+I18</f>
        <v>50841.99512</v>
      </c>
      <c r="M18" s="238">
        <f t="shared" si="7"/>
        <v>50841.99512</v>
      </c>
      <c r="N18" s="257">
        <v>4570.701</v>
      </c>
      <c r="O18" s="276"/>
      <c r="P18" s="240"/>
      <c r="Q18" s="240"/>
    </row>
    <row r="19" spans="1:17" s="232" customFormat="1" ht="15" customHeight="1" x14ac:dyDescent="0.25">
      <c r="A19" s="10" t="s">
        <v>47</v>
      </c>
      <c r="B19" s="157"/>
      <c r="C19" s="165"/>
      <c r="D19" s="11">
        <f>SUM(D15:D18)</f>
        <v>0</v>
      </c>
      <c r="E19" s="11">
        <f t="shared" ref="E19:K19" si="8">SUM(E15:E18)</f>
        <v>24393.215189999999</v>
      </c>
      <c r="F19" s="11">
        <f t="shared" si="8"/>
        <v>85483.77</v>
      </c>
      <c r="G19" s="11">
        <f t="shared" si="8"/>
        <v>0</v>
      </c>
      <c r="H19" s="11">
        <f t="shared" si="8"/>
        <v>85483.77</v>
      </c>
      <c r="I19" s="11">
        <f t="shared" si="8"/>
        <v>0</v>
      </c>
      <c r="J19" s="11">
        <f t="shared" si="8"/>
        <v>0</v>
      </c>
      <c r="K19" s="11">
        <f t="shared" si="8"/>
        <v>0</v>
      </c>
      <c r="L19" s="202">
        <f>SUM(L15:L18)</f>
        <v>109876.98519000001</v>
      </c>
      <c r="M19" s="12">
        <f>SUM(M15:M18)</f>
        <v>109876.98519000001</v>
      </c>
      <c r="N19" s="257"/>
      <c r="O19" s="276"/>
      <c r="P19" s="240"/>
    </row>
    <row r="20" spans="1:17" s="233" customFormat="1" ht="18" customHeight="1" x14ac:dyDescent="0.25">
      <c r="A20" s="372" t="s">
        <v>10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57"/>
      <c r="O20" s="276"/>
      <c r="P20" s="240"/>
    </row>
    <row r="21" spans="1:17" s="239" customFormat="1" ht="15" customHeight="1" x14ac:dyDescent="0.25">
      <c r="A21" s="234" t="s">
        <v>11</v>
      </c>
      <c r="B21" s="235" t="s">
        <v>187</v>
      </c>
      <c r="C21" s="236" t="s">
        <v>239</v>
      </c>
      <c r="D21" s="237">
        <v>0</v>
      </c>
      <c r="E21" s="237">
        <v>5994.8141100000003</v>
      </c>
      <c r="F21" s="261">
        <v>28374.19</v>
      </c>
      <c r="G21" s="262"/>
      <c r="H21" s="262">
        <f>G21+F21</f>
        <v>28374.19</v>
      </c>
      <c r="I21" s="242">
        <v>0</v>
      </c>
      <c r="J21" s="242"/>
      <c r="K21" s="242">
        <f>J21+I21</f>
        <v>0</v>
      </c>
      <c r="L21" s="265">
        <f>E21+F21+I21</f>
        <v>34369.004110000002</v>
      </c>
      <c r="M21" s="238">
        <f>K21+H21+E21+D21</f>
        <v>34369.004110000002</v>
      </c>
      <c r="N21" s="257">
        <v>11049.249</v>
      </c>
      <c r="O21" s="276"/>
      <c r="P21" s="240"/>
    </row>
    <row r="22" spans="1:17" s="232" customFormat="1" ht="21.75" thickBot="1" x14ac:dyDescent="0.3">
      <c r="A22" s="266" t="s">
        <v>13</v>
      </c>
      <c r="B22" s="267"/>
      <c r="C22" s="268"/>
      <c r="D22" s="269">
        <f t="shared" ref="D22" si="9">SUM(D21:D21)</f>
        <v>0</v>
      </c>
      <c r="E22" s="269">
        <f>SUM(E21:E21)</f>
        <v>5994.8141100000003</v>
      </c>
      <c r="F22" s="269">
        <f t="shared" ref="F22:K22" si="10">SUM(F21:F21)</f>
        <v>28374.19</v>
      </c>
      <c r="G22" s="269">
        <f t="shared" si="10"/>
        <v>0</v>
      </c>
      <c r="H22" s="269">
        <f t="shared" si="10"/>
        <v>28374.19</v>
      </c>
      <c r="I22" s="269">
        <f t="shared" si="10"/>
        <v>0</v>
      </c>
      <c r="J22" s="269">
        <f t="shared" si="10"/>
        <v>0</v>
      </c>
      <c r="K22" s="269">
        <f t="shared" si="10"/>
        <v>0</v>
      </c>
      <c r="L22" s="271">
        <f>E22+F22+I22</f>
        <v>34369.004110000002</v>
      </c>
      <c r="M22" s="284">
        <f>K22+H22+E22+D22</f>
        <v>34369.004110000002</v>
      </c>
      <c r="N22" s="257"/>
      <c r="O22" s="274"/>
    </row>
    <row r="23" spans="1:17" s="232" customFormat="1" ht="25.5" customHeight="1" thickBot="1" x14ac:dyDescent="0.3">
      <c r="A23" s="14" t="s">
        <v>71</v>
      </c>
      <c r="B23" s="158"/>
      <c r="C23" s="166"/>
      <c r="D23" s="15">
        <f>D9+D13+D19+D22</f>
        <v>9117.9084500000008</v>
      </c>
      <c r="E23" s="15">
        <f t="shared" ref="E23:M23" si="11">E9+E13+E19+E22</f>
        <v>80893.156730000002</v>
      </c>
      <c r="F23" s="15">
        <f t="shared" si="11"/>
        <v>308203.22000000003</v>
      </c>
      <c r="G23" s="15">
        <f t="shared" si="11"/>
        <v>0</v>
      </c>
      <c r="H23" s="15">
        <f t="shared" si="11"/>
        <v>308203.22000000003</v>
      </c>
      <c r="I23" s="15">
        <f t="shared" si="11"/>
        <v>55250</v>
      </c>
      <c r="J23" s="15">
        <f t="shared" si="11"/>
        <v>0</v>
      </c>
      <c r="K23" s="15">
        <f t="shared" si="11"/>
        <v>55250</v>
      </c>
      <c r="L23" s="203">
        <f t="shared" si="11"/>
        <v>453464.28518000001</v>
      </c>
      <c r="M23" s="16">
        <f t="shared" si="11"/>
        <v>453464.28518000001</v>
      </c>
      <c r="N23" s="257"/>
      <c r="O23" s="277"/>
    </row>
    <row r="24" spans="1:17" s="232" customFormat="1" ht="12" customHeight="1" thickBot="1" x14ac:dyDescent="0.3">
      <c r="A24" s="17"/>
      <c r="B24" s="159"/>
      <c r="C24" s="167"/>
      <c r="D24" s="94"/>
      <c r="E24" s="94"/>
      <c r="F24" s="285"/>
      <c r="G24" s="285"/>
      <c r="H24" s="285"/>
      <c r="I24" s="94"/>
      <c r="J24" s="94"/>
      <c r="K24" s="94"/>
      <c r="L24" s="94"/>
      <c r="M24" s="95"/>
      <c r="N24" s="256"/>
      <c r="O24" s="274"/>
    </row>
    <row r="25" spans="1:17" s="232" customFormat="1" ht="21" customHeight="1" x14ac:dyDescent="0.25">
      <c r="A25" s="369" t="s">
        <v>72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1"/>
      <c r="N25" s="256"/>
      <c r="O25" s="274"/>
    </row>
    <row r="26" spans="1:17" s="232" customFormat="1" ht="18" customHeight="1" x14ac:dyDescent="0.25">
      <c r="A26" s="372" t="s">
        <v>48</v>
      </c>
      <c r="B26" s="373"/>
      <c r="C26" s="373"/>
      <c r="D26" s="373"/>
      <c r="E26" s="373"/>
      <c r="F26" s="373"/>
      <c r="G26" s="373"/>
      <c r="H26" s="373"/>
      <c r="I26" s="373"/>
      <c r="J26" s="373"/>
      <c r="K26" s="373"/>
      <c r="L26" s="373"/>
      <c r="M26" s="374"/>
      <c r="N26" s="256"/>
      <c r="O26" s="274"/>
    </row>
    <row r="27" spans="1:17" s="232" customFormat="1" ht="34.5" customHeight="1" x14ac:dyDescent="0.25">
      <c r="A27" s="286" t="s">
        <v>327</v>
      </c>
      <c r="B27" s="160" t="s">
        <v>330</v>
      </c>
      <c r="C27" s="236" t="s">
        <v>243</v>
      </c>
      <c r="D27" s="24">
        <v>0</v>
      </c>
      <c r="E27" s="24">
        <v>0</v>
      </c>
      <c r="F27" s="24">
        <v>0</v>
      </c>
      <c r="G27" s="194">
        <v>15000</v>
      </c>
      <c r="H27" s="172">
        <f t="shared" ref="H27" si="12">G27+F27</f>
        <v>15000</v>
      </c>
      <c r="I27" s="24">
        <v>0</v>
      </c>
      <c r="J27" s="279">
        <v>0</v>
      </c>
      <c r="K27" s="183">
        <f t="shared" ref="K27" si="13">J27+I27</f>
        <v>0</v>
      </c>
      <c r="L27" s="265">
        <f t="shared" ref="L27" si="14">D27+E27+F27+I27</f>
        <v>0</v>
      </c>
      <c r="M27" s="238">
        <f t="shared" ref="M27" si="15">K27+H27+E27+D27</f>
        <v>15000</v>
      </c>
      <c r="N27" s="256"/>
      <c r="O27" s="274"/>
    </row>
    <row r="28" spans="1:17" s="232" customFormat="1" ht="15" customHeight="1" thickBot="1" x14ac:dyDescent="0.3">
      <c r="A28" s="266" t="s">
        <v>53</v>
      </c>
      <c r="B28" s="267"/>
      <c r="C28" s="268"/>
      <c r="D28" s="269">
        <f>SUM(D27:D27)</f>
        <v>0</v>
      </c>
      <c r="E28" s="269">
        <f t="shared" ref="E28:K28" si="16">SUM(E27:E27)</f>
        <v>0</v>
      </c>
      <c r="F28" s="269">
        <f t="shared" si="16"/>
        <v>0</v>
      </c>
      <c r="G28" s="269">
        <f t="shared" si="16"/>
        <v>15000</v>
      </c>
      <c r="H28" s="269">
        <f t="shared" si="16"/>
        <v>15000</v>
      </c>
      <c r="I28" s="269">
        <f t="shared" si="16"/>
        <v>0</v>
      </c>
      <c r="J28" s="269">
        <f t="shared" si="16"/>
        <v>0</v>
      </c>
      <c r="K28" s="269">
        <f t="shared" si="16"/>
        <v>0</v>
      </c>
      <c r="L28" s="269">
        <f t="shared" ref="L28" si="17">SUM(L27:L27)</f>
        <v>0</v>
      </c>
      <c r="M28" s="287">
        <f t="shared" ref="M28" si="18">SUM(M27:M27)</f>
        <v>15000</v>
      </c>
      <c r="N28" s="256"/>
      <c r="O28" s="274"/>
    </row>
    <row r="29" spans="1:17" s="232" customFormat="1" ht="36" customHeight="1" thickBot="1" x14ac:dyDescent="0.3">
      <c r="A29" s="14" t="s">
        <v>79</v>
      </c>
      <c r="B29" s="158"/>
      <c r="C29" s="166"/>
      <c r="D29" s="15">
        <f>D28</f>
        <v>0</v>
      </c>
      <c r="E29" s="15">
        <f t="shared" ref="E29:M29" si="19">E28</f>
        <v>0</v>
      </c>
      <c r="F29" s="15">
        <f t="shared" si="19"/>
        <v>0</v>
      </c>
      <c r="G29" s="15">
        <f t="shared" si="19"/>
        <v>15000</v>
      </c>
      <c r="H29" s="15">
        <f t="shared" si="19"/>
        <v>15000</v>
      </c>
      <c r="I29" s="15">
        <f t="shared" si="19"/>
        <v>0</v>
      </c>
      <c r="J29" s="15">
        <f t="shared" si="19"/>
        <v>0</v>
      </c>
      <c r="K29" s="15">
        <f t="shared" si="19"/>
        <v>0</v>
      </c>
      <c r="L29" s="15">
        <f t="shared" si="19"/>
        <v>0</v>
      </c>
      <c r="M29" s="16">
        <f t="shared" si="19"/>
        <v>15000</v>
      </c>
      <c r="N29" s="256"/>
      <c r="O29" s="274"/>
    </row>
    <row r="30" spans="1:17" s="232" customFormat="1" ht="12" customHeight="1" thickBot="1" x14ac:dyDescent="0.3">
      <c r="A30" s="17"/>
      <c r="B30" s="159"/>
      <c r="C30" s="167"/>
      <c r="D30" s="94"/>
      <c r="E30" s="94"/>
      <c r="F30" s="285"/>
      <c r="G30" s="285"/>
      <c r="H30" s="285"/>
      <c r="I30" s="94"/>
      <c r="J30" s="94"/>
      <c r="K30" s="94"/>
      <c r="L30" s="94"/>
      <c r="M30" s="288"/>
      <c r="N30" s="256"/>
      <c r="O30" s="274"/>
    </row>
    <row r="31" spans="1:17" s="232" customFormat="1" ht="21" customHeight="1" x14ac:dyDescent="0.25">
      <c r="A31" s="369" t="s">
        <v>15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1"/>
      <c r="N31" s="256"/>
      <c r="O31" s="274"/>
    </row>
    <row r="32" spans="1:17" s="233" customFormat="1" ht="18" customHeight="1" x14ac:dyDescent="0.25">
      <c r="A32" s="372" t="s">
        <v>16</v>
      </c>
      <c r="B32" s="373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4"/>
      <c r="N32" s="256"/>
      <c r="O32" s="275"/>
    </row>
    <row r="33" spans="1:17" s="239" customFormat="1" ht="24" customHeight="1" x14ac:dyDescent="0.25">
      <c r="A33" s="234" t="s">
        <v>162</v>
      </c>
      <c r="B33" s="235" t="s">
        <v>189</v>
      </c>
      <c r="C33" s="236" t="s">
        <v>245</v>
      </c>
      <c r="D33" s="20">
        <v>0</v>
      </c>
      <c r="E33" s="172">
        <v>26500</v>
      </c>
      <c r="F33" s="172">
        <v>65500</v>
      </c>
      <c r="G33" s="172"/>
      <c r="H33" s="172">
        <f>G33+F33</f>
        <v>65500</v>
      </c>
      <c r="I33" s="20">
        <v>0</v>
      </c>
      <c r="J33" s="183"/>
      <c r="K33" s="183">
        <f>J33+I33</f>
        <v>0</v>
      </c>
      <c r="L33" s="265">
        <f>D33+E33+F33+I33</f>
        <v>92000</v>
      </c>
      <c r="M33" s="238">
        <f>K33+H33+E33+D33</f>
        <v>92000</v>
      </c>
      <c r="N33" s="256">
        <v>0</v>
      </c>
      <c r="O33" s="278"/>
    </row>
    <row r="34" spans="1:17" s="239" customFormat="1" ht="24" customHeight="1" x14ac:dyDescent="0.25">
      <c r="A34" s="234" t="s">
        <v>165</v>
      </c>
      <c r="B34" s="235" t="s">
        <v>191</v>
      </c>
      <c r="C34" s="236" t="s">
        <v>245</v>
      </c>
      <c r="D34" s="20">
        <v>0</v>
      </c>
      <c r="E34" s="172">
        <v>60000</v>
      </c>
      <c r="F34" s="172">
        <v>0</v>
      </c>
      <c r="G34" s="172"/>
      <c r="H34" s="172">
        <f t="shared" ref="H34:H37" si="20">G34+F34</f>
        <v>0</v>
      </c>
      <c r="I34" s="20">
        <v>0</v>
      </c>
      <c r="J34" s="183"/>
      <c r="K34" s="183">
        <f t="shared" ref="K34:K37" si="21">J34+I34</f>
        <v>0</v>
      </c>
      <c r="L34" s="265">
        <f>D34+E34+F34+I34</f>
        <v>60000</v>
      </c>
      <c r="M34" s="238">
        <f t="shared" ref="M34:M36" si="22">K34+H34+E34+D34</f>
        <v>60000</v>
      </c>
      <c r="N34" s="256"/>
      <c r="O34" s="278"/>
    </row>
    <row r="35" spans="1:17" s="239" customFormat="1" ht="15" customHeight="1" x14ac:dyDescent="0.25">
      <c r="A35" s="234" t="s">
        <v>180</v>
      </c>
      <c r="B35" s="235" t="s">
        <v>192</v>
      </c>
      <c r="C35" s="236" t="s">
        <v>247</v>
      </c>
      <c r="D35" s="20">
        <v>0</v>
      </c>
      <c r="E35" s="172">
        <v>0</v>
      </c>
      <c r="F35" s="172">
        <v>75300</v>
      </c>
      <c r="G35" s="172"/>
      <c r="H35" s="172">
        <f t="shared" si="20"/>
        <v>75300</v>
      </c>
      <c r="I35" s="20">
        <v>15000</v>
      </c>
      <c r="J35" s="183"/>
      <c r="K35" s="183">
        <f>J35+I35</f>
        <v>15000</v>
      </c>
      <c r="L35" s="265">
        <f>D35+E35+F35+I35</f>
        <v>90300</v>
      </c>
      <c r="M35" s="238">
        <f t="shared" si="22"/>
        <v>90300</v>
      </c>
      <c r="N35" s="256">
        <v>114.95</v>
      </c>
      <c r="O35" s="278"/>
    </row>
    <row r="36" spans="1:17" s="239" customFormat="1" ht="15" customHeight="1" x14ac:dyDescent="0.25">
      <c r="A36" s="241" t="s">
        <v>17</v>
      </c>
      <c r="B36" s="235" t="s">
        <v>193</v>
      </c>
      <c r="C36" s="236" t="s">
        <v>247</v>
      </c>
      <c r="D36" s="20">
        <v>0</v>
      </c>
      <c r="E36" s="172">
        <v>421.08</v>
      </c>
      <c r="F36" s="172">
        <v>257056.92</v>
      </c>
      <c r="G36" s="194">
        <v>-180000</v>
      </c>
      <c r="H36" s="172">
        <f t="shared" si="20"/>
        <v>77056.920000000013</v>
      </c>
      <c r="I36" s="20">
        <v>0</v>
      </c>
      <c r="J36" s="279">
        <v>180000</v>
      </c>
      <c r="K36" s="183">
        <f t="shared" si="21"/>
        <v>180000</v>
      </c>
      <c r="L36" s="265">
        <f>D36+E36+F36+I36</f>
        <v>257478</v>
      </c>
      <c r="M36" s="238">
        <f t="shared" si="22"/>
        <v>257478</v>
      </c>
      <c r="N36" s="256">
        <v>0</v>
      </c>
      <c r="O36" s="278"/>
    </row>
    <row r="37" spans="1:17" s="239" customFormat="1" ht="24" customHeight="1" x14ac:dyDescent="0.25">
      <c r="A37" s="241" t="s">
        <v>92</v>
      </c>
      <c r="B37" s="235" t="s">
        <v>194</v>
      </c>
      <c r="C37" s="236" t="s">
        <v>247</v>
      </c>
      <c r="D37" s="20">
        <v>0</v>
      </c>
      <c r="E37" s="172">
        <v>23024.390660000001</v>
      </c>
      <c r="F37" s="172">
        <v>37273.599999999999</v>
      </c>
      <c r="G37" s="194">
        <v>-3000</v>
      </c>
      <c r="H37" s="172">
        <f t="shared" si="20"/>
        <v>34273.599999999999</v>
      </c>
      <c r="I37" s="20">
        <v>2702</v>
      </c>
      <c r="J37" s="279">
        <v>3000</v>
      </c>
      <c r="K37" s="183">
        <f t="shared" si="21"/>
        <v>5702</v>
      </c>
      <c r="L37" s="265">
        <f>D37+E37+F37+I37</f>
        <v>62999.990659999996</v>
      </c>
      <c r="M37" s="238">
        <f>K37+H37+E37+D37</f>
        <v>62999.990659999996</v>
      </c>
      <c r="N37" s="256">
        <v>0</v>
      </c>
      <c r="O37" s="278"/>
    </row>
    <row r="38" spans="1:17" s="232" customFormat="1" ht="15" customHeight="1" x14ac:dyDescent="0.25">
      <c r="A38" s="10" t="s">
        <v>19</v>
      </c>
      <c r="B38" s="157"/>
      <c r="C38" s="165"/>
      <c r="D38" s="11">
        <f>SUM(D33:D37)</f>
        <v>0</v>
      </c>
      <c r="E38" s="11">
        <f>SUM(E33:E37)</f>
        <v>109945.47066000001</v>
      </c>
      <c r="F38" s="11">
        <f t="shared" ref="F38:K38" si="23">SUM(F33:F37)</f>
        <v>435130.52</v>
      </c>
      <c r="G38" s="11">
        <f t="shared" si="23"/>
        <v>-183000</v>
      </c>
      <c r="H38" s="11">
        <f t="shared" si="23"/>
        <v>252130.52000000002</v>
      </c>
      <c r="I38" s="11">
        <f t="shared" si="23"/>
        <v>17702</v>
      </c>
      <c r="J38" s="11">
        <f t="shared" si="23"/>
        <v>183000</v>
      </c>
      <c r="K38" s="11">
        <f t="shared" si="23"/>
        <v>200702</v>
      </c>
      <c r="L38" s="202">
        <f>SUM(L33:L37)</f>
        <v>562777.99066000001</v>
      </c>
      <c r="M38" s="12">
        <f>SUM(M33:M37)</f>
        <v>562777.99066000001</v>
      </c>
      <c r="N38" s="256"/>
      <c r="O38" s="277"/>
    </row>
    <row r="39" spans="1:17" s="233" customFormat="1" ht="18" customHeight="1" x14ac:dyDescent="0.25">
      <c r="A39" s="372" t="s">
        <v>20</v>
      </c>
      <c r="B39" s="373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56"/>
      <c r="O39" s="275"/>
    </row>
    <row r="40" spans="1:17" s="239" customFormat="1" ht="24" customHeight="1" x14ac:dyDescent="0.25">
      <c r="A40" s="21" t="s">
        <v>24</v>
      </c>
      <c r="B40" s="160" t="s">
        <v>195</v>
      </c>
      <c r="C40" s="236" t="s">
        <v>247</v>
      </c>
      <c r="D40" s="20">
        <v>375.1</v>
      </c>
      <c r="E40" s="172">
        <f>5000-5000</f>
        <v>0</v>
      </c>
      <c r="F40" s="172">
        <f>60000-60000</f>
        <v>0</v>
      </c>
      <c r="G40" s="172"/>
      <c r="H40" s="172">
        <f>G40+F40</f>
        <v>0</v>
      </c>
      <c r="I40" s="20">
        <f>39557-39557</f>
        <v>0</v>
      </c>
      <c r="J40" s="183"/>
      <c r="K40" s="183">
        <f>J40+I40</f>
        <v>0</v>
      </c>
      <c r="L40" s="265">
        <f>D40+E40+F40+I40</f>
        <v>375.1</v>
      </c>
      <c r="M40" s="238">
        <f>K40+H40+E40+D40</f>
        <v>375.1</v>
      </c>
      <c r="N40" s="256"/>
      <c r="O40" s="278"/>
    </row>
    <row r="41" spans="1:17" s="239" customFormat="1" ht="24" customHeight="1" x14ac:dyDescent="0.25">
      <c r="A41" s="21" t="s">
        <v>23</v>
      </c>
      <c r="B41" s="160" t="s">
        <v>196</v>
      </c>
      <c r="C41" s="236" t="s">
        <v>247</v>
      </c>
      <c r="D41" s="20">
        <v>615</v>
      </c>
      <c r="E41" s="172">
        <v>89.54</v>
      </c>
      <c r="F41" s="172">
        <v>50310.46</v>
      </c>
      <c r="G41" s="172"/>
      <c r="H41" s="172">
        <f>G41+F41</f>
        <v>50310.46</v>
      </c>
      <c r="I41" s="172">
        <v>0</v>
      </c>
      <c r="J41" s="263"/>
      <c r="K41" s="183">
        <f>J41+I41</f>
        <v>0</v>
      </c>
      <c r="L41" s="265">
        <f>D41+E41+F41+I41</f>
        <v>51015</v>
      </c>
      <c r="M41" s="238">
        <f>K41+H41+E41+D41</f>
        <v>51015</v>
      </c>
      <c r="N41" s="256">
        <v>0</v>
      </c>
      <c r="O41" s="278"/>
    </row>
    <row r="42" spans="1:17" s="232" customFormat="1" ht="15" customHeight="1" x14ac:dyDescent="0.25">
      <c r="A42" s="10" t="s">
        <v>27</v>
      </c>
      <c r="B42" s="157"/>
      <c r="C42" s="165"/>
      <c r="D42" s="11">
        <f t="shared" ref="D42:K42" si="24">SUM(D40:D41)</f>
        <v>990.1</v>
      </c>
      <c r="E42" s="11">
        <f>SUM(E40:E41)</f>
        <v>89.54</v>
      </c>
      <c r="F42" s="11">
        <f t="shared" si="24"/>
        <v>50310.46</v>
      </c>
      <c r="G42" s="11">
        <f t="shared" si="24"/>
        <v>0</v>
      </c>
      <c r="H42" s="11">
        <f t="shared" si="24"/>
        <v>50310.46</v>
      </c>
      <c r="I42" s="11">
        <f t="shared" si="24"/>
        <v>0</v>
      </c>
      <c r="J42" s="11">
        <f t="shared" si="24"/>
        <v>0</v>
      </c>
      <c r="K42" s="11">
        <f t="shared" si="24"/>
        <v>0</v>
      </c>
      <c r="L42" s="202">
        <f>SUM(L40:L41)</f>
        <v>51390.1</v>
      </c>
      <c r="M42" s="12">
        <f>SUM(M40:M41)</f>
        <v>51390.1</v>
      </c>
      <c r="N42" s="256"/>
      <c r="O42" s="274"/>
    </row>
    <row r="43" spans="1:17" s="233" customFormat="1" ht="18" customHeight="1" x14ac:dyDescent="0.25">
      <c r="A43" s="372" t="s">
        <v>6</v>
      </c>
      <c r="B43" s="373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56"/>
      <c r="O43" s="275"/>
    </row>
    <row r="44" spans="1:17" s="239" customFormat="1" ht="24" customHeight="1" x14ac:dyDescent="0.25">
      <c r="A44" s="234" t="s">
        <v>110</v>
      </c>
      <c r="B44" s="235" t="s">
        <v>198</v>
      </c>
      <c r="C44" s="236" t="s">
        <v>247</v>
      </c>
      <c r="D44" s="20">
        <v>11814</v>
      </c>
      <c r="E44" s="172">
        <v>0</v>
      </c>
      <c r="F44" s="172">
        <v>0</v>
      </c>
      <c r="G44" s="172"/>
      <c r="H44" s="172">
        <f>G44+F44</f>
        <v>0</v>
      </c>
      <c r="I44" s="172">
        <v>0</v>
      </c>
      <c r="J44" s="263"/>
      <c r="K44" s="263">
        <f>J44+I44</f>
        <v>0</v>
      </c>
      <c r="L44" s="265">
        <f t="shared" ref="L44:L49" si="25">D44+E44+F44+I44</f>
        <v>11814</v>
      </c>
      <c r="M44" s="238">
        <f>K44+H44+E44+D44</f>
        <v>11814</v>
      </c>
      <c r="N44" s="256"/>
      <c r="O44" s="278"/>
    </row>
    <row r="45" spans="1:17" s="239" customFormat="1" ht="24" customHeight="1" x14ac:dyDescent="0.25">
      <c r="A45" s="23" t="s">
        <v>111</v>
      </c>
      <c r="B45" s="161" t="s">
        <v>199</v>
      </c>
      <c r="C45" s="236" t="s">
        <v>247</v>
      </c>
      <c r="D45" s="20">
        <v>6329.88</v>
      </c>
      <c r="E45" s="172">
        <v>0</v>
      </c>
      <c r="F45" s="172">
        <v>0</v>
      </c>
      <c r="G45" s="172"/>
      <c r="H45" s="172">
        <f t="shared" ref="H45:H49" si="26">G45+F45</f>
        <v>0</v>
      </c>
      <c r="I45" s="172">
        <v>0</v>
      </c>
      <c r="J45" s="263"/>
      <c r="K45" s="263">
        <f t="shared" ref="K45:K49" si="27">J45+I45</f>
        <v>0</v>
      </c>
      <c r="L45" s="265">
        <f t="shared" si="25"/>
        <v>6329.88</v>
      </c>
      <c r="M45" s="238">
        <f t="shared" ref="M45:M48" si="28">K45+H45+E45+D45</f>
        <v>6329.88</v>
      </c>
      <c r="N45" s="256"/>
      <c r="O45" s="278"/>
    </row>
    <row r="46" spans="1:17" s="239" customFormat="1" ht="24" customHeight="1" x14ac:dyDescent="0.25">
      <c r="A46" s="23" t="s">
        <v>113</v>
      </c>
      <c r="B46" s="161" t="s">
        <v>200</v>
      </c>
      <c r="C46" s="236" t="s">
        <v>247</v>
      </c>
      <c r="D46" s="20">
        <v>12143.58</v>
      </c>
      <c r="E46" s="172">
        <v>1042.1199999999999</v>
      </c>
      <c r="F46" s="172">
        <v>0</v>
      </c>
      <c r="G46" s="172"/>
      <c r="H46" s="172">
        <f t="shared" si="26"/>
        <v>0</v>
      </c>
      <c r="I46" s="172">
        <v>0</v>
      </c>
      <c r="J46" s="263"/>
      <c r="K46" s="263">
        <f t="shared" si="27"/>
        <v>0</v>
      </c>
      <c r="L46" s="265">
        <f t="shared" si="25"/>
        <v>13185.7</v>
      </c>
      <c r="M46" s="238">
        <f t="shared" si="28"/>
        <v>13185.7</v>
      </c>
      <c r="N46" s="256"/>
      <c r="O46" s="278"/>
    </row>
    <row r="47" spans="1:17" s="239" customFormat="1" ht="24" customHeight="1" x14ac:dyDescent="0.25">
      <c r="A47" s="23" t="s">
        <v>31</v>
      </c>
      <c r="B47" s="161" t="s">
        <v>201</v>
      </c>
      <c r="C47" s="236" t="s">
        <v>247</v>
      </c>
      <c r="D47" s="20">
        <v>10650</v>
      </c>
      <c r="E47" s="172">
        <v>0</v>
      </c>
      <c r="F47" s="172">
        <v>2850</v>
      </c>
      <c r="G47" s="172"/>
      <c r="H47" s="172">
        <f t="shared" si="26"/>
        <v>2850</v>
      </c>
      <c r="I47" s="172">
        <v>0</v>
      </c>
      <c r="J47" s="263"/>
      <c r="K47" s="263">
        <f t="shared" si="27"/>
        <v>0</v>
      </c>
      <c r="L47" s="265">
        <f t="shared" si="25"/>
        <v>13500</v>
      </c>
      <c r="M47" s="238">
        <f t="shared" si="28"/>
        <v>13500</v>
      </c>
      <c r="N47" s="256">
        <v>2850</v>
      </c>
      <c r="O47" s="278"/>
    </row>
    <row r="48" spans="1:17" s="239" customFormat="1" ht="24" customHeight="1" x14ac:dyDescent="0.25">
      <c r="A48" s="234" t="s">
        <v>29</v>
      </c>
      <c r="B48" s="235" t="s">
        <v>202</v>
      </c>
      <c r="C48" s="236" t="s">
        <v>239</v>
      </c>
      <c r="D48" s="20">
        <v>0</v>
      </c>
      <c r="E48" s="172">
        <v>0</v>
      </c>
      <c r="F48" s="172">
        <v>117492</v>
      </c>
      <c r="G48" s="172">
        <v>-47537</v>
      </c>
      <c r="H48" s="172">
        <f>G48+F48</f>
        <v>69955</v>
      </c>
      <c r="I48" s="172">
        <v>0</v>
      </c>
      <c r="J48" s="263">
        <v>47537</v>
      </c>
      <c r="K48" s="263">
        <f t="shared" si="27"/>
        <v>47537</v>
      </c>
      <c r="L48" s="265">
        <f t="shared" si="25"/>
        <v>117492</v>
      </c>
      <c r="M48" s="238">
        <f t="shared" si="28"/>
        <v>117492</v>
      </c>
      <c r="N48" s="256">
        <v>0</v>
      </c>
      <c r="O48" s="276"/>
      <c r="P48" s="240"/>
      <c r="Q48" s="240"/>
    </row>
    <row r="49" spans="1:17" s="239" customFormat="1" ht="15" customHeight="1" x14ac:dyDescent="0.25">
      <c r="A49" s="23" t="s">
        <v>30</v>
      </c>
      <c r="B49" s="161" t="s">
        <v>203</v>
      </c>
      <c r="C49" s="168" t="s">
        <v>239</v>
      </c>
      <c r="D49" s="20">
        <v>1446.18</v>
      </c>
      <c r="E49" s="172">
        <v>14564.74171</v>
      </c>
      <c r="F49" s="172">
        <v>240235.1</v>
      </c>
      <c r="G49" s="172">
        <v>-15000</v>
      </c>
      <c r="H49" s="172">
        <f t="shared" si="26"/>
        <v>225235.1</v>
      </c>
      <c r="I49" s="172">
        <v>0</v>
      </c>
      <c r="J49" s="263">
        <v>15000</v>
      </c>
      <c r="K49" s="263">
        <f t="shared" si="27"/>
        <v>15000</v>
      </c>
      <c r="L49" s="265">
        <f t="shared" si="25"/>
        <v>256246.02171</v>
      </c>
      <c r="M49" s="238">
        <f>K49+H49+E49+D49</f>
        <v>256246.02171</v>
      </c>
      <c r="N49" s="256">
        <v>1132.8</v>
      </c>
      <c r="O49" s="276"/>
      <c r="P49" s="240"/>
      <c r="Q49" s="240"/>
    </row>
    <row r="50" spans="1:17" s="232" customFormat="1" ht="15" customHeight="1" x14ac:dyDescent="0.25">
      <c r="A50" s="10" t="s">
        <v>9</v>
      </c>
      <c r="B50" s="157"/>
      <c r="C50" s="165"/>
      <c r="D50" s="11">
        <f>SUM(D44:D49)</f>
        <v>42383.64</v>
      </c>
      <c r="E50" s="11">
        <f>SUM(E44:E49)</f>
        <v>15606.861710000001</v>
      </c>
      <c r="F50" s="11">
        <f>SUM(F44:F49)</f>
        <v>360577.1</v>
      </c>
      <c r="G50" s="11">
        <f t="shared" ref="G50:K50" si="29">SUM(G44:G49)</f>
        <v>-62537</v>
      </c>
      <c r="H50" s="11">
        <f t="shared" si="29"/>
        <v>298040.09999999998</v>
      </c>
      <c r="I50" s="11">
        <f t="shared" si="29"/>
        <v>0</v>
      </c>
      <c r="J50" s="11">
        <f t="shared" si="29"/>
        <v>62537</v>
      </c>
      <c r="K50" s="11">
        <f t="shared" si="29"/>
        <v>62537</v>
      </c>
      <c r="L50" s="202">
        <f>SUM(L44:L49)</f>
        <v>418567.60171000002</v>
      </c>
      <c r="M50" s="12">
        <f>SUM(M44:M49)</f>
        <v>418567.60171000002</v>
      </c>
      <c r="N50" s="256"/>
      <c r="O50" s="274"/>
    </row>
    <row r="51" spans="1:17" s="233" customFormat="1" ht="18" customHeight="1" x14ac:dyDescent="0.25">
      <c r="A51" s="372" t="s">
        <v>32</v>
      </c>
      <c r="B51" s="373"/>
      <c r="C51" s="373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56"/>
      <c r="O51" s="275"/>
      <c r="Q51" s="244"/>
    </row>
    <row r="52" spans="1:17" s="233" customFormat="1" ht="24" customHeight="1" x14ac:dyDescent="0.25">
      <c r="A52" s="234" t="s">
        <v>33</v>
      </c>
      <c r="B52" s="235" t="s">
        <v>204</v>
      </c>
      <c r="C52" s="236" t="s">
        <v>247</v>
      </c>
      <c r="D52" s="20">
        <v>95.59</v>
      </c>
      <c r="E52" s="172">
        <v>44904.41</v>
      </c>
      <c r="F52" s="172">
        <v>0</v>
      </c>
      <c r="G52" s="194">
        <v>0</v>
      </c>
      <c r="H52" s="172">
        <f>G52+F52</f>
        <v>0</v>
      </c>
      <c r="I52" s="172">
        <v>0</v>
      </c>
      <c r="J52" s="280">
        <v>0</v>
      </c>
      <c r="K52" s="263">
        <f>J52+I52</f>
        <v>0</v>
      </c>
      <c r="L52" s="265">
        <f t="shared" ref="L52:L77" si="30">D52+E52+F52+I52</f>
        <v>45000</v>
      </c>
      <c r="M52" s="238">
        <f>K52+H52+E52+D52</f>
        <v>45000</v>
      </c>
      <c r="N52" s="256"/>
      <c r="O52" s="275" t="s">
        <v>300</v>
      </c>
    </row>
    <row r="53" spans="1:17" s="233" customFormat="1" ht="24" customHeight="1" x14ac:dyDescent="0.25">
      <c r="A53" s="23" t="s">
        <v>39</v>
      </c>
      <c r="B53" s="161" t="s">
        <v>205</v>
      </c>
      <c r="C53" s="236" t="s">
        <v>247</v>
      </c>
      <c r="D53" s="20">
        <v>50386.47</v>
      </c>
      <c r="E53" s="172">
        <v>3269.53</v>
      </c>
      <c r="F53" s="172">
        <v>0</v>
      </c>
      <c r="G53" s="172"/>
      <c r="H53" s="172">
        <f t="shared" ref="H53:H77" si="31">G53+F53</f>
        <v>0</v>
      </c>
      <c r="I53" s="172">
        <v>0</v>
      </c>
      <c r="J53" s="263"/>
      <c r="K53" s="263">
        <f t="shared" ref="K53:K77" si="32">J53+I53</f>
        <v>0</v>
      </c>
      <c r="L53" s="265">
        <f t="shared" si="30"/>
        <v>53656</v>
      </c>
      <c r="M53" s="238">
        <f t="shared" ref="M53:M75" si="33">K53+H53+E53+D53</f>
        <v>53656</v>
      </c>
      <c r="N53" s="256"/>
      <c r="O53" s="275"/>
    </row>
    <row r="54" spans="1:17" s="233" customFormat="1" ht="24" customHeight="1" x14ac:dyDescent="0.25">
      <c r="A54" s="23" t="s">
        <v>43</v>
      </c>
      <c r="B54" s="161" t="s">
        <v>206</v>
      </c>
      <c r="C54" s="236" t="s">
        <v>247</v>
      </c>
      <c r="D54" s="20">
        <v>30678.01</v>
      </c>
      <c r="E54" s="172">
        <v>0</v>
      </c>
      <c r="F54" s="172">
        <v>0</v>
      </c>
      <c r="G54" s="172"/>
      <c r="H54" s="172">
        <f t="shared" si="31"/>
        <v>0</v>
      </c>
      <c r="I54" s="172">
        <v>0</v>
      </c>
      <c r="J54" s="263"/>
      <c r="K54" s="263">
        <f t="shared" si="32"/>
        <v>0</v>
      </c>
      <c r="L54" s="265">
        <f t="shared" si="30"/>
        <v>30678.01</v>
      </c>
      <c r="M54" s="238">
        <f t="shared" si="33"/>
        <v>30678.01</v>
      </c>
      <c r="N54" s="256"/>
      <c r="O54" s="275"/>
    </row>
    <row r="55" spans="1:17" s="233" customFormat="1" ht="24" customHeight="1" x14ac:dyDescent="0.25">
      <c r="A55" s="234" t="s">
        <v>44</v>
      </c>
      <c r="B55" s="235" t="s">
        <v>207</v>
      </c>
      <c r="C55" s="236" t="s">
        <v>247</v>
      </c>
      <c r="D55" s="20">
        <v>40000</v>
      </c>
      <c r="E55" s="172">
        <v>0</v>
      </c>
      <c r="F55" s="172">
        <v>0</v>
      </c>
      <c r="G55" s="194">
        <v>0</v>
      </c>
      <c r="H55" s="172">
        <f t="shared" si="31"/>
        <v>0</v>
      </c>
      <c r="I55" s="172">
        <v>0</v>
      </c>
      <c r="J55" s="280">
        <v>0</v>
      </c>
      <c r="K55" s="263">
        <f t="shared" si="32"/>
        <v>0</v>
      </c>
      <c r="L55" s="265">
        <f t="shared" si="30"/>
        <v>40000</v>
      </c>
      <c r="M55" s="238">
        <f t="shared" si="33"/>
        <v>40000</v>
      </c>
      <c r="N55" s="256"/>
      <c r="O55" s="275"/>
    </row>
    <row r="56" spans="1:17" s="233" customFormat="1" ht="24" customHeight="1" x14ac:dyDescent="0.25">
      <c r="A56" s="234" t="s">
        <v>208</v>
      </c>
      <c r="B56" s="235" t="s">
        <v>209</v>
      </c>
      <c r="C56" s="236" t="s">
        <v>247</v>
      </c>
      <c r="D56" s="20">
        <v>6200</v>
      </c>
      <c r="E56" s="172">
        <v>0</v>
      </c>
      <c r="F56" s="172">
        <v>0</v>
      </c>
      <c r="G56" s="194">
        <v>0</v>
      </c>
      <c r="H56" s="172">
        <f t="shared" si="31"/>
        <v>0</v>
      </c>
      <c r="I56" s="172">
        <v>0</v>
      </c>
      <c r="J56" s="280">
        <v>0</v>
      </c>
      <c r="K56" s="263">
        <f t="shared" si="32"/>
        <v>0</v>
      </c>
      <c r="L56" s="265">
        <f t="shared" si="30"/>
        <v>6200</v>
      </c>
      <c r="M56" s="238">
        <f t="shared" si="33"/>
        <v>6200</v>
      </c>
      <c r="N56" s="256"/>
      <c r="O56" s="275" t="s">
        <v>300</v>
      </c>
    </row>
    <row r="57" spans="1:17" s="233" customFormat="1" ht="24" customHeight="1" x14ac:dyDescent="0.25">
      <c r="A57" s="23" t="s">
        <v>89</v>
      </c>
      <c r="B57" s="161" t="s">
        <v>210</v>
      </c>
      <c r="C57" s="236" t="s">
        <v>247</v>
      </c>
      <c r="D57" s="20">
        <v>7025.05</v>
      </c>
      <c r="E57" s="172">
        <v>2094.9499999999998</v>
      </c>
      <c r="F57" s="172">
        <v>0</v>
      </c>
      <c r="G57" s="194">
        <v>0</v>
      </c>
      <c r="H57" s="172">
        <f t="shared" si="31"/>
        <v>0</v>
      </c>
      <c r="I57" s="172">
        <v>0</v>
      </c>
      <c r="J57" s="280">
        <v>0</v>
      </c>
      <c r="K57" s="263">
        <f t="shared" si="32"/>
        <v>0</v>
      </c>
      <c r="L57" s="265">
        <f t="shared" si="30"/>
        <v>9120</v>
      </c>
      <c r="M57" s="238">
        <f t="shared" si="33"/>
        <v>9120</v>
      </c>
      <c r="N57" s="256"/>
      <c r="O57" s="275" t="s">
        <v>300</v>
      </c>
    </row>
    <row r="58" spans="1:17" s="233" customFormat="1" ht="24" customHeight="1" x14ac:dyDescent="0.25">
      <c r="A58" s="234" t="s">
        <v>131</v>
      </c>
      <c r="B58" s="235" t="s">
        <v>211</v>
      </c>
      <c r="C58" s="236" t="s">
        <v>247</v>
      </c>
      <c r="D58" s="20">
        <v>7949.67</v>
      </c>
      <c r="E58" s="172">
        <v>0</v>
      </c>
      <c r="F58" s="172">
        <v>0</v>
      </c>
      <c r="G58" s="172"/>
      <c r="H58" s="172">
        <f t="shared" si="31"/>
        <v>0</v>
      </c>
      <c r="I58" s="172">
        <v>0</v>
      </c>
      <c r="J58" s="263"/>
      <c r="K58" s="263">
        <f t="shared" si="32"/>
        <v>0</v>
      </c>
      <c r="L58" s="265">
        <f t="shared" si="30"/>
        <v>7949.67</v>
      </c>
      <c r="M58" s="238">
        <f t="shared" si="33"/>
        <v>7949.67</v>
      </c>
      <c r="N58" s="256"/>
      <c r="O58" s="275"/>
    </row>
    <row r="59" spans="1:17" s="233" customFormat="1" ht="24" customHeight="1" x14ac:dyDescent="0.25">
      <c r="A59" s="234" t="s">
        <v>172</v>
      </c>
      <c r="B59" s="235" t="s">
        <v>212</v>
      </c>
      <c r="C59" s="236" t="s">
        <v>247</v>
      </c>
      <c r="D59" s="20">
        <v>0</v>
      </c>
      <c r="E59" s="20">
        <v>13942.72262</v>
      </c>
      <c r="F59" s="172">
        <v>0</v>
      </c>
      <c r="G59" s="194">
        <v>0</v>
      </c>
      <c r="H59" s="172">
        <f t="shared" si="31"/>
        <v>0</v>
      </c>
      <c r="I59" s="172">
        <v>0</v>
      </c>
      <c r="J59" s="280">
        <v>0</v>
      </c>
      <c r="K59" s="263">
        <f t="shared" si="32"/>
        <v>0</v>
      </c>
      <c r="L59" s="265">
        <f t="shared" si="30"/>
        <v>13942.72262</v>
      </c>
      <c r="M59" s="238">
        <f t="shared" si="33"/>
        <v>13942.72262</v>
      </c>
      <c r="N59" s="256"/>
      <c r="O59" s="275" t="s">
        <v>300</v>
      </c>
    </row>
    <row r="60" spans="1:17" s="233" customFormat="1" ht="24" customHeight="1" x14ac:dyDescent="0.25">
      <c r="A60" s="234" t="s">
        <v>34</v>
      </c>
      <c r="B60" s="195" t="s">
        <v>213</v>
      </c>
      <c r="C60" s="236" t="s">
        <v>247</v>
      </c>
      <c r="D60" s="20">
        <v>0</v>
      </c>
      <c r="E60" s="172">
        <v>325.27999999999997</v>
      </c>
      <c r="F60" s="172">
        <v>387.72</v>
      </c>
      <c r="G60" s="172"/>
      <c r="H60" s="172">
        <f t="shared" si="31"/>
        <v>387.72</v>
      </c>
      <c r="I60" s="172">
        <v>0</v>
      </c>
      <c r="J60" s="263"/>
      <c r="K60" s="263">
        <f t="shared" si="32"/>
        <v>0</v>
      </c>
      <c r="L60" s="265">
        <f t="shared" si="30"/>
        <v>713</v>
      </c>
      <c r="M60" s="238">
        <f t="shared" si="33"/>
        <v>713</v>
      </c>
      <c r="N60" s="256">
        <v>0</v>
      </c>
      <c r="O60" s="275"/>
    </row>
    <row r="61" spans="1:17" s="233" customFormat="1" ht="24" customHeight="1" x14ac:dyDescent="0.25">
      <c r="A61" s="234" t="s">
        <v>42</v>
      </c>
      <c r="B61" s="235" t="s">
        <v>214</v>
      </c>
      <c r="C61" s="236" t="s">
        <v>247</v>
      </c>
      <c r="D61" s="20">
        <v>43980.06</v>
      </c>
      <c r="E61" s="20">
        <v>1584.91535</v>
      </c>
      <c r="F61" s="172">
        <v>12135.02</v>
      </c>
      <c r="G61" s="172"/>
      <c r="H61" s="172">
        <f t="shared" si="31"/>
        <v>12135.02</v>
      </c>
      <c r="I61" s="172">
        <v>0</v>
      </c>
      <c r="J61" s="263"/>
      <c r="K61" s="263">
        <f t="shared" si="32"/>
        <v>0</v>
      </c>
      <c r="L61" s="265">
        <f t="shared" si="30"/>
        <v>57699.995349999997</v>
      </c>
      <c r="M61" s="238">
        <f t="shared" si="33"/>
        <v>57699.995349999997</v>
      </c>
      <c r="N61" s="256">
        <v>0</v>
      </c>
      <c r="O61" s="275"/>
    </row>
    <row r="62" spans="1:17" s="233" customFormat="1" ht="24" customHeight="1" x14ac:dyDescent="0.25">
      <c r="A62" s="234" t="s">
        <v>45</v>
      </c>
      <c r="B62" s="161" t="s">
        <v>215</v>
      </c>
      <c r="C62" s="236" t="s">
        <v>247</v>
      </c>
      <c r="D62" s="20">
        <v>500</v>
      </c>
      <c r="E62" s="20">
        <v>196.96</v>
      </c>
      <c r="F62" s="172">
        <v>60703.040000000001</v>
      </c>
      <c r="G62" s="194">
        <v>-30000</v>
      </c>
      <c r="H62" s="172">
        <f t="shared" si="31"/>
        <v>30703.040000000001</v>
      </c>
      <c r="I62" s="172">
        <v>11950.5</v>
      </c>
      <c r="J62" s="280">
        <v>30000</v>
      </c>
      <c r="K62" s="263">
        <f t="shared" si="32"/>
        <v>41950.5</v>
      </c>
      <c r="L62" s="265">
        <f t="shared" si="30"/>
        <v>73350.5</v>
      </c>
      <c r="M62" s="238">
        <f t="shared" si="33"/>
        <v>73350.500000000015</v>
      </c>
      <c r="N62" s="256">
        <v>0</v>
      </c>
      <c r="O62" s="275"/>
    </row>
    <row r="63" spans="1:17" s="233" customFormat="1" ht="33.950000000000003" customHeight="1" x14ac:dyDescent="0.25">
      <c r="A63" s="234" t="s">
        <v>36</v>
      </c>
      <c r="B63" s="161" t="s">
        <v>216</v>
      </c>
      <c r="C63" s="236" t="s">
        <v>256</v>
      </c>
      <c r="D63" s="24">
        <v>18811.419999999998</v>
      </c>
      <c r="E63" s="20">
        <v>25877.71342</v>
      </c>
      <c r="F63" s="172">
        <v>268.05</v>
      </c>
      <c r="G63" s="172"/>
      <c r="H63" s="172">
        <f t="shared" si="31"/>
        <v>268.05</v>
      </c>
      <c r="I63" s="172">
        <v>0</v>
      </c>
      <c r="J63" s="263"/>
      <c r="K63" s="263">
        <f t="shared" si="32"/>
        <v>0</v>
      </c>
      <c r="L63" s="265">
        <f t="shared" si="30"/>
        <v>44957.183420000001</v>
      </c>
      <c r="M63" s="238">
        <f t="shared" si="33"/>
        <v>44957.183420000001</v>
      </c>
      <c r="N63" s="256">
        <v>5.8860000000000001</v>
      </c>
      <c r="O63" s="275"/>
    </row>
    <row r="64" spans="1:17" s="233" customFormat="1" ht="33.950000000000003" customHeight="1" x14ac:dyDescent="0.25">
      <c r="A64" s="234" t="s">
        <v>81</v>
      </c>
      <c r="B64" s="161" t="s">
        <v>217</v>
      </c>
      <c r="C64" s="236" t="s">
        <v>277</v>
      </c>
      <c r="D64" s="24">
        <v>0</v>
      </c>
      <c r="E64" s="20">
        <v>0</v>
      </c>
      <c r="F64" s="172">
        <v>6500</v>
      </c>
      <c r="G64" s="172"/>
      <c r="H64" s="172">
        <f t="shared" si="31"/>
        <v>6500</v>
      </c>
      <c r="I64" s="172">
        <v>0</v>
      </c>
      <c r="J64" s="263"/>
      <c r="K64" s="263">
        <f t="shared" si="32"/>
        <v>0</v>
      </c>
      <c r="L64" s="265">
        <f t="shared" si="30"/>
        <v>6500</v>
      </c>
      <c r="M64" s="238">
        <f t="shared" si="33"/>
        <v>6500</v>
      </c>
      <c r="N64" s="256">
        <v>0</v>
      </c>
      <c r="O64" s="275"/>
    </row>
    <row r="65" spans="1:15" s="233" customFormat="1" ht="24" customHeight="1" x14ac:dyDescent="0.25">
      <c r="A65" s="241" t="s">
        <v>38</v>
      </c>
      <c r="B65" s="235" t="s">
        <v>218</v>
      </c>
      <c r="C65" s="236" t="s">
        <v>247</v>
      </c>
      <c r="D65" s="20">
        <v>803.35</v>
      </c>
      <c r="E65" s="20">
        <v>51491.672209999997</v>
      </c>
      <c r="F65" s="172">
        <v>153703.97</v>
      </c>
      <c r="G65" s="172"/>
      <c r="H65" s="172">
        <f t="shared" si="31"/>
        <v>153703.97</v>
      </c>
      <c r="I65" s="172">
        <v>0</v>
      </c>
      <c r="J65" s="263"/>
      <c r="K65" s="263">
        <f t="shared" si="32"/>
        <v>0</v>
      </c>
      <c r="L65" s="265">
        <f t="shared" si="30"/>
        <v>205998.99221</v>
      </c>
      <c r="M65" s="238">
        <f t="shared" si="33"/>
        <v>205998.99221</v>
      </c>
      <c r="N65" s="256">
        <v>21463.79</v>
      </c>
      <c r="O65" s="275"/>
    </row>
    <row r="66" spans="1:15" s="233" customFormat="1" ht="33.950000000000003" customHeight="1" x14ac:dyDescent="0.25">
      <c r="A66" s="234" t="s">
        <v>41</v>
      </c>
      <c r="B66" s="161" t="s">
        <v>219</v>
      </c>
      <c r="C66" s="236" t="s">
        <v>247</v>
      </c>
      <c r="D66" s="24">
        <v>0</v>
      </c>
      <c r="E66" s="172">
        <v>0</v>
      </c>
      <c r="F66" s="172">
        <v>38000</v>
      </c>
      <c r="G66" s="194">
        <v>-10000</v>
      </c>
      <c r="H66" s="172">
        <f t="shared" si="31"/>
        <v>28000</v>
      </c>
      <c r="I66" s="20">
        <v>24000</v>
      </c>
      <c r="J66" s="279">
        <v>10000</v>
      </c>
      <c r="K66" s="263">
        <f t="shared" si="32"/>
        <v>34000</v>
      </c>
      <c r="L66" s="265">
        <f t="shared" si="30"/>
        <v>62000</v>
      </c>
      <c r="M66" s="238">
        <f t="shared" si="33"/>
        <v>62000</v>
      </c>
      <c r="N66" s="256">
        <v>0</v>
      </c>
      <c r="O66" s="275" t="s">
        <v>318</v>
      </c>
    </row>
    <row r="67" spans="1:15" s="233" customFormat="1" ht="24" customHeight="1" x14ac:dyDescent="0.25">
      <c r="A67" s="234" t="s">
        <v>80</v>
      </c>
      <c r="B67" s="235" t="s">
        <v>220</v>
      </c>
      <c r="C67" s="236" t="s">
        <v>247</v>
      </c>
      <c r="D67" s="20">
        <v>0</v>
      </c>
      <c r="E67" s="172">
        <v>263.57</v>
      </c>
      <c r="F67" s="172">
        <v>18586.43</v>
      </c>
      <c r="G67" s="172"/>
      <c r="H67" s="172">
        <f t="shared" si="31"/>
        <v>18586.43</v>
      </c>
      <c r="I67" s="172">
        <v>0</v>
      </c>
      <c r="J67" s="263"/>
      <c r="K67" s="263">
        <f t="shared" si="32"/>
        <v>0</v>
      </c>
      <c r="L67" s="265">
        <f t="shared" si="30"/>
        <v>18850</v>
      </c>
      <c r="M67" s="238">
        <f t="shared" si="33"/>
        <v>18850</v>
      </c>
      <c r="N67" s="256">
        <v>1557.2</v>
      </c>
      <c r="O67" s="275"/>
    </row>
    <row r="68" spans="1:15" s="233" customFormat="1" ht="24" customHeight="1" x14ac:dyDescent="0.25">
      <c r="A68" s="234" t="s">
        <v>68</v>
      </c>
      <c r="B68" s="235" t="s">
        <v>221</v>
      </c>
      <c r="C68" s="236" t="s">
        <v>247</v>
      </c>
      <c r="D68" s="20">
        <v>0</v>
      </c>
      <c r="E68" s="172">
        <v>188.41300000000001</v>
      </c>
      <c r="F68" s="172">
        <v>1901.58</v>
      </c>
      <c r="G68" s="172"/>
      <c r="H68" s="172">
        <f t="shared" si="31"/>
        <v>1901.58</v>
      </c>
      <c r="I68" s="172">
        <v>0</v>
      </c>
      <c r="J68" s="263"/>
      <c r="K68" s="263">
        <f t="shared" si="32"/>
        <v>0</v>
      </c>
      <c r="L68" s="265">
        <f t="shared" si="30"/>
        <v>2089.9929999999999</v>
      </c>
      <c r="M68" s="238">
        <f t="shared" si="33"/>
        <v>2089.9929999999999</v>
      </c>
      <c r="N68" s="256">
        <v>435.6</v>
      </c>
      <c r="O68" s="275"/>
    </row>
    <row r="69" spans="1:15" s="233" customFormat="1" ht="24" customHeight="1" x14ac:dyDescent="0.25">
      <c r="A69" s="234" t="s">
        <v>40</v>
      </c>
      <c r="B69" s="235" t="s">
        <v>222</v>
      </c>
      <c r="C69" s="236" t="s">
        <v>247</v>
      </c>
      <c r="D69" s="20">
        <v>0</v>
      </c>
      <c r="E69" s="20">
        <v>24042.860769999999</v>
      </c>
      <c r="F69" s="172">
        <v>957.14</v>
      </c>
      <c r="G69" s="172"/>
      <c r="H69" s="172">
        <f t="shared" si="31"/>
        <v>957.14</v>
      </c>
      <c r="I69" s="172">
        <v>0</v>
      </c>
      <c r="J69" s="263"/>
      <c r="K69" s="263">
        <f t="shared" si="32"/>
        <v>0</v>
      </c>
      <c r="L69" s="265">
        <f t="shared" si="30"/>
        <v>25000.000769999999</v>
      </c>
      <c r="M69" s="238">
        <f t="shared" si="33"/>
        <v>25000.000769999999</v>
      </c>
      <c r="N69" s="256">
        <v>0</v>
      </c>
      <c r="O69" s="275"/>
    </row>
    <row r="70" spans="1:15" s="233" customFormat="1" ht="33.950000000000003" customHeight="1" x14ac:dyDescent="0.25">
      <c r="A70" s="234" t="s">
        <v>37</v>
      </c>
      <c r="B70" s="161" t="s">
        <v>223</v>
      </c>
      <c r="C70" s="236" t="s">
        <v>247</v>
      </c>
      <c r="D70" s="24">
        <v>0</v>
      </c>
      <c r="E70" s="192">
        <v>9.1709999999999994</v>
      </c>
      <c r="F70" s="192">
        <v>11125.82</v>
      </c>
      <c r="G70" s="192"/>
      <c r="H70" s="172">
        <f t="shared" si="31"/>
        <v>11125.82</v>
      </c>
      <c r="I70" s="172">
        <v>0</v>
      </c>
      <c r="J70" s="263"/>
      <c r="K70" s="263">
        <f t="shared" si="32"/>
        <v>0</v>
      </c>
      <c r="L70" s="265">
        <f t="shared" si="30"/>
        <v>11134.991</v>
      </c>
      <c r="M70" s="238">
        <f t="shared" si="33"/>
        <v>11134.991</v>
      </c>
      <c r="N70" s="256">
        <v>0</v>
      </c>
      <c r="O70" s="275"/>
    </row>
    <row r="71" spans="1:15" s="233" customFormat="1" ht="24" customHeight="1" x14ac:dyDescent="0.25">
      <c r="A71" s="234" t="s">
        <v>69</v>
      </c>
      <c r="B71" s="161" t="s">
        <v>224</v>
      </c>
      <c r="C71" s="236" t="s">
        <v>247</v>
      </c>
      <c r="D71" s="20">
        <v>28.6</v>
      </c>
      <c r="E71" s="192">
        <v>62.500129999999999</v>
      </c>
      <c r="F71" s="172">
        <v>9973.49</v>
      </c>
      <c r="G71" s="194">
        <v>-4000</v>
      </c>
      <c r="H71" s="172">
        <f t="shared" si="31"/>
        <v>5973.49</v>
      </c>
      <c r="I71" s="172">
        <v>0</v>
      </c>
      <c r="J71" s="280">
        <v>4000</v>
      </c>
      <c r="K71" s="263">
        <f t="shared" si="32"/>
        <v>4000</v>
      </c>
      <c r="L71" s="265">
        <f t="shared" si="30"/>
        <v>10064.59013</v>
      </c>
      <c r="M71" s="238">
        <f t="shared" si="33"/>
        <v>10064.59013</v>
      </c>
      <c r="N71" s="256">
        <v>0</v>
      </c>
      <c r="O71" s="275"/>
    </row>
    <row r="72" spans="1:15" s="239" customFormat="1" ht="15" customHeight="1" x14ac:dyDescent="0.25">
      <c r="A72" s="234" t="s">
        <v>88</v>
      </c>
      <c r="B72" s="160" t="s">
        <v>225</v>
      </c>
      <c r="C72" s="236" t="s">
        <v>247</v>
      </c>
      <c r="D72" s="245">
        <v>0</v>
      </c>
      <c r="E72" s="246">
        <v>0</v>
      </c>
      <c r="F72" s="246">
        <v>70500</v>
      </c>
      <c r="G72" s="246"/>
      <c r="H72" s="172">
        <f t="shared" si="31"/>
        <v>70500</v>
      </c>
      <c r="I72" s="172">
        <v>0</v>
      </c>
      <c r="J72" s="263"/>
      <c r="K72" s="263">
        <f t="shared" si="32"/>
        <v>0</v>
      </c>
      <c r="L72" s="265">
        <f t="shared" si="30"/>
        <v>70500</v>
      </c>
      <c r="M72" s="238">
        <f t="shared" si="33"/>
        <v>70500</v>
      </c>
      <c r="N72" s="256">
        <v>12975.6</v>
      </c>
      <c r="O72" s="278"/>
    </row>
    <row r="73" spans="1:15" s="233" customFormat="1" ht="24" customHeight="1" x14ac:dyDescent="0.25">
      <c r="A73" s="234" t="s">
        <v>90</v>
      </c>
      <c r="B73" s="235" t="s">
        <v>226</v>
      </c>
      <c r="C73" s="236" t="s">
        <v>247</v>
      </c>
      <c r="D73" s="20">
        <v>127.05</v>
      </c>
      <c r="E73" s="172">
        <v>554.17999999999995</v>
      </c>
      <c r="F73" s="172">
        <v>20818.82</v>
      </c>
      <c r="G73" s="172"/>
      <c r="H73" s="172">
        <f t="shared" si="31"/>
        <v>20818.82</v>
      </c>
      <c r="I73" s="172">
        <v>0</v>
      </c>
      <c r="J73" s="263"/>
      <c r="K73" s="263">
        <f t="shared" si="32"/>
        <v>0</v>
      </c>
      <c r="L73" s="265">
        <f>D73+E73+F73+I73</f>
        <v>21500.05</v>
      </c>
      <c r="M73" s="238">
        <f t="shared" si="33"/>
        <v>21500.05</v>
      </c>
      <c r="N73" s="256">
        <v>0</v>
      </c>
      <c r="O73" s="275"/>
    </row>
    <row r="74" spans="1:15" s="233" customFormat="1" ht="24" customHeight="1" x14ac:dyDescent="0.25">
      <c r="A74" s="234" t="s">
        <v>91</v>
      </c>
      <c r="B74" s="161" t="s">
        <v>227</v>
      </c>
      <c r="C74" s="236" t="s">
        <v>247</v>
      </c>
      <c r="D74" s="20">
        <v>17970.75</v>
      </c>
      <c r="E74" s="172">
        <v>7029.2466400000003</v>
      </c>
      <c r="F74" s="172">
        <v>0</v>
      </c>
      <c r="G74" s="263"/>
      <c r="H74" s="172">
        <f t="shared" si="31"/>
        <v>0</v>
      </c>
      <c r="I74" s="183">
        <v>0</v>
      </c>
      <c r="J74" s="183"/>
      <c r="K74" s="263">
        <f t="shared" si="32"/>
        <v>0</v>
      </c>
      <c r="L74" s="265">
        <f t="shared" si="30"/>
        <v>24999.996640000001</v>
      </c>
      <c r="M74" s="238">
        <f t="shared" si="33"/>
        <v>24999.996640000001</v>
      </c>
      <c r="N74" s="256"/>
      <c r="O74" s="275"/>
    </row>
    <row r="75" spans="1:15" s="233" customFormat="1" ht="24" customHeight="1" x14ac:dyDescent="0.25">
      <c r="A75" s="234" t="s">
        <v>262</v>
      </c>
      <c r="B75" s="161" t="s">
        <v>263</v>
      </c>
      <c r="C75" s="236" t="s">
        <v>247</v>
      </c>
      <c r="D75" s="20">
        <v>0</v>
      </c>
      <c r="E75" s="192">
        <v>11095.038860000001</v>
      </c>
      <c r="F75" s="172">
        <v>0</v>
      </c>
      <c r="G75" s="263"/>
      <c r="H75" s="172">
        <f t="shared" si="31"/>
        <v>0</v>
      </c>
      <c r="I75" s="183">
        <v>0</v>
      </c>
      <c r="J75" s="183"/>
      <c r="K75" s="263">
        <f t="shared" si="32"/>
        <v>0</v>
      </c>
      <c r="L75" s="265">
        <f t="shared" si="30"/>
        <v>11095.038860000001</v>
      </c>
      <c r="M75" s="238">
        <f t="shared" si="33"/>
        <v>11095.038860000001</v>
      </c>
      <c r="N75" s="256"/>
      <c r="O75" s="275"/>
    </row>
    <row r="76" spans="1:15" s="233" customFormat="1" ht="24" customHeight="1" x14ac:dyDescent="0.25">
      <c r="A76" s="234" t="s">
        <v>304</v>
      </c>
      <c r="B76" s="161" t="s">
        <v>266</v>
      </c>
      <c r="C76" s="236" t="s">
        <v>247</v>
      </c>
      <c r="D76" s="20">
        <v>0</v>
      </c>
      <c r="E76" s="192">
        <v>9081.3629999999994</v>
      </c>
      <c r="F76" s="172">
        <v>0</v>
      </c>
      <c r="G76" s="280">
        <v>0</v>
      </c>
      <c r="H76" s="172">
        <f t="shared" si="31"/>
        <v>0</v>
      </c>
      <c r="I76" s="183">
        <v>0</v>
      </c>
      <c r="J76" s="279">
        <v>0</v>
      </c>
      <c r="K76" s="263">
        <f t="shared" si="32"/>
        <v>0</v>
      </c>
      <c r="L76" s="265">
        <f t="shared" si="30"/>
        <v>9081.3629999999994</v>
      </c>
      <c r="M76" s="238">
        <f>K76+H76+E76+D76</f>
        <v>9081.3629999999994</v>
      </c>
      <c r="N76" s="256"/>
      <c r="O76" s="275" t="s">
        <v>300</v>
      </c>
    </row>
    <row r="77" spans="1:15" s="233" customFormat="1" ht="24" customHeight="1" x14ac:dyDescent="0.25">
      <c r="A77" s="234" t="s">
        <v>306</v>
      </c>
      <c r="B77" s="161" t="s">
        <v>307</v>
      </c>
      <c r="C77" s="236" t="s">
        <v>247</v>
      </c>
      <c r="D77" s="20">
        <v>0</v>
      </c>
      <c r="E77" s="24">
        <v>0</v>
      </c>
      <c r="F77" s="172">
        <v>0</v>
      </c>
      <c r="G77" s="263"/>
      <c r="H77" s="172">
        <f t="shared" si="31"/>
        <v>0</v>
      </c>
      <c r="I77" s="183">
        <v>16614</v>
      </c>
      <c r="J77" s="183"/>
      <c r="K77" s="263">
        <f t="shared" si="32"/>
        <v>16614</v>
      </c>
      <c r="L77" s="265">
        <f t="shared" si="30"/>
        <v>16614</v>
      </c>
      <c r="M77" s="238">
        <f>K77+H77+E77+D77</f>
        <v>16614</v>
      </c>
      <c r="N77" s="256"/>
      <c r="O77" s="275"/>
    </row>
    <row r="78" spans="1:15" s="232" customFormat="1" ht="15" customHeight="1" x14ac:dyDescent="0.25">
      <c r="A78" s="10" t="s">
        <v>47</v>
      </c>
      <c r="B78" s="157"/>
      <c r="C78" s="165"/>
      <c r="D78" s="11">
        <f t="shared" ref="D78:M78" si="34">SUM(D52:D77)</f>
        <v>224556.02000000002</v>
      </c>
      <c r="E78" s="11">
        <f>SUM(E52:E77)</f>
        <v>196014.497</v>
      </c>
      <c r="F78" s="11">
        <f t="shared" ref="F78:K78" si="35">SUM(F52:F77)</f>
        <v>405561.08</v>
      </c>
      <c r="G78" s="11">
        <f t="shared" si="35"/>
        <v>-44000</v>
      </c>
      <c r="H78" s="11">
        <f t="shared" si="35"/>
        <v>361561.07999999996</v>
      </c>
      <c r="I78" s="11">
        <f t="shared" si="35"/>
        <v>52564.5</v>
      </c>
      <c r="J78" s="11">
        <f t="shared" si="35"/>
        <v>44000</v>
      </c>
      <c r="K78" s="11">
        <f t="shared" si="35"/>
        <v>96564.5</v>
      </c>
      <c r="L78" s="202">
        <f t="shared" si="34"/>
        <v>878696.09700000018</v>
      </c>
      <c r="M78" s="12">
        <f t="shared" si="34"/>
        <v>878696.09700000018</v>
      </c>
      <c r="N78" s="256"/>
      <c r="O78" s="277"/>
    </row>
    <row r="79" spans="1:15" s="233" customFormat="1" ht="18" customHeight="1" x14ac:dyDescent="0.25">
      <c r="A79" s="372" t="s">
        <v>48</v>
      </c>
      <c r="B79" s="373"/>
      <c r="C79" s="373"/>
      <c r="D79" s="373"/>
      <c r="E79" s="373"/>
      <c r="F79" s="373"/>
      <c r="G79" s="373"/>
      <c r="H79" s="373"/>
      <c r="I79" s="373"/>
      <c r="J79" s="373"/>
      <c r="K79" s="373"/>
      <c r="L79" s="373"/>
      <c r="M79" s="374"/>
      <c r="N79" s="256"/>
      <c r="O79" s="275"/>
    </row>
    <row r="80" spans="1:15" s="233" customFormat="1" ht="24" customHeight="1" x14ac:dyDescent="0.25">
      <c r="A80" s="21" t="s">
        <v>97</v>
      </c>
      <c r="B80" s="160" t="s">
        <v>228</v>
      </c>
      <c r="C80" s="236" t="s">
        <v>247</v>
      </c>
      <c r="D80" s="20">
        <v>14723.48</v>
      </c>
      <c r="E80" s="172">
        <v>6976.5198700000001</v>
      </c>
      <c r="F80" s="172">
        <v>0</v>
      </c>
      <c r="G80" s="194">
        <v>0</v>
      </c>
      <c r="H80" s="172">
        <f>G80+F80</f>
        <v>0</v>
      </c>
      <c r="I80" s="20">
        <v>0</v>
      </c>
      <c r="J80" s="279">
        <v>0</v>
      </c>
      <c r="K80" s="183">
        <f>J80+I80</f>
        <v>0</v>
      </c>
      <c r="L80" s="265">
        <f t="shared" ref="L80:L96" si="36">D80+E80+F80+I80</f>
        <v>21699.99987</v>
      </c>
      <c r="M80" s="238">
        <f>K80+H80+E80+D80</f>
        <v>21699.99987</v>
      </c>
      <c r="N80" s="256"/>
      <c r="O80" s="275" t="s">
        <v>300</v>
      </c>
    </row>
    <row r="81" spans="1:17" s="233" customFormat="1" ht="24" customHeight="1" x14ac:dyDescent="0.25">
      <c r="A81" s="21" t="s">
        <v>176</v>
      </c>
      <c r="B81" s="160" t="s">
        <v>229</v>
      </c>
      <c r="C81" s="236" t="s">
        <v>247</v>
      </c>
      <c r="D81" s="24">
        <v>22241.64</v>
      </c>
      <c r="E81" s="192">
        <v>0</v>
      </c>
      <c r="F81" s="192">
        <v>0</v>
      </c>
      <c r="G81" s="192"/>
      <c r="H81" s="172">
        <f t="shared" ref="H81:H96" si="37">G81+F81</f>
        <v>0</v>
      </c>
      <c r="I81" s="24">
        <v>0</v>
      </c>
      <c r="J81" s="264"/>
      <c r="K81" s="183">
        <f t="shared" ref="K81:K96" si="38">J81+I81</f>
        <v>0</v>
      </c>
      <c r="L81" s="265">
        <f t="shared" si="36"/>
        <v>22241.64</v>
      </c>
      <c r="M81" s="238">
        <f t="shared" ref="M81:M96" si="39">K81+H81+E81+D81</f>
        <v>22241.64</v>
      </c>
      <c r="N81" s="256"/>
      <c r="O81" s="275"/>
    </row>
    <row r="82" spans="1:17" s="233" customFormat="1" ht="24" customHeight="1" x14ac:dyDescent="0.25">
      <c r="A82" s="21" t="s">
        <v>141</v>
      </c>
      <c r="B82" s="160" t="s">
        <v>230</v>
      </c>
      <c r="C82" s="236" t="s">
        <v>247</v>
      </c>
      <c r="D82" s="20">
        <v>20898.27</v>
      </c>
      <c r="E82" s="172">
        <v>0</v>
      </c>
      <c r="F82" s="172">
        <v>0</v>
      </c>
      <c r="G82" s="194">
        <v>0</v>
      </c>
      <c r="H82" s="172">
        <f t="shared" si="37"/>
        <v>0</v>
      </c>
      <c r="I82" s="20">
        <v>0</v>
      </c>
      <c r="J82" s="279">
        <v>0</v>
      </c>
      <c r="K82" s="183">
        <f t="shared" si="38"/>
        <v>0</v>
      </c>
      <c r="L82" s="265">
        <f t="shared" si="36"/>
        <v>20898.27</v>
      </c>
      <c r="M82" s="238">
        <f t="shared" si="39"/>
        <v>20898.27</v>
      </c>
      <c r="N82" s="256"/>
      <c r="O82" s="275" t="s">
        <v>300</v>
      </c>
    </row>
    <row r="83" spans="1:17" s="233" customFormat="1" ht="24" customHeight="1" x14ac:dyDescent="0.25">
      <c r="A83" s="21" t="s">
        <v>143</v>
      </c>
      <c r="B83" s="160" t="s">
        <v>231</v>
      </c>
      <c r="C83" s="236" t="s">
        <v>247</v>
      </c>
      <c r="D83" s="20">
        <v>28727.64</v>
      </c>
      <c r="E83" s="172">
        <v>0</v>
      </c>
      <c r="F83" s="172">
        <v>0</v>
      </c>
      <c r="G83" s="172"/>
      <c r="H83" s="172">
        <f t="shared" si="37"/>
        <v>0</v>
      </c>
      <c r="I83" s="20">
        <v>0</v>
      </c>
      <c r="J83" s="183"/>
      <c r="K83" s="183">
        <f t="shared" si="38"/>
        <v>0</v>
      </c>
      <c r="L83" s="265">
        <f t="shared" si="36"/>
        <v>28727.64</v>
      </c>
      <c r="M83" s="238">
        <f t="shared" si="39"/>
        <v>28727.64</v>
      </c>
      <c r="N83" s="256"/>
      <c r="O83" s="275"/>
    </row>
    <row r="84" spans="1:17" s="233" customFormat="1" ht="24" customHeight="1" x14ac:dyDescent="0.25">
      <c r="A84" s="21" t="s">
        <v>145</v>
      </c>
      <c r="B84" s="160" t="s">
        <v>232</v>
      </c>
      <c r="C84" s="236" t="s">
        <v>247</v>
      </c>
      <c r="D84" s="20">
        <v>11437.7</v>
      </c>
      <c r="E84" s="172">
        <v>0</v>
      </c>
      <c r="F84" s="172">
        <v>0</v>
      </c>
      <c r="G84" s="172"/>
      <c r="H84" s="172">
        <f t="shared" si="37"/>
        <v>0</v>
      </c>
      <c r="I84" s="20">
        <v>0</v>
      </c>
      <c r="J84" s="183"/>
      <c r="K84" s="183">
        <f t="shared" si="38"/>
        <v>0</v>
      </c>
      <c r="L84" s="265">
        <f t="shared" si="36"/>
        <v>11437.7</v>
      </c>
      <c r="M84" s="238">
        <f t="shared" si="39"/>
        <v>11437.7</v>
      </c>
      <c r="N84" s="256"/>
      <c r="O84" s="275"/>
    </row>
    <row r="85" spans="1:17" s="233" customFormat="1" ht="24" customHeight="1" x14ac:dyDescent="0.25">
      <c r="A85" s="21" t="s">
        <v>147</v>
      </c>
      <c r="B85" s="160" t="s">
        <v>233</v>
      </c>
      <c r="C85" s="236" t="s">
        <v>247</v>
      </c>
      <c r="D85" s="20">
        <v>11567.78</v>
      </c>
      <c r="E85" s="172">
        <v>0</v>
      </c>
      <c r="F85" s="172">
        <v>0</v>
      </c>
      <c r="G85" s="172"/>
      <c r="H85" s="172">
        <f t="shared" si="37"/>
        <v>0</v>
      </c>
      <c r="I85" s="20">
        <v>0</v>
      </c>
      <c r="J85" s="183"/>
      <c r="K85" s="183">
        <f t="shared" si="38"/>
        <v>0</v>
      </c>
      <c r="L85" s="265">
        <f t="shared" si="36"/>
        <v>11567.78</v>
      </c>
      <c r="M85" s="238">
        <f t="shared" si="39"/>
        <v>11567.78</v>
      </c>
      <c r="N85" s="256"/>
      <c r="O85" s="275"/>
    </row>
    <row r="86" spans="1:17" s="233" customFormat="1" ht="15" customHeight="1" x14ac:dyDescent="0.25">
      <c r="A86" s="21" t="s">
        <v>175</v>
      </c>
      <c r="B86" s="160" t="s">
        <v>234</v>
      </c>
      <c r="C86" s="236" t="s">
        <v>247</v>
      </c>
      <c r="D86" s="20">
        <v>1099.1500000000001</v>
      </c>
      <c r="E86" s="172">
        <v>0</v>
      </c>
      <c r="F86" s="172">
        <v>22900.85</v>
      </c>
      <c r="G86" s="172"/>
      <c r="H86" s="172">
        <f t="shared" si="37"/>
        <v>22900.85</v>
      </c>
      <c r="I86" s="20">
        <v>0</v>
      </c>
      <c r="J86" s="183"/>
      <c r="K86" s="183">
        <f t="shared" si="38"/>
        <v>0</v>
      </c>
      <c r="L86" s="265">
        <f t="shared" si="36"/>
        <v>24000</v>
      </c>
      <c r="M86" s="238">
        <f t="shared" si="39"/>
        <v>24000</v>
      </c>
      <c r="N86" s="256">
        <v>0</v>
      </c>
      <c r="O86" s="275"/>
    </row>
    <row r="87" spans="1:17" s="233" customFormat="1" ht="24" customHeight="1" x14ac:dyDescent="0.25">
      <c r="A87" s="21" t="s">
        <v>50</v>
      </c>
      <c r="B87" s="160" t="s">
        <v>235</v>
      </c>
      <c r="C87" s="236" t="s">
        <v>247</v>
      </c>
      <c r="D87" s="20">
        <v>34.11</v>
      </c>
      <c r="E87" s="172">
        <v>93382</v>
      </c>
      <c r="F87" s="172">
        <v>50000</v>
      </c>
      <c r="G87" s="194"/>
      <c r="H87" s="172">
        <f t="shared" si="37"/>
        <v>50000</v>
      </c>
      <c r="I87" s="20">
        <v>0</v>
      </c>
      <c r="J87" s="279">
        <v>0</v>
      </c>
      <c r="K87" s="183">
        <f t="shared" si="38"/>
        <v>0</v>
      </c>
      <c r="L87" s="265">
        <f t="shared" si="36"/>
        <v>143416.10999999999</v>
      </c>
      <c r="M87" s="238">
        <f t="shared" si="39"/>
        <v>143416.10999999999</v>
      </c>
      <c r="N87" s="256">
        <v>0</v>
      </c>
      <c r="O87" s="275" t="s">
        <v>319</v>
      </c>
    </row>
    <row r="88" spans="1:17" s="233" customFormat="1" ht="24" customHeight="1" x14ac:dyDescent="0.25">
      <c r="A88" s="23" t="s">
        <v>49</v>
      </c>
      <c r="B88" s="160" t="s">
        <v>236</v>
      </c>
      <c r="C88" s="236" t="s">
        <v>247</v>
      </c>
      <c r="D88" s="24">
        <v>29.04</v>
      </c>
      <c r="E88" s="172">
        <v>262.20699999999999</v>
      </c>
      <c r="F88" s="192">
        <v>104708.76</v>
      </c>
      <c r="G88" s="192"/>
      <c r="H88" s="172">
        <f t="shared" si="37"/>
        <v>104708.76</v>
      </c>
      <c r="I88" s="24">
        <v>0</v>
      </c>
      <c r="J88" s="264"/>
      <c r="K88" s="183">
        <f t="shared" si="38"/>
        <v>0</v>
      </c>
      <c r="L88" s="265">
        <f t="shared" si="36"/>
        <v>105000.007</v>
      </c>
      <c r="M88" s="238">
        <f t="shared" si="39"/>
        <v>105000.00699999998</v>
      </c>
      <c r="N88" s="256">
        <v>1318.2</v>
      </c>
      <c r="O88" s="275"/>
    </row>
    <row r="89" spans="1:17" s="233" customFormat="1" ht="24" customHeight="1" x14ac:dyDescent="0.25">
      <c r="A89" s="283" t="s">
        <v>308</v>
      </c>
      <c r="B89" s="160" t="s">
        <v>286</v>
      </c>
      <c r="C89" s="236" t="s">
        <v>247</v>
      </c>
      <c r="D89" s="24">
        <v>0</v>
      </c>
      <c r="E89" s="172">
        <v>1073.91875</v>
      </c>
      <c r="F89" s="192">
        <v>29126.09</v>
      </c>
      <c r="G89" s="194">
        <v>0</v>
      </c>
      <c r="H89" s="172">
        <f t="shared" si="37"/>
        <v>29126.09</v>
      </c>
      <c r="I89" s="24">
        <v>0</v>
      </c>
      <c r="J89" s="279">
        <v>0</v>
      </c>
      <c r="K89" s="183">
        <f t="shared" si="38"/>
        <v>0</v>
      </c>
      <c r="L89" s="265">
        <f t="shared" si="36"/>
        <v>30200.008750000001</v>
      </c>
      <c r="M89" s="238">
        <f t="shared" si="39"/>
        <v>30200.008750000001</v>
      </c>
      <c r="N89" s="256">
        <v>0</v>
      </c>
      <c r="O89" s="275" t="s">
        <v>320</v>
      </c>
    </row>
    <row r="90" spans="1:17" s="233" customFormat="1" ht="24" customHeight="1" x14ac:dyDescent="0.25">
      <c r="A90" s="283" t="s">
        <v>309</v>
      </c>
      <c r="B90" s="160" t="s">
        <v>284</v>
      </c>
      <c r="C90" s="236" t="s">
        <v>247</v>
      </c>
      <c r="D90" s="24">
        <v>0</v>
      </c>
      <c r="E90" s="172">
        <v>25.52</v>
      </c>
      <c r="F90" s="192">
        <v>179974.48</v>
      </c>
      <c r="G90" s="194">
        <f>-7000-152974</f>
        <v>-159974</v>
      </c>
      <c r="H90" s="172">
        <f>G90+F90</f>
        <v>20000.48000000001</v>
      </c>
      <c r="I90" s="24">
        <v>0</v>
      </c>
      <c r="J90" s="279">
        <f>159974-27900+415</f>
        <v>132489</v>
      </c>
      <c r="K90" s="183">
        <f t="shared" si="38"/>
        <v>132489</v>
      </c>
      <c r="L90" s="265">
        <f>D90+E90+F90+I90</f>
        <v>180000</v>
      </c>
      <c r="M90" s="238">
        <f>K90+H90+E90+D90</f>
        <v>152515</v>
      </c>
      <c r="N90" s="256">
        <v>0</v>
      </c>
      <c r="O90" s="275" t="s">
        <v>321</v>
      </c>
    </row>
    <row r="91" spans="1:17" s="233" customFormat="1" ht="24" customHeight="1" x14ac:dyDescent="0.25">
      <c r="A91" s="289" t="s">
        <v>326</v>
      </c>
      <c r="B91" s="160" t="s">
        <v>328</v>
      </c>
      <c r="C91" s="236" t="s">
        <v>247</v>
      </c>
      <c r="D91" s="24">
        <v>0</v>
      </c>
      <c r="E91" s="24">
        <v>0</v>
      </c>
      <c r="F91" s="24">
        <v>0</v>
      </c>
      <c r="G91" s="194">
        <v>9000</v>
      </c>
      <c r="H91" s="172">
        <f t="shared" ref="H91:H93" si="40">G91+F91</f>
        <v>9000</v>
      </c>
      <c r="I91" s="24">
        <v>0</v>
      </c>
      <c r="J91" s="279">
        <v>0</v>
      </c>
      <c r="K91" s="183">
        <f t="shared" si="38"/>
        <v>0</v>
      </c>
      <c r="L91" s="265">
        <f t="shared" si="36"/>
        <v>0</v>
      </c>
      <c r="M91" s="238">
        <f t="shared" ref="M91:M92" si="41">K91+H91+E91+D91</f>
        <v>9000</v>
      </c>
      <c r="N91" s="256"/>
      <c r="O91" s="282">
        <f>L90-M90</f>
        <v>27485</v>
      </c>
    </row>
    <row r="92" spans="1:17" s="233" customFormat="1" ht="24" customHeight="1" x14ac:dyDescent="0.25">
      <c r="A92" s="289" t="s">
        <v>325</v>
      </c>
      <c r="B92" s="160" t="s">
        <v>329</v>
      </c>
      <c r="C92" s="236" t="s">
        <v>247</v>
      </c>
      <c r="D92" s="24">
        <v>0</v>
      </c>
      <c r="E92" s="24">
        <v>0</v>
      </c>
      <c r="F92" s="24">
        <v>0</v>
      </c>
      <c r="G92" s="194">
        <v>2400</v>
      </c>
      <c r="H92" s="172">
        <f t="shared" si="40"/>
        <v>2400</v>
      </c>
      <c r="I92" s="24">
        <v>0</v>
      </c>
      <c r="J92" s="279">
        <v>0</v>
      </c>
      <c r="K92" s="183">
        <f t="shared" si="38"/>
        <v>0</v>
      </c>
      <c r="L92" s="265">
        <f t="shared" si="36"/>
        <v>0</v>
      </c>
      <c r="M92" s="238">
        <f t="shared" si="41"/>
        <v>2400</v>
      </c>
      <c r="N92" s="256"/>
      <c r="O92" s="275">
        <v>415</v>
      </c>
      <c r="Q92" s="233">
        <v>180000</v>
      </c>
    </row>
    <row r="93" spans="1:17" s="233" customFormat="1" ht="24" customHeight="1" x14ac:dyDescent="0.25">
      <c r="A93" s="286" t="s">
        <v>324</v>
      </c>
      <c r="B93" s="160" t="s">
        <v>331</v>
      </c>
      <c r="C93" s="236" t="s">
        <v>247</v>
      </c>
      <c r="D93" s="24">
        <v>0</v>
      </c>
      <c r="E93" s="172">
        <v>0</v>
      </c>
      <c r="F93" s="192">
        <v>0</v>
      </c>
      <c r="G93" s="194">
        <v>1500</v>
      </c>
      <c r="H93" s="172">
        <f t="shared" si="40"/>
        <v>1500</v>
      </c>
      <c r="I93" s="24">
        <v>0</v>
      </c>
      <c r="J93" s="279">
        <v>0</v>
      </c>
      <c r="K93" s="183">
        <f>J93+I93</f>
        <v>0</v>
      </c>
      <c r="L93" s="265">
        <f t="shared" si="36"/>
        <v>0</v>
      </c>
      <c r="M93" s="238">
        <f t="shared" si="39"/>
        <v>1500</v>
      </c>
      <c r="N93" s="256"/>
      <c r="O93" s="275"/>
      <c r="Q93" s="244"/>
    </row>
    <row r="94" spans="1:17" s="239" customFormat="1" ht="24" customHeight="1" x14ac:dyDescent="0.25">
      <c r="A94" s="234" t="s">
        <v>310</v>
      </c>
      <c r="B94" s="235" t="s">
        <v>289</v>
      </c>
      <c r="C94" s="236" t="s">
        <v>247</v>
      </c>
      <c r="D94" s="237">
        <v>0</v>
      </c>
      <c r="E94" s="237">
        <v>0</v>
      </c>
      <c r="F94" s="261">
        <v>2000</v>
      </c>
      <c r="G94" s="262"/>
      <c r="H94" s="172">
        <f t="shared" si="37"/>
        <v>2000</v>
      </c>
      <c r="I94" s="242">
        <v>0</v>
      </c>
      <c r="J94" s="242"/>
      <c r="K94" s="183">
        <f t="shared" si="38"/>
        <v>0</v>
      </c>
      <c r="L94" s="265">
        <f t="shared" si="36"/>
        <v>2000</v>
      </c>
      <c r="M94" s="238">
        <f t="shared" si="39"/>
        <v>2000</v>
      </c>
      <c r="N94" s="256">
        <v>0</v>
      </c>
      <c r="O94" s="278"/>
    </row>
    <row r="95" spans="1:17" s="239" customFormat="1" ht="24" customHeight="1" x14ac:dyDescent="0.25">
      <c r="A95" s="234" t="s">
        <v>311</v>
      </c>
      <c r="B95" s="235" t="s">
        <v>291</v>
      </c>
      <c r="C95" s="236" t="s">
        <v>247</v>
      </c>
      <c r="D95" s="237">
        <v>0</v>
      </c>
      <c r="E95" s="237">
        <f>20000-2000</f>
        <v>18000</v>
      </c>
      <c r="F95" s="261">
        <v>0</v>
      </c>
      <c r="G95" s="262"/>
      <c r="H95" s="172">
        <f t="shared" si="37"/>
        <v>0</v>
      </c>
      <c r="I95" s="242">
        <v>0</v>
      </c>
      <c r="J95" s="242"/>
      <c r="K95" s="183">
        <f t="shared" si="38"/>
        <v>0</v>
      </c>
      <c r="L95" s="265">
        <f t="shared" si="36"/>
        <v>18000</v>
      </c>
      <c r="M95" s="238">
        <f t="shared" si="39"/>
        <v>18000</v>
      </c>
      <c r="N95" s="256"/>
      <c r="O95" s="278"/>
    </row>
    <row r="96" spans="1:17" s="239" customFormat="1" ht="24" customHeight="1" x14ac:dyDescent="0.25">
      <c r="A96" s="234" t="s">
        <v>312</v>
      </c>
      <c r="B96" s="235" t="s">
        <v>313</v>
      </c>
      <c r="C96" s="236" t="s">
        <v>247</v>
      </c>
      <c r="D96" s="237">
        <v>0</v>
      </c>
      <c r="E96" s="237">
        <v>0</v>
      </c>
      <c r="F96" s="261">
        <v>5000</v>
      </c>
      <c r="G96" s="262"/>
      <c r="H96" s="172">
        <f t="shared" si="37"/>
        <v>5000</v>
      </c>
      <c r="I96" s="242">
        <v>10500</v>
      </c>
      <c r="J96" s="242"/>
      <c r="K96" s="183">
        <f t="shared" si="38"/>
        <v>10500</v>
      </c>
      <c r="L96" s="265">
        <f t="shared" si="36"/>
        <v>15500</v>
      </c>
      <c r="M96" s="238">
        <f t="shared" si="39"/>
        <v>15500</v>
      </c>
      <c r="N96" s="256">
        <v>0</v>
      </c>
      <c r="O96" s="278"/>
    </row>
    <row r="97" spans="1:15" s="232" customFormat="1" ht="15" customHeight="1" thickBot="1" x14ac:dyDescent="0.3">
      <c r="A97" s="266" t="s">
        <v>53</v>
      </c>
      <c r="B97" s="267"/>
      <c r="C97" s="268"/>
      <c r="D97" s="269">
        <f t="shared" ref="D97:M97" si="42">SUM(D80:D96)</f>
        <v>110758.80999999998</v>
      </c>
      <c r="E97" s="269">
        <f t="shared" si="42"/>
        <v>119720.16562</v>
      </c>
      <c r="F97" s="269">
        <f t="shared" si="42"/>
        <v>393710.18</v>
      </c>
      <c r="G97" s="269">
        <f t="shared" si="42"/>
        <v>-147074</v>
      </c>
      <c r="H97" s="269">
        <f t="shared" si="42"/>
        <v>246636.18</v>
      </c>
      <c r="I97" s="269">
        <f t="shared" si="42"/>
        <v>10500</v>
      </c>
      <c r="J97" s="269">
        <f t="shared" si="42"/>
        <v>132489</v>
      </c>
      <c r="K97" s="269">
        <f t="shared" si="42"/>
        <v>142989</v>
      </c>
      <c r="L97" s="270">
        <f t="shared" si="42"/>
        <v>634689.15561999986</v>
      </c>
      <c r="M97" s="287">
        <f t="shared" si="42"/>
        <v>620104.15561999986</v>
      </c>
      <c r="N97" s="256"/>
      <c r="O97" s="277"/>
    </row>
    <row r="98" spans="1:15" s="232" customFormat="1" ht="25.5" customHeight="1" thickBot="1" x14ac:dyDescent="0.3">
      <c r="A98" s="14" t="s">
        <v>54</v>
      </c>
      <c r="B98" s="158"/>
      <c r="C98" s="166"/>
      <c r="D98" s="15">
        <f t="shared" ref="D98:M98" si="43">D97+D78+D50+D42+D38</f>
        <v>378688.57</v>
      </c>
      <c r="E98" s="15">
        <f t="shared" si="43"/>
        <v>441376.53499000001</v>
      </c>
      <c r="F98" s="15">
        <f t="shared" si="43"/>
        <v>1645289.3399999999</v>
      </c>
      <c r="G98" s="15">
        <f t="shared" si="43"/>
        <v>-436611</v>
      </c>
      <c r="H98" s="15">
        <f t="shared" si="43"/>
        <v>1208678.3399999999</v>
      </c>
      <c r="I98" s="15">
        <f t="shared" si="43"/>
        <v>80766.5</v>
      </c>
      <c r="J98" s="15">
        <f t="shared" si="43"/>
        <v>422026</v>
      </c>
      <c r="K98" s="15">
        <f t="shared" si="43"/>
        <v>502792.5</v>
      </c>
      <c r="L98" s="203">
        <f t="shared" si="43"/>
        <v>2546120.9449900002</v>
      </c>
      <c r="M98" s="16">
        <f t="shared" si="43"/>
        <v>2531535.9449900002</v>
      </c>
      <c r="N98" s="256"/>
      <c r="O98" s="274"/>
    </row>
    <row r="99" spans="1:15" s="232" customFormat="1" ht="13.5" thickBot="1" x14ac:dyDescent="0.3">
      <c r="A99" s="17"/>
      <c r="B99" s="159"/>
      <c r="C99" s="167"/>
      <c r="D99" s="94"/>
      <c r="E99" s="94"/>
      <c r="F99" s="285"/>
      <c r="G99" s="285"/>
      <c r="H99" s="285"/>
      <c r="I99" s="94"/>
      <c r="J99" s="94"/>
      <c r="K99" s="94"/>
      <c r="L99" s="285"/>
      <c r="M99" s="247"/>
      <c r="N99" s="256"/>
      <c r="O99" s="274"/>
    </row>
    <row r="100" spans="1:15" s="232" customFormat="1" ht="21" customHeight="1" thickBot="1" x14ac:dyDescent="0.3">
      <c r="A100" s="14" t="s">
        <v>55</v>
      </c>
      <c r="B100" s="158"/>
      <c r="C100" s="166"/>
      <c r="D100" s="15">
        <f>SUM(D23,D29,D98)+0.45</f>
        <v>387806.92845000001</v>
      </c>
      <c r="E100" s="15">
        <f>SUM(E23,E29,E98)</f>
        <v>522269.69172</v>
      </c>
      <c r="F100" s="15">
        <f t="shared" ref="F100:M100" si="44">SUM(F23,F29,F98)</f>
        <v>1953492.5599999998</v>
      </c>
      <c r="G100" s="15">
        <f t="shared" si="44"/>
        <v>-421611</v>
      </c>
      <c r="H100" s="15">
        <f t="shared" si="44"/>
        <v>1531881.5599999998</v>
      </c>
      <c r="I100" s="15">
        <f t="shared" si="44"/>
        <v>136016.5</v>
      </c>
      <c r="J100" s="15">
        <f t="shared" si="44"/>
        <v>422026</v>
      </c>
      <c r="K100" s="15">
        <f t="shared" si="44"/>
        <v>558042.5</v>
      </c>
      <c r="L100" s="15">
        <f t="shared" si="44"/>
        <v>2999585.2301700003</v>
      </c>
      <c r="M100" s="16">
        <f t="shared" si="44"/>
        <v>3000000.2301700003</v>
      </c>
      <c r="N100" s="256"/>
      <c r="O100" s="274"/>
    </row>
    <row r="101" spans="1:15" x14ac:dyDescent="0.2">
      <c r="L101" s="388"/>
      <c r="M101" s="388"/>
    </row>
    <row r="102" spans="1:15" hidden="1" x14ac:dyDescent="0.2">
      <c r="I102" s="228">
        <f>J100+G100</f>
        <v>415</v>
      </c>
      <c r="N102" s="258">
        <f>SUM(N8:N97)</f>
        <v>116444.34150000001</v>
      </c>
      <c r="O102" s="272">
        <f>N102/F100*100</f>
        <v>5.9608285121904956</v>
      </c>
    </row>
    <row r="103" spans="1:15" ht="25.5" hidden="1" x14ac:dyDescent="0.2">
      <c r="I103" s="228">
        <f>J90-E90</f>
        <v>132463.48000000001</v>
      </c>
      <c r="K103" s="281" t="s">
        <v>322</v>
      </c>
      <c r="L103" s="389">
        <v>3000000</v>
      </c>
      <c r="M103" s="390"/>
    </row>
    <row r="104" spans="1:15" ht="38.25" hidden="1" x14ac:dyDescent="0.2">
      <c r="K104" s="281" t="s">
        <v>323</v>
      </c>
      <c r="L104" s="389">
        <f>L103-M100</f>
        <v>-0.23017000034451485</v>
      </c>
      <c r="M104" s="390"/>
    </row>
  </sheetData>
  <mergeCells count="21">
    <mergeCell ref="A2:M2"/>
    <mergeCell ref="L101:M101"/>
    <mergeCell ref="L103:M103"/>
    <mergeCell ref="L104:M104"/>
    <mergeCell ref="A32:M32"/>
    <mergeCell ref="A39:M39"/>
    <mergeCell ref="A43:M43"/>
    <mergeCell ref="A51:M51"/>
    <mergeCell ref="A79:M79"/>
    <mergeCell ref="M4:M5"/>
    <mergeCell ref="A31:M31"/>
    <mergeCell ref="A25:M25"/>
    <mergeCell ref="A6:M6"/>
    <mergeCell ref="A7:M7"/>
    <mergeCell ref="A10:M10"/>
    <mergeCell ref="A14:M14"/>
    <mergeCell ref="A20:M20"/>
    <mergeCell ref="A26:M26"/>
    <mergeCell ref="A4:A5"/>
    <mergeCell ref="L4:L5"/>
    <mergeCell ref="D4:K4"/>
  </mergeCells>
  <conditionalFormatting sqref="F36:G37 E37 E47:E48 E65:E67 F47:G47 E69:G69 I36:J36 I69:J73 F63:G67 I47:J49 I63:J67">
    <cfRule type="cellIs" dxfId="147" priority="159" operator="lessThan">
      <formula>#REF!</formula>
    </cfRule>
    <cfRule type="cellIs" dxfId="146" priority="160" operator="greaterThan">
      <formula>#REF!</formula>
    </cfRule>
  </conditionalFormatting>
  <conditionalFormatting sqref="D62 D71 D65:D69 D73:D75 E65:E75 D52:E61 F52:K52 F64:G75 E21:K21 D33:K33 D38:E38 E44:K44 D76:G77 D88:D90 I37:J37 E42 D78:E78 E22 F8:K9 I22:K22 D34:G35 I34:J35 H34:H37 E45:G46 I45:J46 H45:H49 F11:K13 K34:K37 L78:M78 E40:K41 K45:K49 K53:K77 I53:J62 I64:J77 H53:H77 F53:G62 D93:D96 D91:F92">
    <cfRule type="cellIs" dxfId="145" priority="157" operator="lessThan">
      <formula>#REF!</formula>
    </cfRule>
    <cfRule type="cellIs" dxfId="144" priority="158" operator="greaterThan">
      <formula>#REF!</formula>
    </cfRule>
  </conditionalFormatting>
  <conditionalFormatting sqref="D47 D11 D13 E62:E64 E36 E49 F48:G49 L80:M96 H81:H96 I86:J96 K81:K96 G91:G93">
    <cfRule type="cellIs" dxfId="143" priority="155" operator="lessThan">
      <formula>#REF!</formula>
    </cfRule>
    <cfRule type="cellIs" dxfId="142" priority="156" operator="greaterThan">
      <formula>#REF!</formula>
    </cfRule>
  </conditionalFormatting>
  <conditionalFormatting sqref="D37">
    <cfRule type="cellIs" dxfId="141" priority="153" operator="lessThan">
      <formula>#REF!</formula>
    </cfRule>
    <cfRule type="cellIs" dxfId="140" priority="154" operator="greaterThan">
      <formula>#REF!</formula>
    </cfRule>
  </conditionalFormatting>
  <conditionalFormatting sqref="D48:D49">
    <cfRule type="cellIs" dxfId="139" priority="147" operator="lessThan">
      <formula>#REF!</formula>
    </cfRule>
    <cfRule type="cellIs" dxfId="138" priority="148" operator="greaterThan">
      <formula>#REF!</formula>
    </cfRule>
  </conditionalFormatting>
  <conditionalFormatting sqref="D36">
    <cfRule type="cellIs" dxfId="137" priority="151" operator="lessThan">
      <formula>#REF!</formula>
    </cfRule>
    <cfRule type="cellIs" dxfId="136" priority="152" operator="greaterThan">
      <formula>#REF!</formula>
    </cfRule>
  </conditionalFormatting>
  <conditionalFormatting sqref="D42">
    <cfRule type="cellIs" dxfId="135" priority="149" operator="lessThan">
      <formula>#REF!</formula>
    </cfRule>
    <cfRule type="cellIs" dxfId="134" priority="150" operator="greaterThan">
      <formula>#REF!</formula>
    </cfRule>
  </conditionalFormatting>
  <conditionalFormatting sqref="D63:D69">
    <cfRule type="cellIs" dxfId="133" priority="145" operator="lessThan">
      <formula>#REF!</formula>
    </cfRule>
    <cfRule type="cellIs" dxfId="132" priority="146" operator="greaterThan">
      <formula>#REF!</formula>
    </cfRule>
  </conditionalFormatting>
  <conditionalFormatting sqref="D87">
    <cfRule type="cellIs" dxfId="131" priority="143" operator="lessThan">
      <formula>#REF!</formula>
    </cfRule>
    <cfRule type="cellIs" dxfId="130" priority="144" operator="greaterThan">
      <formula>#REF!</formula>
    </cfRule>
  </conditionalFormatting>
  <conditionalFormatting sqref="D86:D87">
    <cfRule type="cellIs" dxfId="129" priority="141" operator="lessThan">
      <formula>#REF!</formula>
    </cfRule>
    <cfRule type="cellIs" dxfId="128" priority="142" operator="greaterThan">
      <formula>#REF!</formula>
    </cfRule>
  </conditionalFormatting>
  <conditionalFormatting sqref="D80">
    <cfRule type="cellIs" dxfId="127" priority="139" operator="lessThan">
      <formula>#REF!</formula>
    </cfRule>
    <cfRule type="cellIs" dxfId="126" priority="140" operator="greaterThan">
      <formula>#REF!</formula>
    </cfRule>
  </conditionalFormatting>
  <conditionalFormatting sqref="D81:D83">
    <cfRule type="cellIs" dxfId="125" priority="137" operator="lessThan">
      <formula>#REF!</formula>
    </cfRule>
    <cfRule type="cellIs" dxfId="124" priority="138" operator="greaterThan">
      <formula>#REF!</formula>
    </cfRule>
  </conditionalFormatting>
  <conditionalFormatting sqref="D22">
    <cfRule type="cellIs" dxfId="123" priority="125" operator="lessThan">
      <formula>#REF!</formula>
    </cfRule>
    <cfRule type="cellIs" dxfId="122" priority="126" operator="greaterThan">
      <formula>#REF!</formula>
    </cfRule>
  </conditionalFormatting>
  <conditionalFormatting sqref="D46">
    <cfRule type="cellIs" dxfId="121" priority="123" operator="lessThan">
      <formula>#REF!</formula>
    </cfRule>
    <cfRule type="cellIs" dxfId="120" priority="124" operator="greaterThan">
      <formula>#REF!</formula>
    </cfRule>
  </conditionalFormatting>
  <conditionalFormatting sqref="D44:D45">
    <cfRule type="cellIs" dxfId="119" priority="121" operator="lessThan">
      <formula>#REF!</formula>
    </cfRule>
    <cfRule type="cellIs" dxfId="118" priority="122" operator="greaterThan">
      <formula>#REF!</formula>
    </cfRule>
  </conditionalFormatting>
  <conditionalFormatting sqref="D12">
    <cfRule type="cellIs" dxfId="117" priority="135" operator="lessThan">
      <formula>#REF!</formula>
    </cfRule>
    <cfRule type="cellIs" dxfId="116" priority="136" operator="greaterThan">
      <formula>#REF!</formula>
    </cfRule>
  </conditionalFormatting>
  <conditionalFormatting sqref="D15:D16 D18">
    <cfRule type="cellIs" dxfId="115" priority="133" operator="lessThan">
      <formula>#REF!</formula>
    </cfRule>
    <cfRule type="cellIs" dxfId="114" priority="134" operator="greaterThan">
      <formula>#REF!</formula>
    </cfRule>
  </conditionalFormatting>
  <conditionalFormatting sqref="D16:D17">
    <cfRule type="cellIs" dxfId="113" priority="131" operator="lessThan">
      <formula>#REF!</formula>
    </cfRule>
    <cfRule type="cellIs" dxfId="112" priority="132" operator="greaterThan">
      <formula>#REF!</formula>
    </cfRule>
  </conditionalFormatting>
  <conditionalFormatting sqref="D19">
    <cfRule type="cellIs" dxfId="111" priority="129" operator="lessThan">
      <formula>#REF!</formula>
    </cfRule>
    <cfRule type="cellIs" dxfId="110" priority="130" operator="greaterThan">
      <formula>#REF!</formula>
    </cfRule>
  </conditionalFormatting>
  <conditionalFormatting sqref="D21">
    <cfRule type="cellIs" dxfId="109" priority="127" operator="lessThan">
      <formula>#REF!</formula>
    </cfRule>
    <cfRule type="cellIs" dxfId="108" priority="128" operator="greaterThan">
      <formula>#REF!</formula>
    </cfRule>
  </conditionalFormatting>
  <conditionalFormatting sqref="D70">
    <cfRule type="cellIs" dxfId="107" priority="119" operator="lessThan">
      <formula>#REF!</formula>
    </cfRule>
    <cfRule type="cellIs" dxfId="106" priority="120" operator="greaterThan">
      <formula>#REF!</formula>
    </cfRule>
  </conditionalFormatting>
  <conditionalFormatting sqref="D66:D69">
    <cfRule type="cellIs" dxfId="105" priority="117" operator="lessThan">
      <formula>#REF!</formula>
    </cfRule>
    <cfRule type="cellIs" dxfId="104" priority="118" operator="greaterThan">
      <formula>#REF!</formula>
    </cfRule>
  </conditionalFormatting>
  <conditionalFormatting sqref="D64:D69">
    <cfRule type="cellIs" dxfId="103" priority="115" operator="lessThan">
      <formula>#REF!</formula>
    </cfRule>
    <cfRule type="cellIs" dxfId="102" priority="116" operator="greaterThan">
      <formula>#REF!</formula>
    </cfRule>
  </conditionalFormatting>
  <conditionalFormatting sqref="D72">
    <cfRule type="cellIs" dxfId="101" priority="113" operator="lessThan">
      <formula>#REF!</formula>
    </cfRule>
    <cfRule type="cellIs" dxfId="100" priority="114" operator="greaterThan">
      <formula>#REF!</formula>
    </cfRule>
  </conditionalFormatting>
  <conditionalFormatting sqref="D84:D87">
    <cfRule type="cellIs" dxfId="99" priority="111" operator="lessThan">
      <formula>#REF!</formula>
    </cfRule>
    <cfRule type="cellIs" dxfId="98" priority="112" operator="greaterThan">
      <formula>#REF!</formula>
    </cfRule>
  </conditionalFormatting>
  <conditionalFormatting sqref="D94:D96">
    <cfRule type="cellIs" dxfId="97" priority="109" operator="lessThan">
      <formula>#REF!</formula>
    </cfRule>
    <cfRule type="cellIs" dxfId="96" priority="110" operator="greaterThan">
      <formula>#REF!</formula>
    </cfRule>
  </conditionalFormatting>
  <conditionalFormatting sqref="D40">
    <cfRule type="cellIs" dxfId="95" priority="107" operator="lessThan">
      <formula>#REF!</formula>
    </cfRule>
    <cfRule type="cellIs" dxfId="94" priority="108" operator="greaterThan">
      <formula>#REF!</formula>
    </cfRule>
  </conditionalFormatting>
  <conditionalFormatting sqref="D41">
    <cfRule type="cellIs" dxfId="93" priority="105" operator="lessThan">
      <formula>#REF!</formula>
    </cfRule>
    <cfRule type="cellIs" dxfId="92" priority="106" operator="greaterThan">
      <formula>#REF!</formula>
    </cfRule>
  </conditionalFormatting>
  <conditionalFormatting sqref="L33:M38 L13:M13 L19:M19 L42:M42">
    <cfRule type="cellIs" dxfId="91" priority="103" operator="lessThan">
      <formula>#REF!</formula>
    </cfRule>
    <cfRule type="cellIs" dxfId="90" priority="104" operator="greaterThan">
      <formula>#REF!</formula>
    </cfRule>
  </conditionalFormatting>
  <conditionalFormatting sqref="L11:M12">
    <cfRule type="cellIs" dxfId="89" priority="101" operator="lessThan">
      <formula>#REF!</formula>
    </cfRule>
    <cfRule type="cellIs" dxfId="88" priority="102" operator="greaterThan">
      <formula>#REF!</formula>
    </cfRule>
  </conditionalFormatting>
  <conditionalFormatting sqref="L15:M18">
    <cfRule type="cellIs" dxfId="87" priority="99" operator="lessThan">
      <formula>#REF!</formula>
    </cfRule>
    <cfRule type="cellIs" dxfId="86" priority="100" operator="greaterThan">
      <formula>#REF!</formula>
    </cfRule>
  </conditionalFormatting>
  <conditionalFormatting sqref="L22:M22">
    <cfRule type="cellIs" dxfId="85" priority="97" operator="lessThan">
      <formula>#REF!</formula>
    </cfRule>
    <cfRule type="cellIs" dxfId="84" priority="98" operator="greaterThan">
      <formula>#REF!</formula>
    </cfRule>
  </conditionalFormatting>
  <conditionalFormatting sqref="L22:M22">
    <cfRule type="cellIs" dxfId="83" priority="93" operator="lessThan">
      <formula>#REF!</formula>
    </cfRule>
    <cfRule type="cellIs" dxfId="82" priority="94" operator="greaterThan">
      <formula>#REF!</formula>
    </cfRule>
  </conditionalFormatting>
  <conditionalFormatting sqref="L22:M22">
    <cfRule type="cellIs" dxfId="81" priority="95" operator="lessThan">
      <formula>#REF!</formula>
    </cfRule>
    <cfRule type="cellIs" dxfId="80" priority="96" operator="greaterThan">
      <formula>#REF!</formula>
    </cfRule>
  </conditionalFormatting>
  <conditionalFormatting sqref="L36:M36">
    <cfRule type="cellIs" dxfId="79" priority="91" operator="lessThan">
      <formula>#REF!</formula>
    </cfRule>
    <cfRule type="cellIs" dxfId="78" priority="92" operator="greaterThan">
      <formula>#REF!</formula>
    </cfRule>
  </conditionalFormatting>
  <conditionalFormatting sqref="L44:M49">
    <cfRule type="cellIs" dxfId="77" priority="89" operator="lessThan">
      <formula>#REF!</formula>
    </cfRule>
    <cfRule type="cellIs" dxfId="76" priority="90" operator="greaterThan">
      <formula>#REF!</formula>
    </cfRule>
  </conditionalFormatting>
  <conditionalFormatting sqref="L44:M49">
    <cfRule type="cellIs" dxfId="75" priority="87" operator="lessThan">
      <formula>#REF!</formula>
    </cfRule>
    <cfRule type="cellIs" dxfId="74" priority="88" operator="greaterThan">
      <formula>#REF!</formula>
    </cfRule>
  </conditionalFormatting>
  <conditionalFormatting sqref="L52:M77">
    <cfRule type="cellIs" dxfId="73" priority="85" operator="lessThan">
      <formula>#REF!</formula>
    </cfRule>
    <cfRule type="cellIs" dxfId="72" priority="86" operator="greaterThan">
      <formula>#REF!</formula>
    </cfRule>
  </conditionalFormatting>
  <conditionalFormatting sqref="L52:M77">
    <cfRule type="cellIs" dxfId="71" priority="83" operator="lessThan">
      <formula>#REF!</formula>
    </cfRule>
    <cfRule type="cellIs" dxfId="70" priority="84" operator="greaterThan">
      <formula>#REF!</formula>
    </cfRule>
  </conditionalFormatting>
  <conditionalFormatting sqref="L40:M41">
    <cfRule type="cellIs" dxfId="69" priority="81" operator="lessThan">
      <formula>#REF!</formula>
    </cfRule>
    <cfRule type="cellIs" dxfId="68" priority="82" operator="greaterThan">
      <formula>#REF!</formula>
    </cfRule>
  </conditionalFormatting>
  <conditionalFormatting sqref="L40:M41">
    <cfRule type="cellIs" dxfId="67" priority="79" operator="lessThan">
      <formula>#REF!</formula>
    </cfRule>
    <cfRule type="cellIs" dxfId="66" priority="80" operator="greaterThan">
      <formula>#REF!</formula>
    </cfRule>
  </conditionalFormatting>
  <conditionalFormatting sqref="E11 E13">
    <cfRule type="cellIs" dxfId="65" priority="77" operator="lessThan">
      <formula>#REF!</formula>
    </cfRule>
    <cfRule type="cellIs" dxfId="64" priority="78" operator="greaterThan">
      <formula>#REF!</formula>
    </cfRule>
  </conditionalFormatting>
  <conditionalFormatting sqref="E12">
    <cfRule type="cellIs" dxfId="63" priority="75" operator="lessThan">
      <formula>#REF!</formula>
    </cfRule>
    <cfRule type="cellIs" dxfId="62" priority="76" operator="greaterThan">
      <formula>#REF!</formula>
    </cfRule>
  </conditionalFormatting>
  <conditionalFormatting sqref="E15:E19">
    <cfRule type="cellIs" dxfId="61" priority="73" operator="lessThan">
      <formula>#REF!</formula>
    </cfRule>
    <cfRule type="cellIs" dxfId="60" priority="74" operator="greaterThan">
      <formula>#REF!</formula>
    </cfRule>
  </conditionalFormatting>
  <conditionalFormatting sqref="F15:H18">
    <cfRule type="cellIs" dxfId="59" priority="71" operator="lessThan">
      <formula>#REF!</formula>
    </cfRule>
    <cfRule type="cellIs" dxfId="58" priority="72" operator="greaterThan">
      <formula>#REF!</formula>
    </cfRule>
  </conditionalFormatting>
  <conditionalFormatting sqref="I15:K18">
    <cfRule type="cellIs" dxfId="57" priority="69" operator="lessThan">
      <formula>#REF!</formula>
    </cfRule>
    <cfRule type="cellIs" dxfId="56" priority="70" operator="greaterThan">
      <formula>#REF!</formula>
    </cfRule>
  </conditionalFormatting>
  <conditionalFormatting sqref="L21:M21">
    <cfRule type="cellIs" dxfId="55" priority="67" operator="lessThan">
      <formula>#REF!</formula>
    </cfRule>
    <cfRule type="cellIs" dxfId="54" priority="68" operator="greaterThan">
      <formula>#REF!</formula>
    </cfRule>
  </conditionalFormatting>
  <conditionalFormatting sqref="L21:M21">
    <cfRule type="cellIs" dxfId="53" priority="65" operator="lessThan">
      <formula>#REF!</formula>
    </cfRule>
    <cfRule type="cellIs" dxfId="52" priority="66" operator="greaterThan">
      <formula>#REF!</formula>
    </cfRule>
  </conditionalFormatting>
  <conditionalFormatting sqref="E80:E83 E86:E90 E93:E96">
    <cfRule type="cellIs" dxfId="51" priority="63" operator="lessThan">
      <formula>#REF!</formula>
    </cfRule>
    <cfRule type="cellIs" dxfId="50" priority="64" operator="greaterThan">
      <formula>#REF!</formula>
    </cfRule>
  </conditionalFormatting>
  <conditionalFormatting sqref="E84:E87 E89:E90 E93:E96">
    <cfRule type="cellIs" dxfId="49" priority="61" operator="lessThan">
      <formula>#REF!</formula>
    </cfRule>
    <cfRule type="cellIs" dxfId="48" priority="62" operator="greaterThan">
      <formula>#REF!</formula>
    </cfRule>
  </conditionalFormatting>
  <conditionalFormatting sqref="E88">
    <cfRule type="cellIs" dxfId="47" priority="59" operator="lessThan">
      <formula>#REF!</formula>
    </cfRule>
    <cfRule type="cellIs" dxfId="46" priority="60" operator="greaterThan">
      <formula>#REF!</formula>
    </cfRule>
  </conditionalFormatting>
  <conditionalFormatting sqref="F80:H80 F81:G83 F94:G96 F93 F87:G90">
    <cfRule type="cellIs" dxfId="45" priority="57" operator="lessThan">
      <formula>#REF!</formula>
    </cfRule>
    <cfRule type="cellIs" dxfId="44" priority="58" operator="greaterThan">
      <formula>#REF!</formula>
    </cfRule>
  </conditionalFormatting>
  <conditionalFormatting sqref="F84:G85 F94:G96 F87:G87">
    <cfRule type="cellIs" dxfId="43" priority="55" operator="lessThan">
      <formula>#REF!</formula>
    </cfRule>
    <cfRule type="cellIs" dxfId="42" priority="56" operator="greaterThan">
      <formula>#REF!</formula>
    </cfRule>
  </conditionalFormatting>
  <conditionalFormatting sqref="I80:K80 I94:J96 I81:J87">
    <cfRule type="cellIs" dxfId="41" priority="51" operator="lessThan">
      <formula>#REF!</formula>
    </cfRule>
    <cfRule type="cellIs" dxfId="40" priority="52" operator="greaterThan">
      <formula>#REF!</formula>
    </cfRule>
  </conditionalFormatting>
  <conditionalFormatting sqref="D8:D9">
    <cfRule type="cellIs" dxfId="39" priority="49" operator="lessThan">
      <formula>#REF!</formula>
    </cfRule>
    <cfRule type="cellIs" dxfId="38" priority="50" operator="greaterThan">
      <formula>#REF!</formula>
    </cfRule>
  </conditionalFormatting>
  <conditionalFormatting sqref="L9:M9">
    <cfRule type="cellIs" dxfId="37" priority="47" operator="lessThan">
      <formula>#REF!</formula>
    </cfRule>
    <cfRule type="cellIs" dxfId="36" priority="48" operator="greaterThan">
      <formula>#REF!</formula>
    </cfRule>
  </conditionalFormatting>
  <conditionalFormatting sqref="L8:M8">
    <cfRule type="cellIs" dxfId="35" priority="45" operator="lessThan">
      <formula>#REF!</formula>
    </cfRule>
    <cfRule type="cellIs" dxfId="34" priority="46" operator="greaterThan">
      <formula>#REF!</formula>
    </cfRule>
  </conditionalFormatting>
  <conditionalFormatting sqref="E8:E9">
    <cfRule type="cellIs" dxfId="33" priority="43" operator="lessThan">
      <formula>#REF!</formula>
    </cfRule>
    <cfRule type="cellIs" dxfId="32" priority="44" operator="greaterThan">
      <formula>#REF!</formula>
    </cfRule>
  </conditionalFormatting>
  <conditionalFormatting sqref="F86:G86">
    <cfRule type="cellIs" dxfId="31" priority="41" operator="lessThan">
      <formula>#REF!</formula>
    </cfRule>
    <cfRule type="cellIs" dxfId="30" priority="42" operator="greaterThan">
      <formula>#REF!</formula>
    </cfRule>
  </conditionalFormatting>
  <conditionalFormatting sqref="F86:G86">
    <cfRule type="cellIs" dxfId="29" priority="39" operator="lessThan">
      <formula>#REF!</formula>
    </cfRule>
    <cfRule type="cellIs" dxfId="28" priority="40" operator="greaterThan">
      <formula>#REF!</formula>
    </cfRule>
  </conditionalFormatting>
  <conditionalFormatting sqref="F19:K19">
    <cfRule type="cellIs" dxfId="27" priority="37" operator="lessThan">
      <formula>#REF!</formula>
    </cfRule>
    <cfRule type="cellIs" dxfId="26" priority="38" operator="greaterThan">
      <formula>#REF!</formula>
    </cfRule>
  </conditionalFormatting>
  <conditionalFormatting sqref="F22:H22 F23:K23">
    <cfRule type="cellIs" dxfId="25" priority="35" operator="lessThan">
      <formula>#REF!</formula>
    </cfRule>
    <cfRule type="cellIs" dxfId="24" priority="36" operator="greaterThan">
      <formula>#REF!</formula>
    </cfRule>
  </conditionalFormatting>
  <conditionalFormatting sqref="F38:K38">
    <cfRule type="cellIs" dxfId="23" priority="33" operator="lessThan">
      <formula>#REF!</formula>
    </cfRule>
    <cfRule type="cellIs" dxfId="22" priority="34" operator="greaterThan">
      <formula>#REF!</formula>
    </cfRule>
  </conditionalFormatting>
  <conditionalFormatting sqref="F42:K42">
    <cfRule type="cellIs" dxfId="21" priority="31" operator="lessThan">
      <formula>#REF!</formula>
    </cfRule>
    <cfRule type="cellIs" dxfId="20" priority="32" operator="greaterThan">
      <formula>#REF!</formula>
    </cfRule>
  </conditionalFormatting>
  <conditionalFormatting sqref="F50:K50">
    <cfRule type="cellIs" dxfId="19" priority="29" operator="lessThan">
      <formula>#REF!</formula>
    </cfRule>
    <cfRule type="cellIs" dxfId="18" priority="30" operator="greaterThan">
      <formula>#REF!</formula>
    </cfRule>
  </conditionalFormatting>
  <conditionalFormatting sqref="F78:K78">
    <cfRule type="cellIs" dxfId="17" priority="27" operator="lessThan">
      <formula>#REF!</formula>
    </cfRule>
    <cfRule type="cellIs" dxfId="16" priority="28" operator="greaterThan">
      <formula>#REF!</formula>
    </cfRule>
  </conditionalFormatting>
  <conditionalFormatting sqref="F97:K98">
    <cfRule type="cellIs" dxfId="15" priority="25" operator="lessThan">
      <formula>#REF!</formula>
    </cfRule>
    <cfRule type="cellIs" dxfId="14" priority="26" operator="greaterThan">
      <formula>#REF!</formula>
    </cfRule>
  </conditionalFormatting>
  <conditionalFormatting sqref="G62">
    <cfRule type="cellIs" dxfId="13" priority="21" operator="lessThan">
      <formula>#REF!</formula>
    </cfRule>
    <cfRule type="cellIs" dxfId="12" priority="22" operator="greaterThan">
      <formula>#REF!</formula>
    </cfRule>
  </conditionalFormatting>
  <conditionalFormatting sqref="D27:F27">
    <cfRule type="cellIs" dxfId="11" priority="13" operator="lessThan">
      <formula>#REF!</formula>
    </cfRule>
    <cfRule type="cellIs" dxfId="10" priority="14" operator="greaterThan">
      <formula>#REF!</formula>
    </cfRule>
  </conditionalFormatting>
  <conditionalFormatting sqref="L27:M27">
    <cfRule type="cellIs" dxfId="9" priority="11" operator="lessThan">
      <formula>#REF!</formula>
    </cfRule>
    <cfRule type="cellIs" dxfId="8" priority="12" operator="greaterThan">
      <formula>#REF!</formula>
    </cfRule>
  </conditionalFormatting>
  <conditionalFormatting sqref="H27">
    <cfRule type="cellIs" dxfId="7" priority="9" operator="lessThan">
      <formula>#REF!</formula>
    </cfRule>
    <cfRule type="cellIs" dxfId="6" priority="10" operator="greaterThan">
      <formula>#REF!</formula>
    </cfRule>
  </conditionalFormatting>
  <conditionalFormatting sqref="I27:J27">
    <cfRule type="cellIs" dxfId="5" priority="7" operator="lessThan">
      <formula>#REF!</formula>
    </cfRule>
    <cfRule type="cellIs" dxfId="4" priority="8" operator="greaterThan">
      <formula>#REF!</formula>
    </cfRule>
  </conditionalFormatting>
  <conditionalFormatting sqref="K27">
    <cfRule type="cellIs" dxfId="3" priority="5" operator="lessThan">
      <formula>#REF!</formula>
    </cfRule>
    <cfRule type="cellIs" dxfId="2" priority="6" operator="greaterThan">
      <formula>#REF!</formula>
    </cfRule>
  </conditionalFormatting>
  <conditionalFormatting sqref="G27">
    <cfRule type="cellIs" dxfId="1" priority="3" operator="lessThan">
      <formula>#REF!</formula>
    </cfRule>
    <cfRule type="cellIs" dxfId="0" priority="4" operator="greaterThan">
      <formula>#REF!</formula>
    </cfRule>
  </conditionalFormatting>
  <pageMargins left="0.31496062992125984" right="0.31496062992125984" top="0.78740157480314965" bottom="0.59055118110236227" header="0.31496062992125984" footer="0.11811023622047245"/>
  <pageSetup paperSize="9" scale="82" fitToHeight="0" orientation="landscape" r:id="rId1"/>
  <headerFooter>
    <oddFooter>&amp;C&amp;P</oddFooter>
  </headerFooter>
  <rowBreaks count="3" manualBreakCount="3">
    <brk id="29" max="16383" man="1"/>
    <brk id="56" max="12" man="1"/>
    <brk id="78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D26B4-3534-47BA-970F-554D253EE127}">
  <sheetPr>
    <pageSetUpPr fitToPage="1"/>
  </sheetPr>
  <dimension ref="A1:G62"/>
  <sheetViews>
    <sheetView view="pageBreakPreview" topLeftCell="A40" zoomScaleNormal="100" zoomScaleSheetLayoutView="100" workbookViewId="0">
      <selection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6" s="1" customFormat="1" ht="23.25" customHeight="1" x14ac:dyDescent="0.25">
      <c r="A1" s="294" t="s">
        <v>59</v>
      </c>
      <c r="B1" s="295"/>
      <c r="C1" s="295"/>
      <c r="D1" s="295"/>
      <c r="E1" s="295"/>
      <c r="F1" s="295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21" customHeight="1" x14ac:dyDescent="0.25">
      <c r="A5" s="301" t="s">
        <v>5</v>
      </c>
      <c r="B5" s="302"/>
      <c r="C5" s="302"/>
      <c r="D5" s="302"/>
      <c r="E5" s="303"/>
      <c r="F5" s="304"/>
    </row>
    <row r="6" spans="1:6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6" s="9" customFormat="1" ht="15" customHeight="1" x14ac:dyDescent="0.25">
      <c r="A7" s="7" t="s">
        <v>7</v>
      </c>
      <c r="B7" s="28">
        <v>74216</v>
      </c>
      <c r="C7" s="28">
        <v>41359</v>
      </c>
      <c r="D7" s="28">
        <v>61637</v>
      </c>
      <c r="E7" s="28">
        <v>0</v>
      </c>
      <c r="F7" s="8">
        <f>SUM(B7:E7)</f>
        <v>177212</v>
      </c>
    </row>
    <row r="8" spans="1:6" s="9" customFormat="1" ht="21" x14ac:dyDescent="0.25">
      <c r="A8" s="7" t="s">
        <v>8</v>
      </c>
      <c r="B8" s="28">
        <v>35734</v>
      </c>
      <c r="C8" s="28">
        <v>25770</v>
      </c>
      <c r="D8" s="28">
        <v>0</v>
      </c>
      <c r="E8" s="28">
        <v>0</v>
      </c>
      <c r="F8" s="8">
        <f>SUM(B8:E8)</f>
        <v>61504</v>
      </c>
    </row>
    <row r="9" spans="1:6" s="6" customFormat="1" ht="15" customHeight="1" x14ac:dyDescent="0.25">
      <c r="A9" s="10" t="s">
        <v>9</v>
      </c>
      <c r="B9" s="11">
        <f t="shared" ref="B9:F9" si="0">SUM(B7:B8)</f>
        <v>109950</v>
      </c>
      <c r="C9" s="11">
        <f t="shared" si="0"/>
        <v>67129</v>
      </c>
      <c r="D9" s="11">
        <f t="shared" si="0"/>
        <v>61637</v>
      </c>
      <c r="E9" s="11">
        <f t="shared" si="0"/>
        <v>0</v>
      </c>
      <c r="F9" s="12">
        <f t="shared" si="0"/>
        <v>238716</v>
      </c>
    </row>
    <row r="10" spans="1:6" s="13" customFormat="1" ht="18" customHeight="1" x14ac:dyDescent="0.25">
      <c r="A10" s="305" t="s">
        <v>10</v>
      </c>
      <c r="B10" s="306"/>
      <c r="C10" s="306"/>
      <c r="D10" s="306"/>
      <c r="E10" s="306"/>
      <c r="F10" s="307"/>
    </row>
    <row r="11" spans="1:6" s="9" customFormat="1" ht="15" customHeight="1" x14ac:dyDescent="0.25">
      <c r="A11" s="7" t="s">
        <v>11</v>
      </c>
      <c r="B11" s="28">
        <v>0</v>
      </c>
      <c r="C11" s="28">
        <v>15000</v>
      </c>
      <c r="D11" s="28">
        <v>20915</v>
      </c>
      <c r="E11" s="28">
        <v>0</v>
      </c>
      <c r="F11" s="8">
        <f>SUM(B11:E11)</f>
        <v>35915</v>
      </c>
    </row>
    <row r="12" spans="1:6" s="6" customFormat="1" ht="15" customHeight="1" thickBot="1" x14ac:dyDescent="0.3">
      <c r="A12" s="10" t="s">
        <v>13</v>
      </c>
      <c r="B12" s="11">
        <f t="shared" ref="B12:F12" si="1">SUM(B11:B11)</f>
        <v>0</v>
      </c>
      <c r="C12" s="11">
        <f t="shared" si="1"/>
        <v>15000</v>
      </c>
      <c r="D12" s="11">
        <f t="shared" si="1"/>
        <v>20915</v>
      </c>
      <c r="E12" s="11">
        <f t="shared" si="1"/>
        <v>0</v>
      </c>
      <c r="F12" s="12">
        <f t="shared" si="1"/>
        <v>35915</v>
      </c>
    </row>
    <row r="13" spans="1:6" s="6" customFormat="1" ht="25.5" customHeight="1" thickBot="1" x14ac:dyDescent="0.3">
      <c r="A13" s="14" t="s">
        <v>14</v>
      </c>
      <c r="B13" s="15">
        <f t="shared" ref="B13:F13" si="2">B9+B12</f>
        <v>109950</v>
      </c>
      <c r="C13" s="15">
        <f t="shared" si="2"/>
        <v>82129</v>
      </c>
      <c r="D13" s="15">
        <f t="shared" si="2"/>
        <v>82552</v>
      </c>
      <c r="E13" s="15">
        <f t="shared" si="2"/>
        <v>0</v>
      </c>
      <c r="F13" s="16">
        <f t="shared" si="2"/>
        <v>274631</v>
      </c>
    </row>
    <row r="14" spans="1:6" s="6" customFormat="1" ht="24" customHeight="1" thickBot="1" x14ac:dyDescent="0.3">
      <c r="A14" s="17"/>
      <c r="B14" s="38"/>
      <c r="C14" s="38"/>
      <c r="D14" s="38"/>
      <c r="E14" s="38"/>
      <c r="F14" s="29"/>
    </row>
    <row r="15" spans="1:6" s="6" customFormat="1" ht="21" customHeight="1" x14ac:dyDescent="0.25">
      <c r="A15" s="301" t="s">
        <v>15</v>
      </c>
      <c r="B15" s="302"/>
      <c r="C15" s="302"/>
      <c r="D15" s="302"/>
      <c r="E15" s="303"/>
      <c r="F15" s="304"/>
    </row>
    <row r="16" spans="1:6" ht="18" customHeight="1" x14ac:dyDescent="0.2">
      <c r="A16" s="305" t="s">
        <v>16</v>
      </c>
      <c r="B16" s="306"/>
      <c r="C16" s="306"/>
      <c r="D16" s="306"/>
      <c r="E16" s="306"/>
      <c r="F16" s="307"/>
    </row>
    <row r="17" spans="1:7" s="13" customFormat="1" ht="15" customHeight="1" x14ac:dyDescent="0.25">
      <c r="A17" s="19" t="s">
        <v>17</v>
      </c>
      <c r="B17" s="20">
        <v>807</v>
      </c>
      <c r="C17" s="20">
        <v>130993</v>
      </c>
      <c r="D17" s="20">
        <v>277178</v>
      </c>
      <c r="E17" s="20">
        <v>0</v>
      </c>
      <c r="F17" s="8">
        <f t="shared" ref="F17:F18" si="3">SUM(B17:E17)</f>
        <v>408978</v>
      </c>
      <c r="G17" s="32"/>
    </row>
    <row r="18" spans="1:7" s="13" customFormat="1" ht="24" customHeight="1" x14ac:dyDescent="0.25">
      <c r="A18" s="19" t="s">
        <v>18</v>
      </c>
      <c r="B18" s="20">
        <v>27298</v>
      </c>
      <c r="C18" s="20">
        <v>29993</v>
      </c>
      <c r="D18" s="20">
        <v>64999</v>
      </c>
      <c r="E18" s="20">
        <v>3710</v>
      </c>
      <c r="F18" s="8">
        <f t="shared" si="3"/>
        <v>126000</v>
      </c>
      <c r="G18" s="32"/>
    </row>
    <row r="19" spans="1:7" s="6" customFormat="1" ht="15" customHeight="1" x14ac:dyDescent="0.25">
      <c r="A19" s="10" t="s">
        <v>19</v>
      </c>
      <c r="B19" s="11">
        <f t="shared" ref="B19:F19" si="4">SUM(B17:B18)</f>
        <v>28105</v>
      </c>
      <c r="C19" s="11">
        <f t="shared" si="4"/>
        <v>160986</v>
      </c>
      <c r="D19" s="11">
        <f t="shared" si="4"/>
        <v>342177</v>
      </c>
      <c r="E19" s="11">
        <f t="shared" si="4"/>
        <v>3710</v>
      </c>
      <c r="F19" s="12">
        <f t="shared" si="4"/>
        <v>534978</v>
      </c>
    </row>
    <row r="20" spans="1:7" s="13" customFormat="1" ht="18" customHeight="1" x14ac:dyDescent="0.25">
      <c r="A20" s="308" t="s">
        <v>20</v>
      </c>
      <c r="B20" s="309"/>
      <c r="C20" s="309"/>
      <c r="D20" s="309"/>
      <c r="E20" s="309"/>
      <c r="F20" s="310"/>
    </row>
    <row r="21" spans="1:7" s="13" customFormat="1" ht="24" customHeight="1" x14ac:dyDescent="0.25">
      <c r="A21" s="21" t="s">
        <v>22</v>
      </c>
      <c r="B21" s="20">
        <v>2760</v>
      </c>
      <c r="C21" s="20">
        <v>9940</v>
      </c>
      <c r="D21" s="20">
        <v>60448</v>
      </c>
      <c r="E21" s="20">
        <v>220000</v>
      </c>
      <c r="F21" s="8">
        <f t="shared" ref="F21:F24" si="5">SUM(B21:E21)</f>
        <v>293148</v>
      </c>
      <c r="G21" s="32"/>
    </row>
    <row r="22" spans="1:7" s="13" customFormat="1" ht="24" customHeight="1" x14ac:dyDescent="0.25">
      <c r="A22" s="21" t="s">
        <v>23</v>
      </c>
      <c r="B22" s="20">
        <v>22000</v>
      </c>
      <c r="C22" s="20">
        <v>13215</v>
      </c>
      <c r="D22" s="20">
        <v>0</v>
      </c>
      <c r="E22" s="20">
        <v>0</v>
      </c>
      <c r="F22" s="8">
        <f t="shared" si="5"/>
        <v>35215</v>
      </c>
      <c r="G22" s="32"/>
    </row>
    <row r="23" spans="1:7" s="13" customFormat="1" ht="24" customHeight="1" x14ac:dyDescent="0.25">
      <c r="A23" s="21" t="s">
        <v>24</v>
      </c>
      <c r="B23" s="20">
        <v>25000</v>
      </c>
      <c r="C23" s="20">
        <v>70000</v>
      </c>
      <c r="D23" s="20">
        <v>0</v>
      </c>
      <c r="E23" s="20">
        <v>0</v>
      </c>
      <c r="F23" s="8">
        <f t="shared" si="5"/>
        <v>95000</v>
      </c>
      <c r="G23" s="32"/>
    </row>
    <row r="24" spans="1:7" s="13" customFormat="1" ht="24" customHeight="1" x14ac:dyDescent="0.25">
      <c r="A24" s="21" t="s">
        <v>25</v>
      </c>
      <c r="B24" s="20">
        <v>0</v>
      </c>
      <c r="C24" s="20">
        <v>0</v>
      </c>
      <c r="D24" s="20">
        <v>30000</v>
      </c>
      <c r="E24" s="20">
        <v>65000</v>
      </c>
      <c r="F24" s="8">
        <f t="shared" si="5"/>
        <v>95000</v>
      </c>
      <c r="G24" s="32"/>
    </row>
    <row r="25" spans="1:7" s="6" customFormat="1" ht="15" customHeight="1" x14ac:dyDescent="0.25">
      <c r="A25" s="10" t="s">
        <v>27</v>
      </c>
      <c r="B25" s="11">
        <f>SUM(B21:B24)</f>
        <v>49760</v>
      </c>
      <c r="C25" s="11">
        <f>SUM(C21:C24)</f>
        <v>93155</v>
      </c>
      <c r="D25" s="11">
        <f>SUM(D21:D24)</f>
        <v>90448</v>
      </c>
      <c r="E25" s="11">
        <f>SUM(E21:E24)</f>
        <v>285000</v>
      </c>
      <c r="F25" s="12">
        <f>SUM(F21:F24)</f>
        <v>518363</v>
      </c>
    </row>
    <row r="26" spans="1:7" s="13" customFormat="1" ht="18" customHeight="1" x14ac:dyDescent="0.25">
      <c r="A26" s="308" t="s">
        <v>6</v>
      </c>
      <c r="B26" s="309"/>
      <c r="C26" s="309"/>
      <c r="D26" s="309"/>
      <c r="E26" s="309"/>
      <c r="F26" s="310"/>
    </row>
    <row r="27" spans="1:7" s="13" customFormat="1" ht="15" customHeight="1" x14ac:dyDescent="0.25">
      <c r="A27" s="21" t="s">
        <v>28</v>
      </c>
      <c r="B27" s="22">
        <v>10000</v>
      </c>
      <c r="C27" s="22">
        <v>0</v>
      </c>
      <c r="D27" s="22">
        <v>0</v>
      </c>
      <c r="E27" s="22">
        <v>0</v>
      </c>
      <c r="F27" s="8">
        <f t="shared" ref="F27:F30" si="6">SUM(B27:E27)</f>
        <v>10000</v>
      </c>
    </row>
    <row r="28" spans="1:7" s="13" customFormat="1" ht="24" customHeight="1" x14ac:dyDescent="0.25">
      <c r="A28" s="19" t="s">
        <v>29</v>
      </c>
      <c r="B28" s="20">
        <v>30452</v>
      </c>
      <c r="C28" s="20">
        <v>62206</v>
      </c>
      <c r="D28" s="20">
        <v>25698</v>
      </c>
      <c r="E28" s="20">
        <v>0</v>
      </c>
      <c r="F28" s="8">
        <f t="shared" si="6"/>
        <v>118356</v>
      </c>
      <c r="G28" s="32"/>
    </row>
    <row r="29" spans="1:7" s="13" customFormat="1" ht="15" customHeight="1" x14ac:dyDescent="0.25">
      <c r="A29" s="23" t="s">
        <v>30</v>
      </c>
      <c r="B29" s="20">
        <v>28230</v>
      </c>
      <c r="C29" s="20">
        <v>187500</v>
      </c>
      <c r="D29" s="20">
        <v>90531</v>
      </c>
      <c r="E29" s="20">
        <v>0</v>
      </c>
      <c r="F29" s="8">
        <f t="shared" si="6"/>
        <v>306261</v>
      </c>
      <c r="G29" s="32"/>
    </row>
    <row r="30" spans="1:7" s="13" customFormat="1" ht="24" customHeight="1" x14ac:dyDescent="0.25">
      <c r="A30" s="23" t="s">
        <v>31</v>
      </c>
      <c r="B30" s="20">
        <v>7800</v>
      </c>
      <c r="C30" s="20">
        <v>5700</v>
      </c>
      <c r="D30" s="20">
        <v>0</v>
      </c>
      <c r="E30" s="20">
        <v>0</v>
      </c>
      <c r="F30" s="8">
        <f t="shared" si="6"/>
        <v>13500</v>
      </c>
      <c r="G30" s="32"/>
    </row>
    <row r="31" spans="1:7" s="6" customFormat="1" ht="15" customHeight="1" x14ac:dyDescent="0.25">
      <c r="A31" s="10" t="s">
        <v>9</v>
      </c>
      <c r="B31" s="11">
        <f t="shared" ref="B31:F31" si="7">SUM(B27:B30)</f>
        <v>76482</v>
      </c>
      <c r="C31" s="11">
        <f t="shared" si="7"/>
        <v>255406</v>
      </c>
      <c r="D31" s="11">
        <f t="shared" si="7"/>
        <v>116229</v>
      </c>
      <c r="E31" s="11">
        <f t="shared" si="7"/>
        <v>0</v>
      </c>
      <c r="F31" s="12">
        <f t="shared" si="7"/>
        <v>448117</v>
      </c>
    </row>
    <row r="32" spans="1:7" s="13" customFormat="1" ht="18" customHeight="1" x14ac:dyDescent="0.25">
      <c r="A32" s="308" t="s">
        <v>32</v>
      </c>
      <c r="B32" s="309"/>
      <c r="C32" s="309"/>
      <c r="D32" s="309"/>
      <c r="E32" s="309"/>
      <c r="F32" s="310"/>
    </row>
    <row r="33" spans="1:7" s="13" customFormat="1" ht="24" customHeight="1" x14ac:dyDescent="0.25">
      <c r="A33" s="21" t="s">
        <v>33</v>
      </c>
      <c r="B33" s="20">
        <v>45000</v>
      </c>
      <c r="C33" s="20">
        <v>0</v>
      </c>
      <c r="D33" s="20">
        <v>0</v>
      </c>
      <c r="E33" s="20">
        <v>0</v>
      </c>
      <c r="F33" s="8">
        <f t="shared" ref="F33:F47" si="8">SUM(B33:E33)</f>
        <v>45000</v>
      </c>
      <c r="G33" s="32"/>
    </row>
    <row r="34" spans="1:7" s="13" customFormat="1" ht="24" customHeight="1" x14ac:dyDescent="0.25">
      <c r="A34" s="21" t="s">
        <v>34</v>
      </c>
      <c r="B34" s="20">
        <v>0</v>
      </c>
      <c r="C34" s="20">
        <v>5500</v>
      </c>
      <c r="D34" s="20">
        <v>25000</v>
      </c>
      <c r="E34" s="20">
        <v>0</v>
      </c>
      <c r="F34" s="8">
        <f t="shared" si="8"/>
        <v>30500</v>
      </c>
      <c r="G34" s="32"/>
    </row>
    <row r="35" spans="1:7" s="13" customFormat="1" ht="24" customHeight="1" x14ac:dyDescent="0.25">
      <c r="A35" s="21" t="s">
        <v>68</v>
      </c>
      <c r="B35" s="20">
        <v>0</v>
      </c>
      <c r="C35" s="20">
        <v>52090</v>
      </c>
      <c r="D35" s="20">
        <v>0</v>
      </c>
      <c r="E35" s="20">
        <v>0</v>
      </c>
      <c r="F35" s="8">
        <f t="shared" si="8"/>
        <v>52090</v>
      </c>
      <c r="G35" s="32"/>
    </row>
    <row r="36" spans="1:7" s="13" customFormat="1" ht="31.5" x14ac:dyDescent="0.25">
      <c r="A36" s="21" t="s">
        <v>36</v>
      </c>
      <c r="B36" s="20">
        <v>31098</v>
      </c>
      <c r="C36" s="20">
        <v>19500</v>
      </c>
      <c r="D36" s="20">
        <v>0</v>
      </c>
      <c r="E36" s="20">
        <v>0</v>
      </c>
      <c r="F36" s="8">
        <f t="shared" si="8"/>
        <v>50598</v>
      </c>
      <c r="G36" s="32"/>
    </row>
    <row r="37" spans="1:7" s="13" customFormat="1" ht="31.5" x14ac:dyDescent="0.25">
      <c r="A37" s="21" t="s">
        <v>37</v>
      </c>
      <c r="B37" s="20">
        <v>5500</v>
      </c>
      <c r="C37" s="20">
        <v>0</v>
      </c>
      <c r="D37" s="20">
        <v>0</v>
      </c>
      <c r="E37" s="20">
        <v>0</v>
      </c>
      <c r="F37" s="8">
        <f t="shared" si="8"/>
        <v>5500</v>
      </c>
    </row>
    <row r="38" spans="1:7" s="13" customFormat="1" ht="24" customHeight="1" x14ac:dyDescent="0.25">
      <c r="A38" s="21" t="s">
        <v>38</v>
      </c>
      <c r="B38" s="20">
        <v>20571</v>
      </c>
      <c r="C38" s="20">
        <v>113428</v>
      </c>
      <c r="D38" s="20">
        <v>42000</v>
      </c>
      <c r="E38" s="20">
        <v>0</v>
      </c>
      <c r="F38" s="8">
        <f t="shared" si="8"/>
        <v>175999</v>
      </c>
      <c r="G38" s="32"/>
    </row>
    <row r="39" spans="1:7" s="13" customFormat="1" ht="24" customHeight="1" x14ac:dyDescent="0.25">
      <c r="A39" s="21" t="s">
        <v>39</v>
      </c>
      <c r="B39" s="20">
        <v>51000</v>
      </c>
      <c r="C39" s="20">
        <v>0</v>
      </c>
      <c r="D39" s="20">
        <v>0</v>
      </c>
      <c r="E39" s="20">
        <v>0</v>
      </c>
      <c r="F39" s="8">
        <f t="shared" si="8"/>
        <v>51000</v>
      </c>
    </row>
    <row r="40" spans="1:7" s="13" customFormat="1" ht="24" customHeight="1" x14ac:dyDescent="0.25">
      <c r="A40" s="21" t="s">
        <v>40</v>
      </c>
      <c r="B40" s="20">
        <v>15000</v>
      </c>
      <c r="C40" s="20">
        <v>0</v>
      </c>
      <c r="D40" s="20">
        <v>0</v>
      </c>
      <c r="E40" s="20">
        <v>0</v>
      </c>
      <c r="F40" s="8">
        <f t="shared" si="8"/>
        <v>15000</v>
      </c>
    </row>
    <row r="41" spans="1:7" s="13" customFormat="1" ht="34.5" customHeight="1" x14ac:dyDescent="0.25">
      <c r="A41" s="21" t="s">
        <v>41</v>
      </c>
      <c r="B41" s="20">
        <v>10000</v>
      </c>
      <c r="C41" s="20">
        <v>28000</v>
      </c>
      <c r="D41" s="20">
        <v>0</v>
      </c>
      <c r="E41" s="20">
        <v>0</v>
      </c>
      <c r="F41" s="8">
        <f t="shared" si="8"/>
        <v>38000</v>
      </c>
      <c r="G41" s="32"/>
    </row>
    <row r="42" spans="1:7" s="13" customFormat="1" ht="24" customHeight="1" x14ac:dyDescent="0.25">
      <c r="A42" s="21" t="s">
        <v>42</v>
      </c>
      <c r="B42" s="20">
        <v>27200</v>
      </c>
      <c r="C42" s="20">
        <v>500</v>
      </c>
      <c r="D42" s="20">
        <v>0</v>
      </c>
      <c r="E42" s="20">
        <v>0</v>
      </c>
      <c r="F42" s="8">
        <f t="shared" si="8"/>
        <v>27700</v>
      </c>
      <c r="G42" s="32"/>
    </row>
    <row r="43" spans="1:7" s="13" customFormat="1" ht="24" customHeight="1" x14ac:dyDescent="0.25">
      <c r="A43" s="21" t="s">
        <v>43</v>
      </c>
      <c r="B43" s="20">
        <v>25700</v>
      </c>
      <c r="C43" s="20">
        <v>0</v>
      </c>
      <c r="D43" s="20">
        <v>0</v>
      </c>
      <c r="E43" s="20">
        <v>0</v>
      </c>
      <c r="F43" s="8">
        <f t="shared" si="8"/>
        <v>25700</v>
      </c>
    </row>
    <row r="44" spans="1:7" s="13" customFormat="1" ht="24" customHeight="1" x14ac:dyDescent="0.25">
      <c r="A44" s="21" t="s">
        <v>44</v>
      </c>
      <c r="B44" s="20">
        <v>40000</v>
      </c>
      <c r="C44" s="20">
        <v>0</v>
      </c>
      <c r="D44" s="20">
        <v>0</v>
      </c>
      <c r="E44" s="20">
        <v>0</v>
      </c>
      <c r="F44" s="8">
        <f t="shared" si="8"/>
        <v>40000</v>
      </c>
      <c r="G44" s="32"/>
    </row>
    <row r="45" spans="1:7" s="13" customFormat="1" ht="24" customHeight="1" x14ac:dyDescent="0.25">
      <c r="A45" s="23" t="s">
        <v>45</v>
      </c>
      <c r="B45" s="20">
        <v>500</v>
      </c>
      <c r="C45" s="20">
        <v>50639</v>
      </c>
      <c r="D45" s="20">
        <v>0</v>
      </c>
      <c r="E45" s="20">
        <v>0</v>
      </c>
      <c r="F45" s="8">
        <f t="shared" si="8"/>
        <v>51139</v>
      </c>
      <c r="G45" s="32"/>
    </row>
    <row r="46" spans="1:7" s="13" customFormat="1" ht="24" customHeight="1" x14ac:dyDescent="0.25">
      <c r="A46" s="21" t="s">
        <v>46</v>
      </c>
      <c r="B46" s="20">
        <v>6200</v>
      </c>
      <c r="C46" s="20">
        <v>0</v>
      </c>
      <c r="D46" s="20">
        <v>0</v>
      </c>
      <c r="E46" s="20">
        <v>0</v>
      </c>
      <c r="F46" s="8">
        <f t="shared" si="8"/>
        <v>6200</v>
      </c>
    </row>
    <row r="47" spans="1:7" s="13" customFormat="1" ht="24" customHeight="1" x14ac:dyDescent="0.25">
      <c r="A47" s="21" t="s">
        <v>69</v>
      </c>
      <c r="B47" s="20">
        <v>0</v>
      </c>
      <c r="C47" s="20">
        <v>0</v>
      </c>
      <c r="D47" s="20">
        <v>100000</v>
      </c>
      <c r="E47" s="20">
        <v>100000</v>
      </c>
      <c r="F47" s="8">
        <f t="shared" si="8"/>
        <v>200000</v>
      </c>
    </row>
    <row r="48" spans="1:7" s="6" customFormat="1" ht="15" customHeight="1" x14ac:dyDescent="0.25">
      <c r="A48" s="10" t="s">
        <v>47</v>
      </c>
      <c r="B48" s="11">
        <f>SUM(B33:B47)</f>
        <v>277769</v>
      </c>
      <c r="C48" s="11">
        <f t="shared" ref="C48:F48" si="9">SUM(C33:C47)</f>
        <v>269657</v>
      </c>
      <c r="D48" s="11">
        <f t="shared" si="9"/>
        <v>167000</v>
      </c>
      <c r="E48" s="11">
        <f t="shared" si="9"/>
        <v>100000</v>
      </c>
      <c r="F48" s="11">
        <f t="shared" si="9"/>
        <v>814426</v>
      </c>
    </row>
    <row r="49" spans="1:7" s="13" customFormat="1" ht="18" customHeight="1" x14ac:dyDescent="0.25">
      <c r="A49" s="308" t="s">
        <v>48</v>
      </c>
      <c r="B49" s="309"/>
      <c r="C49" s="309"/>
      <c r="D49" s="309"/>
      <c r="E49" s="309"/>
      <c r="F49" s="310"/>
    </row>
    <row r="50" spans="1:7" s="13" customFormat="1" ht="24" customHeight="1" x14ac:dyDescent="0.25">
      <c r="A50" s="21" t="s">
        <v>49</v>
      </c>
      <c r="B50" s="24">
        <v>41000</v>
      </c>
      <c r="C50" s="24">
        <v>0</v>
      </c>
      <c r="D50" s="24">
        <v>0</v>
      </c>
      <c r="E50" s="24">
        <v>0</v>
      </c>
      <c r="F50" s="8">
        <f t="shared" ref="F50:F53" si="10">SUM(B50:E50)</f>
        <v>41000</v>
      </c>
    </row>
    <row r="51" spans="1:7" s="13" customFormat="1" ht="24" customHeight="1" x14ac:dyDescent="0.25">
      <c r="A51" s="21" t="s">
        <v>50</v>
      </c>
      <c r="B51" s="20">
        <v>115000</v>
      </c>
      <c r="C51" s="20">
        <v>69416</v>
      </c>
      <c r="D51" s="20">
        <v>0</v>
      </c>
      <c r="E51" s="20">
        <v>0</v>
      </c>
      <c r="F51" s="8">
        <f t="shared" si="10"/>
        <v>184416</v>
      </c>
      <c r="G51" s="32"/>
    </row>
    <row r="52" spans="1:7" s="13" customFormat="1" ht="24" customHeight="1" x14ac:dyDescent="0.25">
      <c r="A52" s="21" t="s">
        <v>51</v>
      </c>
      <c r="B52" s="20">
        <v>3500</v>
      </c>
      <c r="C52" s="20">
        <v>15500</v>
      </c>
      <c r="D52" s="20">
        <v>0</v>
      </c>
      <c r="E52" s="20">
        <v>0</v>
      </c>
      <c r="F52" s="8">
        <f t="shared" si="10"/>
        <v>19000</v>
      </c>
      <c r="G52" s="32"/>
    </row>
    <row r="53" spans="1:7" s="13" customFormat="1" ht="24" customHeight="1" x14ac:dyDescent="0.25">
      <c r="A53" s="21" t="s">
        <v>52</v>
      </c>
      <c r="B53" s="20">
        <f>1000+2500</f>
        <v>3500</v>
      </c>
      <c r="C53" s="20">
        <v>30000</v>
      </c>
      <c r="D53" s="20">
        <v>0</v>
      </c>
      <c r="E53" s="20">
        <v>0</v>
      </c>
      <c r="F53" s="8">
        <f t="shared" si="10"/>
        <v>33500</v>
      </c>
      <c r="G53" s="32"/>
    </row>
    <row r="54" spans="1:7" s="6" customFormat="1" ht="15" customHeight="1" thickBot="1" x14ac:dyDescent="0.3">
      <c r="A54" s="10" t="s">
        <v>53</v>
      </c>
      <c r="B54" s="11">
        <f t="shared" ref="B54:F54" si="11">SUM(B50:B53)</f>
        <v>163000</v>
      </c>
      <c r="C54" s="11">
        <f t="shared" si="11"/>
        <v>114916</v>
      </c>
      <c r="D54" s="11">
        <f t="shared" si="11"/>
        <v>0</v>
      </c>
      <c r="E54" s="11">
        <f t="shared" si="11"/>
        <v>0</v>
      </c>
      <c r="F54" s="12">
        <f t="shared" si="11"/>
        <v>277916</v>
      </c>
    </row>
    <row r="55" spans="1:7" s="6" customFormat="1" ht="25.5" customHeight="1" thickBot="1" x14ac:dyDescent="0.3">
      <c r="A55" s="14" t="s">
        <v>54</v>
      </c>
      <c r="B55" s="15">
        <f>B54+B48+B31+B25+B19</f>
        <v>595116</v>
      </c>
      <c r="C55" s="15">
        <f>C54+C48+C31+C25+C19</f>
        <v>894120</v>
      </c>
      <c r="D55" s="15">
        <f>D54+D48+D31+D25+D19</f>
        <v>715854</v>
      </c>
      <c r="E55" s="15">
        <f>E54+E48+E31+E25+E19</f>
        <v>388710</v>
      </c>
      <c r="F55" s="16">
        <f>F54+F48+F31+F25+F19</f>
        <v>2593800</v>
      </c>
    </row>
    <row r="56" spans="1:7" s="6" customFormat="1" ht="13.5" thickBot="1" x14ac:dyDescent="0.3">
      <c r="A56" s="17"/>
      <c r="B56" s="38"/>
      <c r="C56" s="38"/>
      <c r="D56" s="38"/>
      <c r="E56" s="38"/>
      <c r="F56" s="18"/>
    </row>
    <row r="57" spans="1:7" s="6" customFormat="1" ht="21" customHeight="1" thickBot="1" x14ac:dyDescent="0.3">
      <c r="A57" s="14" t="s">
        <v>55</v>
      </c>
      <c r="B57" s="15">
        <f>SUM(B13,B55)</f>
        <v>705066</v>
      </c>
      <c r="C57" s="15">
        <f>SUM(C13,C55)</f>
        <v>976249</v>
      </c>
      <c r="D57" s="15">
        <f>SUM(D13,D55)</f>
        <v>798406</v>
      </c>
      <c r="E57" s="15">
        <f>SUM(E13,E55)</f>
        <v>388710</v>
      </c>
      <c r="F57" s="16">
        <f>SUM(F13,F55)</f>
        <v>2868431</v>
      </c>
    </row>
    <row r="59" spans="1:7" x14ac:dyDescent="0.2">
      <c r="A59" s="35"/>
    </row>
    <row r="60" spans="1:7" x14ac:dyDescent="0.2">
      <c r="A60" s="35"/>
    </row>
    <row r="61" spans="1:7" x14ac:dyDescent="0.2">
      <c r="A61" s="35"/>
    </row>
    <row r="62" spans="1:7" x14ac:dyDescent="0.2">
      <c r="A62" s="35"/>
    </row>
  </sheetData>
  <mergeCells count="12">
    <mergeCell ref="A49:F49"/>
    <mergeCell ref="A1:F1"/>
    <mergeCell ref="A3:A4"/>
    <mergeCell ref="B3:F3"/>
    <mergeCell ref="A5:F5"/>
    <mergeCell ref="A6:F6"/>
    <mergeCell ref="A10:F10"/>
    <mergeCell ref="A15:F15"/>
    <mergeCell ref="A16:F16"/>
    <mergeCell ref="A20:F20"/>
    <mergeCell ref="A26:F26"/>
    <mergeCell ref="A32:F32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Footer>&amp;C&amp;"Tahoma,Obyčejné"&amp;10&amp;P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E13B6-6D04-4BBF-9C6A-30B5DB0D42D7}">
  <sheetPr>
    <pageSetUpPr fitToPage="1"/>
  </sheetPr>
  <dimension ref="A1:G75"/>
  <sheetViews>
    <sheetView view="pageBreakPreview" zoomScaleNormal="100" zoomScaleSheetLayoutView="100" workbookViewId="0">
      <pane ySplit="4" topLeftCell="A61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6" s="1" customFormat="1" ht="23.25" customHeight="1" x14ac:dyDescent="0.25">
      <c r="A1" s="294" t="s">
        <v>59</v>
      </c>
      <c r="B1" s="295"/>
      <c r="C1" s="295"/>
      <c r="D1" s="295"/>
      <c r="E1" s="295"/>
      <c r="F1" s="295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21" customHeight="1" x14ac:dyDescent="0.25">
      <c r="A5" s="301" t="s">
        <v>70</v>
      </c>
      <c r="B5" s="302"/>
      <c r="C5" s="302"/>
      <c r="D5" s="302"/>
      <c r="E5" s="303"/>
      <c r="F5" s="304"/>
    </row>
    <row r="6" spans="1:6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6" s="9" customFormat="1" ht="15" customHeight="1" x14ac:dyDescent="0.25">
      <c r="A7" s="7" t="s">
        <v>7</v>
      </c>
      <c r="B7" s="45">
        <v>46472</v>
      </c>
      <c r="C7" s="45">
        <v>66735</v>
      </c>
      <c r="D7" s="45">
        <v>64910</v>
      </c>
      <c r="E7" s="28">
        <v>0</v>
      </c>
      <c r="F7" s="8">
        <f>SUM(B7:E7)</f>
        <v>178117</v>
      </c>
    </row>
    <row r="8" spans="1:6" s="9" customFormat="1" ht="24" customHeight="1" x14ac:dyDescent="0.25">
      <c r="A8" s="7" t="s">
        <v>8</v>
      </c>
      <c r="B8" s="45">
        <v>7525</v>
      </c>
      <c r="C8" s="45">
        <v>19984</v>
      </c>
      <c r="D8" s="45">
        <v>33995</v>
      </c>
      <c r="E8" s="28">
        <v>0</v>
      </c>
      <c r="F8" s="8">
        <f>SUM(B8:E8)</f>
        <v>61504</v>
      </c>
    </row>
    <row r="9" spans="1:6" s="6" customFormat="1" ht="15" customHeight="1" x14ac:dyDescent="0.25">
      <c r="A9" s="10" t="s">
        <v>9</v>
      </c>
      <c r="B9" s="11">
        <f t="shared" ref="B9:F9" si="0">SUM(B7:B8)</f>
        <v>53997</v>
      </c>
      <c r="C9" s="11">
        <f t="shared" si="0"/>
        <v>86719</v>
      </c>
      <c r="D9" s="11">
        <f t="shared" si="0"/>
        <v>98905</v>
      </c>
      <c r="E9" s="11">
        <f t="shared" si="0"/>
        <v>0</v>
      </c>
      <c r="F9" s="12">
        <f t="shared" si="0"/>
        <v>239621</v>
      </c>
    </row>
    <row r="10" spans="1:6" s="13" customFormat="1" ht="18" customHeight="1" x14ac:dyDescent="0.25">
      <c r="A10" s="305" t="s">
        <v>10</v>
      </c>
      <c r="B10" s="306"/>
      <c r="C10" s="306"/>
      <c r="D10" s="306"/>
      <c r="E10" s="306"/>
      <c r="F10" s="307"/>
    </row>
    <row r="11" spans="1:6" s="9" customFormat="1" ht="15" customHeight="1" x14ac:dyDescent="0.25">
      <c r="A11" s="7" t="s">
        <v>11</v>
      </c>
      <c r="B11" s="28">
        <v>0</v>
      </c>
      <c r="C11" s="45">
        <v>7543</v>
      </c>
      <c r="D11" s="45">
        <v>28670</v>
      </c>
      <c r="E11" s="28">
        <v>0</v>
      </c>
      <c r="F11" s="8">
        <f>SUM(B11:E11)</f>
        <v>36213</v>
      </c>
    </row>
    <row r="12" spans="1:6" s="6" customFormat="1" ht="15" customHeight="1" thickBot="1" x14ac:dyDescent="0.3">
      <c r="A12" s="10" t="s">
        <v>13</v>
      </c>
      <c r="B12" s="11">
        <f t="shared" ref="B12:F12" si="1">SUM(B11:B11)</f>
        <v>0</v>
      </c>
      <c r="C12" s="11">
        <f t="shared" si="1"/>
        <v>7543</v>
      </c>
      <c r="D12" s="11">
        <f t="shared" si="1"/>
        <v>28670</v>
      </c>
      <c r="E12" s="11">
        <f t="shared" si="1"/>
        <v>0</v>
      </c>
      <c r="F12" s="12">
        <f t="shared" si="1"/>
        <v>36213</v>
      </c>
    </row>
    <row r="13" spans="1:6" s="6" customFormat="1" ht="25.5" customHeight="1" thickBot="1" x14ac:dyDescent="0.3">
      <c r="A13" s="14" t="s">
        <v>71</v>
      </c>
      <c r="B13" s="15">
        <f t="shared" ref="B13:F13" si="2">B9+B12</f>
        <v>53997</v>
      </c>
      <c r="C13" s="15">
        <f t="shared" si="2"/>
        <v>94262</v>
      </c>
      <c r="D13" s="15">
        <f t="shared" si="2"/>
        <v>127575</v>
      </c>
      <c r="E13" s="15">
        <f t="shared" si="2"/>
        <v>0</v>
      </c>
      <c r="F13" s="16">
        <f t="shared" si="2"/>
        <v>275834</v>
      </c>
    </row>
    <row r="14" spans="1:6" s="6" customFormat="1" ht="24" customHeight="1" thickBot="1" x14ac:dyDescent="0.3">
      <c r="A14" s="17"/>
      <c r="B14" s="38"/>
      <c r="C14" s="38"/>
      <c r="D14" s="38"/>
      <c r="E14" s="38"/>
      <c r="F14" s="29"/>
    </row>
    <row r="15" spans="1:6" s="6" customFormat="1" ht="21" customHeight="1" x14ac:dyDescent="0.25">
      <c r="A15" s="301" t="s">
        <v>72</v>
      </c>
      <c r="B15" s="302"/>
      <c r="C15" s="302"/>
      <c r="D15" s="302"/>
      <c r="E15" s="303"/>
      <c r="F15" s="304"/>
    </row>
    <row r="16" spans="1:6" s="13" customFormat="1" ht="18" customHeight="1" x14ac:dyDescent="0.25">
      <c r="A16" s="305" t="s">
        <v>32</v>
      </c>
      <c r="B16" s="306"/>
      <c r="C16" s="306"/>
      <c r="D16" s="306"/>
      <c r="E16" s="306"/>
      <c r="F16" s="307"/>
    </row>
    <row r="17" spans="1:7" s="9" customFormat="1" ht="24" customHeight="1" x14ac:dyDescent="0.25">
      <c r="A17" s="47" t="s">
        <v>73</v>
      </c>
      <c r="B17" s="28">
        <v>0</v>
      </c>
      <c r="C17" s="45">
        <v>2898</v>
      </c>
      <c r="D17" s="28">
        <v>0</v>
      </c>
      <c r="E17" s="28">
        <v>0</v>
      </c>
      <c r="F17" s="8">
        <f>SUM(B17:E17)</f>
        <v>2898</v>
      </c>
    </row>
    <row r="18" spans="1:7" s="9" customFormat="1" ht="24" customHeight="1" x14ac:dyDescent="0.25">
      <c r="A18" s="47" t="s">
        <v>74</v>
      </c>
      <c r="B18" s="28">
        <v>0</v>
      </c>
      <c r="C18" s="45">
        <v>19624</v>
      </c>
      <c r="D18" s="28">
        <v>0</v>
      </c>
      <c r="E18" s="28">
        <v>0</v>
      </c>
      <c r="F18" s="8">
        <f>SUM(B18:E18)</f>
        <v>19624</v>
      </c>
    </row>
    <row r="19" spans="1:7" s="9" customFormat="1" ht="24" customHeight="1" x14ac:dyDescent="0.25">
      <c r="A19" s="47" t="s">
        <v>75</v>
      </c>
      <c r="B19" s="28">
        <v>0</v>
      </c>
      <c r="C19" s="45">
        <v>7371</v>
      </c>
      <c r="D19" s="28">
        <v>0</v>
      </c>
      <c r="E19" s="28">
        <v>0</v>
      </c>
      <c r="F19" s="8">
        <f>SUM(B19:E19)</f>
        <v>7371</v>
      </c>
    </row>
    <row r="20" spans="1:7" s="6" customFormat="1" ht="15" customHeight="1" x14ac:dyDescent="0.25">
      <c r="A20" s="10" t="s">
        <v>9</v>
      </c>
      <c r="B20" s="11">
        <f>SUM(B17:B19)</f>
        <v>0</v>
      </c>
      <c r="C20" s="11">
        <f t="shared" ref="C20" si="3">SUM(C17:C19)</f>
        <v>29893</v>
      </c>
      <c r="D20" s="11">
        <f t="shared" ref="D20" si="4">SUM(D17:D19)</f>
        <v>0</v>
      </c>
      <c r="E20" s="11">
        <f t="shared" ref="E20" si="5">SUM(E17:E19)</f>
        <v>0</v>
      </c>
      <c r="F20" s="12">
        <f>SUM(F17:F19)</f>
        <v>29893</v>
      </c>
    </row>
    <row r="21" spans="1:7" s="13" customFormat="1" ht="18" customHeight="1" x14ac:dyDescent="0.25">
      <c r="A21" s="305" t="s">
        <v>48</v>
      </c>
      <c r="B21" s="306"/>
      <c r="C21" s="306"/>
      <c r="D21" s="306"/>
      <c r="E21" s="306"/>
      <c r="F21" s="307"/>
    </row>
    <row r="22" spans="1:7" s="9" customFormat="1" ht="24" customHeight="1" x14ac:dyDescent="0.25">
      <c r="A22" s="47" t="s">
        <v>76</v>
      </c>
      <c r="B22" s="28">
        <v>0</v>
      </c>
      <c r="C22" s="45">
        <v>18821</v>
      </c>
      <c r="D22" s="28">
        <v>0</v>
      </c>
      <c r="E22" s="28">
        <v>0</v>
      </c>
      <c r="F22" s="8">
        <f>SUM(B22:E22)</f>
        <v>18821</v>
      </c>
    </row>
    <row r="23" spans="1:7" s="9" customFormat="1" ht="24" customHeight="1" x14ac:dyDescent="0.25">
      <c r="A23" s="47" t="s">
        <v>77</v>
      </c>
      <c r="B23" s="28">
        <v>0</v>
      </c>
      <c r="C23" s="45">
        <v>14319</v>
      </c>
      <c r="D23" s="28">
        <v>0</v>
      </c>
      <c r="E23" s="28">
        <v>0</v>
      </c>
      <c r="F23" s="8">
        <f t="shared" ref="F23:F24" si="6">SUM(B23:E23)</f>
        <v>14319</v>
      </c>
    </row>
    <row r="24" spans="1:7" s="9" customFormat="1" ht="24" customHeight="1" x14ac:dyDescent="0.25">
      <c r="A24" s="47" t="s">
        <v>78</v>
      </c>
      <c r="B24" s="28">
        <v>0</v>
      </c>
      <c r="C24" s="45">
        <v>7079</v>
      </c>
      <c r="D24" s="28">
        <v>0</v>
      </c>
      <c r="E24" s="28">
        <v>0</v>
      </c>
      <c r="F24" s="8">
        <f t="shared" si="6"/>
        <v>7079</v>
      </c>
    </row>
    <row r="25" spans="1:7" s="6" customFormat="1" ht="15" customHeight="1" thickBot="1" x14ac:dyDescent="0.3">
      <c r="A25" s="10" t="s">
        <v>13</v>
      </c>
      <c r="B25" s="11">
        <f>SUM(B22:B24)</f>
        <v>0</v>
      </c>
      <c r="C25" s="11">
        <f t="shared" ref="C25:E25" si="7">SUM(C22:C24)</f>
        <v>40219</v>
      </c>
      <c r="D25" s="11">
        <f t="shared" si="7"/>
        <v>0</v>
      </c>
      <c r="E25" s="11">
        <f t="shared" si="7"/>
        <v>0</v>
      </c>
      <c r="F25" s="12">
        <f>SUM(F22:F24)</f>
        <v>40219</v>
      </c>
    </row>
    <row r="26" spans="1:7" s="6" customFormat="1" ht="36" customHeight="1" thickBot="1" x14ac:dyDescent="0.3">
      <c r="A26" s="14" t="s">
        <v>79</v>
      </c>
      <c r="B26" s="15">
        <f t="shared" ref="B26:F26" si="8">B20+B25</f>
        <v>0</v>
      </c>
      <c r="C26" s="15">
        <f t="shared" si="8"/>
        <v>70112</v>
      </c>
      <c r="D26" s="15">
        <f t="shared" si="8"/>
        <v>0</v>
      </c>
      <c r="E26" s="15">
        <f t="shared" si="8"/>
        <v>0</v>
      </c>
      <c r="F26" s="16">
        <f t="shared" si="8"/>
        <v>70112</v>
      </c>
    </row>
    <row r="27" spans="1:7" s="6" customFormat="1" ht="24" customHeight="1" thickBot="1" x14ac:dyDescent="0.3">
      <c r="A27" s="17"/>
      <c r="B27" s="38"/>
      <c r="C27" s="38"/>
      <c r="D27" s="38"/>
      <c r="E27" s="38"/>
      <c r="F27" s="29"/>
    </row>
    <row r="28" spans="1:7" s="6" customFormat="1" ht="21" customHeight="1" x14ac:dyDescent="0.25">
      <c r="A28" s="301" t="s">
        <v>15</v>
      </c>
      <c r="B28" s="302"/>
      <c r="C28" s="302"/>
      <c r="D28" s="302"/>
      <c r="E28" s="303"/>
      <c r="F28" s="304"/>
    </row>
    <row r="29" spans="1:7" ht="18" customHeight="1" x14ac:dyDescent="0.2">
      <c r="A29" s="305" t="s">
        <v>16</v>
      </c>
      <c r="B29" s="306"/>
      <c r="C29" s="306"/>
      <c r="D29" s="306"/>
      <c r="E29" s="306"/>
      <c r="F29" s="307"/>
    </row>
    <row r="30" spans="1:7" s="13" customFormat="1" ht="15" customHeight="1" x14ac:dyDescent="0.25">
      <c r="A30" s="19" t="s">
        <v>17</v>
      </c>
      <c r="B30" s="20">
        <v>807</v>
      </c>
      <c r="C30" s="20">
        <v>130993</v>
      </c>
      <c r="D30" s="20">
        <v>277178</v>
      </c>
      <c r="E30" s="20">
        <v>0</v>
      </c>
      <c r="F30" s="8">
        <f t="shared" ref="F30:F31" si="9">SUM(B30:E30)</f>
        <v>408978</v>
      </c>
      <c r="G30" s="32"/>
    </row>
    <row r="31" spans="1:7" s="13" customFormat="1" ht="24" customHeight="1" x14ac:dyDescent="0.25">
      <c r="A31" s="19" t="s">
        <v>18</v>
      </c>
      <c r="B31" s="20">
        <v>27298</v>
      </c>
      <c r="C31" s="20">
        <v>29993</v>
      </c>
      <c r="D31" s="20">
        <v>64999</v>
      </c>
      <c r="E31" s="20">
        <v>3710</v>
      </c>
      <c r="F31" s="8">
        <f t="shared" si="9"/>
        <v>126000</v>
      </c>
      <c r="G31" s="32"/>
    </row>
    <row r="32" spans="1:7" s="6" customFormat="1" ht="15" customHeight="1" x14ac:dyDescent="0.25">
      <c r="A32" s="10" t="s">
        <v>19</v>
      </c>
      <c r="B32" s="11">
        <f t="shared" ref="B32:F32" si="10">SUM(B30:B31)</f>
        <v>28105</v>
      </c>
      <c r="C32" s="11">
        <f t="shared" si="10"/>
        <v>160986</v>
      </c>
      <c r="D32" s="11">
        <f t="shared" si="10"/>
        <v>342177</v>
      </c>
      <c r="E32" s="11">
        <f t="shared" si="10"/>
        <v>3710</v>
      </c>
      <c r="F32" s="12">
        <f t="shared" si="10"/>
        <v>534978</v>
      </c>
    </row>
    <row r="33" spans="1:7" s="13" customFormat="1" ht="18" customHeight="1" x14ac:dyDescent="0.25">
      <c r="A33" s="308" t="s">
        <v>20</v>
      </c>
      <c r="B33" s="309"/>
      <c r="C33" s="309"/>
      <c r="D33" s="309"/>
      <c r="E33" s="309"/>
      <c r="F33" s="310"/>
    </row>
    <row r="34" spans="1:7" s="13" customFormat="1" ht="24" customHeight="1" x14ac:dyDescent="0.25">
      <c r="A34" s="21" t="s">
        <v>22</v>
      </c>
      <c r="B34" s="44">
        <v>0</v>
      </c>
      <c r="C34" s="44">
        <v>0</v>
      </c>
      <c r="D34" s="44">
        <v>0</v>
      </c>
      <c r="E34" s="44">
        <v>0</v>
      </c>
      <c r="F34" s="8">
        <f t="shared" ref="F34:F37" si="11">SUM(B34:E34)</f>
        <v>0</v>
      </c>
      <c r="G34" s="32"/>
    </row>
    <row r="35" spans="1:7" s="13" customFormat="1" ht="24" customHeight="1" x14ac:dyDescent="0.25">
      <c r="A35" s="21" t="s">
        <v>23</v>
      </c>
      <c r="B35" s="44">
        <v>615</v>
      </c>
      <c r="C35" s="44">
        <v>40400</v>
      </c>
      <c r="D35" s="44">
        <v>10000</v>
      </c>
      <c r="E35" s="20">
        <v>0</v>
      </c>
      <c r="F35" s="8">
        <f t="shared" si="11"/>
        <v>51015</v>
      </c>
      <c r="G35" s="32"/>
    </row>
    <row r="36" spans="1:7" s="13" customFormat="1" ht="24" customHeight="1" x14ac:dyDescent="0.25">
      <c r="A36" s="21" t="s">
        <v>24</v>
      </c>
      <c r="B36" s="20">
        <v>25000</v>
      </c>
      <c r="C36" s="20">
        <v>70000</v>
      </c>
      <c r="D36" s="20">
        <v>0</v>
      </c>
      <c r="E36" s="20">
        <v>0</v>
      </c>
      <c r="F36" s="8">
        <f t="shared" si="11"/>
        <v>95000</v>
      </c>
      <c r="G36" s="32"/>
    </row>
    <row r="37" spans="1:7" s="13" customFormat="1" ht="24" customHeight="1" x14ac:dyDescent="0.25">
      <c r="A37" s="21" t="s">
        <v>25</v>
      </c>
      <c r="B37" s="20">
        <v>0</v>
      </c>
      <c r="C37" s="20">
        <v>0</v>
      </c>
      <c r="D37" s="20">
        <v>30000</v>
      </c>
      <c r="E37" s="20">
        <v>65000</v>
      </c>
      <c r="F37" s="8">
        <f t="shared" si="11"/>
        <v>95000</v>
      </c>
      <c r="G37" s="32"/>
    </row>
    <row r="38" spans="1:7" s="6" customFormat="1" ht="15" customHeight="1" x14ac:dyDescent="0.25">
      <c r="A38" s="10" t="s">
        <v>27</v>
      </c>
      <c r="B38" s="11">
        <f>SUM(B34:B37)</f>
        <v>25615</v>
      </c>
      <c r="C38" s="11">
        <f>SUM(C34:C37)</f>
        <v>110400</v>
      </c>
      <c r="D38" s="11">
        <f>SUM(D34:D37)</f>
        <v>40000</v>
      </c>
      <c r="E38" s="11">
        <f>SUM(E34:E37)</f>
        <v>65000</v>
      </c>
      <c r="F38" s="12">
        <f>SUM(F34:F37)</f>
        <v>241015</v>
      </c>
    </row>
    <row r="39" spans="1:7" s="13" customFormat="1" ht="18" customHeight="1" x14ac:dyDescent="0.25">
      <c r="A39" s="308" t="s">
        <v>6</v>
      </c>
      <c r="B39" s="309"/>
      <c r="C39" s="309"/>
      <c r="D39" s="309"/>
      <c r="E39" s="309"/>
      <c r="F39" s="310"/>
    </row>
    <row r="40" spans="1:7" s="13" customFormat="1" ht="15" customHeight="1" x14ac:dyDescent="0.25">
      <c r="A40" s="21" t="s">
        <v>28</v>
      </c>
      <c r="B40" s="46">
        <v>0</v>
      </c>
      <c r="C40" s="46">
        <v>10000</v>
      </c>
      <c r="D40" s="22">
        <v>0</v>
      </c>
      <c r="E40" s="22">
        <v>0</v>
      </c>
      <c r="F40" s="8">
        <f t="shared" ref="F40:F43" si="12">SUM(B40:E40)</f>
        <v>10000</v>
      </c>
    </row>
    <row r="41" spans="1:7" s="13" customFormat="1" ht="24" customHeight="1" x14ac:dyDescent="0.25">
      <c r="A41" s="19" t="s">
        <v>29</v>
      </c>
      <c r="B41" s="44">
        <v>15865</v>
      </c>
      <c r="C41" s="44">
        <v>82731</v>
      </c>
      <c r="D41" s="44">
        <v>19761</v>
      </c>
      <c r="E41" s="20">
        <v>0</v>
      </c>
      <c r="F41" s="8">
        <f t="shared" si="12"/>
        <v>118357</v>
      </c>
      <c r="G41" s="32"/>
    </row>
    <row r="42" spans="1:7" s="13" customFormat="1" ht="15" customHeight="1" x14ac:dyDescent="0.25">
      <c r="A42" s="23" t="s">
        <v>30</v>
      </c>
      <c r="B42" s="44">
        <v>52961</v>
      </c>
      <c r="C42" s="44">
        <v>130000</v>
      </c>
      <c r="D42" s="44">
        <v>112039</v>
      </c>
      <c r="E42" s="20">
        <v>0</v>
      </c>
      <c r="F42" s="8">
        <f t="shared" si="12"/>
        <v>295000</v>
      </c>
      <c r="G42" s="32"/>
    </row>
    <row r="43" spans="1:7" s="13" customFormat="1" ht="24" customHeight="1" x14ac:dyDescent="0.25">
      <c r="A43" s="23" t="s">
        <v>31</v>
      </c>
      <c r="B43" s="20">
        <v>7800</v>
      </c>
      <c r="C43" s="20">
        <v>5700</v>
      </c>
      <c r="D43" s="20">
        <v>0</v>
      </c>
      <c r="E43" s="20">
        <v>0</v>
      </c>
      <c r="F43" s="8">
        <f t="shared" si="12"/>
        <v>13500</v>
      </c>
      <c r="G43" s="32"/>
    </row>
    <row r="44" spans="1:7" s="6" customFormat="1" ht="15" customHeight="1" x14ac:dyDescent="0.25">
      <c r="A44" s="10" t="s">
        <v>9</v>
      </c>
      <c r="B44" s="11">
        <f t="shared" ref="B44:F44" si="13">SUM(B40:B43)</f>
        <v>76626</v>
      </c>
      <c r="C44" s="11">
        <f t="shared" si="13"/>
        <v>228431</v>
      </c>
      <c r="D44" s="11">
        <f t="shared" si="13"/>
        <v>131800</v>
      </c>
      <c r="E44" s="11">
        <f t="shared" si="13"/>
        <v>0</v>
      </c>
      <c r="F44" s="12">
        <f t="shared" si="13"/>
        <v>436857</v>
      </c>
    </row>
    <row r="45" spans="1:7" s="13" customFormat="1" ht="18" customHeight="1" x14ac:dyDescent="0.25">
      <c r="A45" s="308" t="s">
        <v>32</v>
      </c>
      <c r="B45" s="309"/>
      <c r="C45" s="309"/>
      <c r="D45" s="309"/>
      <c r="E45" s="309"/>
      <c r="F45" s="310"/>
    </row>
    <row r="46" spans="1:7" s="13" customFormat="1" ht="24" customHeight="1" x14ac:dyDescent="0.25">
      <c r="A46" s="21" t="s">
        <v>33</v>
      </c>
      <c r="B46" s="20">
        <v>45000</v>
      </c>
      <c r="C46" s="20">
        <v>0</v>
      </c>
      <c r="D46" s="20">
        <v>0</v>
      </c>
      <c r="E46" s="20">
        <v>0</v>
      </c>
      <c r="F46" s="8">
        <f t="shared" ref="F46:F60" si="14">SUM(B46:E46)</f>
        <v>45000</v>
      </c>
      <c r="G46" s="32"/>
    </row>
    <row r="47" spans="1:7" s="13" customFormat="1" ht="24" customHeight="1" x14ac:dyDescent="0.25">
      <c r="A47" s="21" t="s">
        <v>34</v>
      </c>
      <c r="B47" s="20">
        <v>0</v>
      </c>
      <c r="C47" s="20">
        <v>5500</v>
      </c>
      <c r="D47" s="20">
        <v>25000</v>
      </c>
      <c r="E47" s="20">
        <v>0</v>
      </c>
      <c r="F47" s="8">
        <f t="shared" si="14"/>
        <v>30500</v>
      </c>
      <c r="G47" s="32"/>
    </row>
    <row r="48" spans="1:7" s="13" customFormat="1" ht="24" customHeight="1" x14ac:dyDescent="0.25">
      <c r="A48" s="21" t="s">
        <v>68</v>
      </c>
      <c r="B48" s="44">
        <v>2090</v>
      </c>
      <c r="C48" s="44">
        <v>53610</v>
      </c>
      <c r="D48" s="20">
        <v>0</v>
      </c>
      <c r="E48" s="20">
        <v>0</v>
      </c>
      <c r="F48" s="8">
        <f t="shared" si="14"/>
        <v>55700</v>
      </c>
      <c r="G48" s="32"/>
    </row>
    <row r="49" spans="1:7" s="13" customFormat="1" ht="31.5" x14ac:dyDescent="0.25">
      <c r="A49" s="21" t="s">
        <v>36</v>
      </c>
      <c r="B49" s="20">
        <v>31098</v>
      </c>
      <c r="C49" s="20">
        <v>19500</v>
      </c>
      <c r="D49" s="20">
        <v>0</v>
      </c>
      <c r="E49" s="20">
        <v>0</v>
      </c>
      <c r="F49" s="8">
        <f t="shared" si="14"/>
        <v>50598</v>
      </c>
      <c r="G49" s="32"/>
    </row>
    <row r="50" spans="1:7" s="13" customFormat="1" ht="31.5" x14ac:dyDescent="0.25">
      <c r="A50" s="21" t="s">
        <v>37</v>
      </c>
      <c r="B50" s="20">
        <v>5500</v>
      </c>
      <c r="C50" s="20">
        <v>0</v>
      </c>
      <c r="D50" s="20">
        <v>0</v>
      </c>
      <c r="E50" s="20">
        <v>0</v>
      </c>
      <c r="F50" s="8">
        <f t="shared" si="14"/>
        <v>5500</v>
      </c>
    </row>
    <row r="51" spans="1:7" s="13" customFormat="1" ht="24" customHeight="1" x14ac:dyDescent="0.25">
      <c r="A51" s="21" t="s">
        <v>38</v>
      </c>
      <c r="B51" s="20">
        <v>20571</v>
      </c>
      <c r="C51" s="20">
        <v>113428</v>
      </c>
      <c r="D51" s="20">
        <v>42000</v>
      </c>
      <c r="E51" s="20">
        <v>0</v>
      </c>
      <c r="F51" s="8">
        <f t="shared" si="14"/>
        <v>175999</v>
      </c>
      <c r="G51" s="32"/>
    </row>
    <row r="52" spans="1:7" s="13" customFormat="1" ht="24" customHeight="1" x14ac:dyDescent="0.25">
      <c r="A52" s="21" t="s">
        <v>39</v>
      </c>
      <c r="B52" s="20">
        <v>51000</v>
      </c>
      <c r="C52" s="20">
        <v>0</v>
      </c>
      <c r="D52" s="20">
        <v>0</v>
      </c>
      <c r="E52" s="20">
        <v>0</v>
      </c>
      <c r="F52" s="8">
        <f t="shared" si="14"/>
        <v>51000</v>
      </c>
    </row>
    <row r="53" spans="1:7" s="13" customFormat="1" ht="24" customHeight="1" x14ac:dyDescent="0.25">
      <c r="A53" s="21" t="s">
        <v>40</v>
      </c>
      <c r="B53" s="44">
        <v>25000</v>
      </c>
      <c r="C53" s="20">
        <v>0</v>
      </c>
      <c r="D53" s="20">
        <v>0</v>
      </c>
      <c r="E53" s="20">
        <v>0</v>
      </c>
      <c r="F53" s="8">
        <f t="shared" si="14"/>
        <v>25000</v>
      </c>
    </row>
    <row r="54" spans="1:7" s="13" customFormat="1" ht="34.5" customHeight="1" x14ac:dyDescent="0.25">
      <c r="A54" s="21" t="s">
        <v>41</v>
      </c>
      <c r="B54" s="20">
        <v>10000</v>
      </c>
      <c r="C54" s="20">
        <v>28000</v>
      </c>
      <c r="D54" s="20">
        <v>0</v>
      </c>
      <c r="E54" s="20">
        <v>0</v>
      </c>
      <c r="F54" s="8">
        <f t="shared" si="14"/>
        <v>38000</v>
      </c>
      <c r="G54" s="32"/>
    </row>
    <row r="55" spans="1:7" s="13" customFormat="1" ht="24" customHeight="1" x14ac:dyDescent="0.25">
      <c r="A55" s="21" t="s">
        <v>42</v>
      </c>
      <c r="B55" s="20">
        <v>27200</v>
      </c>
      <c r="C55" s="20">
        <v>500</v>
      </c>
      <c r="D55" s="20">
        <v>0</v>
      </c>
      <c r="E55" s="20">
        <v>0</v>
      </c>
      <c r="F55" s="8">
        <f t="shared" si="14"/>
        <v>27700</v>
      </c>
      <c r="G55" s="32"/>
    </row>
    <row r="56" spans="1:7" s="13" customFormat="1" ht="24" customHeight="1" x14ac:dyDescent="0.25">
      <c r="A56" s="21" t="s">
        <v>43</v>
      </c>
      <c r="B56" s="20">
        <v>25700</v>
      </c>
      <c r="C56" s="20">
        <v>0</v>
      </c>
      <c r="D56" s="20">
        <v>0</v>
      </c>
      <c r="E56" s="20">
        <v>0</v>
      </c>
      <c r="F56" s="8">
        <f t="shared" si="14"/>
        <v>25700</v>
      </c>
    </row>
    <row r="57" spans="1:7" s="13" customFormat="1" ht="24" customHeight="1" x14ac:dyDescent="0.25">
      <c r="A57" s="21" t="s">
        <v>44</v>
      </c>
      <c r="B57" s="20">
        <v>40000</v>
      </c>
      <c r="C57" s="20">
        <v>0</v>
      </c>
      <c r="D57" s="20">
        <v>0</v>
      </c>
      <c r="E57" s="20">
        <v>0</v>
      </c>
      <c r="F57" s="8">
        <f t="shared" si="14"/>
        <v>40000</v>
      </c>
      <c r="G57" s="32"/>
    </row>
    <row r="58" spans="1:7" s="13" customFormat="1" ht="24" customHeight="1" x14ac:dyDescent="0.25">
      <c r="A58" s="23" t="s">
        <v>45</v>
      </c>
      <c r="B58" s="20">
        <v>500</v>
      </c>
      <c r="C58" s="20">
        <v>50639</v>
      </c>
      <c r="D58" s="20">
        <v>0</v>
      </c>
      <c r="E58" s="20">
        <v>0</v>
      </c>
      <c r="F58" s="8">
        <f t="shared" si="14"/>
        <v>51139</v>
      </c>
      <c r="G58" s="32"/>
    </row>
    <row r="59" spans="1:7" s="13" customFormat="1" ht="24" customHeight="1" x14ac:dyDescent="0.25">
      <c r="A59" s="21" t="s">
        <v>46</v>
      </c>
      <c r="B59" s="20">
        <v>6200</v>
      </c>
      <c r="C59" s="20">
        <v>0</v>
      </c>
      <c r="D59" s="20">
        <v>0</v>
      </c>
      <c r="E59" s="20">
        <v>0</v>
      </c>
      <c r="F59" s="8">
        <f t="shared" si="14"/>
        <v>6200</v>
      </c>
    </row>
    <row r="60" spans="1:7" s="13" customFormat="1" ht="24" customHeight="1" x14ac:dyDescent="0.25">
      <c r="A60" s="21" t="s">
        <v>69</v>
      </c>
      <c r="B60" s="20">
        <v>0</v>
      </c>
      <c r="C60" s="20">
        <v>0</v>
      </c>
      <c r="D60" s="20">
        <v>100000</v>
      </c>
      <c r="E60" s="20">
        <v>100000</v>
      </c>
      <c r="F60" s="8">
        <f t="shared" si="14"/>
        <v>200000</v>
      </c>
    </row>
    <row r="61" spans="1:7" s="6" customFormat="1" ht="15" customHeight="1" x14ac:dyDescent="0.25">
      <c r="A61" s="10" t="s">
        <v>47</v>
      </c>
      <c r="B61" s="11">
        <f>SUM(B46:B60)</f>
        <v>289859</v>
      </c>
      <c r="C61" s="11">
        <f>SUM(C46:C60)</f>
        <v>271177</v>
      </c>
      <c r="D61" s="11">
        <f>SUM(D46:D60)</f>
        <v>167000</v>
      </c>
      <c r="E61" s="11">
        <f>SUM(E46:E60)</f>
        <v>100000</v>
      </c>
      <c r="F61" s="12">
        <f>SUM(F46:F60)</f>
        <v>828036</v>
      </c>
    </row>
    <row r="62" spans="1:7" s="13" customFormat="1" ht="18" customHeight="1" x14ac:dyDescent="0.25">
      <c r="A62" s="308" t="s">
        <v>48</v>
      </c>
      <c r="B62" s="309"/>
      <c r="C62" s="309"/>
      <c r="D62" s="309"/>
      <c r="E62" s="309"/>
      <c r="F62" s="310"/>
    </row>
    <row r="63" spans="1:7" s="13" customFormat="1" ht="24" customHeight="1" x14ac:dyDescent="0.25">
      <c r="A63" s="21" t="s">
        <v>49</v>
      </c>
      <c r="B63" s="24">
        <v>41000</v>
      </c>
      <c r="C63" s="24">
        <v>0</v>
      </c>
      <c r="D63" s="24">
        <v>0</v>
      </c>
      <c r="E63" s="24">
        <v>0</v>
      </c>
      <c r="F63" s="8">
        <f t="shared" ref="F63:F66" si="15">SUM(B63:E63)</f>
        <v>41000</v>
      </c>
    </row>
    <row r="64" spans="1:7" s="13" customFormat="1" ht="24" customHeight="1" x14ac:dyDescent="0.25">
      <c r="A64" s="21" t="s">
        <v>50</v>
      </c>
      <c r="B64" s="44">
        <v>15000</v>
      </c>
      <c r="C64" s="44">
        <v>119416</v>
      </c>
      <c r="D64" s="44">
        <v>50000</v>
      </c>
      <c r="E64" s="20">
        <v>0</v>
      </c>
      <c r="F64" s="8">
        <f t="shared" si="15"/>
        <v>184416</v>
      </c>
      <c r="G64" s="32"/>
    </row>
    <row r="65" spans="1:7" s="13" customFormat="1" ht="24" customHeight="1" x14ac:dyDescent="0.25">
      <c r="A65" s="21" t="s">
        <v>51</v>
      </c>
      <c r="B65" s="44">
        <v>2000</v>
      </c>
      <c r="C65" s="44">
        <v>22000</v>
      </c>
      <c r="D65" s="20">
        <v>0</v>
      </c>
      <c r="E65" s="20">
        <v>0</v>
      </c>
      <c r="F65" s="8">
        <f t="shared" si="15"/>
        <v>24000</v>
      </c>
      <c r="G65" s="32"/>
    </row>
    <row r="66" spans="1:7" s="13" customFormat="1" ht="24" customHeight="1" x14ac:dyDescent="0.25">
      <c r="A66" s="21" t="s">
        <v>52</v>
      </c>
      <c r="B66" s="20">
        <f>1000+2500</f>
        <v>3500</v>
      </c>
      <c r="C66" s="20">
        <v>30000</v>
      </c>
      <c r="D66" s="20">
        <v>0</v>
      </c>
      <c r="E66" s="20">
        <v>0</v>
      </c>
      <c r="F66" s="8">
        <f t="shared" si="15"/>
        <v>33500</v>
      </c>
      <c r="G66" s="32"/>
    </row>
    <row r="67" spans="1:7" s="6" customFormat="1" ht="15" customHeight="1" thickBot="1" x14ac:dyDescent="0.3">
      <c r="A67" s="10" t="s">
        <v>53</v>
      </c>
      <c r="B67" s="11">
        <f t="shared" ref="B67:F67" si="16">SUM(B63:B66)</f>
        <v>61500</v>
      </c>
      <c r="C67" s="11">
        <f t="shared" si="16"/>
        <v>171416</v>
      </c>
      <c r="D67" s="11">
        <f t="shared" si="16"/>
        <v>50000</v>
      </c>
      <c r="E67" s="11">
        <f t="shared" si="16"/>
        <v>0</v>
      </c>
      <c r="F67" s="12">
        <f t="shared" si="16"/>
        <v>282916</v>
      </c>
    </row>
    <row r="68" spans="1:7" s="6" customFormat="1" ht="25.5" customHeight="1" thickBot="1" x14ac:dyDescent="0.3">
      <c r="A68" s="14" t="s">
        <v>54</v>
      </c>
      <c r="B68" s="15">
        <f>B67+B61+B44+B38+B32</f>
        <v>481705</v>
      </c>
      <c r="C68" s="15">
        <f>C67+C61+C44+C38+C32</f>
        <v>942410</v>
      </c>
      <c r="D68" s="15">
        <f>D67+D61+D44+D38+D32</f>
        <v>730977</v>
      </c>
      <c r="E68" s="15">
        <f>E67+E61+E44+E38+E32</f>
        <v>168710</v>
      </c>
      <c r="F68" s="16">
        <f>F67+F61+F44+F38+F32</f>
        <v>2323802</v>
      </c>
    </row>
    <row r="69" spans="1:7" s="6" customFormat="1" ht="13.5" thickBot="1" x14ac:dyDescent="0.3">
      <c r="A69" s="17"/>
      <c r="B69" s="38"/>
      <c r="C69" s="38"/>
      <c r="D69" s="38"/>
      <c r="E69" s="38"/>
      <c r="F69" s="18"/>
    </row>
    <row r="70" spans="1:7" s="6" customFormat="1" ht="21" customHeight="1" thickBot="1" x14ac:dyDescent="0.3">
      <c r="A70" s="14" t="s">
        <v>55</v>
      </c>
      <c r="B70" s="15">
        <f>SUM(B13,B26,B68)</f>
        <v>535702</v>
      </c>
      <c r="C70" s="15">
        <f t="shared" ref="C70:F70" si="17">SUM(C13,C26,C68)</f>
        <v>1106784</v>
      </c>
      <c r="D70" s="15">
        <f t="shared" si="17"/>
        <v>858552</v>
      </c>
      <c r="E70" s="15">
        <f t="shared" si="17"/>
        <v>168710</v>
      </c>
      <c r="F70" s="16">
        <f t="shared" si="17"/>
        <v>2669748</v>
      </c>
    </row>
    <row r="72" spans="1:7" x14ac:dyDescent="0.2">
      <c r="A72" s="35"/>
    </row>
    <row r="73" spans="1:7" x14ac:dyDescent="0.2">
      <c r="A73" s="35"/>
    </row>
    <row r="74" spans="1:7" x14ac:dyDescent="0.2">
      <c r="A74" s="35"/>
    </row>
    <row r="75" spans="1:7" x14ac:dyDescent="0.2">
      <c r="A75" s="35"/>
    </row>
  </sheetData>
  <mergeCells count="15">
    <mergeCell ref="A62:F62"/>
    <mergeCell ref="A1:F1"/>
    <mergeCell ref="A3:A4"/>
    <mergeCell ref="B3:F3"/>
    <mergeCell ref="A5:F5"/>
    <mergeCell ref="A6:F6"/>
    <mergeCell ref="A10:F10"/>
    <mergeCell ref="A28:F28"/>
    <mergeCell ref="A29:F29"/>
    <mergeCell ref="A33:F33"/>
    <mergeCell ref="A39:F39"/>
    <mergeCell ref="A45:F45"/>
    <mergeCell ref="A15:F15"/>
    <mergeCell ref="A16:F16"/>
    <mergeCell ref="A21:F21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Footer>&amp;C&amp;"Tahoma,Obyčejné"&amp;10&amp;P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9998F-23CF-4D3C-ACAB-B72FBE924046}">
  <sheetPr>
    <pageSetUpPr fitToPage="1"/>
  </sheetPr>
  <dimension ref="A1:G78"/>
  <sheetViews>
    <sheetView view="pageBreakPreview" zoomScaleNormal="100" zoomScaleSheetLayoutView="100" workbookViewId="0">
      <pane ySplit="4" topLeftCell="A30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6" s="1" customFormat="1" ht="23.25" customHeight="1" x14ac:dyDescent="0.25">
      <c r="A1" s="294" t="s">
        <v>59</v>
      </c>
      <c r="B1" s="295"/>
      <c r="C1" s="295"/>
      <c r="D1" s="295"/>
      <c r="E1" s="295"/>
      <c r="F1" s="295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21" customHeight="1" x14ac:dyDescent="0.25">
      <c r="A5" s="301" t="s">
        <v>70</v>
      </c>
      <c r="B5" s="302"/>
      <c r="C5" s="302"/>
      <c r="D5" s="302"/>
      <c r="E5" s="303"/>
      <c r="F5" s="304"/>
    </row>
    <row r="6" spans="1:6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6" s="9" customFormat="1" ht="15" customHeight="1" x14ac:dyDescent="0.25">
      <c r="A7" s="7" t="s">
        <v>7</v>
      </c>
      <c r="B7" s="52">
        <v>46471</v>
      </c>
      <c r="C7" s="28">
        <v>66735</v>
      </c>
      <c r="D7" s="28">
        <v>64910</v>
      </c>
      <c r="E7" s="28">
        <v>0</v>
      </c>
      <c r="F7" s="8">
        <f>SUM(B7:E7)</f>
        <v>178116</v>
      </c>
    </row>
    <row r="8" spans="1:6" s="9" customFormat="1" ht="24" customHeight="1" x14ac:dyDescent="0.25">
      <c r="A8" s="7" t="s">
        <v>8</v>
      </c>
      <c r="B8" s="28">
        <v>7525</v>
      </c>
      <c r="C8" s="28">
        <v>19984</v>
      </c>
      <c r="D8" s="28">
        <v>33995</v>
      </c>
      <c r="E8" s="28">
        <v>0</v>
      </c>
      <c r="F8" s="8">
        <f>SUM(B8:E8)</f>
        <v>61504</v>
      </c>
    </row>
    <row r="9" spans="1:6" s="6" customFormat="1" ht="15" customHeight="1" x14ac:dyDescent="0.25">
      <c r="A9" s="10" t="s">
        <v>9</v>
      </c>
      <c r="B9" s="11">
        <f t="shared" ref="B9:F9" si="0">SUM(B7:B8)</f>
        <v>53996</v>
      </c>
      <c r="C9" s="11">
        <f t="shared" si="0"/>
        <v>86719</v>
      </c>
      <c r="D9" s="11">
        <f t="shared" si="0"/>
        <v>98905</v>
      </c>
      <c r="E9" s="11">
        <f t="shared" si="0"/>
        <v>0</v>
      </c>
      <c r="F9" s="12">
        <f t="shared" si="0"/>
        <v>239620</v>
      </c>
    </row>
    <row r="10" spans="1:6" s="13" customFormat="1" ht="18" customHeight="1" x14ac:dyDescent="0.25">
      <c r="A10" s="305" t="s">
        <v>10</v>
      </c>
      <c r="B10" s="306"/>
      <c r="C10" s="306"/>
      <c r="D10" s="306"/>
      <c r="E10" s="306"/>
      <c r="F10" s="307"/>
    </row>
    <row r="11" spans="1:6" s="9" customFormat="1" ht="15" customHeight="1" x14ac:dyDescent="0.25">
      <c r="A11" s="7" t="s">
        <v>11</v>
      </c>
      <c r="B11" s="28">
        <v>0</v>
      </c>
      <c r="C11" s="28">
        <v>7543</v>
      </c>
      <c r="D11" s="28">
        <v>28670</v>
      </c>
      <c r="E11" s="28">
        <v>0</v>
      </c>
      <c r="F11" s="8">
        <f>SUM(B11:E11)</f>
        <v>36213</v>
      </c>
    </row>
    <row r="12" spans="1:6" s="6" customFormat="1" ht="15" customHeight="1" thickBot="1" x14ac:dyDescent="0.3">
      <c r="A12" s="10" t="s">
        <v>13</v>
      </c>
      <c r="B12" s="11">
        <f t="shared" ref="B12:F12" si="1">SUM(B11:B11)</f>
        <v>0</v>
      </c>
      <c r="C12" s="11">
        <f t="shared" si="1"/>
        <v>7543</v>
      </c>
      <c r="D12" s="11">
        <f t="shared" si="1"/>
        <v>28670</v>
      </c>
      <c r="E12" s="11">
        <f t="shared" si="1"/>
        <v>0</v>
      </c>
      <c r="F12" s="12">
        <f t="shared" si="1"/>
        <v>36213</v>
      </c>
    </row>
    <row r="13" spans="1:6" s="6" customFormat="1" ht="25.5" customHeight="1" thickBot="1" x14ac:dyDescent="0.3">
      <c r="A13" s="14" t="s">
        <v>71</v>
      </c>
      <c r="B13" s="15">
        <f t="shared" ref="B13:F13" si="2">B9+B12</f>
        <v>53996</v>
      </c>
      <c r="C13" s="15">
        <f t="shared" si="2"/>
        <v>94262</v>
      </c>
      <c r="D13" s="15">
        <f t="shared" si="2"/>
        <v>127575</v>
      </c>
      <c r="E13" s="15">
        <f t="shared" si="2"/>
        <v>0</v>
      </c>
      <c r="F13" s="16">
        <f t="shared" si="2"/>
        <v>275833</v>
      </c>
    </row>
    <row r="14" spans="1:6" s="6" customFormat="1" ht="24" customHeight="1" thickBot="1" x14ac:dyDescent="0.3">
      <c r="A14" s="17"/>
      <c r="B14" s="38"/>
      <c r="C14" s="38"/>
      <c r="D14" s="38"/>
      <c r="E14" s="38"/>
      <c r="F14" s="29"/>
    </row>
    <row r="15" spans="1:6" s="6" customFormat="1" ht="21" customHeight="1" x14ac:dyDescent="0.25">
      <c r="A15" s="301" t="s">
        <v>72</v>
      </c>
      <c r="B15" s="302"/>
      <c r="C15" s="302"/>
      <c r="D15" s="302"/>
      <c r="E15" s="303"/>
      <c r="F15" s="304"/>
    </row>
    <row r="16" spans="1:6" s="13" customFormat="1" ht="18" customHeight="1" x14ac:dyDescent="0.25">
      <c r="A16" s="305" t="s">
        <v>32</v>
      </c>
      <c r="B16" s="306"/>
      <c r="C16" s="306"/>
      <c r="D16" s="306"/>
      <c r="E16" s="306"/>
      <c r="F16" s="307"/>
    </row>
    <row r="17" spans="1:7" s="9" customFormat="1" ht="24" customHeight="1" x14ac:dyDescent="0.25">
      <c r="A17" s="7" t="s">
        <v>73</v>
      </c>
      <c r="B17" s="28">
        <v>0</v>
      </c>
      <c r="C17" s="28">
        <v>2898</v>
      </c>
      <c r="D17" s="28">
        <v>0</v>
      </c>
      <c r="E17" s="28">
        <v>0</v>
      </c>
      <c r="F17" s="8">
        <f>SUM(B17:E17)</f>
        <v>2898</v>
      </c>
    </row>
    <row r="18" spans="1:7" s="9" customFormat="1" ht="24" customHeight="1" x14ac:dyDescent="0.25">
      <c r="A18" s="7" t="s">
        <v>74</v>
      </c>
      <c r="B18" s="28">
        <v>0</v>
      </c>
      <c r="C18" s="28">
        <v>19624</v>
      </c>
      <c r="D18" s="28">
        <v>0</v>
      </c>
      <c r="E18" s="28">
        <v>0</v>
      </c>
      <c r="F18" s="8">
        <f>SUM(B18:E18)</f>
        <v>19624</v>
      </c>
    </row>
    <row r="19" spans="1:7" s="9" customFormat="1" ht="24" customHeight="1" x14ac:dyDescent="0.25">
      <c r="A19" s="7" t="s">
        <v>75</v>
      </c>
      <c r="B19" s="28">
        <v>0</v>
      </c>
      <c r="C19" s="28">
        <v>7371</v>
      </c>
      <c r="D19" s="28">
        <v>0</v>
      </c>
      <c r="E19" s="28">
        <v>0</v>
      </c>
      <c r="F19" s="8">
        <f>SUM(B19:E19)</f>
        <v>7371</v>
      </c>
    </row>
    <row r="20" spans="1:7" s="6" customFormat="1" ht="15" customHeight="1" x14ac:dyDescent="0.25">
      <c r="A20" s="10" t="s">
        <v>9</v>
      </c>
      <c r="B20" s="11">
        <f>SUM(B17:B19)</f>
        <v>0</v>
      </c>
      <c r="C20" s="11">
        <f t="shared" ref="C20:E20" si="3">SUM(C17:C19)</f>
        <v>29893</v>
      </c>
      <c r="D20" s="11">
        <f t="shared" si="3"/>
        <v>0</v>
      </c>
      <c r="E20" s="11">
        <f t="shared" si="3"/>
        <v>0</v>
      </c>
      <c r="F20" s="12">
        <f>SUM(F17:F19)</f>
        <v>29893</v>
      </c>
    </row>
    <row r="21" spans="1:7" s="13" customFormat="1" ht="18" customHeight="1" x14ac:dyDescent="0.25">
      <c r="A21" s="305" t="s">
        <v>48</v>
      </c>
      <c r="B21" s="306"/>
      <c r="C21" s="306"/>
      <c r="D21" s="306"/>
      <c r="E21" s="306"/>
      <c r="F21" s="307"/>
    </row>
    <row r="22" spans="1:7" s="9" customFormat="1" ht="24" customHeight="1" x14ac:dyDescent="0.25">
      <c r="A22" s="7" t="s">
        <v>76</v>
      </c>
      <c r="B22" s="28">
        <v>0</v>
      </c>
      <c r="C22" s="28">
        <v>18821</v>
      </c>
      <c r="D22" s="28">
        <v>0</v>
      </c>
      <c r="E22" s="28">
        <v>0</v>
      </c>
      <c r="F22" s="8">
        <f>SUM(B22:E22)</f>
        <v>18821</v>
      </c>
    </row>
    <row r="23" spans="1:7" s="9" customFormat="1" ht="24" customHeight="1" x14ac:dyDescent="0.25">
      <c r="A23" s="7" t="s">
        <v>77</v>
      </c>
      <c r="B23" s="28">
        <v>0</v>
      </c>
      <c r="C23" s="28">
        <v>14319</v>
      </c>
      <c r="D23" s="28">
        <v>0</v>
      </c>
      <c r="E23" s="28">
        <v>0</v>
      </c>
      <c r="F23" s="8">
        <f t="shared" ref="F23:F24" si="4">SUM(B23:E23)</f>
        <v>14319</v>
      </c>
    </row>
    <row r="24" spans="1:7" s="9" customFormat="1" ht="24" customHeight="1" x14ac:dyDescent="0.25">
      <c r="A24" s="7" t="s">
        <v>78</v>
      </c>
      <c r="B24" s="28">
        <v>0</v>
      </c>
      <c r="C24" s="28">
        <v>7079</v>
      </c>
      <c r="D24" s="28">
        <v>0</v>
      </c>
      <c r="E24" s="28">
        <v>0</v>
      </c>
      <c r="F24" s="8">
        <f t="shared" si="4"/>
        <v>7079</v>
      </c>
    </row>
    <row r="25" spans="1:7" s="6" customFormat="1" ht="15" customHeight="1" thickBot="1" x14ac:dyDescent="0.3">
      <c r="A25" s="10" t="s">
        <v>13</v>
      </c>
      <c r="B25" s="11">
        <f>SUM(B22:B24)</f>
        <v>0</v>
      </c>
      <c r="C25" s="11">
        <f t="shared" ref="C25:E25" si="5">SUM(C22:C24)</f>
        <v>40219</v>
      </c>
      <c r="D25" s="11">
        <f t="shared" si="5"/>
        <v>0</v>
      </c>
      <c r="E25" s="11">
        <f t="shared" si="5"/>
        <v>0</v>
      </c>
      <c r="F25" s="12">
        <f>SUM(F22:F24)</f>
        <v>40219</v>
      </c>
    </row>
    <row r="26" spans="1:7" s="6" customFormat="1" ht="36" customHeight="1" thickBot="1" x14ac:dyDescent="0.3">
      <c r="A26" s="14" t="s">
        <v>79</v>
      </c>
      <c r="B26" s="15">
        <f t="shared" ref="B26:F26" si="6">B20+B25</f>
        <v>0</v>
      </c>
      <c r="C26" s="15">
        <f t="shared" si="6"/>
        <v>70112</v>
      </c>
      <c r="D26" s="15">
        <f t="shared" si="6"/>
        <v>0</v>
      </c>
      <c r="E26" s="15">
        <f t="shared" si="6"/>
        <v>0</v>
      </c>
      <c r="F26" s="16">
        <f t="shared" si="6"/>
        <v>70112</v>
      </c>
    </row>
    <row r="27" spans="1:7" s="6" customFormat="1" ht="24" customHeight="1" thickBot="1" x14ac:dyDescent="0.3">
      <c r="A27" s="17"/>
      <c r="B27" s="38"/>
      <c r="C27" s="38"/>
      <c r="D27" s="38"/>
      <c r="E27" s="38"/>
      <c r="F27" s="29"/>
    </row>
    <row r="28" spans="1:7" s="6" customFormat="1" ht="21" customHeight="1" x14ac:dyDescent="0.25">
      <c r="A28" s="301" t="s">
        <v>15</v>
      </c>
      <c r="B28" s="302"/>
      <c r="C28" s="302"/>
      <c r="D28" s="302"/>
      <c r="E28" s="303"/>
      <c r="F28" s="304"/>
    </row>
    <row r="29" spans="1:7" ht="18" customHeight="1" x14ac:dyDescent="0.2">
      <c r="A29" s="305" t="s">
        <v>16</v>
      </c>
      <c r="B29" s="306"/>
      <c r="C29" s="306"/>
      <c r="D29" s="306"/>
      <c r="E29" s="306"/>
      <c r="F29" s="307"/>
    </row>
    <row r="30" spans="1:7" s="13" customFormat="1" ht="15" customHeight="1" x14ac:dyDescent="0.25">
      <c r="A30" s="19" t="s">
        <v>17</v>
      </c>
      <c r="B30" s="20">
        <v>807</v>
      </c>
      <c r="C30" s="20">
        <v>130993</v>
      </c>
      <c r="D30" s="20">
        <v>277178</v>
      </c>
      <c r="E30" s="20">
        <v>0</v>
      </c>
      <c r="F30" s="8">
        <f t="shared" ref="F30:F31" si="7">SUM(B30:E30)</f>
        <v>408978</v>
      </c>
      <c r="G30" s="32"/>
    </row>
    <row r="31" spans="1:7" s="13" customFormat="1" ht="24" customHeight="1" x14ac:dyDescent="0.25">
      <c r="A31" s="19" t="s">
        <v>18</v>
      </c>
      <c r="B31" s="20">
        <v>27298</v>
      </c>
      <c r="C31" s="20">
        <v>29993</v>
      </c>
      <c r="D31" s="20">
        <v>64999</v>
      </c>
      <c r="E31" s="20">
        <v>3710</v>
      </c>
      <c r="F31" s="8">
        <f t="shared" si="7"/>
        <v>126000</v>
      </c>
      <c r="G31" s="32"/>
    </row>
    <row r="32" spans="1:7" s="6" customFormat="1" ht="15" customHeight="1" x14ac:dyDescent="0.25">
      <c r="A32" s="10" t="s">
        <v>19</v>
      </c>
      <c r="B32" s="11">
        <f t="shared" ref="B32:F32" si="8">SUM(B30:B31)</f>
        <v>28105</v>
      </c>
      <c r="C32" s="11">
        <f t="shared" si="8"/>
        <v>160986</v>
      </c>
      <c r="D32" s="11">
        <f t="shared" si="8"/>
        <v>342177</v>
      </c>
      <c r="E32" s="11">
        <f t="shared" si="8"/>
        <v>3710</v>
      </c>
      <c r="F32" s="12">
        <f t="shared" si="8"/>
        <v>534978</v>
      </c>
    </row>
    <row r="33" spans="1:7" s="13" customFormat="1" ht="18" customHeight="1" x14ac:dyDescent="0.25">
      <c r="A33" s="308" t="s">
        <v>20</v>
      </c>
      <c r="B33" s="309"/>
      <c r="C33" s="309"/>
      <c r="D33" s="309"/>
      <c r="E33" s="309"/>
      <c r="F33" s="310"/>
    </row>
    <row r="34" spans="1:7" s="13" customFormat="1" ht="24" customHeight="1" x14ac:dyDescent="0.25">
      <c r="A34" s="21" t="s">
        <v>22</v>
      </c>
      <c r="B34" s="20">
        <v>0</v>
      </c>
      <c r="C34" s="20">
        <v>0</v>
      </c>
      <c r="D34" s="20">
        <v>0</v>
      </c>
      <c r="E34" s="20">
        <v>0</v>
      </c>
      <c r="F34" s="51">
        <f t="shared" ref="F34:F37" si="9">SUM(B34:E34)</f>
        <v>0</v>
      </c>
      <c r="G34" s="32"/>
    </row>
    <row r="35" spans="1:7" s="13" customFormat="1" ht="24" customHeight="1" x14ac:dyDescent="0.25">
      <c r="A35" s="21" t="s">
        <v>23</v>
      </c>
      <c r="B35" s="20">
        <v>615</v>
      </c>
      <c r="C35" s="20">
        <v>40400</v>
      </c>
      <c r="D35" s="20">
        <v>10000</v>
      </c>
      <c r="E35" s="20">
        <v>0</v>
      </c>
      <c r="F35" s="8">
        <f t="shared" si="9"/>
        <v>51015</v>
      </c>
      <c r="G35" s="32"/>
    </row>
    <row r="36" spans="1:7" s="13" customFormat="1" ht="24" customHeight="1" x14ac:dyDescent="0.25">
      <c r="A36" s="21" t="s">
        <v>24</v>
      </c>
      <c r="B36" s="20">
        <v>25000</v>
      </c>
      <c r="C36" s="20">
        <v>70000</v>
      </c>
      <c r="D36" s="20">
        <v>0</v>
      </c>
      <c r="E36" s="20">
        <v>0</v>
      </c>
      <c r="F36" s="8">
        <f t="shared" si="9"/>
        <v>95000</v>
      </c>
      <c r="G36" s="32"/>
    </row>
    <row r="37" spans="1:7" s="13" customFormat="1" ht="24" customHeight="1" x14ac:dyDescent="0.25">
      <c r="A37" s="21" t="s">
        <v>25</v>
      </c>
      <c r="B37" s="20">
        <v>0</v>
      </c>
      <c r="C37" s="20">
        <v>0</v>
      </c>
      <c r="D37" s="20">
        <v>30000</v>
      </c>
      <c r="E37" s="20">
        <v>65000</v>
      </c>
      <c r="F37" s="8">
        <f t="shared" si="9"/>
        <v>95000</v>
      </c>
      <c r="G37" s="32"/>
    </row>
    <row r="38" spans="1:7" s="6" customFormat="1" ht="15" customHeight="1" x14ac:dyDescent="0.25">
      <c r="A38" s="10" t="s">
        <v>27</v>
      </c>
      <c r="B38" s="11">
        <f>SUM(B34:B37)</f>
        <v>25615</v>
      </c>
      <c r="C38" s="11">
        <f>SUM(C34:C37)</f>
        <v>110400</v>
      </c>
      <c r="D38" s="11">
        <f>SUM(D34:D37)</f>
        <v>40000</v>
      </c>
      <c r="E38" s="11">
        <f>SUM(E34:E37)</f>
        <v>65000</v>
      </c>
      <c r="F38" s="12">
        <f>SUM(F34:F37)</f>
        <v>241015</v>
      </c>
    </row>
    <row r="39" spans="1:7" s="13" customFormat="1" ht="18" customHeight="1" x14ac:dyDescent="0.25">
      <c r="A39" s="308" t="s">
        <v>6</v>
      </c>
      <c r="B39" s="309"/>
      <c r="C39" s="309"/>
      <c r="D39" s="309"/>
      <c r="E39" s="309"/>
      <c r="F39" s="310"/>
    </row>
    <row r="40" spans="1:7" s="13" customFormat="1" ht="15" customHeight="1" x14ac:dyDescent="0.25">
      <c r="A40" s="21" t="s">
        <v>28</v>
      </c>
      <c r="B40" s="48">
        <v>9000</v>
      </c>
      <c r="C40" s="22">
        <v>10000</v>
      </c>
      <c r="D40" s="22">
        <v>0</v>
      </c>
      <c r="E40" s="22">
        <v>0</v>
      </c>
      <c r="F40" s="8">
        <f t="shared" ref="F40:F43" si="10">SUM(B40:E40)</f>
        <v>19000</v>
      </c>
    </row>
    <row r="41" spans="1:7" s="13" customFormat="1" ht="24" customHeight="1" x14ac:dyDescent="0.25">
      <c r="A41" s="19" t="s">
        <v>29</v>
      </c>
      <c r="B41" s="20">
        <v>15865</v>
      </c>
      <c r="C41" s="20">
        <v>82731</v>
      </c>
      <c r="D41" s="20">
        <v>19761</v>
      </c>
      <c r="E41" s="20">
        <v>0</v>
      </c>
      <c r="F41" s="8">
        <f t="shared" si="10"/>
        <v>118357</v>
      </c>
      <c r="G41" s="32"/>
    </row>
    <row r="42" spans="1:7" s="13" customFormat="1" ht="15" customHeight="1" x14ac:dyDescent="0.25">
      <c r="A42" s="23" t="s">
        <v>30</v>
      </c>
      <c r="B42" s="20">
        <v>52961</v>
      </c>
      <c r="C42" s="20">
        <v>130000</v>
      </c>
      <c r="D42" s="20">
        <v>112039</v>
      </c>
      <c r="E42" s="20">
        <v>0</v>
      </c>
      <c r="F42" s="8">
        <f t="shared" si="10"/>
        <v>295000</v>
      </c>
      <c r="G42" s="32"/>
    </row>
    <row r="43" spans="1:7" s="13" customFormat="1" ht="24" customHeight="1" x14ac:dyDescent="0.25">
      <c r="A43" s="23" t="s">
        <v>31</v>
      </c>
      <c r="B43" s="20">
        <v>7800</v>
      </c>
      <c r="C43" s="20">
        <v>5700</v>
      </c>
      <c r="D43" s="20">
        <v>0</v>
      </c>
      <c r="E43" s="20">
        <v>0</v>
      </c>
      <c r="F43" s="8">
        <f t="shared" si="10"/>
        <v>13500</v>
      </c>
      <c r="G43" s="32"/>
    </row>
    <row r="44" spans="1:7" s="6" customFormat="1" ht="15" customHeight="1" x14ac:dyDescent="0.25">
      <c r="A44" s="10" t="s">
        <v>9</v>
      </c>
      <c r="B44" s="11">
        <f t="shared" ref="B44:F44" si="11">SUM(B40:B43)</f>
        <v>85626</v>
      </c>
      <c r="C44" s="11">
        <f t="shared" si="11"/>
        <v>228431</v>
      </c>
      <c r="D44" s="11">
        <f t="shared" si="11"/>
        <v>131800</v>
      </c>
      <c r="E44" s="11">
        <f t="shared" si="11"/>
        <v>0</v>
      </c>
      <c r="F44" s="12">
        <f t="shared" si="11"/>
        <v>445857</v>
      </c>
    </row>
    <row r="45" spans="1:7" s="13" customFormat="1" ht="18" customHeight="1" x14ac:dyDescent="0.25">
      <c r="A45" s="308" t="s">
        <v>32</v>
      </c>
      <c r="B45" s="309"/>
      <c r="C45" s="309"/>
      <c r="D45" s="309"/>
      <c r="E45" s="309"/>
      <c r="F45" s="310"/>
    </row>
    <row r="46" spans="1:7" s="13" customFormat="1" ht="24" customHeight="1" x14ac:dyDescent="0.25">
      <c r="A46" s="23" t="s">
        <v>33</v>
      </c>
      <c r="B46" s="24">
        <v>45000</v>
      </c>
      <c r="C46" s="20">
        <v>0</v>
      </c>
      <c r="D46" s="20">
        <v>0</v>
      </c>
      <c r="E46" s="20">
        <v>0</v>
      </c>
      <c r="F46" s="8">
        <f t="shared" ref="F46:F63" si="12">SUM(B46:E46)</f>
        <v>45000</v>
      </c>
      <c r="G46" s="32"/>
    </row>
    <row r="47" spans="1:7" s="13" customFormat="1" ht="24" customHeight="1" x14ac:dyDescent="0.25">
      <c r="A47" s="23" t="s">
        <v>34</v>
      </c>
      <c r="B47" s="24">
        <v>0</v>
      </c>
      <c r="C47" s="20">
        <v>5500</v>
      </c>
      <c r="D47" s="20">
        <v>25000</v>
      </c>
      <c r="E47" s="20">
        <v>0</v>
      </c>
      <c r="F47" s="8">
        <f t="shared" si="12"/>
        <v>30500</v>
      </c>
      <c r="G47" s="32"/>
    </row>
    <row r="48" spans="1:7" s="13" customFormat="1" ht="24" customHeight="1" x14ac:dyDescent="0.25">
      <c r="A48" s="23" t="s">
        <v>68</v>
      </c>
      <c r="B48" s="24">
        <v>0</v>
      </c>
      <c r="C48" s="39">
        <v>0</v>
      </c>
      <c r="D48" s="20">
        <v>0</v>
      </c>
      <c r="E48" s="20">
        <v>0</v>
      </c>
      <c r="F48" s="51">
        <f t="shared" si="12"/>
        <v>0</v>
      </c>
      <c r="G48" s="32"/>
    </row>
    <row r="49" spans="1:7" s="13" customFormat="1" ht="31.5" x14ac:dyDescent="0.25">
      <c r="A49" s="23" t="s">
        <v>36</v>
      </c>
      <c r="B49" s="24">
        <v>31098</v>
      </c>
      <c r="C49" s="20">
        <v>19500</v>
      </c>
      <c r="D49" s="20">
        <v>0</v>
      </c>
      <c r="E49" s="20">
        <v>0</v>
      </c>
      <c r="F49" s="8">
        <f t="shared" si="12"/>
        <v>50598</v>
      </c>
      <c r="G49" s="32"/>
    </row>
    <row r="50" spans="1:7" s="13" customFormat="1" ht="31.5" x14ac:dyDescent="0.25">
      <c r="A50" s="23" t="s">
        <v>37</v>
      </c>
      <c r="B50" s="24">
        <v>5500</v>
      </c>
      <c r="C50" s="20">
        <v>0</v>
      </c>
      <c r="D50" s="20">
        <v>0</v>
      </c>
      <c r="E50" s="20">
        <v>0</v>
      </c>
      <c r="F50" s="8">
        <f t="shared" si="12"/>
        <v>5500</v>
      </c>
    </row>
    <row r="51" spans="1:7" s="13" customFormat="1" ht="24" customHeight="1" x14ac:dyDescent="0.25">
      <c r="A51" s="23" t="s">
        <v>38</v>
      </c>
      <c r="B51" s="24">
        <v>20571</v>
      </c>
      <c r="C51" s="20">
        <v>113428</v>
      </c>
      <c r="D51" s="20">
        <v>42000</v>
      </c>
      <c r="E51" s="20">
        <v>0</v>
      </c>
      <c r="F51" s="8">
        <f t="shared" si="12"/>
        <v>175999</v>
      </c>
      <c r="G51" s="32"/>
    </row>
    <row r="52" spans="1:7" s="13" customFormat="1" ht="24" customHeight="1" x14ac:dyDescent="0.25">
      <c r="A52" s="23" t="s">
        <v>39</v>
      </c>
      <c r="B52" s="24">
        <v>51000</v>
      </c>
      <c r="C52" s="20">
        <v>0</v>
      </c>
      <c r="D52" s="20">
        <v>0</v>
      </c>
      <c r="E52" s="20">
        <v>0</v>
      </c>
      <c r="F52" s="8">
        <f t="shared" si="12"/>
        <v>51000</v>
      </c>
    </row>
    <row r="53" spans="1:7" s="13" customFormat="1" ht="24" customHeight="1" x14ac:dyDescent="0.25">
      <c r="A53" s="23" t="s">
        <v>40</v>
      </c>
      <c r="B53" s="24">
        <v>25000</v>
      </c>
      <c r="C53" s="20">
        <v>0</v>
      </c>
      <c r="D53" s="20">
        <v>0</v>
      </c>
      <c r="E53" s="20">
        <v>0</v>
      </c>
      <c r="F53" s="8">
        <f t="shared" si="12"/>
        <v>25000</v>
      </c>
    </row>
    <row r="54" spans="1:7" s="13" customFormat="1" ht="34.5" customHeight="1" x14ac:dyDescent="0.25">
      <c r="A54" s="23" t="s">
        <v>41</v>
      </c>
      <c r="B54" s="24">
        <v>10000</v>
      </c>
      <c r="C54" s="20">
        <v>28000</v>
      </c>
      <c r="D54" s="20">
        <v>0</v>
      </c>
      <c r="E54" s="20">
        <v>0</v>
      </c>
      <c r="F54" s="8">
        <f t="shared" si="12"/>
        <v>38000</v>
      </c>
      <c r="G54" s="32"/>
    </row>
    <row r="55" spans="1:7" s="13" customFormat="1" ht="24" customHeight="1" x14ac:dyDescent="0.25">
      <c r="A55" s="23" t="s">
        <v>42</v>
      </c>
      <c r="B55" s="24">
        <v>27200</v>
      </c>
      <c r="C55" s="20">
        <v>500</v>
      </c>
      <c r="D55" s="20">
        <v>0</v>
      </c>
      <c r="E55" s="20">
        <v>0</v>
      </c>
      <c r="F55" s="8">
        <f t="shared" si="12"/>
        <v>27700</v>
      </c>
      <c r="G55" s="32"/>
    </row>
    <row r="56" spans="1:7" s="13" customFormat="1" ht="24" customHeight="1" x14ac:dyDescent="0.25">
      <c r="A56" s="23" t="s">
        <v>43</v>
      </c>
      <c r="B56" s="24">
        <v>25700</v>
      </c>
      <c r="C56" s="20">
        <v>0</v>
      </c>
      <c r="D56" s="20">
        <v>0</v>
      </c>
      <c r="E56" s="20">
        <v>0</v>
      </c>
      <c r="F56" s="8">
        <f t="shared" si="12"/>
        <v>25700</v>
      </c>
    </row>
    <row r="57" spans="1:7" s="13" customFormat="1" ht="24" customHeight="1" x14ac:dyDescent="0.25">
      <c r="A57" s="23" t="s">
        <v>44</v>
      </c>
      <c r="B57" s="24">
        <v>40000</v>
      </c>
      <c r="C57" s="20">
        <v>0</v>
      </c>
      <c r="D57" s="20">
        <v>0</v>
      </c>
      <c r="E57" s="20">
        <v>0</v>
      </c>
      <c r="F57" s="8">
        <f t="shared" si="12"/>
        <v>40000</v>
      </c>
      <c r="G57" s="32"/>
    </row>
    <row r="58" spans="1:7" s="13" customFormat="1" ht="24" customHeight="1" x14ac:dyDescent="0.25">
      <c r="A58" s="23" t="s">
        <v>45</v>
      </c>
      <c r="B58" s="24">
        <v>500</v>
      </c>
      <c r="C58" s="20">
        <v>50639</v>
      </c>
      <c r="D58" s="20">
        <v>0</v>
      </c>
      <c r="E58" s="20">
        <v>0</v>
      </c>
      <c r="F58" s="8">
        <f t="shared" si="12"/>
        <v>51139</v>
      </c>
      <c r="G58" s="32"/>
    </row>
    <row r="59" spans="1:7" s="13" customFormat="1" ht="24" customHeight="1" x14ac:dyDescent="0.25">
      <c r="A59" s="23" t="s">
        <v>46</v>
      </c>
      <c r="B59" s="24">
        <v>6200</v>
      </c>
      <c r="C59" s="20">
        <v>0</v>
      </c>
      <c r="D59" s="20">
        <v>0</v>
      </c>
      <c r="E59" s="20">
        <v>0</v>
      </c>
      <c r="F59" s="8">
        <f t="shared" si="12"/>
        <v>6200</v>
      </c>
    </row>
    <row r="60" spans="1:7" s="13" customFormat="1" ht="24" customHeight="1" x14ac:dyDescent="0.25">
      <c r="A60" s="23" t="s">
        <v>69</v>
      </c>
      <c r="B60" s="24">
        <v>0</v>
      </c>
      <c r="C60" s="20">
        <v>0</v>
      </c>
      <c r="D60" s="20">
        <v>100000</v>
      </c>
      <c r="E60" s="20">
        <v>100000</v>
      </c>
      <c r="F60" s="8">
        <f t="shared" si="12"/>
        <v>200000</v>
      </c>
    </row>
    <row r="61" spans="1:7" s="13" customFormat="1" ht="24" customHeight="1" x14ac:dyDescent="0.25">
      <c r="A61" s="49" t="s">
        <v>80</v>
      </c>
      <c r="B61" s="50">
        <v>1500</v>
      </c>
      <c r="C61" s="39">
        <v>12850</v>
      </c>
      <c r="D61" s="20">
        <v>0</v>
      </c>
      <c r="E61" s="20">
        <v>0</v>
      </c>
      <c r="F61" s="8">
        <f t="shared" si="12"/>
        <v>14350</v>
      </c>
    </row>
    <row r="62" spans="1:7" s="13" customFormat="1" ht="34.5" customHeight="1" x14ac:dyDescent="0.25">
      <c r="A62" s="49" t="s">
        <v>81</v>
      </c>
      <c r="B62" s="20">
        <v>0</v>
      </c>
      <c r="C62" s="39">
        <v>11420</v>
      </c>
      <c r="D62" s="20">
        <v>0</v>
      </c>
      <c r="E62" s="20">
        <v>0</v>
      </c>
      <c r="F62" s="8">
        <f t="shared" si="12"/>
        <v>11420</v>
      </c>
    </row>
    <row r="63" spans="1:7" s="13" customFormat="1" ht="24" customHeight="1" x14ac:dyDescent="0.25">
      <c r="A63" s="49" t="s">
        <v>82</v>
      </c>
      <c r="B63" s="20">
        <v>0</v>
      </c>
      <c r="C63" s="39">
        <v>30000</v>
      </c>
      <c r="D63" s="39">
        <v>30500</v>
      </c>
      <c r="E63" s="20">
        <v>0</v>
      </c>
      <c r="F63" s="8">
        <f t="shared" si="12"/>
        <v>60500</v>
      </c>
    </row>
    <row r="64" spans="1:7" s="6" customFormat="1" ht="15" customHeight="1" x14ac:dyDescent="0.25">
      <c r="A64" s="10" t="s">
        <v>47</v>
      </c>
      <c r="B64" s="11">
        <f>SUM(B46:B63)</f>
        <v>289269</v>
      </c>
      <c r="C64" s="11">
        <f t="shared" ref="C64:F64" si="13">SUM(C46:C63)</f>
        <v>271837</v>
      </c>
      <c r="D64" s="11">
        <f t="shared" si="13"/>
        <v>197500</v>
      </c>
      <c r="E64" s="11">
        <f t="shared" si="13"/>
        <v>100000</v>
      </c>
      <c r="F64" s="11">
        <f t="shared" si="13"/>
        <v>858606</v>
      </c>
    </row>
    <row r="65" spans="1:7" s="13" customFormat="1" ht="18" customHeight="1" x14ac:dyDescent="0.25">
      <c r="A65" s="308" t="s">
        <v>48</v>
      </c>
      <c r="B65" s="309"/>
      <c r="C65" s="309"/>
      <c r="D65" s="309"/>
      <c r="E65" s="309"/>
      <c r="F65" s="310"/>
    </row>
    <row r="66" spans="1:7" s="13" customFormat="1" ht="24" customHeight="1" x14ac:dyDescent="0.25">
      <c r="A66" s="21" t="s">
        <v>49</v>
      </c>
      <c r="B66" s="50">
        <v>26000</v>
      </c>
      <c r="C66" s="50">
        <v>15000</v>
      </c>
      <c r="D66" s="24">
        <v>0</v>
      </c>
      <c r="E66" s="24">
        <v>0</v>
      </c>
      <c r="F66" s="8">
        <f t="shared" ref="F66:F69" si="14">SUM(B66:E66)</f>
        <v>41000</v>
      </c>
    </row>
    <row r="67" spans="1:7" s="13" customFormat="1" ht="24" customHeight="1" x14ac:dyDescent="0.25">
      <c r="A67" s="21" t="s">
        <v>50</v>
      </c>
      <c r="B67" s="20">
        <v>15000</v>
      </c>
      <c r="C67" s="20">
        <v>119416</v>
      </c>
      <c r="D67" s="20">
        <v>50000</v>
      </c>
      <c r="E67" s="20">
        <v>0</v>
      </c>
      <c r="F67" s="8">
        <f t="shared" si="14"/>
        <v>184416</v>
      </c>
      <c r="G67" s="32"/>
    </row>
    <row r="68" spans="1:7" s="13" customFormat="1" ht="24" customHeight="1" x14ac:dyDescent="0.25">
      <c r="A68" s="21" t="s">
        <v>51</v>
      </c>
      <c r="B68" s="20">
        <v>2000</v>
      </c>
      <c r="C68" s="20">
        <v>22000</v>
      </c>
      <c r="D68" s="20">
        <v>0</v>
      </c>
      <c r="E68" s="20">
        <v>0</v>
      </c>
      <c r="F68" s="8">
        <f t="shared" si="14"/>
        <v>24000</v>
      </c>
      <c r="G68" s="32"/>
    </row>
    <row r="69" spans="1:7" s="13" customFormat="1" ht="24" customHeight="1" x14ac:dyDescent="0.25">
      <c r="A69" s="21" t="s">
        <v>52</v>
      </c>
      <c r="B69" s="20">
        <f>1000+2500</f>
        <v>3500</v>
      </c>
      <c r="C69" s="20">
        <v>30000</v>
      </c>
      <c r="D69" s="20">
        <v>0</v>
      </c>
      <c r="E69" s="20">
        <v>0</v>
      </c>
      <c r="F69" s="8">
        <f t="shared" si="14"/>
        <v>33500</v>
      </c>
      <c r="G69" s="32"/>
    </row>
    <row r="70" spans="1:7" s="6" customFormat="1" ht="15" customHeight="1" thickBot="1" x14ac:dyDescent="0.3">
      <c r="A70" s="10" t="s">
        <v>53</v>
      </c>
      <c r="B70" s="11">
        <f t="shared" ref="B70:F70" si="15">SUM(B66:B69)</f>
        <v>46500</v>
      </c>
      <c r="C70" s="11">
        <f t="shared" si="15"/>
        <v>186416</v>
      </c>
      <c r="D70" s="11">
        <f t="shared" si="15"/>
        <v>50000</v>
      </c>
      <c r="E70" s="11">
        <f t="shared" si="15"/>
        <v>0</v>
      </c>
      <c r="F70" s="12">
        <f t="shared" si="15"/>
        <v>282916</v>
      </c>
    </row>
    <row r="71" spans="1:7" s="6" customFormat="1" ht="25.5" customHeight="1" thickBot="1" x14ac:dyDescent="0.3">
      <c r="A71" s="14" t="s">
        <v>54</v>
      </c>
      <c r="B71" s="15">
        <f>B70+B64+B44+B38+B32</f>
        <v>475115</v>
      </c>
      <c r="C71" s="15">
        <f>C70+C64+C44+C38+C32</f>
        <v>958070</v>
      </c>
      <c r="D71" s="15">
        <f>D70+D64+D44+D38+D32</f>
        <v>761477</v>
      </c>
      <c r="E71" s="15">
        <f>E70+E64+E44+E38+E32</f>
        <v>168710</v>
      </c>
      <c r="F71" s="16">
        <f>F70+F64+F44+F38+F32</f>
        <v>2363372</v>
      </c>
    </row>
    <row r="72" spans="1:7" s="6" customFormat="1" ht="13.5" thickBot="1" x14ac:dyDescent="0.3">
      <c r="A72" s="17"/>
      <c r="B72" s="38"/>
      <c r="C72" s="38"/>
      <c r="D72" s="38"/>
      <c r="E72" s="38"/>
      <c r="F72" s="18"/>
    </row>
    <row r="73" spans="1:7" s="6" customFormat="1" ht="21" customHeight="1" thickBot="1" x14ac:dyDescent="0.3">
      <c r="A73" s="14" t="s">
        <v>55</v>
      </c>
      <c r="B73" s="15">
        <f>SUM(B13,B26,B71)</f>
        <v>529111</v>
      </c>
      <c r="C73" s="15">
        <f t="shared" ref="C73:F73" si="16">SUM(C13,C26,C71)</f>
        <v>1122444</v>
      </c>
      <c r="D73" s="15">
        <f t="shared" si="16"/>
        <v>889052</v>
      </c>
      <c r="E73" s="15">
        <f t="shared" si="16"/>
        <v>168710</v>
      </c>
      <c r="F73" s="16">
        <f t="shared" si="16"/>
        <v>2709317</v>
      </c>
    </row>
    <row r="75" spans="1:7" x14ac:dyDescent="0.2">
      <c r="A75" s="35"/>
    </row>
    <row r="76" spans="1:7" x14ac:dyDescent="0.2">
      <c r="A76" s="35"/>
    </row>
    <row r="77" spans="1:7" x14ac:dyDescent="0.2">
      <c r="A77" s="35"/>
    </row>
    <row r="78" spans="1:7" x14ac:dyDescent="0.2">
      <c r="A78" s="35"/>
    </row>
  </sheetData>
  <mergeCells count="15">
    <mergeCell ref="A39:F39"/>
    <mergeCell ref="A45:F45"/>
    <mergeCell ref="A65:F65"/>
    <mergeCell ref="A15:F15"/>
    <mergeCell ref="A16:F16"/>
    <mergeCell ref="A21:F21"/>
    <mergeCell ref="A28:F28"/>
    <mergeCell ref="A29:F29"/>
    <mergeCell ref="A33:F33"/>
    <mergeCell ref="A10:F10"/>
    <mergeCell ref="A1:F1"/>
    <mergeCell ref="A3:A4"/>
    <mergeCell ref="B3:F3"/>
    <mergeCell ref="A5:F5"/>
    <mergeCell ref="A6:F6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Footer>&amp;C&amp;"Tahoma,Obyčejné"&amp;10&amp;P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1CC5-1425-42A0-9029-723F18FF698F}">
  <sheetPr>
    <pageSetUpPr fitToPage="1"/>
  </sheetPr>
  <dimension ref="A1:F87"/>
  <sheetViews>
    <sheetView zoomScaleNormal="100" zoomScaleSheetLayoutView="100" workbookViewId="0">
      <pane ySplit="4" topLeftCell="A69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6" s="1" customFormat="1" ht="23.25" customHeight="1" x14ac:dyDescent="0.25">
      <c r="A1" s="294" t="s">
        <v>59</v>
      </c>
      <c r="B1" s="295"/>
      <c r="C1" s="295"/>
      <c r="D1" s="295"/>
      <c r="E1" s="295"/>
      <c r="F1" s="295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21" customHeight="1" x14ac:dyDescent="0.25">
      <c r="A5" s="301" t="s">
        <v>70</v>
      </c>
      <c r="B5" s="302"/>
      <c r="C5" s="302"/>
      <c r="D5" s="302"/>
      <c r="E5" s="303"/>
      <c r="F5" s="304"/>
    </row>
    <row r="6" spans="1:6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6" s="9" customFormat="1" ht="15" customHeight="1" x14ac:dyDescent="0.25">
      <c r="A7" s="7" t="s">
        <v>7</v>
      </c>
      <c r="B7" s="52">
        <v>46471</v>
      </c>
      <c r="C7" s="28">
        <v>66735</v>
      </c>
      <c r="D7" s="28">
        <v>64910</v>
      </c>
      <c r="E7" s="28">
        <v>0</v>
      </c>
      <c r="F7" s="8">
        <f>SUM(B7:E7)</f>
        <v>178116</v>
      </c>
    </row>
    <row r="8" spans="1:6" s="9" customFormat="1" ht="24" customHeight="1" x14ac:dyDescent="0.25">
      <c r="A8" s="7" t="s">
        <v>8</v>
      </c>
      <c r="B8" s="28">
        <v>7525</v>
      </c>
      <c r="C8" s="28">
        <v>19984</v>
      </c>
      <c r="D8" s="28">
        <v>33995</v>
      </c>
      <c r="E8" s="28">
        <v>0</v>
      </c>
      <c r="F8" s="8">
        <f>SUM(B8:E8)</f>
        <v>61504</v>
      </c>
    </row>
    <row r="9" spans="1:6" s="6" customFormat="1" ht="15" customHeight="1" x14ac:dyDescent="0.25">
      <c r="A9" s="10" t="s">
        <v>9</v>
      </c>
      <c r="B9" s="11">
        <f t="shared" ref="B9:F9" si="0">SUM(B7:B8)</f>
        <v>53996</v>
      </c>
      <c r="C9" s="11">
        <f t="shared" si="0"/>
        <v>86719</v>
      </c>
      <c r="D9" s="11">
        <f t="shared" si="0"/>
        <v>98905</v>
      </c>
      <c r="E9" s="11">
        <f t="shared" si="0"/>
        <v>0</v>
      </c>
      <c r="F9" s="12">
        <f t="shared" si="0"/>
        <v>239620</v>
      </c>
    </row>
    <row r="10" spans="1:6" s="13" customFormat="1" ht="18" customHeight="1" x14ac:dyDescent="0.25">
      <c r="A10" s="305" t="s">
        <v>32</v>
      </c>
      <c r="B10" s="306"/>
      <c r="C10" s="306"/>
      <c r="D10" s="306"/>
      <c r="E10" s="306"/>
      <c r="F10" s="307"/>
    </row>
    <row r="11" spans="1:6" s="9" customFormat="1" ht="15" customHeight="1" x14ac:dyDescent="0.25">
      <c r="A11" s="54" t="s">
        <v>83</v>
      </c>
      <c r="B11" s="28">
        <v>0</v>
      </c>
      <c r="C11" s="52">
        <v>26810</v>
      </c>
      <c r="D11" s="28">
        <v>0</v>
      </c>
      <c r="E11" s="28">
        <v>0</v>
      </c>
      <c r="F11" s="8">
        <f>SUM(B11:E11)</f>
        <v>26810</v>
      </c>
    </row>
    <row r="12" spans="1:6" s="9" customFormat="1" ht="15" customHeight="1" x14ac:dyDescent="0.25">
      <c r="A12" s="54" t="s">
        <v>84</v>
      </c>
      <c r="B12" s="28">
        <v>0</v>
      </c>
      <c r="C12" s="52">
        <v>19097</v>
      </c>
      <c r="D12" s="28">
        <v>0</v>
      </c>
      <c r="E12" s="28">
        <v>0</v>
      </c>
      <c r="F12" s="8">
        <f>SUM(B12:E12)</f>
        <v>19097</v>
      </c>
    </row>
    <row r="13" spans="1:6" s="9" customFormat="1" ht="15" customHeight="1" x14ac:dyDescent="0.25">
      <c r="A13" s="54" t="s">
        <v>85</v>
      </c>
      <c r="B13" s="28">
        <v>0</v>
      </c>
      <c r="C13" s="52">
        <v>38128</v>
      </c>
      <c r="D13" s="28">
        <v>0</v>
      </c>
      <c r="E13" s="28">
        <v>0</v>
      </c>
      <c r="F13" s="8">
        <f>SUM(B13:E13)</f>
        <v>38128</v>
      </c>
    </row>
    <row r="14" spans="1:6" s="9" customFormat="1" ht="15" customHeight="1" x14ac:dyDescent="0.25">
      <c r="A14" s="54" t="s">
        <v>86</v>
      </c>
      <c r="B14" s="28">
        <v>0</v>
      </c>
      <c r="C14" s="52">
        <v>10863</v>
      </c>
      <c r="D14" s="28">
        <v>0</v>
      </c>
      <c r="E14" s="28">
        <v>0</v>
      </c>
      <c r="F14" s="8">
        <f>SUM(B14:E14)</f>
        <v>10863</v>
      </c>
    </row>
    <row r="15" spans="1:6" s="6" customFormat="1" ht="15" customHeight="1" x14ac:dyDescent="0.25">
      <c r="A15" s="10" t="s">
        <v>47</v>
      </c>
      <c r="B15" s="11">
        <f>SUM(B11:B14)</f>
        <v>0</v>
      </c>
      <c r="C15" s="11">
        <f t="shared" ref="C15:F15" si="1">SUM(C11:C14)</f>
        <v>94898</v>
      </c>
      <c r="D15" s="11">
        <f t="shared" si="1"/>
        <v>0</v>
      </c>
      <c r="E15" s="11">
        <f t="shared" si="1"/>
        <v>0</v>
      </c>
      <c r="F15" s="11">
        <f t="shared" si="1"/>
        <v>94898</v>
      </c>
    </row>
    <row r="16" spans="1:6" s="13" customFormat="1" ht="18" customHeight="1" x14ac:dyDescent="0.25">
      <c r="A16" s="305" t="s">
        <v>10</v>
      </c>
      <c r="B16" s="306"/>
      <c r="C16" s="306"/>
      <c r="D16" s="306"/>
      <c r="E16" s="306"/>
      <c r="F16" s="307"/>
    </row>
    <row r="17" spans="1:6" s="9" customFormat="1" ht="15" customHeight="1" x14ac:dyDescent="0.25">
      <c r="A17" s="7" t="s">
        <v>11</v>
      </c>
      <c r="B17" s="28">
        <v>0</v>
      </c>
      <c r="C17" s="28">
        <v>7543</v>
      </c>
      <c r="D17" s="28">
        <v>28670</v>
      </c>
      <c r="E17" s="28">
        <v>0</v>
      </c>
      <c r="F17" s="8">
        <f>SUM(B17:E17)</f>
        <v>36213</v>
      </c>
    </row>
    <row r="18" spans="1:6" s="6" customFormat="1" ht="15" customHeight="1" thickBot="1" x14ac:dyDescent="0.3">
      <c r="A18" s="10" t="s">
        <v>13</v>
      </c>
      <c r="B18" s="11">
        <f t="shared" ref="B18:F18" si="2">SUM(B17:B17)</f>
        <v>0</v>
      </c>
      <c r="C18" s="11">
        <f t="shared" si="2"/>
        <v>7543</v>
      </c>
      <c r="D18" s="11">
        <f t="shared" si="2"/>
        <v>28670</v>
      </c>
      <c r="E18" s="11">
        <f t="shared" si="2"/>
        <v>0</v>
      </c>
      <c r="F18" s="12">
        <f t="shared" si="2"/>
        <v>36213</v>
      </c>
    </row>
    <row r="19" spans="1:6" s="6" customFormat="1" ht="25.5" customHeight="1" thickBot="1" x14ac:dyDescent="0.3">
      <c r="A19" s="14" t="s">
        <v>71</v>
      </c>
      <c r="B19" s="15">
        <f>B9+B15+B18</f>
        <v>53996</v>
      </c>
      <c r="C19" s="15">
        <f t="shared" ref="C19:F19" si="3">C9+C15+C18</f>
        <v>189160</v>
      </c>
      <c r="D19" s="15">
        <f t="shared" si="3"/>
        <v>127575</v>
      </c>
      <c r="E19" s="15">
        <f t="shared" si="3"/>
        <v>0</v>
      </c>
      <c r="F19" s="15">
        <f t="shared" si="3"/>
        <v>370731</v>
      </c>
    </row>
    <row r="20" spans="1:6" s="6" customFormat="1" ht="24" customHeight="1" thickBot="1" x14ac:dyDescent="0.3">
      <c r="A20" s="17"/>
      <c r="B20" s="38"/>
      <c r="C20" s="38"/>
      <c r="D20" s="38"/>
      <c r="E20" s="38"/>
      <c r="F20" s="29"/>
    </row>
    <row r="21" spans="1:6" s="6" customFormat="1" ht="21" customHeight="1" x14ac:dyDescent="0.25">
      <c r="A21" s="301" t="s">
        <v>72</v>
      </c>
      <c r="B21" s="302"/>
      <c r="C21" s="302"/>
      <c r="D21" s="302"/>
      <c r="E21" s="303"/>
      <c r="F21" s="304"/>
    </row>
    <row r="22" spans="1:6" s="13" customFormat="1" ht="18" customHeight="1" x14ac:dyDescent="0.25">
      <c r="A22" s="305" t="s">
        <v>32</v>
      </c>
      <c r="B22" s="306"/>
      <c r="C22" s="306"/>
      <c r="D22" s="306"/>
      <c r="E22" s="306"/>
      <c r="F22" s="307"/>
    </row>
    <row r="23" spans="1:6" s="9" customFormat="1" ht="24" customHeight="1" x14ac:dyDescent="0.25">
      <c r="A23" s="7" t="s">
        <v>73</v>
      </c>
      <c r="B23" s="28">
        <v>0</v>
      </c>
      <c r="C23" s="28">
        <v>2898</v>
      </c>
      <c r="D23" s="28">
        <v>0</v>
      </c>
      <c r="E23" s="28">
        <v>0</v>
      </c>
      <c r="F23" s="8">
        <f>SUM(B23:E23)</f>
        <v>2898</v>
      </c>
    </row>
    <row r="24" spans="1:6" s="9" customFormat="1" ht="24" customHeight="1" x14ac:dyDescent="0.25">
      <c r="A24" s="7" t="s">
        <v>74</v>
      </c>
      <c r="B24" s="28">
        <v>0</v>
      </c>
      <c r="C24" s="28">
        <v>19624</v>
      </c>
      <c r="D24" s="28">
        <v>0</v>
      </c>
      <c r="E24" s="28">
        <v>0</v>
      </c>
      <c r="F24" s="8">
        <f>SUM(B24:E24)</f>
        <v>19624</v>
      </c>
    </row>
    <row r="25" spans="1:6" s="9" customFormat="1" ht="24" customHeight="1" x14ac:dyDescent="0.25">
      <c r="A25" s="7" t="s">
        <v>75</v>
      </c>
      <c r="B25" s="28">
        <v>0</v>
      </c>
      <c r="C25" s="28">
        <v>7371</v>
      </c>
      <c r="D25" s="28">
        <v>0</v>
      </c>
      <c r="E25" s="28">
        <v>0</v>
      </c>
      <c r="F25" s="8">
        <f>SUM(B25:E25)</f>
        <v>7371</v>
      </c>
    </row>
    <row r="26" spans="1:6" s="6" customFormat="1" ht="15" customHeight="1" x14ac:dyDescent="0.25">
      <c r="A26" s="10" t="s">
        <v>9</v>
      </c>
      <c r="B26" s="11">
        <f>SUM(B23:B25)</f>
        <v>0</v>
      </c>
      <c r="C26" s="11">
        <f t="shared" ref="C26:E26" si="4">SUM(C23:C25)</f>
        <v>29893</v>
      </c>
      <c r="D26" s="11">
        <f t="shared" si="4"/>
        <v>0</v>
      </c>
      <c r="E26" s="11">
        <f t="shared" si="4"/>
        <v>0</v>
      </c>
      <c r="F26" s="12">
        <f>SUM(F23:F25)</f>
        <v>29893</v>
      </c>
    </row>
    <row r="27" spans="1:6" s="13" customFormat="1" ht="18" customHeight="1" x14ac:dyDescent="0.25">
      <c r="A27" s="305" t="s">
        <v>48</v>
      </c>
      <c r="B27" s="306"/>
      <c r="C27" s="306"/>
      <c r="D27" s="306"/>
      <c r="E27" s="306"/>
      <c r="F27" s="307"/>
    </row>
    <row r="28" spans="1:6" s="9" customFormat="1" ht="24" customHeight="1" x14ac:dyDescent="0.25">
      <c r="A28" s="7" t="s">
        <v>76</v>
      </c>
      <c r="B28" s="28">
        <v>0</v>
      </c>
      <c r="C28" s="28">
        <v>18821</v>
      </c>
      <c r="D28" s="28">
        <v>0</v>
      </c>
      <c r="E28" s="28">
        <v>0</v>
      </c>
      <c r="F28" s="8">
        <f>SUM(B28:E28)</f>
        <v>18821</v>
      </c>
    </row>
    <row r="29" spans="1:6" s="9" customFormat="1" ht="24" customHeight="1" x14ac:dyDescent="0.25">
      <c r="A29" s="7" t="s">
        <v>77</v>
      </c>
      <c r="B29" s="28">
        <v>0</v>
      </c>
      <c r="C29" s="28">
        <v>14319</v>
      </c>
      <c r="D29" s="28">
        <v>0</v>
      </c>
      <c r="E29" s="28">
        <v>0</v>
      </c>
      <c r="F29" s="8">
        <f t="shared" ref="F29:F30" si="5">SUM(B29:E29)</f>
        <v>14319</v>
      </c>
    </row>
    <row r="30" spans="1:6" s="9" customFormat="1" ht="24" customHeight="1" x14ac:dyDescent="0.25">
      <c r="A30" s="7" t="s">
        <v>78</v>
      </c>
      <c r="B30" s="28">
        <v>0</v>
      </c>
      <c r="C30" s="28">
        <v>7079</v>
      </c>
      <c r="D30" s="28">
        <v>0</v>
      </c>
      <c r="E30" s="28">
        <v>0</v>
      </c>
      <c r="F30" s="8">
        <f t="shared" si="5"/>
        <v>7079</v>
      </c>
    </row>
    <row r="31" spans="1:6" s="6" customFormat="1" ht="15" customHeight="1" thickBot="1" x14ac:dyDescent="0.3">
      <c r="A31" s="10" t="s">
        <v>13</v>
      </c>
      <c r="B31" s="11">
        <f>SUM(B28:B30)</f>
        <v>0</v>
      </c>
      <c r="C31" s="11">
        <f t="shared" ref="C31:E31" si="6">SUM(C28:C30)</f>
        <v>40219</v>
      </c>
      <c r="D31" s="11">
        <f t="shared" si="6"/>
        <v>0</v>
      </c>
      <c r="E31" s="11">
        <f t="shared" si="6"/>
        <v>0</v>
      </c>
      <c r="F31" s="12">
        <f>SUM(F28:F30)</f>
        <v>40219</v>
      </c>
    </row>
    <row r="32" spans="1:6" s="6" customFormat="1" ht="36" customHeight="1" thickBot="1" x14ac:dyDescent="0.3">
      <c r="A32" s="14" t="s">
        <v>79</v>
      </c>
      <c r="B32" s="15">
        <f t="shared" ref="B32:F32" si="7">B26+B31</f>
        <v>0</v>
      </c>
      <c r="C32" s="15">
        <f t="shared" si="7"/>
        <v>70112</v>
      </c>
      <c r="D32" s="15">
        <f t="shared" si="7"/>
        <v>0</v>
      </c>
      <c r="E32" s="15">
        <f t="shared" si="7"/>
        <v>0</v>
      </c>
      <c r="F32" s="16">
        <f t="shared" si="7"/>
        <v>70112</v>
      </c>
    </row>
    <row r="33" spans="1:6" s="6" customFormat="1" ht="24" customHeight="1" thickBot="1" x14ac:dyDescent="0.3">
      <c r="A33" s="17"/>
      <c r="B33" s="38"/>
      <c r="C33" s="38"/>
      <c r="D33" s="38"/>
      <c r="E33" s="38"/>
      <c r="F33" s="29"/>
    </row>
    <row r="34" spans="1:6" s="6" customFormat="1" ht="21" customHeight="1" x14ac:dyDescent="0.25">
      <c r="A34" s="301" t="s">
        <v>15</v>
      </c>
      <c r="B34" s="302"/>
      <c r="C34" s="302"/>
      <c r="D34" s="302"/>
      <c r="E34" s="303"/>
      <c r="F34" s="304"/>
    </row>
    <row r="35" spans="1:6" ht="18" customHeight="1" x14ac:dyDescent="0.2">
      <c r="A35" s="305" t="s">
        <v>16</v>
      </c>
      <c r="B35" s="306"/>
      <c r="C35" s="306"/>
      <c r="D35" s="306"/>
      <c r="E35" s="306"/>
      <c r="F35" s="307"/>
    </row>
    <row r="36" spans="1:6" s="13" customFormat="1" ht="15" customHeight="1" x14ac:dyDescent="0.25">
      <c r="A36" s="19" t="s">
        <v>17</v>
      </c>
      <c r="B36" s="20">
        <v>807</v>
      </c>
      <c r="C36" s="20">
        <v>130993</v>
      </c>
      <c r="D36" s="20">
        <v>277178</v>
      </c>
      <c r="E36" s="20">
        <v>0</v>
      </c>
      <c r="F36" s="8">
        <f t="shared" ref="F36:F38" si="8">SUM(B36:E36)</f>
        <v>408978</v>
      </c>
    </row>
    <row r="37" spans="1:6" s="13" customFormat="1" ht="24" customHeight="1" x14ac:dyDescent="0.25">
      <c r="A37" s="19" t="s">
        <v>18</v>
      </c>
      <c r="B37" s="20">
        <v>27298</v>
      </c>
      <c r="C37" s="20">
        <v>29993</v>
      </c>
      <c r="D37" s="20">
        <v>64999</v>
      </c>
      <c r="E37" s="20">
        <v>3710</v>
      </c>
      <c r="F37" s="8">
        <f t="shared" si="8"/>
        <v>126000</v>
      </c>
    </row>
    <row r="38" spans="1:6" s="13" customFormat="1" ht="24" customHeight="1" x14ac:dyDescent="0.25">
      <c r="A38" s="53" t="s">
        <v>87</v>
      </c>
      <c r="B38" s="20">
        <v>0</v>
      </c>
      <c r="C38" s="20">
        <v>0</v>
      </c>
      <c r="D38" s="39">
        <v>75300</v>
      </c>
      <c r="E38" s="20">
        <v>0</v>
      </c>
      <c r="F38" s="8">
        <f t="shared" si="8"/>
        <v>75300</v>
      </c>
    </row>
    <row r="39" spans="1:6" s="6" customFormat="1" ht="15" customHeight="1" x14ac:dyDescent="0.25">
      <c r="A39" s="10" t="s">
        <v>19</v>
      </c>
      <c r="B39" s="11">
        <f>SUM(B36:B38)</f>
        <v>28105</v>
      </c>
      <c r="C39" s="11">
        <f t="shared" ref="C39:F39" si="9">SUM(C36:C38)</f>
        <v>160986</v>
      </c>
      <c r="D39" s="11">
        <f t="shared" si="9"/>
        <v>417477</v>
      </c>
      <c r="E39" s="11">
        <f t="shared" si="9"/>
        <v>3710</v>
      </c>
      <c r="F39" s="11">
        <f t="shared" si="9"/>
        <v>610278</v>
      </c>
    </row>
    <row r="40" spans="1:6" s="13" customFormat="1" ht="18" customHeight="1" x14ac:dyDescent="0.25">
      <c r="A40" s="308" t="s">
        <v>20</v>
      </c>
      <c r="B40" s="309"/>
      <c r="C40" s="309"/>
      <c r="D40" s="309"/>
      <c r="E40" s="309"/>
      <c r="F40" s="310"/>
    </row>
    <row r="41" spans="1:6" s="13" customFormat="1" ht="24" customHeight="1" x14ac:dyDescent="0.25">
      <c r="A41" s="21" t="s">
        <v>23</v>
      </c>
      <c r="B41" s="20">
        <v>615</v>
      </c>
      <c r="C41" s="20">
        <v>40400</v>
      </c>
      <c r="D41" s="20">
        <v>10000</v>
      </c>
      <c r="E41" s="20">
        <v>0</v>
      </c>
      <c r="F41" s="8">
        <f t="shared" ref="F41:F43" si="10">SUM(B41:E41)</f>
        <v>51015</v>
      </c>
    </row>
    <row r="42" spans="1:6" s="13" customFormat="1" ht="24" customHeight="1" x14ac:dyDescent="0.25">
      <c r="A42" s="21" t="s">
        <v>24</v>
      </c>
      <c r="B42" s="20">
        <v>25000</v>
      </c>
      <c r="C42" s="20">
        <v>70000</v>
      </c>
      <c r="D42" s="20">
        <v>0</v>
      </c>
      <c r="E42" s="20">
        <v>0</v>
      </c>
      <c r="F42" s="8">
        <f t="shared" si="10"/>
        <v>95000</v>
      </c>
    </row>
    <row r="43" spans="1:6" s="13" customFormat="1" ht="24" customHeight="1" x14ac:dyDescent="0.25">
      <c r="A43" s="21" t="s">
        <v>25</v>
      </c>
      <c r="B43" s="20">
        <v>0</v>
      </c>
      <c r="C43" s="20">
        <v>0</v>
      </c>
      <c r="D43" s="20">
        <v>30000</v>
      </c>
      <c r="E43" s="20">
        <v>65000</v>
      </c>
      <c r="F43" s="8">
        <f t="shared" si="10"/>
        <v>95000</v>
      </c>
    </row>
    <row r="44" spans="1:6" s="6" customFormat="1" ht="15" customHeight="1" x14ac:dyDescent="0.25">
      <c r="A44" s="10" t="s">
        <v>27</v>
      </c>
      <c r="B44" s="11">
        <f>SUM(B41:B43)</f>
        <v>25615</v>
      </c>
      <c r="C44" s="11">
        <f>SUM(C41:C43)</f>
        <v>110400</v>
      </c>
      <c r="D44" s="11">
        <f>SUM(D41:D43)</f>
        <v>40000</v>
      </c>
      <c r="E44" s="11">
        <f>SUM(E41:E43)</f>
        <v>65000</v>
      </c>
      <c r="F44" s="12">
        <f>SUM(F41:F43)</f>
        <v>241015</v>
      </c>
    </row>
    <row r="45" spans="1:6" s="13" customFormat="1" ht="18" customHeight="1" x14ac:dyDescent="0.25">
      <c r="A45" s="308" t="s">
        <v>6</v>
      </c>
      <c r="B45" s="309"/>
      <c r="C45" s="309"/>
      <c r="D45" s="309"/>
      <c r="E45" s="309"/>
      <c r="F45" s="310"/>
    </row>
    <row r="46" spans="1:6" s="13" customFormat="1" ht="15" customHeight="1" x14ac:dyDescent="0.25">
      <c r="A46" s="21" t="s">
        <v>28</v>
      </c>
      <c r="B46" s="22">
        <v>9000</v>
      </c>
      <c r="C46" s="22">
        <v>10000</v>
      </c>
      <c r="D46" s="22">
        <v>0</v>
      </c>
      <c r="E46" s="22">
        <v>0</v>
      </c>
      <c r="F46" s="8">
        <f t="shared" ref="F46:F49" si="11">SUM(B46:E46)</f>
        <v>19000</v>
      </c>
    </row>
    <row r="47" spans="1:6" s="13" customFormat="1" ht="24" customHeight="1" x14ac:dyDescent="0.25">
      <c r="A47" s="19" t="s">
        <v>29</v>
      </c>
      <c r="B47" s="20">
        <v>15865</v>
      </c>
      <c r="C47" s="20">
        <v>82731</v>
      </c>
      <c r="D47" s="20">
        <v>19761</v>
      </c>
      <c r="E47" s="20">
        <v>0</v>
      </c>
      <c r="F47" s="8">
        <f t="shared" si="11"/>
        <v>118357</v>
      </c>
    </row>
    <row r="48" spans="1:6" s="13" customFormat="1" ht="15" customHeight="1" x14ac:dyDescent="0.25">
      <c r="A48" s="23" t="s">
        <v>30</v>
      </c>
      <c r="B48" s="20">
        <v>52961</v>
      </c>
      <c r="C48" s="20">
        <v>130000</v>
      </c>
      <c r="D48" s="20">
        <v>112039</v>
      </c>
      <c r="E48" s="20">
        <v>0</v>
      </c>
      <c r="F48" s="8">
        <f t="shared" si="11"/>
        <v>295000</v>
      </c>
    </row>
    <row r="49" spans="1:6" s="13" customFormat="1" ht="24" customHeight="1" x14ac:dyDescent="0.25">
      <c r="A49" s="23" t="s">
        <v>31</v>
      </c>
      <c r="B49" s="20">
        <v>7800</v>
      </c>
      <c r="C49" s="20">
        <v>5700</v>
      </c>
      <c r="D49" s="20">
        <v>0</v>
      </c>
      <c r="E49" s="20">
        <v>0</v>
      </c>
      <c r="F49" s="8">
        <f t="shared" si="11"/>
        <v>13500</v>
      </c>
    </row>
    <row r="50" spans="1:6" s="6" customFormat="1" ht="15" customHeight="1" x14ac:dyDescent="0.25">
      <c r="A50" s="10" t="s">
        <v>9</v>
      </c>
      <c r="B50" s="11">
        <f t="shared" ref="B50:F50" si="12">SUM(B46:B49)</f>
        <v>85626</v>
      </c>
      <c r="C50" s="11">
        <f t="shared" si="12"/>
        <v>228431</v>
      </c>
      <c r="D50" s="11">
        <f t="shared" si="12"/>
        <v>131800</v>
      </c>
      <c r="E50" s="11">
        <f t="shared" si="12"/>
        <v>0</v>
      </c>
      <c r="F50" s="12">
        <f t="shared" si="12"/>
        <v>445857</v>
      </c>
    </row>
    <row r="51" spans="1:6" s="13" customFormat="1" ht="18" customHeight="1" x14ac:dyDescent="0.25">
      <c r="A51" s="308" t="s">
        <v>32</v>
      </c>
      <c r="B51" s="309"/>
      <c r="C51" s="309"/>
      <c r="D51" s="309"/>
      <c r="E51" s="309"/>
      <c r="F51" s="310"/>
    </row>
    <row r="52" spans="1:6" s="13" customFormat="1" ht="24" customHeight="1" x14ac:dyDescent="0.25">
      <c r="A52" s="23" t="s">
        <v>33</v>
      </c>
      <c r="B52" s="24">
        <v>45000</v>
      </c>
      <c r="C52" s="20">
        <v>0</v>
      </c>
      <c r="D52" s="20">
        <v>0</v>
      </c>
      <c r="E52" s="20">
        <v>0</v>
      </c>
      <c r="F52" s="8">
        <f t="shared" ref="F52:F72" si="13">SUM(B52:E52)</f>
        <v>45000</v>
      </c>
    </row>
    <row r="53" spans="1:6" s="13" customFormat="1" ht="24" customHeight="1" x14ac:dyDescent="0.25">
      <c r="A53" s="23" t="s">
        <v>34</v>
      </c>
      <c r="B53" s="24">
        <v>0</v>
      </c>
      <c r="C53" s="20">
        <v>5500</v>
      </c>
      <c r="D53" s="20">
        <v>25000</v>
      </c>
      <c r="E53" s="20">
        <v>0</v>
      </c>
      <c r="F53" s="8">
        <f t="shared" si="13"/>
        <v>30500</v>
      </c>
    </row>
    <row r="54" spans="1:6" s="13" customFormat="1" ht="24" customHeight="1" x14ac:dyDescent="0.25">
      <c r="A54" s="23" t="s">
        <v>68</v>
      </c>
      <c r="B54" s="50">
        <v>2090</v>
      </c>
      <c r="C54" s="20">
        <v>0</v>
      </c>
      <c r="D54" s="39">
        <v>26000</v>
      </c>
      <c r="E54" s="39">
        <v>27610</v>
      </c>
      <c r="F54" s="8">
        <f t="shared" si="13"/>
        <v>55700</v>
      </c>
    </row>
    <row r="55" spans="1:6" s="13" customFormat="1" ht="31.5" x14ac:dyDescent="0.25">
      <c r="A55" s="23" t="s">
        <v>36</v>
      </c>
      <c r="B55" s="24">
        <v>31098</v>
      </c>
      <c r="C55" s="20">
        <v>19500</v>
      </c>
      <c r="D55" s="20">
        <v>0</v>
      </c>
      <c r="E55" s="20">
        <v>0</v>
      </c>
      <c r="F55" s="8">
        <f t="shared" si="13"/>
        <v>50598</v>
      </c>
    </row>
    <row r="56" spans="1:6" s="13" customFormat="1" ht="31.5" x14ac:dyDescent="0.25">
      <c r="A56" s="23" t="s">
        <v>37</v>
      </c>
      <c r="B56" s="24">
        <v>5500</v>
      </c>
      <c r="C56" s="20">
        <v>0</v>
      </c>
      <c r="D56" s="20">
        <v>0</v>
      </c>
      <c r="E56" s="20">
        <v>0</v>
      </c>
      <c r="F56" s="8">
        <f t="shared" si="13"/>
        <v>5500</v>
      </c>
    </row>
    <row r="57" spans="1:6" s="13" customFormat="1" ht="24" customHeight="1" x14ac:dyDescent="0.25">
      <c r="A57" s="23" t="s">
        <v>38</v>
      </c>
      <c r="B57" s="24">
        <v>20571</v>
      </c>
      <c r="C57" s="20">
        <v>113428</v>
      </c>
      <c r="D57" s="20">
        <v>42000</v>
      </c>
      <c r="E57" s="20">
        <v>0</v>
      </c>
      <c r="F57" s="8">
        <f t="shared" si="13"/>
        <v>175999</v>
      </c>
    </row>
    <row r="58" spans="1:6" s="13" customFormat="1" ht="24" customHeight="1" x14ac:dyDescent="0.25">
      <c r="A58" s="23" t="s">
        <v>39</v>
      </c>
      <c r="B58" s="24">
        <v>51000</v>
      </c>
      <c r="C58" s="20">
        <v>0</v>
      </c>
      <c r="D58" s="20">
        <v>0</v>
      </c>
      <c r="E58" s="20">
        <v>0</v>
      </c>
      <c r="F58" s="8">
        <f t="shared" si="13"/>
        <v>51000</v>
      </c>
    </row>
    <row r="59" spans="1:6" s="13" customFormat="1" ht="24" customHeight="1" x14ac:dyDescent="0.25">
      <c r="A59" s="23" t="s">
        <v>40</v>
      </c>
      <c r="B59" s="24">
        <v>25000</v>
      </c>
      <c r="C59" s="20">
        <v>0</v>
      </c>
      <c r="D59" s="20">
        <v>0</v>
      </c>
      <c r="E59" s="20">
        <v>0</v>
      </c>
      <c r="F59" s="8">
        <f t="shared" si="13"/>
        <v>25000</v>
      </c>
    </row>
    <row r="60" spans="1:6" s="13" customFormat="1" ht="34.5" customHeight="1" x14ac:dyDescent="0.25">
      <c r="A60" s="23" t="s">
        <v>41</v>
      </c>
      <c r="B60" s="24">
        <v>10000</v>
      </c>
      <c r="C60" s="20">
        <v>28000</v>
      </c>
      <c r="D60" s="20">
        <v>0</v>
      </c>
      <c r="E60" s="20">
        <v>0</v>
      </c>
      <c r="F60" s="8">
        <f t="shared" si="13"/>
        <v>38000</v>
      </c>
    </row>
    <row r="61" spans="1:6" s="13" customFormat="1" ht="24" customHeight="1" x14ac:dyDescent="0.25">
      <c r="A61" s="23" t="s">
        <v>42</v>
      </c>
      <c r="B61" s="24">
        <v>27200</v>
      </c>
      <c r="C61" s="20">
        <v>500</v>
      </c>
      <c r="D61" s="20">
        <v>0</v>
      </c>
      <c r="E61" s="20">
        <v>0</v>
      </c>
      <c r="F61" s="8">
        <f t="shared" si="13"/>
        <v>27700</v>
      </c>
    </row>
    <row r="62" spans="1:6" s="13" customFormat="1" ht="24" customHeight="1" x14ac:dyDescent="0.25">
      <c r="A62" s="23" t="s">
        <v>43</v>
      </c>
      <c r="B62" s="24">
        <v>25700</v>
      </c>
      <c r="C62" s="20">
        <v>0</v>
      </c>
      <c r="D62" s="20">
        <v>0</v>
      </c>
      <c r="E62" s="20">
        <v>0</v>
      </c>
      <c r="F62" s="8">
        <f t="shared" si="13"/>
        <v>25700</v>
      </c>
    </row>
    <row r="63" spans="1:6" s="13" customFormat="1" ht="24" customHeight="1" x14ac:dyDescent="0.25">
      <c r="A63" s="23" t="s">
        <v>44</v>
      </c>
      <c r="B63" s="24">
        <v>40000</v>
      </c>
      <c r="C63" s="20">
        <v>0</v>
      </c>
      <c r="D63" s="20">
        <v>0</v>
      </c>
      <c r="E63" s="20">
        <v>0</v>
      </c>
      <c r="F63" s="8">
        <f t="shared" si="13"/>
        <v>40000</v>
      </c>
    </row>
    <row r="64" spans="1:6" s="13" customFormat="1" ht="24" customHeight="1" x14ac:dyDescent="0.25">
      <c r="A64" s="23" t="s">
        <v>45</v>
      </c>
      <c r="B64" s="24">
        <v>500</v>
      </c>
      <c r="C64" s="20">
        <v>50639</v>
      </c>
      <c r="D64" s="20">
        <v>0</v>
      </c>
      <c r="E64" s="20">
        <v>0</v>
      </c>
      <c r="F64" s="8">
        <f t="shared" si="13"/>
        <v>51139</v>
      </c>
    </row>
    <row r="65" spans="1:6" s="13" customFormat="1" ht="24" customHeight="1" x14ac:dyDescent="0.25">
      <c r="A65" s="23" t="s">
        <v>46</v>
      </c>
      <c r="B65" s="24">
        <v>6200</v>
      </c>
      <c r="C65" s="20">
        <v>0</v>
      </c>
      <c r="D65" s="20">
        <v>0</v>
      </c>
      <c r="E65" s="20">
        <v>0</v>
      </c>
      <c r="F65" s="8">
        <f t="shared" si="13"/>
        <v>6200</v>
      </c>
    </row>
    <row r="66" spans="1:6" s="13" customFormat="1" ht="24" customHeight="1" x14ac:dyDescent="0.25">
      <c r="A66" s="23" t="s">
        <v>69</v>
      </c>
      <c r="B66" s="50">
        <v>11165</v>
      </c>
      <c r="C66" s="20">
        <v>0</v>
      </c>
      <c r="D66" s="20">
        <v>100000</v>
      </c>
      <c r="E66" s="20">
        <v>100000</v>
      </c>
      <c r="F66" s="8">
        <f t="shared" si="13"/>
        <v>211165</v>
      </c>
    </row>
    <row r="67" spans="1:6" s="13" customFormat="1" ht="24" customHeight="1" x14ac:dyDescent="0.25">
      <c r="A67" s="21" t="s">
        <v>80</v>
      </c>
      <c r="B67" s="24">
        <v>1500</v>
      </c>
      <c r="C67" s="20">
        <v>12850</v>
      </c>
      <c r="D67" s="20">
        <v>0</v>
      </c>
      <c r="E67" s="20">
        <v>0</v>
      </c>
      <c r="F67" s="8">
        <f t="shared" si="13"/>
        <v>14350</v>
      </c>
    </row>
    <row r="68" spans="1:6" s="13" customFormat="1" ht="34.5" customHeight="1" x14ac:dyDescent="0.25">
      <c r="A68" s="21" t="s">
        <v>81</v>
      </c>
      <c r="B68" s="20">
        <v>0</v>
      </c>
      <c r="C68" s="20">
        <v>11420</v>
      </c>
      <c r="D68" s="20">
        <v>0</v>
      </c>
      <c r="E68" s="20">
        <v>0</v>
      </c>
      <c r="F68" s="8">
        <f t="shared" si="13"/>
        <v>11420</v>
      </c>
    </row>
    <row r="69" spans="1:6" s="13" customFormat="1" ht="15" customHeight="1" x14ac:dyDescent="0.25">
      <c r="A69" s="21" t="s">
        <v>88</v>
      </c>
      <c r="B69" s="20">
        <v>0</v>
      </c>
      <c r="C69" s="20">
        <v>30000</v>
      </c>
      <c r="D69" s="20">
        <v>30500</v>
      </c>
      <c r="E69" s="20">
        <v>0</v>
      </c>
      <c r="F69" s="8">
        <f t="shared" si="13"/>
        <v>60500</v>
      </c>
    </row>
    <row r="70" spans="1:6" s="13" customFormat="1" ht="24" customHeight="1" x14ac:dyDescent="0.25">
      <c r="A70" s="49" t="s">
        <v>89</v>
      </c>
      <c r="B70" s="39">
        <v>9120</v>
      </c>
      <c r="C70" s="20">
        <v>0</v>
      </c>
      <c r="D70" s="20">
        <v>0</v>
      </c>
      <c r="E70" s="20">
        <v>0</v>
      </c>
      <c r="F70" s="8">
        <f t="shared" si="13"/>
        <v>9120</v>
      </c>
    </row>
    <row r="71" spans="1:6" s="13" customFormat="1" ht="24" customHeight="1" x14ac:dyDescent="0.25">
      <c r="A71" s="49" t="s">
        <v>90</v>
      </c>
      <c r="B71" s="39">
        <v>1500</v>
      </c>
      <c r="C71" s="39">
        <v>20000</v>
      </c>
      <c r="D71" s="20">
        <v>0</v>
      </c>
      <c r="E71" s="20">
        <v>0</v>
      </c>
      <c r="F71" s="8">
        <f t="shared" si="13"/>
        <v>21500</v>
      </c>
    </row>
    <row r="72" spans="1:6" s="13" customFormat="1" ht="24" customHeight="1" x14ac:dyDescent="0.25">
      <c r="A72" s="49" t="s">
        <v>91</v>
      </c>
      <c r="B72" s="39">
        <v>23000</v>
      </c>
      <c r="C72" s="20">
        <v>0</v>
      </c>
      <c r="D72" s="20">
        <v>0</v>
      </c>
      <c r="E72" s="20">
        <v>0</v>
      </c>
      <c r="F72" s="8">
        <f t="shared" si="13"/>
        <v>23000</v>
      </c>
    </row>
    <row r="73" spans="1:6" s="6" customFormat="1" ht="15" customHeight="1" x14ac:dyDescent="0.25">
      <c r="A73" s="10" t="s">
        <v>47</v>
      </c>
      <c r="B73" s="11">
        <f>SUM(B52:B72)</f>
        <v>336144</v>
      </c>
      <c r="C73" s="11">
        <f>SUM(C52:C72)</f>
        <v>291837</v>
      </c>
      <c r="D73" s="11">
        <f>SUM(D52:D72)</f>
        <v>223500</v>
      </c>
      <c r="E73" s="11">
        <f>SUM(E52:E72)</f>
        <v>127610</v>
      </c>
      <c r="F73" s="11">
        <f>SUM(F52:F72)</f>
        <v>979091</v>
      </c>
    </row>
    <row r="74" spans="1:6" s="13" customFormat="1" ht="18" customHeight="1" x14ac:dyDescent="0.25">
      <c r="A74" s="308" t="s">
        <v>48</v>
      </c>
      <c r="B74" s="309"/>
      <c r="C74" s="309"/>
      <c r="D74" s="309"/>
      <c r="E74" s="309"/>
      <c r="F74" s="310"/>
    </row>
    <row r="75" spans="1:6" s="13" customFormat="1" ht="24" customHeight="1" x14ac:dyDescent="0.25">
      <c r="A75" s="21" t="s">
        <v>49</v>
      </c>
      <c r="B75" s="50">
        <v>41000</v>
      </c>
      <c r="C75" s="50">
        <v>0</v>
      </c>
      <c r="D75" s="24">
        <v>0</v>
      </c>
      <c r="E75" s="24">
        <v>0</v>
      </c>
      <c r="F75" s="8">
        <f t="shared" ref="F75:F78" si="14">SUM(B75:E75)</f>
        <v>41000</v>
      </c>
    </row>
    <row r="76" spans="1:6" s="13" customFormat="1" ht="24" customHeight="1" x14ac:dyDescent="0.25">
      <c r="A76" s="21" t="s">
        <v>50</v>
      </c>
      <c r="B76" s="20">
        <v>15000</v>
      </c>
      <c r="C76" s="20">
        <v>119416</v>
      </c>
      <c r="D76" s="20">
        <v>50000</v>
      </c>
      <c r="E76" s="20">
        <v>0</v>
      </c>
      <c r="F76" s="8">
        <f t="shared" si="14"/>
        <v>184416</v>
      </c>
    </row>
    <row r="77" spans="1:6" s="13" customFormat="1" ht="24" customHeight="1" x14ac:dyDescent="0.25">
      <c r="A77" s="21" t="s">
        <v>51</v>
      </c>
      <c r="B77" s="20">
        <v>2000</v>
      </c>
      <c r="C77" s="20">
        <v>22000</v>
      </c>
      <c r="D77" s="20">
        <v>0</v>
      </c>
      <c r="E77" s="20">
        <v>0</v>
      </c>
      <c r="F77" s="8">
        <f t="shared" si="14"/>
        <v>24000</v>
      </c>
    </row>
    <row r="78" spans="1:6" s="13" customFormat="1" ht="24" customHeight="1" x14ac:dyDescent="0.25">
      <c r="A78" s="21" t="s">
        <v>52</v>
      </c>
      <c r="B78" s="20">
        <f>1000+2500</f>
        <v>3500</v>
      </c>
      <c r="C78" s="20">
        <v>30000</v>
      </c>
      <c r="D78" s="20">
        <v>0</v>
      </c>
      <c r="E78" s="20">
        <v>0</v>
      </c>
      <c r="F78" s="8">
        <f t="shared" si="14"/>
        <v>33500</v>
      </c>
    </row>
    <row r="79" spans="1:6" s="6" customFormat="1" ht="15" customHeight="1" thickBot="1" x14ac:dyDescent="0.3">
      <c r="A79" s="10" t="s">
        <v>53</v>
      </c>
      <c r="B79" s="11">
        <f t="shared" ref="B79:F79" si="15">SUM(B75:B78)</f>
        <v>61500</v>
      </c>
      <c r="C79" s="11">
        <f t="shared" si="15"/>
        <v>171416</v>
      </c>
      <c r="D79" s="11">
        <f t="shared" si="15"/>
        <v>50000</v>
      </c>
      <c r="E79" s="11">
        <f t="shared" si="15"/>
        <v>0</v>
      </c>
      <c r="F79" s="12">
        <f t="shared" si="15"/>
        <v>282916</v>
      </c>
    </row>
    <row r="80" spans="1:6" s="6" customFormat="1" ht="25.5" customHeight="1" thickBot="1" x14ac:dyDescent="0.3">
      <c r="A80" s="14" t="s">
        <v>54</v>
      </c>
      <c r="B80" s="15">
        <f>B79+B73+B50+B44+B39</f>
        <v>536990</v>
      </c>
      <c r="C80" s="15">
        <f>C79+C73+C50+C44+C39</f>
        <v>963070</v>
      </c>
      <c r="D80" s="15">
        <f>D79+D73+D50+D44+D39</f>
        <v>862777</v>
      </c>
      <c r="E80" s="15">
        <f>E79+E73+E50+E44+E39</f>
        <v>196320</v>
      </c>
      <c r="F80" s="16">
        <f>F79+F73+F50+F44+F39</f>
        <v>2559157</v>
      </c>
    </row>
    <row r="81" spans="1:6" s="6" customFormat="1" ht="13.5" thickBot="1" x14ac:dyDescent="0.3">
      <c r="A81" s="17"/>
      <c r="B81" s="38"/>
      <c r="C81" s="38"/>
      <c r="D81" s="38"/>
      <c r="E81" s="38"/>
      <c r="F81" s="18"/>
    </row>
    <row r="82" spans="1:6" s="6" customFormat="1" ht="21" customHeight="1" thickBot="1" x14ac:dyDescent="0.3">
      <c r="A82" s="14" t="s">
        <v>55</v>
      </c>
      <c r="B82" s="15">
        <f>SUM(B19,B32,B80)</f>
        <v>590986</v>
      </c>
      <c r="C82" s="15">
        <f>SUM(C19,C32,C80)</f>
        <v>1222342</v>
      </c>
      <c r="D82" s="15">
        <f>SUM(D19,D32,D80)</f>
        <v>990352</v>
      </c>
      <c r="E82" s="15">
        <f>SUM(E19,E32,E80)</f>
        <v>196320</v>
      </c>
      <c r="F82" s="16">
        <f>SUM(F19,F32,F80)</f>
        <v>3000000</v>
      </c>
    </row>
    <row r="84" spans="1:6" x14ac:dyDescent="0.2">
      <c r="A84" s="35"/>
    </row>
    <row r="85" spans="1:6" x14ac:dyDescent="0.2">
      <c r="A85" s="35"/>
    </row>
    <row r="86" spans="1:6" x14ac:dyDescent="0.2">
      <c r="A86" s="35"/>
    </row>
    <row r="87" spans="1:6" x14ac:dyDescent="0.2">
      <c r="A87" s="35"/>
    </row>
  </sheetData>
  <mergeCells count="16">
    <mergeCell ref="A45:F45"/>
    <mergeCell ref="A51:F51"/>
    <mergeCell ref="A74:F74"/>
    <mergeCell ref="A21:F21"/>
    <mergeCell ref="A22:F22"/>
    <mergeCell ref="A27:F27"/>
    <mergeCell ref="A34:F34"/>
    <mergeCell ref="A35:F35"/>
    <mergeCell ref="A40:F40"/>
    <mergeCell ref="A16:F16"/>
    <mergeCell ref="A10:F10"/>
    <mergeCell ref="A1:F1"/>
    <mergeCell ref="A3:A4"/>
    <mergeCell ref="B3:F3"/>
    <mergeCell ref="A5:F5"/>
    <mergeCell ref="A6:F6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Footer>&amp;C&amp;"Tahoma,Obyčejné"&amp;10&amp;P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01252-B2C6-4F8B-86D7-727DA73FEA43}">
  <sheetPr>
    <pageSetUpPr fitToPage="1"/>
  </sheetPr>
  <dimension ref="A1:F87"/>
  <sheetViews>
    <sheetView zoomScaleNormal="100" zoomScaleSheetLayoutView="100" workbookViewId="0">
      <pane ySplit="4" topLeftCell="A71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6" s="1" customFormat="1" ht="23.25" customHeight="1" x14ac:dyDescent="0.25">
      <c r="A1" s="294" t="s">
        <v>59</v>
      </c>
      <c r="B1" s="295"/>
      <c r="C1" s="295"/>
      <c r="D1" s="295"/>
      <c r="E1" s="295"/>
      <c r="F1" s="295"/>
    </row>
    <row r="2" spans="1:6" ht="13.5" thickBot="1" x14ac:dyDescent="0.25">
      <c r="A2" s="2"/>
      <c r="B2" s="2"/>
      <c r="C2" s="2"/>
      <c r="D2" s="2"/>
      <c r="E2" s="2"/>
      <c r="F2" s="3" t="s">
        <v>1</v>
      </c>
    </row>
    <row r="3" spans="1:6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6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6" s="6" customFormat="1" ht="21" customHeight="1" x14ac:dyDescent="0.25">
      <c r="A5" s="301" t="s">
        <v>70</v>
      </c>
      <c r="B5" s="302"/>
      <c r="C5" s="302"/>
      <c r="D5" s="302"/>
      <c r="E5" s="303"/>
      <c r="F5" s="304"/>
    </row>
    <row r="6" spans="1:6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6" s="9" customFormat="1" ht="15" customHeight="1" x14ac:dyDescent="0.25">
      <c r="A7" s="7" t="s">
        <v>7</v>
      </c>
      <c r="B7" s="28">
        <v>46471</v>
      </c>
      <c r="C7" s="28">
        <v>66735</v>
      </c>
      <c r="D7" s="28">
        <v>64910</v>
      </c>
      <c r="E7" s="28">
        <v>0</v>
      </c>
      <c r="F7" s="8">
        <f>SUM(B7:E7)</f>
        <v>178116</v>
      </c>
    </row>
    <row r="8" spans="1:6" s="9" customFormat="1" ht="24" customHeight="1" x14ac:dyDescent="0.25">
      <c r="A8" s="7" t="s">
        <v>8</v>
      </c>
      <c r="B8" s="28">
        <v>7525</v>
      </c>
      <c r="C8" s="28">
        <v>19984</v>
      </c>
      <c r="D8" s="28">
        <v>33995</v>
      </c>
      <c r="E8" s="28">
        <v>0</v>
      </c>
      <c r="F8" s="8">
        <f>SUM(B8:E8)</f>
        <v>61504</v>
      </c>
    </row>
    <row r="9" spans="1:6" s="6" customFormat="1" ht="15" customHeight="1" x14ac:dyDescent="0.25">
      <c r="A9" s="10" t="s">
        <v>9</v>
      </c>
      <c r="B9" s="11">
        <f t="shared" ref="B9:F9" si="0">SUM(B7:B8)</f>
        <v>53996</v>
      </c>
      <c r="C9" s="11">
        <f t="shared" si="0"/>
        <v>86719</v>
      </c>
      <c r="D9" s="11">
        <f t="shared" si="0"/>
        <v>98905</v>
      </c>
      <c r="E9" s="11">
        <f t="shared" si="0"/>
        <v>0</v>
      </c>
      <c r="F9" s="12">
        <f t="shared" si="0"/>
        <v>239620</v>
      </c>
    </row>
    <row r="10" spans="1:6" s="13" customFormat="1" ht="18" customHeight="1" x14ac:dyDescent="0.25">
      <c r="A10" s="305" t="s">
        <v>32</v>
      </c>
      <c r="B10" s="306"/>
      <c r="C10" s="306"/>
      <c r="D10" s="306"/>
      <c r="E10" s="306"/>
      <c r="F10" s="307"/>
    </row>
    <row r="11" spans="1:6" s="9" customFormat="1" ht="15" customHeight="1" x14ac:dyDescent="0.25">
      <c r="A11" s="7" t="s">
        <v>83</v>
      </c>
      <c r="B11" s="28">
        <v>0</v>
      </c>
      <c r="C11" s="28">
        <v>26810</v>
      </c>
      <c r="D11" s="28">
        <v>0</v>
      </c>
      <c r="E11" s="28">
        <v>0</v>
      </c>
      <c r="F11" s="8">
        <f>SUM(B11:E11)</f>
        <v>26810</v>
      </c>
    </row>
    <row r="12" spans="1:6" s="9" customFormat="1" ht="15" customHeight="1" x14ac:dyDescent="0.25">
      <c r="A12" s="7" t="s">
        <v>84</v>
      </c>
      <c r="B12" s="28">
        <v>0</v>
      </c>
      <c r="C12" s="28">
        <v>19097</v>
      </c>
      <c r="D12" s="28">
        <v>0</v>
      </c>
      <c r="E12" s="28">
        <v>0</v>
      </c>
      <c r="F12" s="8">
        <f>SUM(B12:E12)</f>
        <v>19097</v>
      </c>
    </row>
    <row r="13" spans="1:6" s="9" customFormat="1" ht="15" customHeight="1" x14ac:dyDescent="0.25">
      <c r="A13" s="7" t="s">
        <v>85</v>
      </c>
      <c r="B13" s="28">
        <v>0</v>
      </c>
      <c r="C13" s="28">
        <v>38128</v>
      </c>
      <c r="D13" s="28">
        <v>0</v>
      </c>
      <c r="E13" s="28">
        <v>0</v>
      </c>
      <c r="F13" s="8">
        <f>SUM(B13:E13)</f>
        <v>38128</v>
      </c>
    </row>
    <row r="14" spans="1:6" s="9" customFormat="1" ht="15" customHeight="1" x14ac:dyDescent="0.25">
      <c r="A14" s="7" t="s">
        <v>86</v>
      </c>
      <c r="B14" s="28">
        <v>0</v>
      </c>
      <c r="C14" s="52">
        <v>10963</v>
      </c>
      <c r="D14" s="28">
        <v>0</v>
      </c>
      <c r="E14" s="28">
        <v>0</v>
      </c>
      <c r="F14" s="8">
        <f>SUM(B14:E14)</f>
        <v>10963</v>
      </c>
    </row>
    <row r="15" spans="1:6" s="6" customFormat="1" ht="15" customHeight="1" x14ac:dyDescent="0.25">
      <c r="A15" s="10" t="s">
        <v>47</v>
      </c>
      <c r="B15" s="11">
        <f>SUM(B11:B14)</f>
        <v>0</v>
      </c>
      <c r="C15" s="11">
        <f t="shared" ref="C15:F15" si="1">SUM(C11:C14)</f>
        <v>94998</v>
      </c>
      <c r="D15" s="11">
        <f t="shared" si="1"/>
        <v>0</v>
      </c>
      <c r="E15" s="11">
        <f t="shared" si="1"/>
        <v>0</v>
      </c>
      <c r="F15" s="12">
        <f t="shared" si="1"/>
        <v>94998</v>
      </c>
    </row>
    <row r="16" spans="1:6" s="13" customFormat="1" ht="18" customHeight="1" x14ac:dyDescent="0.25">
      <c r="A16" s="305" t="s">
        <v>10</v>
      </c>
      <c r="B16" s="306"/>
      <c r="C16" s="306"/>
      <c r="D16" s="306"/>
      <c r="E16" s="306"/>
      <c r="F16" s="307"/>
    </row>
    <row r="17" spans="1:6" s="9" customFormat="1" ht="15" customHeight="1" x14ac:dyDescent="0.25">
      <c r="A17" s="7" t="s">
        <v>11</v>
      </c>
      <c r="B17" s="28">
        <v>0</v>
      </c>
      <c r="C17" s="28">
        <v>7543</v>
      </c>
      <c r="D17" s="28">
        <v>28670</v>
      </c>
      <c r="E17" s="28">
        <v>0</v>
      </c>
      <c r="F17" s="8">
        <f>SUM(B17:E17)</f>
        <v>36213</v>
      </c>
    </row>
    <row r="18" spans="1:6" s="6" customFormat="1" ht="15" customHeight="1" thickBot="1" x14ac:dyDescent="0.3">
      <c r="A18" s="10" t="s">
        <v>13</v>
      </c>
      <c r="B18" s="11">
        <f t="shared" ref="B18:F18" si="2">SUM(B17:B17)</f>
        <v>0</v>
      </c>
      <c r="C18" s="11">
        <f t="shared" si="2"/>
        <v>7543</v>
      </c>
      <c r="D18" s="11">
        <f t="shared" si="2"/>
        <v>28670</v>
      </c>
      <c r="E18" s="11">
        <f t="shared" si="2"/>
        <v>0</v>
      </c>
      <c r="F18" s="12">
        <f t="shared" si="2"/>
        <v>36213</v>
      </c>
    </row>
    <row r="19" spans="1:6" s="6" customFormat="1" ht="25.5" customHeight="1" thickBot="1" x14ac:dyDescent="0.3">
      <c r="A19" s="14" t="s">
        <v>71</v>
      </c>
      <c r="B19" s="15">
        <f>B9+B15+B18</f>
        <v>53996</v>
      </c>
      <c r="C19" s="15">
        <f t="shared" ref="C19:F19" si="3">C9+C15+C18</f>
        <v>189260</v>
      </c>
      <c r="D19" s="15">
        <f t="shared" si="3"/>
        <v>127575</v>
      </c>
      <c r="E19" s="15">
        <f t="shared" si="3"/>
        <v>0</v>
      </c>
      <c r="F19" s="16">
        <f t="shared" si="3"/>
        <v>370831</v>
      </c>
    </row>
    <row r="20" spans="1:6" s="6" customFormat="1" ht="24" customHeight="1" thickBot="1" x14ac:dyDescent="0.3">
      <c r="A20" s="17"/>
      <c r="B20" s="38"/>
      <c r="C20" s="38"/>
      <c r="D20" s="38"/>
      <c r="E20" s="38"/>
      <c r="F20" s="29"/>
    </row>
    <row r="21" spans="1:6" s="6" customFormat="1" ht="21" customHeight="1" x14ac:dyDescent="0.25">
      <c r="A21" s="301" t="s">
        <v>72</v>
      </c>
      <c r="B21" s="302"/>
      <c r="C21" s="302"/>
      <c r="D21" s="302"/>
      <c r="E21" s="303"/>
      <c r="F21" s="304"/>
    </row>
    <row r="22" spans="1:6" s="13" customFormat="1" ht="18" customHeight="1" x14ac:dyDescent="0.25">
      <c r="A22" s="305" t="s">
        <v>32</v>
      </c>
      <c r="B22" s="306"/>
      <c r="C22" s="306"/>
      <c r="D22" s="306"/>
      <c r="E22" s="306"/>
      <c r="F22" s="307"/>
    </row>
    <row r="23" spans="1:6" s="9" customFormat="1" ht="24" customHeight="1" x14ac:dyDescent="0.25">
      <c r="A23" s="7" t="s">
        <v>73</v>
      </c>
      <c r="B23" s="28">
        <v>0</v>
      </c>
      <c r="C23" s="28">
        <v>2898</v>
      </c>
      <c r="D23" s="28">
        <v>0</v>
      </c>
      <c r="E23" s="28">
        <v>0</v>
      </c>
      <c r="F23" s="8">
        <f>SUM(B23:E23)</f>
        <v>2898</v>
      </c>
    </row>
    <row r="24" spans="1:6" s="9" customFormat="1" ht="24" customHeight="1" x14ac:dyDescent="0.25">
      <c r="A24" s="7" t="s">
        <v>74</v>
      </c>
      <c r="B24" s="28">
        <v>0</v>
      </c>
      <c r="C24" s="28">
        <v>19624</v>
      </c>
      <c r="D24" s="28">
        <v>0</v>
      </c>
      <c r="E24" s="28">
        <v>0</v>
      </c>
      <c r="F24" s="8">
        <f>SUM(B24:E24)</f>
        <v>19624</v>
      </c>
    </row>
    <row r="25" spans="1:6" s="9" customFormat="1" ht="24" customHeight="1" x14ac:dyDescent="0.25">
      <c r="A25" s="7" t="s">
        <v>75</v>
      </c>
      <c r="B25" s="28">
        <v>0</v>
      </c>
      <c r="C25" s="28">
        <v>7371</v>
      </c>
      <c r="D25" s="28">
        <v>0</v>
      </c>
      <c r="E25" s="28">
        <v>0</v>
      </c>
      <c r="F25" s="8">
        <f>SUM(B25:E25)</f>
        <v>7371</v>
      </c>
    </row>
    <row r="26" spans="1:6" s="6" customFormat="1" ht="15" customHeight="1" x14ac:dyDescent="0.25">
      <c r="A26" s="10" t="s">
        <v>9</v>
      </c>
      <c r="B26" s="11">
        <f>SUM(B23:B25)</f>
        <v>0</v>
      </c>
      <c r="C26" s="11">
        <f t="shared" ref="C26:E26" si="4">SUM(C23:C25)</f>
        <v>29893</v>
      </c>
      <c r="D26" s="11">
        <f t="shared" si="4"/>
        <v>0</v>
      </c>
      <c r="E26" s="11">
        <f t="shared" si="4"/>
        <v>0</v>
      </c>
      <c r="F26" s="12">
        <f>SUM(F23:F25)</f>
        <v>29893</v>
      </c>
    </row>
    <row r="27" spans="1:6" s="13" customFormat="1" ht="18" customHeight="1" x14ac:dyDescent="0.25">
      <c r="A27" s="305" t="s">
        <v>48</v>
      </c>
      <c r="B27" s="306"/>
      <c r="C27" s="306"/>
      <c r="D27" s="306"/>
      <c r="E27" s="306"/>
      <c r="F27" s="307"/>
    </row>
    <row r="28" spans="1:6" s="9" customFormat="1" ht="24" customHeight="1" x14ac:dyDescent="0.25">
      <c r="A28" s="7" t="s">
        <v>76</v>
      </c>
      <c r="B28" s="28">
        <v>0</v>
      </c>
      <c r="C28" s="28">
        <v>18821</v>
      </c>
      <c r="D28" s="28">
        <v>0</v>
      </c>
      <c r="E28" s="28">
        <v>0</v>
      </c>
      <c r="F28" s="8">
        <f>SUM(B28:E28)</f>
        <v>18821</v>
      </c>
    </row>
    <row r="29" spans="1:6" s="9" customFormat="1" ht="24" customHeight="1" x14ac:dyDescent="0.25">
      <c r="A29" s="7" t="s">
        <v>77</v>
      </c>
      <c r="B29" s="28">
        <v>0</v>
      </c>
      <c r="C29" s="28">
        <v>14319</v>
      </c>
      <c r="D29" s="28">
        <v>0</v>
      </c>
      <c r="E29" s="28">
        <v>0</v>
      </c>
      <c r="F29" s="8">
        <f t="shared" ref="F29:F30" si="5">SUM(B29:E29)</f>
        <v>14319</v>
      </c>
    </row>
    <row r="30" spans="1:6" s="9" customFormat="1" ht="24" customHeight="1" x14ac:dyDescent="0.25">
      <c r="A30" s="7" t="s">
        <v>78</v>
      </c>
      <c r="B30" s="28">
        <v>0</v>
      </c>
      <c r="C30" s="28">
        <v>7079</v>
      </c>
      <c r="D30" s="28">
        <v>0</v>
      </c>
      <c r="E30" s="28">
        <v>0</v>
      </c>
      <c r="F30" s="8">
        <f t="shared" si="5"/>
        <v>7079</v>
      </c>
    </row>
    <row r="31" spans="1:6" s="6" customFormat="1" ht="15" customHeight="1" thickBot="1" x14ac:dyDescent="0.3">
      <c r="A31" s="10" t="s">
        <v>13</v>
      </c>
      <c r="B31" s="11">
        <f>SUM(B28:B30)</f>
        <v>0</v>
      </c>
      <c r="C31" s="11">
        <f t="shared" ref="C31:E31" si="6">SUM(C28:C30)</f>
        <v>40219</v>
      </c>
      <c r="D31" s="11">
        <f t="shared" si="6"/>
        <v>0</v>
      </c>
      <c r="E31" s="11">
        <f t="shared" si="6"/>
        <v>0</v>
      </c>
      <c r="F31" s="12">
        <f>SUM(F28:F30)</f>
        <v>40219</v>
      </c>
    </row>
    <row r="32" spans="1:6" s="6" customFormat="1" ht="36" customHeight="1" thickBot="1" x14ac:dyDescent="0.3">
      <c r="A32" s="14" t="s">
        <v>79</v>
      </c>
      <c r="B32" s="15">
        <f t="shared" ref="B32:F32" si="7">B26+B31</f>
        <v>0</v>
      </c>
      <c r="C32" s="15">
        <f t="shared" si="7"/>
        <v>70112</v>
      </c>
      <c r="D32" s="15">
        <f t="shared" si="7"/>
        <v>0</v>
      </c>
      <c r="E32" s="15">
        <f t="shared" si="7"/>
        <v>0</v>
      </c>
      <c r="F32" s="16">
        <f t="shared" si="7"/>
        <v>70112</v>
      </c>
    </row>
    <row r="33" spans="1:6" s="6" customFormat="1" ht="24" customHeight="1" thickBot="1" x14ac:dyDescent="0.3">
      <c r="A33" s="17"/>
      <c r="B33" s="38"/>
      <c r="C33" s="38"/>
      <c r="D33" s="38"/>
      <c r="E33" s="38"/>
      <c r="F33" s="29"/>
    </row>
    <row r="34" spans="1:6" s="6" customFormat="1" ht="21" customHeight="1" x14ac:dyDescent="0.25">
      <c r="A34" s="301" t="s">
        <v>15</v>
      </c>
      <c r="B34" s="302"/>
      <c r="C34" s="302"/>
      <c r="D34" s="302"/>
      <c r="E34" s="303"/>
      <c r="F34" s="304"/>
    </row>
    <row r="35" spans="1:6" ht="18" customHeight="1" x14ac:dyDescent="0.2">
      <c r="A35" s="305" t="s">
        <v>16</v>
      </c>
      <c r="B35" s="306"/>
      <c r="C35" s="306"/>
      <c r="D35" s="306"/>
      <c r="E35" s="306"/>
      <c r="F35" s="307"/>
    </row>
    <row r="36" spans="1:6" s="13" customFormat="1" ht="15" customHeight="1" x14ac:dyDescent="0.25">
      <c r="A36" s="19" t="s">
        <v>17</v>
      </c>
      <c r="B36" s="20">
        <v>807</v>
      </c>
      <c r="C36" s="20">
        <v>130993</v>
      </c>
      <c r="D36" s="20">
        <v>277178</v>
      </c>
      <c r="E36" s="20">
        <v>0</v>
      </c>
      <c r="F36" s="8">
        <f t="shared" ref="F36:F38" si="8">SUM(B36:E36)</f>
        <v>408978</v>
      </c>
    </row>
    <row r="37" spans="1:6" s="13" customFormat="1" ht="24" customHeight="1" x14ac:dyDescent="0.25">
      <c r="A37" s="19" t="s">
        <v>92</v>
      </c>
      <c r="B37" s="20">
        <v>27298</v>
      </c>
      <c r="C37" s="20">
        <v>29993</v>
      </c>
      <c r="D37" s="20">
        <v>64999</v>
      </c>
      <c r="E37" s="20">
        <v>3710</v>
      </c>
      <c r="F37" s="8">
        <f t="shared" si="8"/>
        <v>126000</v>
      </c>
    </row>
    <row r="38" spans="1:6" s="13" customFormat="1" ht="24" customHeight="1" x14ac:dyDescent="0.25">
      <c r="A38" s="19" t="s">
        <v>87</v>
      </c>
      <c r="B38" s="20">
        <v>0</v>
      </c>
      <c r="C38" s="20">
        <v>0</v>
      </c>
      <c r="D38" s="20">
        <v>75300</v>
      </c>
      <c r="E38" s="20">
        <v>0</v>
      </c>
      <c r="F38" s="8">
        <f t="shared" si="8"/>
        <v>75300</v>
      </c>
    </row>
    <row r="39" spans="1:6" s="6" customFormat="1" ht="15" customHeight="1" x14ac:dyDescent="0.25">
      <c r="A39" s="10" t="s">
        <v>19</v>
      </c>
      <c r="B39" s="11">
        <f>SUM(B36:B38)</f>
        <v>28105</v>
      </c>
      <c r="C39" s="11">
        <f t="shared" ref="C39:F39" si="9">SUM(C36:C38)</f>
        <v>160986</v>
      </c>
      <c r="D39" s="11">
        <f t="shared" si="9"/>
        <v>417477</v>
      </c>
      <c r="E39" s="11">
        <f t="shared" si="9"/>
        <v>3710</v>
      </c>
      <c r="F39" s="12">
        <f t="shared" si="9"/>
        <v>610278</v>
      </c>
    </row>
    <row r="40" spans="1:6" s="13" customFormat="1" ht="18" customHeight="1" x14ac:dyDescent="0.25">
      <c r="A40" s="308" t="s">
        <v>20</v>
      </c>
      <c r="B40" s="309"/>
      <c r="C40" s="309"/>
      <c r="D40" s="309"/>
      <c r="E40" s="309"/>
      <c r="F40" s="310"/>
    </row>
    <row r="41" spans="1:6" s="13" customFormat="1" ht="24" customHeight="1" x14ac:dyDescent="0.25">
      <c r="A41" s="21" t="s">
        <v>23</v>
      </c>
      <c r="B41" s="20">
        <v>615</v>
      </c>
      <c r="C41" s="20">
        <v>40400</v>
      </c>
      <c r="D41" s="20">
        <v>10000</v>
      </c>
      <c r="E41" s="20">
        <v>0</v>
      </c>
      <c r="F41" s="8">
        <f t="shared" ref="F41:F43" si="10">SUM(B41:E41)</f>
        <v>51015</v>
      </c>
    </row>
    <row r="42" spans="1:6" s="13" customFormat="1" ht="24" customHeight="1" x14ac:dyDescent="0.25">
      <c r="A42" s="21" t="s">
        <v>24</v>
      </c>
      <c r="B42" s="20">
        <v>25000</v>
      </c>
      <c r="C42" s="20">
        <v>70000</v>
      </c>
      <c r="D42" s="20">
        <v>0</v>
      </c>
      <c r="E42" s="20">
        <v>0</v>
      </c>
      <c r="F42" s="8">
        <f t="shared" si="10"/>
        <v>95000</v>
      </c>
    </row>
    <row r="43" spans="1:6" s="13" customFormat="1" ht="24" customHeight="1" x14ac:dyDescent="0.25">
      <c r="A43" s="21" t="s">
        <v>25</v>
      </c>
      <c r="B43" s="20">
        <v>0</v>
      </c>
      <c r="C43" s="20">
        <v>0</v>
      </c>
      <c r="D43" s="20">
        <v>30000</v>
      </c>
      <c r="E43" s="20">
        <v>65000</v>
      </c>
      <c r="F43" s="8">
        <f t="shared" si="10"/>
        <v>95000</v>
      </c>
    </row>
    <row r="44" spans="1:6" s="6" customFormat="1" ht="15" customHeight="1" x14ac:dyDescent="0.25">
      <c r="A44" s="10" t="s">
        <v>27</v>
      </c>
      <c r="B44" s="11">
        <f>SUM(B41:B43)</f>
        <v>25615</v>
      </c>
      <c r="C44" s="11">
        <f>SUM(C41:C43)</f>
        <v>110400</v>
      </c>
      <c r="D44" s="11">
        <f>SUM(D41:D43)</f>
        <v>40000</v>
      </c>
      <c r="E44" s="11">
        <f>SUM(E41:E43)</f>
        <v>65000</v>
      </c>
      <c r="F44" s="12">
        <f>SUM(F41:F43)</f>
        <v>241015</v>
      </c>
    </row>
    <row r="45" spans="1:6" s="13" customFormat="1" ht="18" customHeight="1" x14ac:dyDescent="0.25">
      <c r="A45" s="308" t="s">
        <v>6</v>
      </c>
      <c r="B45" s="309"/>
      <c r="C45" s="309"/>
      <c r="D45" s="309"/>
      <c r="E45" s="309"/>
      <c r="F45" s="310"/>
    </row>
    <row r="46" spans="1:6" s="13" customFormat="1" ht="15" customHeight="1" x14ac:dyDescent="0.25">
      <c r="A46" s="21" t="s">
        <v>28</v>
      </c>
      <c r="B46" s="22">
        <v>9000</v>
      </c>
      <c r="C46" s="22">
        <v>10000</v>
      </c>
      <c r="D46" s="22">
        <v>0</v>
      </c>
      <c r="E46" s="22">
        <v>0</v>
      </c>
      <c r="F46" s="8">
        <f t="shared" ref="F46:F49" si="11">SUM(B46:E46)</f>
        <v>19000</v>
      </c>
    </row>
    <row r="47" spans="1:6" s="13" customFormat="1" ht="24" customHeight="1" x14ac:dyDescent="0.25">
      <c r="A47" s="19" t="s">
        <v>29</v>
      </c>
      <c r="B47" s="20">
        <v>15865</v>
      </c>
      <c r="C47" s="20">
        <v>82731</v>
      </c>
      <c r="D47" s="20">
        <v>19761</v>
      </c>
      <c r="E47" s="20">
        <v>0</v>
      </c>
      <c r="F47" s="8">
        <f t="shared" si="11"/>
        <v>118357</v>
      </c>
    </row>
    <row r="48" spans="1:6" s="13" customFormat="1" ht="15" customHeight="1" x14ac:dyDescent="0.25">
      <c r="A48" s="23" t="s">
        <v>30</v>
      </c>
      <c r="B48" s="20">
        <v>52961</v>
      </c>
      <c r="C48" s="20">
        <v>130000</v>
      </c>
      <c r="D48" s="20">
        <v>112039</v>
      </c>
      <c r="E48" s="20">
        <v>0</v>
      </c>
      <c r="F48" s="8">
        <f t="shared" si="11"/>
        <v>295000</v>
      </c>
    </row>
    <row r="49" spans="1:6" s="13" customFormat="1" ht="24" customHeight="1" x14ac:dyDescent="0.25">
      <c r="A49" s="23" t="s">
        <v>31</v>
      </c>
      <c r="B49" s="20">
        <v>7800</v>
      </c>
      <c r="C49" s="20">
        <v>5700</v>
      </c>
      <c r="D49" s="20">
        <v>0</v>
      </c>
      <c r="E49" s="20">
        <v>0</v>
      </c>
      <c r="F49" s="8">
        <f t="shared" si="11"/>
        <v>13500</v>
      </c>
    </row>
    <row r="50" spans="1:6" s="6" customFormat="1" ht="15" customHeight="1" x14ac:dyDescent="0.25">
      <c r="A50" s="10" t="s">
        <v>9</v>
      </c>
      <c r="B50" s="11">
        <f t="shared" ref="B50:F50" si="12">SUM(B46:B49)</f>
        <v>85626</v>
      </c>
      <c r="C50" s="11">
        <f t="shared" si="12"/>
        <v>228431</v>
      </c>
      <c r="D50" s="11">
        <f t="shared" si="12"/>
        <v>131800</v>
      </c>
      <c r="E50" s="11">
        <f t="shared" si="12"/>
        <v>0</v>
      </c>
      <c r="F50" s="12">
        <f t="shared" si="12"/>
        <v>445857</v>
      </c>
    </row>
    <row r="51" spans="1:6" s="13" customFormat="1" ht="18" customHeight="1" x14ac:dyDescent="0.25">
      <c r="A51" s="308" t="s">
        <v>32</v>
      </c>
      <c r="B51" s="309"/>
      <c r="C51" s="309"/>
      <c r="D51" s="309"/>
      <c r="E51" s="309"/>
      <c r="F51" s="310"/>
    </row>
    <row r="52" spans="1:6" s="13" customFormat="1" ht="24" customHeight="1" x14ac:dyDescent="0.25">
      <c r="A52" s="23" t="s">
        <v>33</v>
      </c>
      <c r="B52" s="24">
        <v>45000</v>
      </c>
      <c r="C52" s="20">
        <v>0</v>
      </c>
      <c r="D52" s="20">
        <v>0</v>
      </c>
      <c r="E52" s="20">
        <v>0</v>
      </c>
      <c r="F52" s="8">
        <f t="shared" ref="F52:F72" si="13">SUM(B52:E52)</f>
        <v>45000</v>
      </c>
    </row>
    <row r="53" spans="1:6" s="13" customFormat="1" ht="24" customHeight="1" x14ac:dyDescent="0.25">
      <c r="A53" s="23" t="s">
        <v>34</v>
      </c>
      <c r="B53" s="24">
        <v>0</v>
      </c>
      <c r="C53" s="20">
        <v>5500</v>
      </c>
      <c r="D53" s="20">
        <v>25000</v>
      </c>
      <c r="E53" s="20">
        <v>0</v>
      </c>
      <c r="F53" s="8">
        <f t="shared" si="13"/>
        <v>30500</v>
      </c>
    </row>
    <row r="54" spans="1:6" s="13" customFormat="1" ht="24" customHeight="1" x14ac:dyDescent="0.25">
      <c r="A54" s="23" t="s">
        <v>68</v>
      </c>
      <c r="B54" s="24">
        <v>2090</v>
      </c>
      <c r="C54" s="20">
        <v>0</v>
      </c>
      <c r="D54" s="20">
        <v>26000</v>
      </c>
      <c r="E54" s="20">
        <v>27610</v>
      </c>
      <c r="F54" s="8">
        <f t="shared" si="13"/>
        <v>55700</v>
      </c>
    </row>
    <row r="55" spans="1:6" s="13" customFormat="1" ht="31.5" x14ac:dyDescent="0.25">
      <c r="A55" s="23" t="s">
        <v>36</v>
      </c>
      <c r="B55" s="24">
        <v>31098</v>
      </c>
      <c r="C55" s="20">
        <v>19500</v>
      </c>
      <c r="D55" s="20">
        <v>0</v>
      </c>
      <c r="E55" s="20">
        <v>0</v>
      </c>
      <c r="F55" s="8">
        <f t="shared" si="13"/>
        <v>50598</v>
      </c>
    </row>
    <row r="56" spans="1:6" s="13" customFormat="1" ht="31.5" x14ac:dyDescent="0.25">
      <c r="A56" s="23" t="s">
        <v>37</v>
      </c>
      <c r="B56" s="24">
        <v>5500</v>
      </c>
      <c r="C56" s="20">
        <v>0</v>
      </c>
      <c r="D56" s="20">
        <v>0</v>
      </c>
      <c r="E56" s="20">
        <v>0</v>
      </c>
      <c r="F56" s="8">
        <f t="shared" si="13"/>
        <v>5500</v>
      </c>
    </row>
    <row r="57" spans="1:6" s="13" customFormat="1" ht="24" customHeight="1" x14ac:dyDescent="0.25">
      <c r="A57" s="23" t="s">
        <v>38</v>
      </c>
      <c r="B57" s="24">
        <v>20571</v>
      </c>
      <c r="C57" s="20">
        <v>113428</v>
      </c>
      <c r="D57" s="20">
        <v>42000</v>
      </c>
      <c r="E57" s="20">
        <v>0</v>
      </c>
      <c r="F57" s="8">
        <f t="shared" si="13"/>
        <v>175999</v>
      </c>
    </row>
    <row r="58" spans="1:6" s="13" customFormat="1" ht="24" customHeight="1" x14ac:dyDescent="0.25">
      <c r="A58" s="23" t="s">
        <v>39</v>
      </c>
      <c r="B58" s="24">
        <v>51000</v>
      </c>
      <c r="C58" s="20">
        <v>0</v>
      </c>
      <c r="D58" s="20">
        <v>0</v>
      </c>
      <c r="E58" s="20">
        <v>0</v>
      </c>
      <c r="F58" s="8">
        <f t="shared" si="13"/>
        <v>51000</v>
      </c>
    </row>
    <row r="59" spans="1:6" s="13" customFormat="1" ht="24" customHeight="1" x14ac:dyDescent="0.25">
      <c r="A59" s="23" t="s">
        <v>40</v>
      </c>
      <c r="B59" s="24">
        <v>25000</v>
      </c>
      <c r="C59" s="20">
        <v>0</v>
      </c>
      <c r="D59" s="20">
        <v>0</v>
      </c>
      <c r="E59" s="20">
        <v>0</v>
      </c>
      <c r="F59" s="8">
        <f t="shared" si="13"/>
        <v>25000</v>
      </c>
    </row>
    <row r="60" spans="1:6" s="13" customFormat="1" ht="34.5" customHeight="1" x14ac:dyDescent="0.25">
      <c r="A60" s="23" t="s">
        <v>41</v>
      </c>
      <c r="B60" s="24">
        <v>10000</v>
      </c>
      <c r="C60" s="20">
        <v>28000</v>
      </c>
      <c r="D60" s="20">
        <v>0</v>
      </c>
      <c r="E60" s="20">
        <v>0</v>
      </c>
      <c r="F60" s="8">
        <f t="shared" si="13"/>
        <v>38000</v>
      </c>
    </row>
    <row r="61" spans="1:6" s="13" customFormat="1" ht="24" customHeight="1" x14ac:dyDescent="0.25">
      <c r="A61" s="23" t="s">
        <v>42</v>
      </c>
      <c r="B61" s="24">
        <v>27200</v>
      </c>
      <c r="C61" s="20">
        <v>500</v>
      </c>
      <c r="D61" s="20">
        <v>0</v>
      </c>
      <c r="E61" s="20">
        <v>0</v>
      </c>
      <c r="F61" s="8">
        <f t="shared" si="13"/>
        <v>27700</v>
      </c>
    </row>
    <row r="62" spans="1:6" s="13" customFormat="1" ht="24" customHeight="1" x14ac:dyDescent="0.25">
      <c r="A62" s="23" t="s">
        <v>43</v>
      </c>
      <c r="B62" s="24">
        <v>25700</v>
      </c>
      <c r="C62" s="20">
        <v>0</v>
      </c>
      <c r="D62" s="20">
        <v>0</v>
      </c>
      <c r="E62" s="20">
        <v>0</v>
      </c>
      <c r="F62" s="8">
        <f t="shared" si="13"/>
        <v>25700</v>
      </c>
    </row>
    <row r="63" spans="1:6" s="13" customFormat="1" ht="24" customHeight="1" x14ac:dyDescent="0.25">
      <c r="A63" s="23" t="s">
        <v>44</v>
      </c>
      <c r="B63" s="24">
        <v>40000</v>
      </c>
      <c r="C63" s="20">
        <v>0</v>
      </c>
      <c r="D63" s="20">
        <v>0</v>
      </c>
      <c r="E63" s="20">
        <v>0</v>
      </c>
      <c r="F63" s="8">
        <f t="shared" si="13"/>
        <v>40000</v>
      </c>
    </row>
    <row r="64" spans="1:6" s="13" customFormat="1" ht="24" customHeight="1" x14ac:dyDescent="0.25">
      <c r="A64" s="23" t="s">
        <v>45</v>
      </c>
      <c r="B64" s="24">
        <v>500</v>
      </c>
      <c r="C64" s="20">
        <v>50639</v>
      </c>
      <c r="D64" s="20">
        <v>0</v>
      </c>
      <c r="E64" s="20">
        <v>0</v>
      </c>
      <c r="F64" s="8">
        <f t="shared" si="13"/>
        <v>51139</v>
      </c>
    </row>
    <row r="65" spans="1:6" s="13" customFormat="1" ht="24" customHeight="1" x14ac:dyDescent="0.25">
      <c r="A65" s="23" t="s">
        <v>46</v>
      </c>
      <c r="B65" s="24">
        <v>6200</v>
      </c>
      <c r="C65" s="20">
        <v>0</v>
      </c>
      <c r="D65" s="20">
        <v>0</v>
      </c>
      <c r="E65" s="20">
        <v>0</v>
      </c>
      <c r="F65" s="8">
        <f t="shared" si="13"/>
        <v>6200</v>
      </c>
    </row>
    <row r="66" spans="1:6" s="13" customFormat="1" ht="24" customHeight="1" x14ac:dyDescent="0.25">
      <c r="A66" s="23" t="s">
        <v>69</v>
      </c>
      <c r="B66" s="50">
        <v>11065</v>
      </c>
      <c r="C66" s="20">
        <v>0</v>
      </c>
      <c r="D66" s="20">
        <v>100000</v>
      </c>
      <c r="E66" s="20">
        <v>100000</v>
      </c>
      <c r="F66" s="8">
        <f t="shared" si="13"/>
        <v>211065</v>
      </c>
    </row>
    <row r="67" spans="1:6" s="13" customFormat="1" ht="24" customHeight="1" x14ac:dyDescent="0.25">
      <c r="A67" s="21" t="s">
        <v>80</v>
      </c>
      <c r="B67" s="24">
        <v>1500</v>
      </c>
      <c r="C67" s="20">
        <v>12850</v>
      </c>
      <c r="D67" s="20">
        <v>0</v>
      </c>
      <c r="E67" s="20">
        <v>0</v>
      </c>
      <c r="F67" s="8">
        <f t="shared" si="13"/>
        <v>14350</v>
      </c>
    </row>
    <row r="68" spans="1:6" s="13" customFormat="1" ht="34.5" customHeight="1" x14ac:dyDescent="0.25">
      <c r="A68" s="21" t="s">
        <v>81</v>
      </c>
      <c r="B68" s="20">
        <v>0</v>
      </c>
      <c r="C68" s="20">
        <v>11420</v>
      </c>
      <c r="D68" s="20">
        <v>0</v>
      </c>
      <c r="E68" s="20">
        <v>0</v>
      </c>
      <c r="F68" s="8">
        <f t="shared" si="13"/>
        <v>11420</v>
      </c>
    </row>
    <row r="69" spans="1:6" s="13" customFormat="1" ht="15" customHeight="1" x14ac:dyDescent="0.25">
      <c r="A69" s="21" t="s">
        <v>88</v>
      </c>
      <c r="B69" s="20">
        <v>0</v>
      </c>
      <c r="C69" s="39">
        <v>60500</v>
      </c>
      <c r="D69" s="39">
        <v>0</v>
      </c>
      <c r="E69" s="20">
        <v>0</v>
      </c>
      <c r="F69" s="8">
        <f t="shared" si="13"/>
        <v>60500</v>
      </c>
    </row>
    <row r="70" spans="1:6" s="13" customFormat="1" ht="24" customHeight="1" x14ac:dyDescent="0.25">
      <c r="A70" s="21" t="s">
        <v>89</v>
      </c>
      <c r="B70" s="20">
        <v>9120</v>
      </c>
      <c r="C70" s="20">
        <v>0</v>
      </c>
      <c r="D70" s="20">
        <v>0</v>
      </c>
      <c r="E70" s="20">
        <v>0</v>
      </c>
      <c r="F70" s="8">
        <f t="shared" si="13"/>
        <v>9120</v>
      </c>
    </row>
    <row r="71" spans="1:6" s="13" customFormat="1" ht="24" customHeight="1" x14ac:dyDescent="0.25">
      <c r="A71" s="21" t="s">
        <v>90</v>
      </c>
      <c r="B71" s="20">
        <v>1500</v>
      </c>
      <c r="C71" s="20">
        <v>20000</v>
      </c>
      <c r="D71" s="20">
        <v>0</v>
      </c>
      <c r="E71" s="20">
        <v>0</v>
      </c>
      <c r="F71" s="8">
        <f t="shared" si="13"/>
        <v>21500</v>
      </c>
    </row>
    <row r="72" spans="1:6" s="13" customFormat="1" ht="24" customHeight="1" x14ac:dyDescent="0.25">
      <c r="A72" s="21" t="s">
        <v>91</v>
      </c>
      <c r="B72" s="20">
        <v>23000</v>
      </c>
      <c r="C72" s="20">
        <v>0</v>
      </c>
      <c r="D72" s="20">
        <v>0</v>
      </c>
      <c r="E72" s="20">
        <v>0</v>
      </c>
      <c r="F72" s="8">
        <f t="shared" si="13"/>
        <v>23000</v>
      </c>
    </row>
    <row r="73" spans="1:6" s="6" customFormat="1" ht="15" customHeight="1" x14ac:dyDescent="0.25">
      <c r="A73" s="10" t="s">
        <v>47</v>
      </c>
      <c r="B73" s="11">
        <f>SUM(B52:B72)</f>
        <v>336044</v>
      </c>
      <c r="C73" s="11">
        <f>SUM(C52:C72)</f>
        <v>322337</v>
      </c>
      <c r="D73" s="11">
        <f>SUM(D52:D72)</f>
        <v>193000</v>
      </c>
      <c r="E73" s="11">
        <f>SUM(E52:E72)</f>
        <v>127610</v>
      </c>
      <c r="F73" s="12">
        <f>SUM(F52:F72)</f>
        <v>978991</v>
      </c>
    </row>
    <row r="74" spans="1:6" s="13" customFormat="1" ht="18" customHeight="1" x14ac:dyDescent="0.25">
      <c r="A74" s="308" t="s">
        <v>48</v>
      </c>
      <c r="B74" s="309"/>
      <c r="C74" s="309"/>
      <c r="D74" s="309"/>
      <c r="E74" s="309"/>
      <c r="F74" s="310"/>
    </row>
    <row r="75" spans="1:6" s="13" customFormat="1" ht="24" customHeight="1" x14ac:dyDescent="0.25">
      <c r="A75" s="21" t="s">
        <v>49</v>
      </c>
      <c r="B75" s="24">
        <v>41000</v>
      </c>
      <c r="C75" s="24">
        <v>0</v>
      </c>
      <c r="D75" s="24">
        <v>0</v>
      </c>
      <c r="E75" s="24">
        <v>0</v>
      </c>
      <c r="F75" s="8">
        <f t="shared" ref="F75:F78" si="14">SUM(B75:E75)</f>
        <v>41000</v>
      </c>
    </row>
    <row r="76" spans="1:6" s="13" customFormat="1" ht="24" customHeight="1" x14ac:dyDescent="0.25">
      <c r="A76" s="21" t="s">
        <v>50</v>
      </c>
      <c r="B76" s="20">
        <v>15000</v>
      </c>
      <c r="C76" s="20">
        <v>119416</v>
      </c>
      <c r="D76" s="20">
        <v>50000</v>
      </c>
      <c r="E76" s="20">
        <v>0</v>
      </c>
      <c r="F76" s="8">
        <f t="shared" si="14"/>
        <v>184416</v>
      </c>
    </row>
    <row r="77" spans="1:6" s="13" customFormat="1" ht="24" customHeight="1" x14ac:dyDescent="0.25">
      <c r="A77" s="21" t="s">
        <v>51</v>
      </c>
      <c r="B77" s="20">
        <v>2000</v>
      </c>
      <c r="C77" s="20">
        <v>22000</v>
      </c>
      <c r="D77" s="20">
        <v>0</v>
      </c>
      <c r="E77" s="20">
        <v>0</v>
      </c>
      <c r="F77" s="8">
        <f t="shared" si="14"/>
        <v>24000</v>
      </c>
    </row>
    <row r="78" spans="1:6" s="13" customFormat="1" ht="24" customHeight="1" x14ac:dyDescent="0.25">
      <c r="A78" s="21" t="s">
        <v>52</v>
      </c>
      <c r="B78" s="20">
        <f>1000+2500</f>
        <v>3500</v>
      </c>
      <c r="C78" s="20">
        <v>30000</v>
      </c>
      <c r="D78" s="20">
        <v>0</v>
      </c>
      <c r="E78" s="20">
        <v>0</v>
      </c>
      <c r="F78" s="8">
        <f t="shared" si="14"/>
        <v>33500</v>
      </c>
    </row>
    <row r="79" spans="1:6" s="6" customFormat="1" ht="15" customHeight="1" thickBot="1" x14ac:dyDescent="0.3">
      <c r="A79" s="10" t="s">
        <v>53</v>
      </c>
      <c r="B79" s="11">
        <f t="shared" ref="B79:F79" si="15">SUM(B75:B78)</f>
        <v>61500</v>
      </c>
      <c r="C79" s="11">
        <f t="shared" si="15"/>
        <v>171416</v>
      </c>
      <c r="D79" s="11">
        <f t="shared" si="15"/>
        <v>50000</v>
      </c>
      <c r="E79" s="11">
        <f t="shared" si="15"/>
        <v>0</v>
      </c>
      <c r="F79" s="12">
        <f t="shared" si="15"/>
        <v>282916</v>
      </c>
    </row>
    <row r="80" spans="1:6" s="6" customFormat="1" ht="25.5" customHeight="1" thickBot="1" x14ac:dyDescent="0.3">
      <c r="A80" s="14" t="s">
        <v>54</v>
      </c>
      <c r="B80" s="15">
        <f>B79+B73+B50+B44+B39</f>
        <v>536890</v>
      </c>
      <c r="C80" s="15">
        <f>C79+C73+C50+C44+C39</f>
        <v>993570</v>
      </c>
      <c r="D80" s="15">
        <f>D79+D73+D50+D44+D39</f>
        <v>832277</v>
      </c>
      <c r="E80" s="15">
        <f>E79+E73+E50+E44+E39</f>
        <v>196320</v>
      </c>
      <c r="F80" s="16">
        <f>F79+F73+F50+F44+F39</f>
        <v>2559057</v>
      </c>
    </row>
    <row r="81" spans="1:6" s="6" customFormat="1" ht="13.5" thickBot="1" x14ac:dyDescent="0.3">
      <c r="A81" s="17"/>
      <c r="B81" s="38"/>
      <c r="C81" s="38"/>
      <c r="D81" s="38"/>
      <c r="E81" s="38"/>
      <c r="F81" s="18"/>
    </row>
    <row r="82" spans="1:6" s="6" customFormat="1" ht="21" customHeight="1" thickBot="1" x14ac:dyDescent="0.3">
      <c r="A82" s="14" t="s">
        <v>55</v>
      </c>
      <c r="B82" s="15">
        <f>SUM(B19,B32,B80)</f>
        <v>590886</v>
      </c>
      <c r="C82" s="15">
        <f>SUM(C19,C32,C80)</f>
        <v>1252942</v>
      </c>
      <c r="D82" s="15">
        <f>SUM(D19,D32,D80)</f>
        <v>959852</v>
      </c>
      <c r="E82" s="15">
        <f>SUM(E19,E32,E80)</f>
        <v>196320</v>
      </c>
      <c r="F82" s="16">
        <f>SUM(F19,F32,F80)</f>
        <v>3000000</v>
      </c>
    </row>
    <row r="84" spans="1:6" x14ac:dyDescent="0.2">
      <c r="A84" s="35"/>
    </row>
    <row r="85" spans="1:6" x14ac:dyDescent="0.2">
      <c r="A85" s="35"/>
    </row>
    <row r="86" spans="1:6" x14ac:dyDescent="0.2">
      <c r="A86" s="35"/>
    </row>
    <row r="87" spans="1:6" x14ac:dyDescent="0.2">
      <c r="A87" s="35"/>
    </row>
  </sheetData>
  <mergeCells count="16">
    <mergeCell ref="A10:F10"/>
    <mergeCell ref="A1:F1"/>
    <mergeCell ref="A3:A4"/>
    <mergeCell ref="B3:F3"/>
    <mergeCell ref="A5:F5"/>
    <mergeCell ref="A6:F6"/>
    <mergeCell ref="A40:F40"/>
    <mergeCell ref="A45:F45"/>
    <mergeCell ref="A51:F51"/>
    <mergeCell ref="A74:F74"/>
    <mergeCell ref="A16:F16"/>
    <mergeCell ref="A21:F21"/>
    <mergeCell ref="A22:F22"/>
    <mergeCell ref="A27:F27"/>
    <mergeCell ref="A34:F34"/>
    <mergeCell ref="A35:F35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Footer>&amp;C&amp;"Tahoma,Obyčejné"&amp;10&amp;P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4D2E5-1473-40AC-A3D9-BBF751757B99}">
  <sheetPr>
    <pageSetUpPr fitToPage="1"/>
  </sheetPr>
  <dimension ref="A1:H88"/>
  <sheetViews>
    <sheetView zoomScaleNormal="100" zoomScaleSheetLayoutView="100" workbookViewId="0">
      <pane ySplit="4" topLeftCell="A32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6" width="12.7109375" style="25" customWidth="1"/>
    <col min="7" max="16384" width="9.140625" style="4"/>
  </cols>
  <sheetData>
    <row r="1" spans="1:7" s="1" customFormat="1" ht="23.25" customHeight="1" x14ac:dyDescent="0.25">
      <c r="A1" s="294" t="s">
        <v>59</v>
      </c>
      <c r="B1" s="295"/>
      <c r="C1" s="295"/>
      <c r="D1" s="295"/>
      <c r="E1" s="295"/>
      <c r="F1" s="295"/>
    </row>
    <row r="2" spans="1:7" ht="13.5" thickBot="1" x14ac:dyDescent="0.25">
      <c r="A2" s="2"/>
      <c r="B2" s="2"/>
      <c r="C2" s="2"/>
      <c r="D2" s="2"/>
      <c r="E2" s="2"/>
      <c r="F2" s="3" t="s">
        <v>1</v>
      </c>
    </row>
    <row r="3" spans="1:7" ht="24.6" customHeight="1" x14ac:dyDescent="0.2">
      <c r="A3" s="296" t="s">
        <v>2</v>
      </c>
      <c r="B3" s="298" t="s">
        <v>3</v>
      </c>
      <c r="C3" s="299"/>
      <c r="D3" s="299"/>
      <c r="E3" s="299"/>
      <c r="F3" s="300"/>
    </row>
    <row r="4" spans="1:7" ht="24.6" customHeight="1" thickBot="1" x14ac:dyDescent="0.25">
      <c r="A4" s="297"/>
      <c r="B4" s="26">
        <v>2021</v>
      </c>
      <c r="C4" s="26">
        <v>2022</v>
      </c>
      <c r="D4" s="26">
        <v>2023</v>
      </c>
      <c r="E4" s="27">
        <v>2024</v>
      </c>
      <c r="F4" s="5" t="s">
        <v>4</v>
      </c>
    </row>
    <row r="5" spans="1:7" s="6" customFormat="1" ht="21" customHeight="1" x14ac:dyDescent="0.25">
      <c r="A5" s="301" t="s">
        <v>70</v>
      </c>
      <c r="B5" s="302"/>
      <c r="C5" s="302"/>
      <c r="D5" s="302"/>
      <c r="E5" s="303"/>
      <c r="F5" s="304"/>
    </row>
    <row r="6" spans="1:7" s="13" customFormat="1" ht="18" customHeight="1" x14ac:dyDescent="0.25">
      <c r="A6" s="305" t="s">
        <v>6</v>
      </c>
      <c r="B6" s="306"/>
      <c r="C6" s="306"/>
      <c r="D6" s="306"/>
      <c r="E6" s="306"/>
      <c r="F6" s="307"/>
    </row>
    <row r="7" spans="1:7" s="9" customFormat="1" ht="15" customHeight="1" x14ac:dyDescent="0.25">
      <c r="A7" s="7" t="s">
        <v>7</v>
      </c>
      <c r="B7" s="28">
        <v>46471</v>
      </c>
      <c r="C7" s="28">
        <v>66735</v>
      </c>
      <c r="D7" s="28">
        <v>64910</v>
      </c>
      <c r="E7" s="28">
        <v>0</v>
      </c>
      <c r="F7" s="8">
        <f>SUM(B7:E7)</f>
        <v>178116</v>
      </c>
      <c r="G7" s="9" t="s">
        <v>93</v>
      </c>
    </row>
    <row r="8" spans="1:7" s="9" customFormat="1" ht="24" customHeight="1" x14ac:dyDescent="0.25">
      <c r="A8" s="7" t="s">
        <v>8</v>
      </c>
      <c r="B8" s="28">
        <v>7525</v>
      </c>
      <c r="C8" s="28">
        <v>19984</v>
      </c>
      <c r="D8" s="28">
        <v>33995</v>
      </c>
      <c r="E8" s="28">
        <v>0</v>
      </c>
      <c r="F8" s="8">
        <f>SUM(B8:E8)</f>
        <v>61504</v>
      </c>
    </row>
    <row r="9" spans="1:7" s="6" customFormat="1" ht="15" customHeight="1" x14ac:dyDescent="0.25">
      <c r="A9" s="10" t="s">
        <v>9</v>
      </c>
      <c r="B9" s="11">
        <f t="shared" ref="B9:F9" si="0">SUM(B7:B8)</f>
        <v>53996</v>
      </c>
      <c r="C9" s="11">
        <f t="shared" si="0"/>
        <v>86719</v>
      </c>
      <c r="D9" s="11">
        <f t="shared" si="0"/>
        <v>98905</v>
      </c>
      <c r="E9" s="11">
        <f t="shared" si="0"/>
        <v>0</v>
      </c>
      <c r="F9" s="12">
        <f t="shared" si="0"/>
        <v>239620</v>
      </c>
    </row>
    <row r="10" spans="1:7" s="13" customFormat="1" ht="18" customHeight="1" x14ac:dyDescent="0.25">
      <c r="A10" s="305" t="s">
        <v>32</v>
      </c>
      <c r="B10" s="306"/>
      <c r="C10" s="306"/>
      <c r="D10" s="306"/>
      <c r="E10" s="306"/>
      <c r="F10" s="307"/>
    </row>
    <row r="11" spans="1:7" s="9" customFormat="1" ht="15" customHeight="1" x14ac:dyDescent="0.25">
      <c r="A11" s="7" t="s">
        <v>83</v>
      </c>
      <c r="B11" s="28">
        <v>0</v>
      </c>
      <c r="C11" s="28">
        <v>26810</v>
      </c>
      <c r="D11" s="28">
        <v>0</v>
      </c>
      <c r="E11" s="28">
        <v>0</v>
      </c>
      <c r="F11" s="8">
        <f>SUM(B11:E11)</f>
        <v>26810</v>
      </c>
    </row>
    <row r="12" spans="1:7" s="9" customFormat="1" ht="15" customHeight="1" x14ac:dyDescent="0.25">
      <c r="A12" s="7" t="s">
        <v>84</v>
      </c>
      <c r="B12" s="28">
        <v>0</v>
      </c>
      <c r="C12" s="28">
        <v>19097</v>
      </c>
      <c r="D12" s="28">
        <v>0</v>
      </c>
      <c r="E12" s="28">
        <v>0</v>
      </c>
      <c r="F12" s="8">
        <f>SUM(B12:E12)</f>
        <v>19097</v>
      </c>
    </row>
    <row r="13" spans="1:7" s="9" customFormat="1" ht="15" customHeight="1" x14ac:dyDescent="0.25">
      <c r="A13" s="7" t="s">
        <v>85</v>
      </c>
      <c r="B13" s="28">
        <v>0</v>
      </c>
      <c r="C13" s="28">
        <v>38128</v>
      </c>
      <c r="D13" s="28">
        <v>0</v>
      </c>
      <c r="E13" s="28">
        <v>0</v>
      </c>
      <c r="F13" s="8">
        <f>SUM(B13:E13)</f>
        <v>38128</v>
      </c>
    </row>
    <row r="14" spans="1:7" s="9" customFormat="1" ht="15" customHeight="1" x14ac:dyDescent="0.25">
      <c r="A14" s="7" t="s">
        <v>86</v>
      </c>
      <c r="B14" s="28">
        <v>0</v>
      </c>
      <c r="C14" s="28">
        <v>10963</v>
      </c>
      <c r="D14" s="28">
        <v>0</v>
      </c>
      <c r="E14" s="28">
        <v>0</v>
      </c>
      <c r="F14" s="8">
        <f>SUM(B14:E14)</f>
        <v>10963</v>
      </c>
    </row>
    <row r="15" spans="1:7" s="6" customFormat="1" ht="15" customHeight="1" x14ac:dyDescent="0.25">
      <c r="A15" s="10" t="s">
        <v>47</v>
      </c>
      <c r="B15" s="11">
        <f>SUM(B11:B14)</f>
        <v>0</v>
      </c>
      <c r="C15" s="11">
        <f t="shared" ref="C15:F15" si="1">SUM(C11:C14)</f>
        <v>94998</v>
      </c>
      <c r="D15" s="11">
        <f t="shared" si="1"/>
        <v>0</v>
      </c>
      <c r="E15" s="11">
        <f t="shared" si="1"/>
        <v>0</v>
      </c>
      <c r="F15" s="12">
        <f t="shared" si="1"/>
        <v>94998</v>
      </c>
    </row>
    <row r="16" spans="1:7" s="13" customFormat="1" ht="18" customHeight="1" x14ac:dyDescent="0.25">
      <c r="A16" s="305" t="s">
        <v>10</v>
      </c>
      <c r="B16" s="306"/>
      <c r="C16" s="306"/>
      <c r="D16" s="306"/>
      <c r="E16" s="306"/>
      <c r="F16" s="307"/>
    </row>
    <row r="17" spans="1:6" s="9" customFormat="1" ht="15" customHeight="1" x14ac:dyDescent="0.25">
      <c r="A17" s="7" t="s">
        <v>11</v>
      </c>
      <c r="B17" s="28">
        <v>0</v>
      </c>
      <c r="C17" s="28">
        <v>7543</v>
      </c>
      <c r="D17" s="28">
        <v>28670</v>
      </c>
      <c r="E17" s="28">
        <v>0</v>
      </c>
      <c r="F17" s="8">
        <f>SUM(B17:E17)</f>
        <v>36213</v>
      </c>
    </row>
    <row r="18" spans="1:6" s="6" customFormat="1" ht="15" customHeight="1" thickBot="1" x14ac:dyDescent="0.3">
      <c r="A18" s="10" t="s">
        <v>13</v>
      </c>
      <c r="B18" s="11">
        <f t="shared" ref="B18:F18" si="2">SUM(B17:B17)</f>
        <v>0</v>
      </c>
      <c r="C18" s="11">
        <f t="shared" si="2"/>
        <v>7543</v>
      </c>
      <c r="D18" s="11">
        <f t="shared" si="2"/>
        <v>28670</v>
      </c>
      <c r="E18" s="11">
        <f t="shared" si="2"/>
        <v>0</v>
      </c>
      <c r="F18" s="12">
        <f t="shared" si="2"/>
        <v>36213</v>
      </c>
    </row>
    <row r="19" spans="1:6" s="6" customFormat="1" ht="25.5" customHeight="1" thickBot="1" x14ac:dyDescent="0.3">
      <c r="A19" s="14" t="s">
        <v>71</v>
      </c>
      <c r="B19" s="15">
        <f>B9+B15+B18</f>
        <v>53996</v>
      </c>
      <c r="C19" s="15">
        <f t="shared" ref="C19:F19" si="3">C9+C15+C18</f>
        <v>189260</v>
      </c>
      <c r="D19" s="15">
        <f t="shared" si="3"/>
        <v>127575</v>
      </c>
      <c r="E19" s="15">
        <f t="shared" si="3"/>
        <v>0</v>
      </c>
      <c r="F19" s="16">
        <f t="shared" si="3"/>
        <v>370831</v>
      </c>
    </row>
    <row r="20" spans="1:6" s="6" customFormat="1" ht="24" customHeight="1" thickBot="1" x14ac:dyDescent="0.3">
      <c r="A20" s="17"/>
      <c r="B20" s="38"/>
      <c r="C20" s="38"/>
      <c r="D20" s="38"/>
      <c r="E20" s="38"/>
      <c r="F20" s="29"/>
    </row>
    <row r="21" spans="1:6" s="6" customFormat="1" ht="21" customHeight="1" x14ac:dyDescent="0.25">
      <c r="A21" s="301" t="s">
        <v>72</v>
      </c>
      <c r="B21" s="302"/>
      <c r="C21" s="302"/>
      <c r="D21" s="302"/>
      <c r="E21" s="303"/>
      <c r="F21" s="304"/>
    </row>
    <row r="22" spans="1:6" s="13" customFormat="1" ht="18" customHeight="1" x14ac:dyDescent="0.25">
      <c r="A22" s="305" t="s">
        <v>32</v>
      </c>
      <c r="B22" s="306"/>
      <c r="C22" s="306"/>
      <c r="D22" s="306"/>
      <c r="E22" s="306"/>
      <c r="F22" s="307"/>
    </row>
    <row r="23" spans="1:6" s="9" customFormat="1" ht="24" customHeight="1" x14ac:dyDescent="0.25">
      <c r="A23" s="7" t="s">
        <v>73</v>
      </c>
      <c r="B23" s="28">
        <v>0</v>
      </c>
      <c r="C23" s="28">
        <v>2898</v>
      </c>
      <c r="D23" s="28">
        <v>0</v>
      </c>
      <c r="E23" s="28">
        <v>0</v>
      </c>
      <c r="F23" s="8">
        <f>SUM(B23:E23)</f>
        <v>2898</v>
      </c>
    </row>
    <row r="24" spans="1:6" s="9" customFormat="1" ht="24" customHeight="1" x14ac:dyDescent="0.25">
      <c r="A24" s="7" t="s">
        <v>74</v>
      </c>
      <c r="B24" s="28">
        <v>0</v>
      </c>
      <c r="C24" s="28">
        <v>19624</v>
      </c>
      <c r="D24" s="28">
        <v>0</v>
      </c>
      <c r="E24" s="28">
        <v>0</v>
      </c>
      <c r="F24" s="8">
        <f>SUM(B24:E24)</f>
        <v>19624</v>
      </c>
    </row>
    <row r="25" spans="1:6" s="9" customFormat="1" ht="24" customHeight="1" x14ac:dyDescent="0.25">
      <c r="A25" s="7" t="s">
        <v>75</v>
      </c>
      <c r="B25" s="28">
        <v>0</v>
      </c>
      <c r="C25" s="28">
        <v>7371</v>
      </c>
      <c r="D25" s="28">
        <v>0</v>
      </c>
      <c r="E25" s="28">
        <v>0</v>
      </c>
      <c r="F25" s="8">
        <f>SUM(B25:E25)</f>
        <v>7371</v>
      </c>
    </row>
    <row r="26" spans="1:6" s="6" customFormat="1" ht="15" customHeight="1" x14ac:dyDescent="0.25">
      <c r="A26" s="10" t="s">
        <v>47</v>
      </c>
      <c r="B26" s="11">
        <f>SUM(B23:B25)</f>
        <v>0</v>
      </c>
      <c r="C26" s="11">
        <f t="shared" ref="C26:E26" si="4">SUM(C23:C25)</f>
        <v>29893</v>
      </c>
      <c r="D26" s="11">
        <f t="shared" si="4"/>
        <v>0</v>
      </c>
      <c r="E26" s="11">
        <f t="shared" si="4"/>
        <v>0</v>
      </c>
      <c r="F26" s="12">
        <f>SUM(F23:F25)</f>
        <v>29893</v>
      </c>
    </row>
    <row r="27" spans="1:6" s="13" customFormat="1" ht="18" customHeight="1" x14ac:dyDescent="0.25">
      <c r="A27" s="305" t="s">
        <v>48</v>
      </c>
      <c r="B27" s="306"/>
      <c r="C27" s="306"/>
      <c r="D27" s="306"/>
      <c r="E27" s="306"/>
      <c r="F27" s="307"/>
    </row>
    <row r="28" spans="1:6" s="9" customFormat="1" ht="24" customHeight="1" x14ac:dyDescent="0.25">
      <c r="A28" s="7" t="s">
        <v>76</v>
      </c>
      <c r="B28" s="28">
        <v>0</v>
      </c>
      <c r="C28" s="28">
        <v>18821</v>
      </c>
      <c r="D28" s="28">
        <v>0</v>
      </c>
      <c r="E28" s="28">
        <v>0</v>
      </c>
      <c r="F28" s="8">
        <f>SUM(B28:E28)</f>
        <v>18821</v>
      </c>
    </row>
    <row r="29" spans="1:6" s="9" customFormat="1" ht="24" customHeight="1" x14ac:dyDescent="0.25">
      <c r="A29" s="7" t="s">
        <v>77</v>
      </c>
      <c r="B29" s="28">
        <v>0</v>
      </c>
      <c r="C29" s="28">
        <v>14319</v>
      </c>
      <c r="D29" s="28">
        <v>0</v>
      </c>
      <c r="E29" s="28">
        <v>0</v>
      </c>
      <c r="F29" s="8">
        <f t="shared" ref="F29:F30" si="5">SUM(B29:E29)</f>
        <v>14319</v>
      </c>
    </row>
    <row r="30" spans="1:6" s="9" customFormat="1" ht="24" customHeight="1" x14ac:dyDescent="0.25">
      <c r="A30" s="7" t="s">
        <v>78</v>
      </c>
      <c r="B30" s="28">
        <v>0</v>
      </c>
      <c r="C30" s="28">
        <v>7079</v>
      </c>
      <c r="D30" s="28">
        <v>0</v>
      </c>
      <c r="E30" s="28">
        <v>0</v>
      </c>
      <c r="F30" s="8">
        <f t="shared" si="5"/>
        <v>7079</v>
      </c>
    </row>
    <row r="31" spans="1:6" s="6" customFormat="1" ht="15" customHeight="1" thickBot="1" x14ac:dyDescent="0.3">
      <c r="A31" s="10" t="s">
        <v>53</v>
      </c>
      <c r="B31" s="11">
        <f>SUM(B28:B30)</f>
        <v>0</v>
      </c>
      <c r="C31" s="11">
        <f t="shared" ref="C31:E31" si="6">SUM(C28:C30)</f>
        <v>40219</v>
      </c>
      <c r="D31" s="11">
        <f t="shared" si="6"/>
        <v>0</v>
      </c>
      <c r="E31" s="11">
        <f t="shared" si="6"/>
        <v>0</v>
      </c>
      <c r="F31" s="12">
        <f>SUM(F28:F30)</f>
        <v>40219</v>
      </c>
    </row>
    <row r="32" spans="1:6" s="6" customFormat="1" ht="36" customHeight="1" thickBot="1" x14ac:dyDescent="0.3">
      <c r="A32" s="14" t="s">
        <v>79</v>
      </c>
      <c r="B32" s="15">
        <f t="shared" ref="B32:F32" si="7">B26+B31</f>
        <v>0</v>
      </c>
      <c r="C32" s="15">
        <f t="shared" si="7"/>
        <v>70112</v>
      </c>
      <c r="D32" s="15">
        <f t="shared" si="7"/>
        <v>0</v>
      </c>
      <c r="E32" s="15">
        <f t="shared" si="7"/>
        <v>0</v>
      </c>
      <c r="F32" s="16">
        <f t="shared" si="7"/>
        <v>70112</v>
      </c>
    </row>
    <row r="33" spans="1:8" s="6" customFormat="1" ht="24" customHeight="1" thickBot="1" x14ac:dyDescent="0.3">
      <c r="A33" s="17"/>
      <c r="B33" s="38"/>
      <c r="C33" s="38"/>
      <c r="D33" s="38"/>
      <c r="E33" s="38"/>
      <c r="F33" s="29"/>
    </row>
    <row r="34" spans="1:8" s="6" customFormat="1" ht="21" customHeight="1" x14ac:dyDescent="0.25">
      <c r="A34" s="301" t="s">
        <v>15</v>
      </c>
      <c r="B34" s="302"/>
      <c r="C34" s="302"/>
      <c r="D34" s="302"/>
      <c r="E34" s="303"/>
      <c r="F34" s="304"/>
    </row>
    <row r="35" spans="1:8" ht="18" customHeight="1" x14ac:dyDescent="0.2">
      <c r="A35" s="305" t="s">
        <v>16</v>
      </c>
      <c r="B35" s="306"/>
      <c r="C35" s="306"/>
      <c r="D35" s="306"/>
      <c r="E35" s="306"/>
      <c r="F35" s="307"/>
    </row>
    <row r="36" spans="1:8" s="13" customFormat="1" ht="15" customHeight="1" x14ac:dyDescent="0.25">
      <c r="A36" s="19" t="s">
        <v>17</v>
      </c>
      <c r="B36" s="20">
        <v>807</v>
      </c>
      <c r="C36" s="20">
        <v>130993</v>
      </c>
      <c r="D36" s="20">
        <v>277178</v>
      </c>
      <c r="E36" s="20">
        <v>0</v>
      </c>
      <c r="F36" s="8">
        <f t="shared" ref="F36:F38" si="8">SUM(B36:E36)</f>
        <v>408978</v>
      </c>
    </row>
    <row r="37" spans="1:8" s="13" customFormat="1" ht="24" customHeight="1" x14ac:dyDescent="0.25">
      <c r="A37" s="19" t="s">
        <v>92</v>
      </c>
      <c r="B37" s="20">
        <v>27298</v>
      </c>
      <c r="C37" s="20">
        <v>29993</v>
      </c>
      <c r="D37" s="20">
        <v>64999</v>
      </c>
      <c r="E37" s="20">
        <v>3710</v>
      </c>
      <c r="F37" s="8">
        <f t="shared" si="8"/>
        <v>126000</v>
      </c>
    </row>
    <row r="38" spans="1:8" s="13" customFormat="1" ht="24" customHeight="1" x14ac:dyDescent="0.25">
      <c r="A38" s="19" t="s">
        <v>87</v>
      </c>
      <c r="B38" s="20">
        <v>0</v>
      </c>
      <c r="C38" s="20">
        <v>0</v>
      </c>
      <c r="D38" s="20">
        <v>75300</v>
      </c>
      <c r="E38" s="20">
        <v>0</v>
      </c>
      <c r="F38" s="8">
        <f t="shared" si="8"/>
        <v>75300</v>
      </c>
    </row>
    <row r="39" spans="1:8" s="6" customFormat="1" ht="15" customHeight="1" x14ac:dyDescent="0.25">
      <c r="A39" s="10" t="s">
        <v>19</v>
      </c>
      <c r="B39" s="11">
        <f>SUM(B36:B38)</f>
        <v>28105</v>
      </c>
      <c r="C39" s="11">
        <f t="shared" ref="C39:F39" si="9">SUM(C36:C38)</f>
        <v>160986</v>
      </c>
      <c r="D39" s="11">
        <f t="shared" si="9"/>
        <v>417477</v>
      </c>
      <c r="E39" s="11">
        <f t="shared" si="9"/>
        <v>3710</v>
      </c>
      <c r="F39" s="12">
        <f t="shared" si="9"/>
        <v>610278</v>
      </c>
    </row>
    <row r="40" spans="1:8" s="13" customFormat="1" ht="18" customHeight="1" x14ac:dyDescent="0.25">
      <c r="A40" s="308" t="s">
        <v>20</v>
      </c>
      <c r="B40" s="309"/>
      <c r="C40" s="309"/>
      <c r="D40" s="309"/>
      <c r="E40" s="309"/>
      <c r="F40" s="310"/>
    </row>
    <row r="41" spans="1:8" s="13" customFormat="1" ht="24" customHeight="1" x14ac:dyDescent="0.25">
      <c r="A41" s="21" t="s">
        <v>23</v>
      </c>
      <c r="B41" s="20">
        <v>615</v>
      </c>
      <c r="C41" s="20">
        <v>40400</v>
      </c>
      <c r="D41" s="20">
        <v>10000</v>
      </c>
      <c r="E41" s="20">
        <v>0</v>
      </c>
      <c r="F41" s="8">
        <f t="shared" ref="F41:F43" si="10">SUM(B41:E41)</f>
        <v>51015</v>
      </c>
    </row>
    <row r="42" spans="1:8" s="13" customFormat="1" ht="24" customHeight="1" x14ac:dyDescent="0.25">
      <c r="A42" s="21" t="s">
        <v>24</v>
      </c>
      <c r="B42" s="20">
        <v>25000</v>
      </c>
      <c r="C42" s="20">
        <v>70000</v>
      </c>
      <c r="D42" s="20">
        <v>0</v>
      </c>
      <c r="E42" s="20">
        <v>0</v>
      </c>
      <c r="F42" s="8">
        <f t="shared" si="10"/>
        <v>95000</v>
      </c>
    </row>
    <row r="43" spans="1:8" s="13" customFormat="1" ht="24" customHeight="1" x14ac:dyDescent="0.25">
      <c r="A43" s="21" t="s">
        <v>25</v>
      </c>
      <c r="B43" s="20">
        <v>0</v>
      </c>
      <c r="C43" s="20">
        <v>0</v>
      </c>
      <c r="D43" s="20">
        <v>30000</v>
      </c>
      <c r="E43" s="20">
        <v>65000</v>
      </c>
      <c r="F43" s="8">
        <f t="shared" si="10"/>
        <v>95000</v>
      </c>
    </row>
    <row r="44" spans="1:8" s="6" customFormat="1" ht="15" customHeight="1" x14ac:dyDescent="0.25">
      <c r="A44" s="10" t="s">
        <v>27</v>
      </c>
      <c r="B44" s="11">
        <f>SUM(B41:B43)</f>
        <v>25615</v>
      </c>
      <c r="C44" s="11">
        <f>SUM(C41:C43)</f>
        <v>110400</v>
      </c>
      <c r="D44" s="11">
        <f>SUM(D41:D43)</f>
        <v>40000</v>
      </c>
      <c r="E44" s="11">
        <f>SUM(E41:E43)</f>
        <v>65000</v>
      </c>
      <c r="F44" s="12">
        <f>SUM(F41:F43)</f>
        <v>241015</v>
      </c>
    </row>
    <row r="45" spans="1:8" s="13" customFormat="1" ht="18" customHeight="1" x14ac:dyDescent="0.25">
      <c r="A45" s="308" t="s">
        <v>6</v>
      </c>
      <c r="B45" s="309"/>
      <c r="C45" s="309"/>
      <c r="D45" s="309"/>
      <c r="E45" s="309"/>
      <c r="F45" s="310"/>
    </row>
    <row r="46" spans="1:8" s="13" customFormat="1" ht="15" customHeight="1" x14ac:dyDescent="0.25">
      <c r="A46" s="21" t="s">
        <v>28</v>
      </c>
      <c r="B46" s="22">
        <v>9000</v>
      </c>
      <c r="C46" s="22">
        <v>10000</v>
      </c>
      <c r="D46" s="22">
        <v>0</v>
      </c>
      <c r="E46" s="22">
        <v>0</v>
      </c>
      <c r="F46" s="8">
        <f t="shared" ref="F46:F49" si="11">SUM(B46:E46)</f>
        <v>19000</v>
      </c>
    </row>
    <row r="47" spans="1:8" s="13" customFormat="1" ht="24" customHeight="1" x14ac:dyDescent="0.25">
      <c r="A47" s="19" t="s">
        <v>29</v>
      </c>
      <c r="B47" s="39">
        <v>15865</v>
      </c>
      <c r="C47" s="20">
        <v>82731</v>
      </c>
      <c r="D47" s="20">
        <v>19761</v>
      </c>
      <c r="E47" s="20">
        <v>0</v>
      </c>
      <c r="F47" s="8">
        <f t="shared" si="11"/>
        <v>118357</v>
      </c>
      <c r="G47" s="13" t="s">
        <v>94</v>
      </c>
      <c r="H47" s="13" t="s">
        <v>95</v>
      </c>
    </row>
    <row r="48" spans="1:8" s="13" customFormat="1" ht="15" customHeight="1" x14ac:dyDescent="0.25">
      <c r="A48" s="23" t="s">
        <v>30</v>
      </c>
      <c r="B48" s="39">
        <v>52961</v>
      </c>
      <c r="C48" s="20">
        <v>130000</v>
      </c>
      <c r="D48" s="20">
        <v>112039</v>
      </c>
      <c r="E48" s="20">
        <v>0</v>
      </c>
      <c r="F48" s="8">
        <f t="shared" si="11"/>
        <v>295000</v>
      </c>
      <c r="G48" s="13" t="s">
        <v>94</v>
      </c>
      <c r="H48" s="13" t="s">
        <v>96</v>
      </c>
    </row>
    <row r="49" spans="1:6" s="13" customFormat="1" ht="24" customHeight="1" x14ac:dyDescent="0.25">
      <c r="A49" s="23" t="s">
        <v>31</v>
      </c>
      <c r="B49" s="20">
        <v>7800</v>
      </c>
      <c r="C49" s="20">
        <v>5700</v>
      </c>
      <c r="D49" s="20">
        <v>0</v>
      </c>
      <c r="E49" s="20">
        <v>0</v>
      </c>
      <c r="F49" s="8">
        <f t="shared" si="11"/>
        <v>13500</v>
      </c>
    </row>
    <row r="50" spans="1:6" s="6" customFormat="1" ht="15" customHeight="1" x14ac:dyDescent="0.25">
      <c r="A50" s="10" t="s">
        <v>9</v>
      </c>
      <c r="B50" s="11">
        <f t="shared" ref="B50:F50" si="12">SUM(B46:B49)</f>
        <v>85626</v>
      </c>
      <c r="C50" s="11">
        <f t="shared" si="12"/>
        <v>228431</v>
      </c>
      <c r="D50" s="11">
        <f t="shared" si="12"/>
        <v>131800</v>
      </c>
      <c r="E50" s="11">
        <f t="shared" si="12"/>
        <v>0</v>
      </c>
      <c r="F50" s="12">
        <f t="shared" si="12"/>
        <v>445857</v>
      </c>
    </row>
    <row r="51" spans="1:6" s="13" customFormat="1" ht="18" customHeight="1" x14ac:dyDescent="0.25">
      <c r="A51" s="308" t="s">
        <v>32</v>
      </c>
      <c r="B51" s="309"/>
      <c r="C51" s="309"/>
      <c r="D51" s="309"/>
      <c r="E51" s="309"/>
      <c r="F51" s="310"/>
    </row>
    <row r="52" spans="1:6" s="13" customFormat="1" ht="24" customHeight="1" x14ac:dyDescent="0.25">
      <c r="A52" s="23" t="s">
        <v>33</v>
      </c>
      <c r="B52" s="24">
        <v>45000</v>
      </c>
      <c r="C52" s="20">
        <v>0</v>
      </c>
      <c r="D52" s="20">
        <v>0</v>
      </c>
      <c r="E52" s="20">
        <v>0</v>
      </c>
      <c r="F52" s="8">
        <f t="shared" ref="F52:F72" si="13">SUM(B52:E52)</f>
        <v>45000</v>
      </c>
    </row>
    <row r="53" spans="1:6" s="13" customFormat="1" ht="24" customHeight="1" x14ac:dyDescent="0.25">
      <c r="A53" s="23" t="s">
        <v>34</v>
      </c>
      <c r="B53" s="24">
        <v>0</v>
      </c>
      <c r="C53" s="20">
        <v>5500</v>
      </c>
      <c r="D53" s="20">
        <v>25000</v>
      </c>
      <c r="E53" s="20">
        <v>0</v>
      </c>
      <c r="F53" s="8">
        <f t="shared" si="13"/>
        <v>30500</v>
      </c>
    </row>
    <row r="54" spans="1:6" s="13" customFormat="1" ht="24" customHeight="1" x14ac:dyDescent="0.25">
      <c r="A54" s="23" t="s">
        <v>68</v>
      </c>
      <c r="B54" s="24">
        <v>2090</v>
      </c>
      <c r="C54" s="20">
        <v>0</v>
      </c>
      <c r="D54" s="20">
        <v>26000</v>
      </c>
      <c r="E54" s="20">
        <v>27610</v>
      </c>
      <c r="F54" s="8">
        <f t="shared" si="13"/>
        <v>55700</v>
      </c>
    </row>
    <row r="55" spans="1:6" s="13" customFormat="1" ht="31.5" x14ac:dyDescent="0.25">
      <c r="A55" s="23" t="s">
        <v>36</v>
      </c>
      <c r="B55" s="24">
        <v>31098</v>
      </c>
      <c r="C55" s="20">
        <v>19500</v>
      </c>
      <c r="D55" s="20">
        <v>0</v>
      </c>
      <c r="E55" s="20">
        <v>0</v>
      </c>
      <c r="F55" s="8">
        <f t="shared" si="13"/>
        <v>50598</v>
      </c>
    </row>
    <row r="56" spans="1:6" s="13" customFormat="1" ht="31.5" x14ac:dyDescent="0.25">
      <c r="A56" s="23" t="s">
        <v>37</v>
      </c>
      <c r="B56" s="24">
        <v>5500</v>
      </c>
      <c r="C56" s="20">
        <v>0</v>
      </c>
      <c r="D56" s="20">
        <v>0</v>
      </c>
      <c r="E56" s="20">
        <v>0</v>
      </c>
      <c r="F56" s="8">
        <f t="shared" si="13"/>
        <v>5500</v>
      </c>
    </row>
    <row r="57" spans="1:6" s="13" customFormat="1" ht="24" customHeight="1" x14ac:dyDescent="0.25">
      <c r="A57" s="23" t="s">
        <v>38</v>
      </c>
      <c r="B57" s="24">
        <v>20571</v>
      </c>
      <c r="C57" s="20">
        <v>113428</v>
      </c>
      <c r="D57" s="20">
        <v>42000</v>
      </c>
      <c r="E57" s="20">
        <v>0</v>
      </c>
      <c r="F57" s="8">
        <f t="shared" si="13"/>
        <v>175999</v>
      </c>
    </row>
    <row r="58" spans="1:6" s="13" customFormat="1" ht="24" customHeight="1" x14ac:dyDescent="0.25">
      <c r="A58" s="23" t="s">
        <v>39</v>
      </c>
      <c r="B58" s="24">
        <v>51000</v>
      </c>
      <c r="C58" s="20">
        <v>0</v>
      </c>
      <c r="D58" s="20">
        <v>0</v>
      </c>
      <c r="E58" s="20">
        <v>0</v>
      </c>
      <c r="F58" s="8">
        <f t="shared" si="13"/>
        <v>51000</v>
      </c>
    </row>
    <row r="59" spans="1:6" s="13" customFormat="1" ht="24" customHeight="1" x14ac:dyDescent="0.25">
      <c r="A59" s="23" t="s">
        <v>40</v>
      </c>
      <c r="B59" s="55">
        <v>3300</v>
      </c>
      <c r="C59" s="20">
        <v>0</v>
      </c>
      <c r="D59" s="20">
        <v>0</v>
      </c>
      <c r="E59" s="20">
        <v>0</v>
      </c>
      <c r="F59" s="8">
        <f t="shared" si="13"/>
        <v>3300</v>
      </c>
    </row>
    <row r="60" spans="1:6" s="13" customFormat="1" ht="34.5" customHeight="1" x14ac:dyDescent="0.25">
      <c r="A60" s="23" t="s">
        <v>41</v>
      </c>
      <c r="B60" s="24">
        <v>10000</v>
      </c>
      <c r="C60" s="20">
        <v>28000</v>
      </c>
      <c r="D60" s="20">
        <v>0</v>
      </c>
      <c r="E60" s="20">
        <v>0</v>
      </c>
      <c r="F60" s="8">
        <f t="shared" si="13"/>
        <v>38000</v>
      </c>
    </row>
    <row r="61" spans="1:6" s="13" customFormat="1" ht="24" customHeight="1" x14ac:dyDescent="0.25">
      <c r="A61" s="23" t="s">
        <v>42</v>
      </c>
      <c r="B61" s="24">
        <v>27200</v>
      </c>
      <c r="C61" s="20">
        <v>500</v>
      </c>
      <c r="D61" s="20">
        <v>0</v>
      </c>
      <c r="E61" s="20">
        <v>0</v>
      </c>
      <c r="F61" s="8">
        <f t="shared" si="13"/>
        <v>27700</v>
      </c>
    </row>
    <row r="62" spans="1:6" s="13" customFormat="1" ht="24" customHeight="1" x14ac:dyDescent="0.25">
      <c r="A62" s="23" t="s">
        <v>43</v>
      </c>
      <c r="B62" s="24">
        <v>25700</v>
      </c>
      <c r="C62" s="20">
        <v>0</v>
      </c>
      <c r="D62" s="20">
        <v>0</v>
      </c>
      <c r="E62" s="20">
        <v>0</v>
      </c>
      <c r="F62" s="8">
        <f t="shared" si="13"/>
        <v>25700</v>
      </c>
    </row>
    <row r="63" spans="1:6" s="13" customFormat="1" ht="24" customHeight="1" x14ac:dyDescent="0.25">
      <c r="A63" s="23" t="s">
        <v>44</v>
      </c>
      <c r="B63" s="24">
        <v>40000</v>
      </c>
      <c r="C63" s="20">
        <v>0</v>
      </c>
      <c r="D63" s="20">
        <v>0</v>
      </c>
      <c r="E63" s="20">
        <v>0</v>
      </c>
      <c r="F63" s="8">
        <f t="shared" si="13"/>
        <v>40000</v>
      </c>
    </row>
    <row r="64" spans="1:6" s="13" customFormat="1" ht="24" customHeight="1" x14ac:dyDescent="0.25">
      <c r="A64" s="23" t="s">
        <v>45</v>
      </c>
      <c r="B64" s="24">
        <v>500</v>
      </c>
      <c r="C64" s="20">
        <v>50639</v>
      </c>
      <c r="D64" s="20">
        <v>0</v>
      </c>
      <c r="E64" s="20">
        <v>0</v>
      </c>
      <c r="F64" s="8">
        <f t="shared" si="13"/>
        <v>51139</v>
      </c>
    </row>
    <row r="65" spans="1:6" s="13" customFormat="1" ht="24" customHeight="1" x14ac:dyDescent="0.25">
      <c r="A65" s="23" t="s">
        <v>46</v>
      </c>
      <c r="B65" s="24">
        <v>6200</v>
      </c>
      <c r="C65" s="20">
        <v>0</v>
      </c>
      <c r="D65" s="20">
        <v>0</v>
      </c>
      <c r="E65" s="20">
        <v>0</v>
      </c>
      <c r="F65" s="8">
        <f t="shared" si="13"/>
        <v>6200</v>
      </c>
    </row>
    <row r="66" spans="1:6" s="13" customFormat="1" ht="24" customHeight="1" x14ac:dyDescent="0.25">
      <c r="A66" s="23" t="s">
        <v>69</v>
      </c>
      <c r="B66" s="24">
        <v>11065</v>
      </c>
      <c r="C66" s="20">
        <v>0</v>
      </c>
      <c r="D66" s="20">
        <v>100000</v>
      </c>
      <c r="E66" s="20">
        <v>100000</v>
      </c>
      <c r="F66" s="8">
        <f t="shared" si="13"/>
        <v>211065</v>
      </c>
    </row>
    <row r="67" spans="1:6" s="13" customFormat="1" ht="24" customHeight="1" x14ac:dyDescent="0.25">
      <c r="A67" s="21" t="s">
        <v>80</v>
      </c>
      <c r="B67" s="24">
        <v>1500</v>
      </c>
      <c r="C67" s="20">
        <v>12850</v>
      </c>
      <c r="D67" s="20">
        <v>0</v>
      </c>
      <c r="E67" s="20">
        <v>0</v>
      </c>
      <c r="F67" s="8">
        <f t="shared" si="13"/>
        <v>14350</v>
      </c>
    </row>
    <row r="68" spans="1:6" s="13" customFormat="1" ht="34.5" customHeight="1" x14ac:dyDescent="0.25">
      <c r="A68" s="21" t="s">
        <v>81</v>
      </c>
      <c r="B68" s="20">
        <v>0</v>
      </c>
      <c r="C68" s="20">
        <v>11420</v>
      </c>
      <c r="D68" s="20">
        <v>0</v>
      </c>
      <c r="E68" s="20">
        <v>0</v>
      </c>
      <c r="F68" s="8">
        <f t="shared" si="13"/>
        <v>11420</v>
      </c>
    </row>
    <row r="69" spans="1:6" s="13" customFormat="1" ht="15" customHeight="1" x14ac:dyDescent="0.25">
      <c r="A69" s="21" t="s">
        <v>88</v>
      </c>
      <c r="B69" s="20">
        <v>0</v>
      </c>
      <c r="C69" s="20">
        <v>60500</v>
      </c>
      <c r="D69" s="20">
        <v>0</v>
      </c>
      <c r="E69" s="20">
        <v>0</v>
      </c>
      <c r="F69" s="8">
        <f t="shared" si="13"/>
        <v>60500</v>
      </c>
    </row>
    <row r="70" spans="1:6" s="13" customFormat="1" ht="24" customHeight="1" x14ac:dyDescent="0.25">
      <c r="A70" s="21" t="s">
        <v>89</v>
      </c>
      <c r="B70" s="20">
        <v>9120</v>
      </c>
      <c r="C70" s="20">
        <v>0</v>
      </c>
      <c r="D70" s="20">
        <v>0</v>
      </c>
      <c r="E70" s="20">
        <v>0</v>
      </c>
      <c r="F70" s="8">
        <f t="shared" si="13"/>
        <v>9120</v>
      </c>
    </row>
    <row r="71" spans="1:6" s="13" customFormat="1" ht="24" customHeight="1" x14ac:dyDescent="0.25">
      <c r="A71" s="21" t="s">
        <v>90</v>
      </c>
      <c r="B71" s="20">
        <v>1500</v>
      </c>
      <c r="C71" s="20">
        <v>20000</v>
      </c>
      <c r="D71" s="20">
        <v>0</v>
      </c>
      <c r="E71" s="20">
        <v>0</v>
      </c>
      <c r="F71" s="8">
        <f t="shared" si="13"/>
        <v>21500</v>
      </c>
    </row>
    <row r="72" spans="1:6" s="13" customFormat="1" ht="24" customHeight="1" x14ac:dyDescent="0.25">
      <c r="A72" s="21" t="s">
        <v>91</v>
      </c>
      <c r="B72" s="20">
        <v>23000</v>
      </c>
      <c r="C72" s="20">
        <v>0</v>
      </c>
      <c r="D72" s="20">
        <v>0</v>
      </c>
      <c r="E72" s="20">
        <v>0</v>
      </c>
      <c r="F72" s="8">
        <f t="shared" si="13"/>
        <v>23000</v>
      </c>
    </row>
    <row r="73" spans="1:6" s="6" customFormat="1" ht="15" customHeight="1" x14ac:dyDescent="0.25">
      <c r="A73" s="10" t="s">
        <v>47</v>
      </c>
      <c r="B73" s="11">
        <f>SUM(B52:B72)</f>
        <v>314344</v>
      </c>
      <c r="C73" s="11">
        <f>SUM(C52:C72)</f>
        <v>322337</v>
      </c>
      <c r="D73" s="11">
        <f>SUM(D52:D72)</f>
        <v>193000</v>
      </c>
      <c r="E73" s="11">
        <f>SUM(E52:E72)</f>
        <v>127610</v>
      </c>
      <c r="F73" s="12">
        <f>SUM(F52:F72)</f>
        <v>957291</v>
      </c>
    </row>
    <row r="74" spans="1:6" s="13" customFormat="1" ht="18" customHeight="1" x14ac:dyDescent="0.25">
      <c r="A74" s="308" t="s">
        <v>48</v>
      </c>
      <c r="B74" s="309"/>
      <c r="C74" s="309"/>
      <c r="D74" s="309"/>
      <c r="E74" s="309"/>
      <c r="F74" s="310"/>
    </row>
    <row r="75" spans="1:6" s="13" customFormat="1" ht="24" customHeight="1" x14ac:dyDescent="0.25">
      <c r="A75" s="21" t="s">
        <v>49</v>
      </c>
      <c r="B75" s="24">
        <v>41000</v>
      </c>
      <c r="C75" s="24">
        <v>0</v>
      </c>
      <c r="D75" s="24">
        <v>0</v>
      </c>
      <c r="E75" s="24">
        <v>0</v>
      </c>
      <c r="F75" s="8">
        <f t="shared" ref="F75:F79" si="14">SUM(B75:E75)</f>
        <v>41000</v>
      </c>
    </row>
    <row r="76" spans="1:6" s="13" customFormat="1" ht="24" customHeight="1" x14ac:dyDescent="0.25">
      <c r="A76" s="21" t="s">
        <v>50</v>
      </c>
      <c r="B76" s="20">
        <v>15000</v>
      </c>
      <c r="C76" s="20">
        <v>119416</v>
      </c>
      <c r="D76" s="20">
        <v>50000</v>
      </c>
      <c r="E76" s="20">
        <v>0</v>
      </c>
      <c r="F76" s="8">
        <f t="shared" si="14"/>
        <v>184416</v>
      </c>
    </row>
    <row r="77" spans="1:6" s="13" customFormat="1" ht="24" customHeight="1" x14ac:dyDescent="0.25">
      <c r="A77" s="21" t="s">
        <v>51</v>
      </c>
      <c r="B77" s="20">
        <v>2000</v>
      </c>
      <c r="C77" s="20">
        <v>22000</v>
      </c>
      <c r="D77" s="20">
        <v>0</v>
      </c>
      <c r="E77" s="20">
        <v>0</v>
      </c>
      <c r="F77" s="8">
        <f t="shared" si="14"/>
        <v>24000</v>
      </c>
    </row>
    <row r="78" spans="1:6" s="13" customFormat="1" ht="24" customHeight="1" x14ac:dyDescent="0.25">
      <c r="A78" s="21" t="s">
        <v>52</v>
      </c>
      <c r="B78" s="20">
        <f>1000+2500</f>
        <v>3500</v>
      </c>
      <c r="C78" s="20">
        <v>30000</v>
      </c>
      <c r="D78" s="20">
        <v>0</v>
      </c>
      <c r="E78" s="20">
        <v>0</v>
      </c>
      <c r="F78" s="8">
        <f t="shared" si="14"/>
        <v>33500</v>
      </c>
    </row>
    <row r="79" spans="1:6" s="13" customFormat="1" ht="24" customHeight="1" x14ac:dyDescent="0.25">
      <c r="A79" s="30" t="s">
        <v>97</v>
      </c>
      <c r="B79" s="31">
        <v>21700</v>
      </c>
      <c r="C79" s="20">
        <v>0</v>
      </c>
      <c r="D79" s="20">
        <v>0</v>
      </c>
      <c r="E79" s="20">
        <v>0</v>
      </c>
      <c r="F79" s="8">
        <f t="shared" si="14"/>
        <v>21700</v>
      </c>
    </row>
    <row r="80" spans="1:6" s="6" customFormat="1" ht="15" customHeight="1" thickBot="1" x14ac:dyDescent="0.3">
      <c r="A80" s="10" t="s">
        <v>53</v>
      </c>
      <c r="B80" s="11">
        <f>SUM(B75:B79)</f>
        <v>83200</v>
      </c>
      <c r="C80" s="11">
        <f>SUM(C75:C79)</f>
        <v>171416</v>
      </c>
      <c r="D80" s="11">
        <f>SUM(D75:D79)</f>
        <v>50000</v>
      </c>
      <c r="E80" s="11">
        <f>SUM(E75:E79)</f>
        <v>0</v>
      </c>
      <c r="F80" s="12">
        <f>SUM(F75:F79)</f>
        <v>304616</v>
      </c>
    </row>
    <row r="81" spans="1:6" s="6" customFormat="1" ht="25.5" customHeight="1" thickBot="1" x14ac:dyDescent="0.3">
      <c r="A81" s="14" t="s">
        <v>54</v>
      </c>
      <c r="B81" s="15">
        <f>B80+B73+B50+B44+B39</f>
        <v>536890</v>
      </c>
      <c r="C81" s="15">
        <f>C80+C73+C50+C44+C39</f>
        <v>993570</v>
      </c>
      <c r="D81" s="15">
        <f>D80+D73+D50+D44+D39</f>
        <v>832277</v>
      </c>
      <c r="E81" s="15">
        <f>E80+E73+E50+E44+E39</f>
        <v>196320</v>
      </c>
      <c r="F81" s="16">
        <f>F80+F73+F50+F44+F39</f>
        <v>2559057</v>
      </c>
    </row>
    <row r="82" spans="1:6" s="6" customFormat="1" ht="13.5" thickBot="1" x14ac:dyDescent="0.3">
      <c r="A82" s="17"/>
      <c r="B82" s="38"/>
      <c r="C82" s="38"/>
      <c r="D82" s="38"/>
      <c r="E82" s="38"/>
      <c r="F82" s="18"/>
    </row>
    <row r="83" spans="1:6" s="6" customFormat="1" ht="21" customHeight="1" thickBot="1" x14ac:dyDescent="0.3">
      <c r="A83" s="14" t="s">
        <v>55</v>
      </c>
      <c r="B83" s="15">
        <f>SUM(B19,B32,B81)</f>
        <v>590886</v>
      </c>
      <c r="C83" s="15">
        <f>SUM(C19,C32,C81)</f>
        <v>1252942</v>
      </c>
      <c r="D83" s="15">
        <f>SUM(D19,D32,D81)</f>
        <v>959852</v>
      </c>
      <c r="E83" s="15">
        <f>SUM(E19,E32,E81)</f>
        <v>196320</v>
      </c>
      <c r="F83" s="16">
        <f>SUM(F19,F32,F81)</f>
        <v>3000000</v>
      </c>
    </row>
    <row r="85" spans="1:6" x14ac:dyDescent="0.2">
      <c r="A85" s="35"/>
    </row>
    <row r="86" spans="1:6" x14ac:dyDescent="0.2">
      <c r="A86" s="35"/>
    </row>
    <row r="87" spans="1:6" x14ac:dyDescent="0.2">
      <c r="A87" s="35"/>
    </row>
    <row r="88" spans="1:6" x14ac:dyDescent="0.2">
      <c r="A88" s="35"/>
    </row>
  </sheetData>
  <mergeCells count="16">
    <mergeCell ref="A10:F10"/>
    <mergeCell ref="A1:F1"/>
    <mergeCell ref="A3:A4"/>
    <mergeCell ref="B3:F3"/>
    <mergeCell ref="A5:F5"/>
    <mergeCell ref="A6:F6"/>
    <mergeCell ref="A40:F40"/>
    <mergeCell ref="A45:F45"/>
    <mergeCell ref="A51:F51"/>
    <mergeCell ref="A74:F74"/>
    <mergeCell ref="A16:F16"/>
    <mergeCell ref="A21:F21"/>
    <mergeCell ref="A22:F22"/>
    <mergeCell ref="A27:F27"/>
    <mergeCell ref="A34:F34"/>
    <mergeCell ref="A35:F35"/>
  </mergeCells>
  <pageMargins left="0.39370078740157483" right="0.39370078740157483" top="0.78740157480314965" bottom="0.39370078740157483" header="0.31496062992125984" footer="0.11811023622047245"/>
  <pageSetup paperSize="9" scale="83" firstPageNumber="8" fitToHeight="0" orientation="portrait" r:id="rId1"/>
  <headerFooter>
    <oddHeader>&amp;LPříloha č. 3</oddHeader>
    <oddFooter>&amp;C&amp;"Tahoma,Obyčejné"&amp;10&amp;P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AD315-91F1-4AFE-B696-1F3C212A218F}">
  <sheetPr>
    <pageSetUpPr fitToPage="1"/>
  </sheetPr>
  <dimension ref="A1:N98"/>
  <sheetViews>
    <sheetView topLeftCell="C1" zoomScale="87" zoomScaleNormal="87" zoomScaleSheetLayoutView="100" workbookViewId="0">
      <pane ySplit="3" topLeftCell="A61" activePane="bottomLeft" state="frozen"/>
      <selection activeCell="F91" sqref="F91"/>
      <selection pane="bottomLeft" activeCell="F91" sqref="F91"/>
    </sheetView>
  </sheetViews>
  <sheetFormatPr defaultColWidth="9.140625" defaultRowHeight="12.75" x14ac:dyDescent="0.2"/>
  <cols>
    <col min="1" max="1" width="50.7109375" style="4" customWidth="1"/>
    <col min="2" max="9" width="12.7109375" style="120" customWidth="1"/>
    <col min="10" max="10" width="15.7109375" style="120" customWidth="1"/>
    <col min="11" max="11" width="14.140625" style="120" customWidth="1"/>
    <col min="12" max="12" width="67.5703125" style="4" customWidth="1"/>
    <col min="13" max="13" width="9.140625" style="4"/>
    <col min="14" max="14" width="12.5703125" style="4" bestFit="1" customWidth="1"/>
    <col min="15" max="16384" width="9.140625" style="4"/>
  </cols>
  <sheetData>
    <row r="1" spans="1:12" s="1" customFormat="1" ht="23.25" customHeight="1" thickBot="1" x14ac:dyDescent="0.3">
      <c r="A1" s="294" t="s">
        <v>98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  <c r="L1" s="56"/>
    </row>
    <row r="2" spans="1:12" ht="24.6" customHeight="1" thickBot="1" x14ac:dyDescent="0.25">
      <c r="A2" s="296" t="s">
        <v>2</v>
      </c>
      <c r="B2" s="314" t="s">
        <v>3</v>
      </c>
      <c r="C2" s="315"/>
      <c r="D2" s="299"/>
      <c r="E2" s="299"/>
      <c r="F2" s="299"/>
      <c r="G2" s="299"/>
      <c r="H2" s="299"/>
      <c r="I2" s="299"/>
      <c r="J2" s="315"/>
      <c r="K2" s="316"/>
      <c r="L2" s="57"/>
    </row>
    <row r="3" spans="1:12" ht="24.6" customHeight="1" thickBot="1" x14ac:dyDescent="0.25">
      <c r="A3" s="297"/>
      <c r="B3" s="58">
        <v>2021</v>
      </c>
      <c r="C3" s="59" t="s">
        <v>99</v>
      </c>
      <c r="D3" s="58">
        <v>2022</v>
      </c>
      <c r="E3" s="59" t="s">
        <v>100</v>
      </c>
      <c r="F3" s="58">
        <v>2023</v>
      </c>
      <c r="G3" s="59" t="s">
        <v>101</v>
      </c>
      <c r="H3" s="58">
        <v>2024</v>
      </c>
      <c r="I3" s="59" t="s">
        <v>102</v>
      </c>
      <c r="J3" s="60" t="s">
        <v>103</v>
      </c>
      <c r="K3" s="61" t="s">
        <v>104</v>
      </c>
      <c r="L3" s="62" t="s">
        <v>105</v>
      </c>
    </row>
    <row r="4" spans="1:12" s="6" customFormat="1" ht="21" customHeight="1" x14ac:dyDescent="0.25">
      <c r="A4" s="301" t="s">
        <v>70</v>
      </c>
      <c r="B4" s="302"/>
      <c r="C4" s="302"/>
      <c r="D4" s="302"/>
      <c r="E4" s="302"/>
      <c r="F4" s="302"/>
      <c r="G4" s="302"/>
      <c r="H4" s="317"/>
      <c r="I4" s="318"/>
      <c r="J4" s="318"/>
      <c r="K4" s="319"/>
      <c r="L4" s="63"/>
    </row>
    <row r="5" spans="1:12" s="13" customFormat="1" ht="27" customHeight="1" thickBot="1" x14ac:dyDescent="0.25">
      <c r="A5" s="311" t="s">
        <v>6</v>
      </c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64"/>
    </row>
    <row r="6" spans="1:12" s="9" customFormat="1" ht="15" customHeight="1" x14ac:dyDescent="0.25">
      <c r="A6" s="65" t="s">
        <v>7</v>
      </c>
      <c r="B6" s="66">
        <v>46471</v>
      </c>
      <c r="C6" s="67">
        <v>28791</v>
      </c>
      <c r="D6" s="66">
        <v>66735</v>
      </c>
      <c r="E6" s="67">
        <v>58375</v>
      </c>
      <c r="F6" s="66">
        <v>64910</v>
      </c>
      <c r="G6" s="67">
        <v>55950</v>
      </c>
      <c r="H6" s="66">
        <v>0</v>
      </c>
      <c r="I6" s="67">
        <v>0</v>
      </c>
      <c r="J6" s="68">
        <f>B6+D6+F6+H6</f>
        <v>178116</v>
      </c>
      <c r="K6" s="69">
        <f>C6+E6+G6+I6</f>
        <v>143116</v>
      </c>
      <c r="L6" s="70"/>
    </row>
    <row r="7" spans="1:12" s="9" customFormat="1" ht="24" customHeight="1" thickBot="1" x14ac:dyDescent="0.3">
      <c r="A7" s="71" t="s">
        <v>8</v>
      </c>
      <c r="B7" s="72">
        <v>7525</v>
      </c>
      <c r="C7" s="73">
        <v>7525</v>
      </c>
      <c r="D7" s="72">
        <v>19984</v>
      </c>
      <c r="E7" s="73">
        <v>19984</v>
      </c>
      <c r="F7" s="72">
        <v>33995</v>
      </c>
      <c r="G7" s="73">
        <v>19995</v>
      </c>
      <c r="H7" s="72">
        <v>0</v>
      </c>
      <c r="I7" s="73">
        <v>0</v>
      </c>
      <c r="J7" s="74">
        <f>B7+D7+F7+H7</f>
        <v>61504</v>
      </c>
      <c r="K7" s="75">
        <f>C7+E7+G7+I7</f>
        <v>47504</v>
      </c>
      <c r="L7" s="70"/>
    </row>
    <row r="8" spans="1:12" s="6" customFormat="1" ht="15" customHeight="1" thickBot="1" x14ac:dyDescent="0.3">
      <c r="A8" s="76" t="s">
        <v>9</v>
      </c>
      <c r="B8" s="60">
        <f t="shared" ref="B8:I8" si="0">SUM(B6:B7)</f>
        <v>53996</v>
      </c>
      <c r="C8" s="77">
        <f t="shared" si="0"/>
        <v>36316</v>
      </c>
      <c r="D8" s="60">
        <f t="shared" si="0"/>
        <v>86719</v>
      </c>
      <c r="E8" s="77">
        <f t="shared" si="0"/>
        <v>78359</v>
      </c>
      <c r="F8" s="60">
        <f t="shared" si="0"/>
        <v>98905</v>
      </c>
      <c r="G8" s="77">
        <f t="shared" si="0"/>
        <v>75945</v>
      </c>
      <c r="H8" s="60">
        <f t="shared" si="0"/>
        <v>0</v>
      </c>
      <c r="I8" s="77">
        <f t="shared" si="0"/>
        <v>0</v>
      </c>
      <c r="J8" s="60">
        <f>SUM(J6:J7)</f>
        <v>239620</v>
      </c>
      <c r="K8" s="78">
        <f>SUM(K6:K7)</f>
        <v>190620</v>
      </c>
      <c r="L8" s="63"/>
    </row>
    <row r="9" spans="1:12" s="13" customFormat="1" ht="15" customHeight="1" thickBot="1" x14ac:dyDescent="0.25">
      <c r="A9" s="311" t="s">
        <v>32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64"/>
    </row>
    <row r="10" spans="1:12" s="9" customFormat="1" ht="15" customHeight="1" x14ac:dyDescent="0.25">
      <c r="A10" s="65" t="s">
        <v>83</v>
      </c>
      <c r="B10" s="79">
        <v>0</v>
      </c>
      <c r="C10" s="80">
        <v>0</v>
      </c>
      <c r="D10" s="79">
        <v>26810</v>
      </c>
      <c r="E10" s="80">
        <v>26810</v>
      </c>
      <c r="F10" s="79">
        <v>0</v>
      </c>
      <c r="G10" s="80">
        <v>0</v>
      </c>
      <c r="H10" s="79">
        <v>0</v>
      </c>
      <c r="I10" s="80">
        <v>0</v>
      </c>
      <c r="J10" s="81">
        <f>B10+D10+F10+H10</f>
        <v>26810</v>
      </c>
      <c r="K10" s="82">
        <f>C10+E10+G10+I10</f>
        <v>26810</v>
      </c>
      <c r="L10" s="70"/>
    </row>
    <row r="11" spans="1:12" s="9" customFormat="1" ht="15" customHeight="1" x14ac:dyDescent="0.25">
      <c r="A11" s="71" t="s">
        <v>84</v>
      </c>
      <c r="B11" s="83">
        <v>0</v>
      </c>
      <c r="C11" s="84">
        <v>0</v>
      </c>
      <c r="D11" s="83">
        <v>19097</v>
      </c>
      <c r="E11" s="84">
        <v>19097</v>
      </c>
      <c r="F11" s="83">
        <v>0</v>
      </c>
      <c r="G11" s="84">
        <v>0</v>
      </c>
      <c r="H11" s="83">
        <v>0</v>
      </c>
      <c r="I11" s="84">
        <v>0</v>
      </c>
      <c r="J11" s="85">
        <f>B11+D11+F11+H11</f>
        <v>19097</v>
      </c>
      <c r="K11" s="86">
        <f t="shared" ref="K11:K13" si="1">C11+E11+G11+I11</f>
        <v>19097</v>
      </c>
      <c r="L11" s="70"/>
    </row>
    <row r="12" spans="1:12" s="9" customFormat="1" ht="15" customHeight="1" x14ac:dyDescent="0.25">
      <c r="A12" s="65" t="s">
        <v>85</v>
      </c>
      <c r="B12" s="83">
        <v>0</v>
      </c>
      <c r="C12" s="84">
        <v>0</v>
      </c>
      <c r="D12" s="83">
        <v>38128</v>
      </c>
      <c r="E12" s="84">
        <v>50842</v>
      </c>
      <c r="F12" s="83">
        <v>0</v>
      </c>
      <c r="G12" s="84">
        <v>0</v>
      </c>
      <c r="H12" s="83">
        <v>0</v>
      </c>
      <c r="I12" s="84">
        <v>0</v>
      </c>
      <c r="J12" s="85">
        <f>B12+D12+F12+H12</f>
        <v>38128</v>
      </c>
      <c r="K12" s="86">
        <f t="shared" si="1"/>
        <v>50842</v>
      </c>
      <c r="L12" s="70"/>
    </row>
    <row r="13" spans="1:12" s="9" customFormat="1" ht="15" customHeight="1" thickBot="1" x14ac:dyDescent="0.3">
      <c r="A13" s="71" t="s">
        <v>86</v>
      </c>
      <c r="B13" s="87">
        <v>0</v>
      </c>
      <c r="C13" s="88">
        <v>0</v>
      </c>
      <c r="D13" s="87">
        <v>10963</v>
      </c>
      <c r="E13" s="88">
        <v>10963</v>
      </c>
      <c r="F13" s="87">
        <v>0</v>
      </c>
      <c r="G13" s="88">
        <v>0</v>
      </c>
      <c r="H13" s="87">
        <v>0</v>
      </c>
      <c r="I13" s="88">
        <v>0</v>
      </c>
      <c r="J13" s="89">
        <f>B13+D13+F13+H13</f>
        <v>10963</v>
      </c>
      <c r="K13" s="90">
        <f t="shared" si="1"/>
        <v>10963</v>
      </c>
      <c r="L13" s="70"/>
    </row>
    <row r="14" spans="1:12" s="6" customFormat="1" ht="15" customHeight="1" thickBot="1" x14ac:dyDescent="0.3">
      <c r="A14" s="76" t="s">
        <v>47</v>
      </c>
      <c r="B14" s="60">
        <f>SUM(B10:B13)</f>
        <v>0</v>
      </c>
      <c r="C14" s="77">
        <f t="shared" ref="C14:K14" si="2">SUM(C10:C13)</f>
        <v>0</v>
      </c>
      <c r="D14" s="60">
        <f t="shared" si="2"/>
        <v>94998</v>
      </c>
      <c r="E14" s="77">
        <f t="shared" si="2"/>
        <v>107712</v>
      </c>
      <c r="F14" s="60">
        <f t="shared" si="2"/>
        <v>0</v>
      </c>
      <c r="G14" s="77">
        <f t="shared" si="2"/>
        <v>0</v>
      </c>
      <c r="H14" s="60">
        <f t="shared" si="2"/>
        <v>0</v>
      </c>
      <c r="I14" s="77">
        <f t="shared" si="2"/>
        <v>0</v>
      </c>
      <c r="J14" s="60">
        <f t="shared" si="2"/>
        <v>94998</v>
      </c>
      <c r="K14" s="78">
        <f t="shared" si="2"/>
        <v>107712</v>
      </c>
      <c r="L14" s="63"/>
    </row>
    <row r="15" spans="1:12" s="13" customFormat="1" ht="15.75" customHeight="1" thickBot="1" x14ac:dyDescent="0.25">
      <c r="A15" s="311" t="s">
        <v>10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12"/>
      <c r="L15" s="64"/>
    </row>
    <row r="16" spans="1:12" s="9" customFormat="1" ht="15" customHeight="1" thickBot="1" x14ac:dyDescent="0.3">
      <c r="A16" s="65" t="s">
        <v>11</v>
      </c>
      <c r="B16" s="79">
        <v>0</v>
      </c>
      <c r="C16" s="80">
        <v>0</v>
      </c>
      <c r="D16" s="79">
        <v>7543</v>
      </c>
      <c r="E16" s="80">
        <v>8443</v>
      </c>
      <c r="F16" s="79">
        <v>28670</v>
      </c>
      <c r="G16" s="80">
        <v>27770</v>
      </c>
      <c r="H16" s="79">
        <v>0</v>
      </c>
      <c r="I16" s="80">
        <v>0</v>
      </c>
      <c r="J16" s="81">
        <f>B16+D16+F16</f>
        <v>36213</v>
      </c>
      <c r="K16" s="82">
        <f>C16+E16+G16+I16</f>
        <v>36213</v>
      </c>
      <c r="L16" s="70"/>
    </row>
    <row r="17" spans="1:12" s="6" customFormat="1" ht="24.75" customHeight="1" thickBot="1" x14ac:dyDescent="0.3">
      <c r="A17" s="76" t="s">
        <v>13</v>
      </c>
      <c r="B17" s="60">
        <f t="shared" ref="B17:K17" si="3">SUM(B16:B16)</f>
        <v>0</v>
      </c>
      <c r="C17" s="77">
        <f t="shared" si="3"/>
        <v>0</v>
      </c>
      <c r="D17" s="60">
        <f t="shared" si="3"/>
        <v>7543</v>
      </c>
      <c r="E17" s="77">
        <f t="shared" si="3"/>
        <v>8443</v>
      </c>
      <c r="F17" s="60">
        <f t="shared" si="3"/>
        <v>28670</v>
      </c>
      <c r="G17" s="77">
        <f t="shared" si="3"/>
        <v>27770</v>
      </c>
      <c r="H17" s="60">
        <f t="shared" si="3"/>
        <v>0</v>
      </c>
      <c r="I17" s="77">
        <f t="shared" si="3"/>
        <v>0</v>
      </c>
      <c r="J17" s="60">
        <f t="shared" si="3"/>
        <v>36213</v>
      </c>
      <c r="K17" s="77">
        <f t="shared" si="3"/>
        <v>36213</v>
      </c>
      <c r="L17" s="63"/>
    </row>
    <row r="18" spans="1:12" s="6" customFormat="1" ht="25.5" customHeight="1" thickBot="1" x14ac:dyDescent="0.3">
      <c r="A18" s="91" t="s">
        <v>71</v>
      </c>
      <c r="B18" s="92">
        <f>B8+B14+B17</f>
        <v>53996</v>
      </c>
      <c r="C18" s="93">
        <f t="shared" ref="C18:K18" si="4">C8+C14+C17</f>
        <v>36316</v>
      </c>
      <c r="D18" s="92">
        <f t="shared" si="4"/>
        <v>189260</v>
      </c>
      <c r="E18" s="93">
        <f t="shared" si="4"/>
        <v>194514</v>
      </c>
      <c r="F18" s="92">
        <f t="shared" si="4"/>
        <v>127575</v>
      </c>
      <c r="G18" s="93">
        <f t="shared" si="4"/>
        <v>103715</v>
      </c>
      <c r="H18" s="92">
        <f t="shared" si="4"/>
        <v>0</v>
      </c>
      <c r="I18" s="93">
        <f t="shared" si="4"/>
        <v>0</v>
      </c>
      <c r="J18" s="92">
        <f t="shared" si="4"/>
        <v>370831</v>
      </c>
      <c r="K18" s="93">
        <f t="shared" si="4"/>
        <v>334545</v>
      </c>
      <c r="L18" s="63"/>
    </row>
    <row r="19" spans="1:12" s="6" customFormat="1" ht="12" customHeight="1" thickBot="1" x14ac:dyDescent="0.3">
      <c r="A19" s="17"/>
      <c r="B19" s="94"/>
      <c r="C19" s="94"/>
      <c r="D19" s="94"/>
      <c r="E19" s="94"/>
      <c r="F19" s="94"/>
      <c r="G19" s="94"/>
      <c r="H19" s="94"/>
      <c r="I19" s="94"/>
      <c r="J19" s="94"/>
      <c r="K19" s="95"/>
      <c r="L19" s="63"/>
    </row>
    <row r="20" spans="1:12" s="6" customFormat="1" ht="21" customHeight="1" x14ac:dyDescent="0.25">
      <c r="A20" s="301" t="s">
        <v>72</v>
      </c>
      <c r="B20" s="302"/>
      <c r="C20" s="302"/>
      <c r="D20" s="302"/>
      <c r="E20" s="302"/>
      <c r="F20" s="302"/>
      <c r="G20" s="302"/>
      <c r="H20" s="317"/>
      <c r="I20" s="318"/>
      <c r="J20" s="318"/>
      <c r="K20" s="319"/>
      <c r="L20" s="63"/>
    </row>
    <row r="21" spans="1:12" s="13" customFormat="1" ht="18" customHeight="1" thickBot="1" x14ac:dyDescent="0.25">
      <c r="A21" s="311" t="s">
        <v>32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  <c r="L21" s="64"/>
    </row>
    <row r="22" spans="1:12" s="9" customFormat="1" ht="26.25" customHeight="1" x14ac:dyDescent="0.25">
      <c r="A22" s="65" t="s">
        <v>73</v>
      </c>
      <c r="B22" s="79">
        <v>0</v>
      </c>
      <c r="C22" s="80">
        <v>0</v>
      </c>
      <c r="D22" s="79">
        <v>2898</v>
      </c>
      <c r="E22" s="80">
        <v>2898</v>
      </c>
      <c r="F22" s="79">
        <v>0</v>
      </c>
      <c r="G22" s="80">
        <v>0</v>
      </c>
      <c r="H22" s="79">
        <v>0</v>
      </c>
      <c r="I22" s="80">
        <v>0</v>
      </c>
      <c r="J22" s="81">
        <f>B22+D22+F22+H22</f>
        <v>2898</v>
      </c>
      <c r="K22" s="82">
        <f>C22+E22+G22+I22</f>
        <v>2898</v>
      </c>
      <c r="L22" s="70"/>
    </row>
    <row r="23" spans="1:12" s="9" customFormat="1" ht="26.25" customHeight="1" x14ac:dyDescent="0.25">
      <c r="A23" s="65" t="s">
        <v>74</v>
      </c>
      <c r="B23" s="83">
        <v>0</v>
      </c>
      <c r="C23" s="84">
        <v>0</v>
      </c>
      <c r="D23" s="83">
        <v>19624</v>
      </c>
      <c r="E23" s="84">
        <v>19624</v>
      </c>
      <c r="F23" s="83">
        <v>0</v>
      </c>
      <c r="G23" s="84">
        <v>0</v>
      </c>
      <c r="H23" s="83">
        <v>0</v>
      </c>
      <c r="I23" s="84">
        <v>0</v>
      </c>
      <c r="J23" s="85">
        <f>B23+D23+F23+H23</f>
        <v>19624</v>
      </c>
      <c r="K23" s="86">
        <f t="shared" ref="K23:K24" si="5">C23+E23+G23+I23</f>
        <v>19624</v>
      </c>
      <c r="L23" s="70"/>
    </row>
    <row r="24" spans="1:12" s="9" customFormat="1" ht="26.25" customHeight="1" thickBot="1" x14ac:dyDescent="0.3">
      <c r="A24" s="71" t="s">
        <v>75</v>
      </c>
      <c r="B24" s="87">
        <v>0</v>
      </c>
      <c r="C24" s="88">
        <v>0</v>
      </c>
      <c r="D24" s="87">
        <v>7371</v>
      </c>
      <c r="E24" s="88">
        <v>7371</v>
      </c>
      <c r="F24" s="87">
        <v>0</v>
      </c>
      <c r="G24" s="88">
        <v>0</v>
      </c>
      <c r="H24" s="87">
        <v>0</v>
      </c>
      <c r="I24" s="88">
        <v>0</v>
      </c>
      <c r="J24" s="89">
        <f>B24+D24+F24+H24</f>
        <v>7371</v>
      </c>
      <c r="K24" s="90">
        <f t="shared" si="5"/>
        <v>7371</v>
      </c>
      <c r="L24" s="70"/>
    </row>
    <row r="25" spans="1:12" s="6" customFormat="1" ht="18.75" customHeight="1" thickBot="1" x14ac:dyDescent="0.3">
      <c r="A25" s="76" t="s">
        <v>47</v>
      </c>
      <c r="B25" s="60">
        <f>SUM(B22:B24)</f>
        <v>0</v>
      </c>
      <c r="C25" s="77">
        <f t="shared" ref="C25:I25" si="6">SUM(C22:C24)</f>
        <v>0</v>
      </c>
      <c r="D25" s="60">
        <f t="shared" si="6"/>
        <v>29893</v>
      </c>
      <c r="E25" s="77">
        <f t="shared" si="6"/>
        <v>29893</v>
      </c>
      <c r="F25" s="60">
        <f t="shared" si="6"/>
        <v>0</v>
      </c>
      <c r="G25" s="77">
        <f t="shared" si="6"/>
        <v>0</v>
      </c>
      <c r="H25" s="60">
        <f t="shared" si="6"/>
        <v>0</v>
      </c>
      <c r="I25" s="77">
        <f t="shared" si="6"/>
        <v>0</v>
      </c>
      <c r="J25" s="60">
        <f>SUM(J22:J24)</f>
        <v>29893</v>
      </c>
      <c r="K25" s="78">
        <f>SUM(K22:K24)</f>
        <v>29893</v>
      </c>
      <c r="L25" s="63"/>
    </row>
    <row r="26" spans="1:12" s="13" customFormat="1" ht="15.75" customHeight="1" thickBot="1" x14ac:dyDescent="0.25">
      <c r="A26" s="311" t="s">
        <v>48</v>
      </c>
      <c r="B26" s="312"/>
      <c r="C26" s="312"/>
      <c r="D26" s="312"/>
      <c r="E26" s="312"/>
      <c r="F26" s="312"/>
      <c r="G26" s="312"/>
      <c r="H26" s="312"/>
      <c r="I26" s="312"/>
      <c r="J26" s="312"/>
      <c r="K26" s="312"/>
      <c r="L26" s="64"/>
    </row>
    <row r="27" spans="1:12" s="9" customFormat="1" ht="26.25" customHeight="1" x14ac:dyDescent="0.25">
      <c r="A27" s="65" t="s">
        <v>76</v>
      </c>
      <c r="B27" s="79">
        <v>0</v>
      </c>
      <c r="C27" s="80">
        <v>0</v>
      </c>
      <c r="D27" s="79">
        <v>18821</v>
      </c>
      <c r="E27" s="80">
        <v>18821</v>
      </c>
      <c r="F27" s="79">
        <v>0</v>
      </c>
      <c r="G27" s="80">
        <v>0</v>
      </c>
      <c r="H27" s="79">
        <v>0</v>
      </c>
      <c r="I27" s="80">
        <v>0</v>
      </c>
      <c r="J27" s="81">
        <f>B27+D27+F27+H27</f>
        <v>18821</v>
      </c>
      <c r="K27" s="82">
        <f>C27+E27+G27+I27</f>
        <v>18821</v>
      </c>
      <c r="L27" s="70"/>
    </row>
    <row r="28" spans="1:12" s="9" customFormat="1" ht="26.25" customHeight="1" x14ac:dyDescent="0.25">
      <c r="A28" s="65" t="s">
        <v>77</v>
      </c>
      <c r="B28" s="83">
        <v>0</v>
      </c>
      <c r="C28" s="84">
        <v>0</v>
      </c>
      <c r="D28" s="83">
        <v>14319</v>
      </c>
      <c r="E28" s="84">
        <v>14319</v>
      </c>
      <c r="F28" s="83">
        <v>0</v>
      </c>
      <c r="G28" s="84">
        <v>0</v>
      </c>
      <c r="H28" s="83">
        <v>0</v>
      </c>
      <c r="I28" s="84">
        <v>0</v>
      </c>
      <c r="J28" s="85">
        <f>B28+D28+F28+H28</f>
        <v>14319</v>
      </c>
      <c r="K28" s="86">
        <f t="shared" ref="K28:K29" si="7">C28+E28+G28+I28</f>
        <v>14319</v>
      </c>
      <c r="L28" s="70"/>
    </row>
    <row r="29" spans="1:12" s="9" customFormat="1" ht="26.25" customHeight="1" thickBot="1" x14ac:dyDescent="0.3">
      <c r="A29" s="71" t="s">
        <v>78</v>
      </c>
      <c r="B29" s="87">
        <v>0</v>
      </c>
      <c r="C29" s="88">
        <v>0</v>
      </c>
      <c r="D29" s="87">
        <v>7079</v>
      </c>
      <c r="E29" s="88">
        <v>7079</v>
      </c>
      <c r="F29" s="87">
        <v>0</v>
      </c>
      <c r="G29" s="88">
        <v>0</v>
      </c>
      <c r="H29" s="87">
        <v>0</v>
      </c>
      <c r="I29" s="88">
        <v>0</v>
      </c>
      <c r="J29" s="89">
        <f>B29+D29+F29+H29</f>
        <v>7079</v>
      </c>
      <c r="K29" s="90">
        <f t="shared" si="7"/>
        <v>7079</v>
      </c>
      <c r="L29" s="70"/>
    </row>
    <row r="30" spans="1:12" s="6" customFormat="1" ht="18.75" customHeight="1" thickBot="1" x14ac:dyDescent="0.3">
      <c r="A30" s="76" t="s">
        <v>53</v>
      </c>
      <c r="B30" s="60">
        <f>SUM(B27:B29)</f>
        <v>0</v>
      </c>
      <c r="C30" s="77">
        <f t="shared" ref="C30:I30" si="8">SUM(C27:C29)</f>
        <v>0</v>
      </c>
      <c r="D30" s="60">
        <f t="shared" si="8"/>
        <v>40219</v>
      </c>
      <c r="E30" s="77">
        <f t="shared" si="8"/>
        <v>40219</v>
      </c>
      <c r="F30" s="60">
        <f t="shared" si="8"/>
        <v>0</v>
      </c>
      <c r="G30" s="77">
        <f t="shared" si="8"/>
        <v>0</v>
      </c>
      <c r="H30" s="60">
        <f t="shared" si="8"/>
        <v>0</v>
      </c>
      <c r="I30" s="77">
        <f t="shared" si="8"/>
        <v>0</v>
      </c>
      <c r="J30" s="60">
        <f>SUM(J27:J29)</f>
        <v>40219</v>
      </c>
      <c r="K30" s="78">
        <f>SUM(K27:K29)</f>
        <v>40219</v>
      </c>
      <c r="L30" s="63"/>
    </row>
    <row r="31" spans="1:12" s="6" customFormat="1" ht="36" customHeight="1" thickBot="1" x14ac:dyDescent="0.3">
      <c r="A31" s="91" t="s">
        <v>79</v>
      </c>
      <c r="B31" s="92">
        <f t="shared" ref="B31:K31" si="9">B25+B30</f>
        <v>0</v>
      </c>
      <c r="C31" s="93">
        <f t="shared" si="9"/>
        <v>0</v>
      </c>
      <c r="D31" s="92">
        <f t="shared" si="9"/>
        <v>70112</v>
      </c>
      <c r="E31" s="93">
        <f t="shared" si="9"/>
        <v>70112</v>
      </c>
      <c r="F31" s="92">
        <f t="shared" si="9"/>
        <v>0</v>
      </c>
      <c r="G31" s="93">
        <f t="shared" si="9"/>
        <v>0</v>
      </c>
      <c r="H31" s="92">
        <f t="shared" si="9"/>
        <v>0</v>
      </c>
      <c r="I31" s="93">
        <f t="shared" si="9"/>
        <v>0</v>
      </c>
      <c r="J31" s="92">
        <f t="shared" si="9"/>
        <v>70112</v>
      </c>
      <c r="K31" s="93">
        <f t="shared" si="9"/>
        <v>70112</v>
      </c>
      <c r="L31" s="63"/>
    </row>
    <row r="32" spans="1:12" s="6" customFormat="1" ht="12" customHeight="1" thickBot="1" x14ac:dyDescent="0.3">
      <c r="A32" s="17"/>
      <c r="B32" s="94"/>
      <c r="C32" s="94"/>
      <c r="D32" s="94"/>
      <c r="E32" s="94"/>
      <c r="F32" s="94"/>
      <c r="G32" s="94"/>
      <c r="H32" s="94"/>
      <c r="I32" s="94"/>
      <c r="J32" s="94"/>
      <c r="K32" s="95"/>
      <c r="L32" s="63"/>
    </row>
    <row r="33" spans="1:12" s="6" customFormat="1" ht="21" customHeight="1" x14ac:dyDescent="0.25">
      <c r="A33" s="320" t="s">
        <v>15</v>
      </c>
      <c r="B33" s="321"/>
      <c r="C33" s="321"/>
      <c r="D33" s="321"/>
      <c r="E33" s="321"/>
      <c r="F33" s="321"/>
      <c r="G33" s="321"/>
      <c r="H33" s="322"/>
      <c r="I33" s="323"/>
      <c r="J33" s="323"/>
      <c r="K33" s="324"/>
      <c r="L33" s="63"/>
    </row>
    <row r="34" spans="1:12" s="13" customFormat="1" ht="18" customHeight="1" thickBot="1" x14ac:dyDescent="0.25">
      <c r="A34" s="311" t="s">
        <v>16</v>
      </c>
      <c r="B34" s="312"/>
      <c r="C34" s="312"/>
      <c r="D34" s="312"/>
      <c r="E34" s="312"/>
      <c r="F34" s="312"/>
      <c r="G34" s="312"/>
      <c r="H34" s="312"/>
      <c r="I34" s="312"/>
      <c r="J34" s="312"/>
      <c r="K34" s="312"/>
      <c r="L34" s="64"/>
    </row>
    <row r="35" spans="1:12" s="9" customFormat="1" ht="26.25" customHeight="1" x14ac:dyDescent="0.25">
      <c r="A35" s="65" t="s">
        <v>17</v>
      </c>
      <c r="B35" s="79">
        <v>807</v>
      </c>
      <c r="C35" s="80">
        <v>807</v>
      </c>
      <c r="D35" s="79">
        <v>130993</v>
      </c>
      <c r="E35" s="80">
        <v>130993</v>
      </c>
      <c r="F35" s="79">
        <v>277178</v>
      </c>
      <c r="G35" s="80">
        <v>277178</v>
      </c>
      <c r="H35" s="79">
        <v>0</v>
      </c>
      <c r="I35" s="80">
        <v>0</v>
      </c>
      <c r="J35" s="81">
        <f t="shared" ref="J35:K37" si="10">B35+D35+F35+H35</f>
        <v>408978</v>
      </c>
      <c r="K35" s="82">
        <f t="shared" si="10"/>
        <v>408978</v>
      </c>
      <c r="L35" s="70"/>
    </row>
    <row r="36" spans="1:12" s="9" customFormat="1" ht="26.25" customHeight="1" x14ac:dyDescent="0.25">
      <c r="A36" s="65" t="s">
        <v>92</v>
      </c>
      <c r="B36" s="83">
        <v>27298</v>
      </c>
      <c r="C36" s="84">
        <f>27298-9000</f>
        <v>18298</v>
      </c>
      <c r="D36" s="83">
        <v>29993</v>
      </c>
      <c r="E36" s="84">
        <f>29993+9000</f>
        <v>38993</v>
      </c>
      <c r="F36" s="83">
        <v>64999</v>
      </c>
      <c r="G36" s="84">
        <v>64999</v>
      </c>
      <c r="H36" s="83">
        <v>3710</v>
      </c>
      <c r="I36" s="84">
        <v>3710</v>
      </c>
      <c r="J36" s="85">
        <f t="shared" si="10"/>
        <v>126000</v>
      </c>
      <c r="K36" s="86">
        <f t="shared" si="10"/>
        <v>126000</v>
      </c>
      <c r="L36" s="70"/>
    </row>
    <row r="37" spans="1:12" s="9" customFormat="1" ht="26.25" customHeight="1" thickBot="1" x14ac:dyDescent="0.3">
      <c r="A37" s="71" t="s">
        <v>87</v>
      </c>
      <c r="B37" s="87">
        <v>0</v>
      </c>
      <c r="C37" s="88">
        <v>0</v>
      </c>
      <c r="D37" s="87">
        <v>0</v>
      </c>
      <c r="E37" s="88">
        <v>0</v>
      </c>
      <c r="F37" s="87">
        <v>75300</v>
      </c>
      <c r="G37" s="88">
        <v>75300</v>
      </c>
      <c r="H37" s="87">
        <v>0</v>
      </c>
      <c r="I37" s="88">
        <v>0</v>
      </c>
      <c r="J37" s="89">
        <f t="shared" si="10"/>
        <v>75300</v>
      </c>
      <c r="K37" s="96">
        <f t="shared" si="10"/>
        <v>75300</v>
      </c>
      <c r="L37" s="70"/>
    </row>
    <row r="38" spans="1:12" s="6" customFormat="1" ht="18.75" customHeight="1" thickBot="1" x14ac:dyDescent="0.3">
      <c r="A38" s="76" t="s">
        <v>19</v>
      </c>
      <c r="B38" s="60">
        <f>SUM(B35:B37)</f>
        <v>28105</v>
      </c>
      <c r="C38" s="77">
        <f>SUM(C35:C37)</f>
        <v>19105</v>
      </c>
      <c r="D38" s="60">
        <f t="shared" ref="D38:I38" si="11">SUM(D35:D37)</f>
        <v>160986</v>
      </c>
      <c r="E38" s="77">
        <f t="shared" si="11"/>
        <v>169986</v>
      </c>
      <c r="F38" s="60">
        <f t="shared" si="11"/>
        <v>417477</v>
      </c>
      <c r="G38" s="77">
        <f t="shared" si="11"/>
        <v>417477</v>
      </c>
      <c r="H38" s="60">
        <f t="shared" si="11"/>
        <v>3710</v>
      </c>
      <c r="I38" s="77">
        <f t="shared" si="11"/>
        <v>3710</v>
      </c>
      <c r="J38" s="60">
        <f>SUM(J35:J37)</f>
        <v>610278</v>
      </c>
      <c r="K38" s="78">
        <f>SUM(K35:K37)</f>
        <v>610278</v>
      </c>
      <c r="L38" s="63"/>
    </row>
    <row r="39" spans="1:12" s="13" customFormat="1" ht="14.25" customHeight="1" thickBot="1" x14ac:dyDescent="0.25">
      <c r="A39" s="311" t="s">
        <v>20</v>
      </c>
      <c r="B39" s="312"/>
      <c r="C39" s="312"/>
      <c r="D39" s="312"/>
      <c r="E39" s="312"/>
      <c r="F39" s="312"/>
      <c r="G39" s="312"/>
      <c r="H39" s="312"/>
      <c r="I39" s="312"/>
      <c r="J39" s="312"/>
      <c r="K39" s="312"/>
      <c r="L39" s="64"/>
    </row>
    <row r="40" spans="1:12" s="9" customFormat="1" ht="26.25" customHeight="1" x14ac:dyDescent="0.25">
      <c r="A40" s="65" t="s">
        <v>23</v>
      </c>
      <c r="B40" s="79">
        <v>615</v>
      </c>
      <c r="C40" s="80">
        <v>615</v>
      </c>
      <c r="D40" s="79">
        <v>40400</v>
      </c>
      <c r="E40" s="80">
        <v>40400</v>
      </c>
      <c r="F40" s="79">
        <v>10000</v>
      </c>
      <c r="G40" s="80">
        <v>10000</v>
      </c>
      <c r="H40" s="79">
        <v>0</v>
      </c>
      <c r="I40" s="80">
        <v>0</v>
      </c>
      <c r="J40" s="81">
        <f>B40+D40+F40+H40</f>
        <v>51015</v>
      </c>
      <c r="K40" s="82">
        <f>SUM(C40+E40+G40+I40)</f>
        <v>51015</v>
      </c>
      <c r="L40" s="70" t="s">
        <v>106</v>
      </c>
    </row>
    <row r="41" spans="1:12" s="9" customFormat="1" ht="26.25" customHeight="1" x14ac:dyDescent="0.25">
      <c r="A41" s="65" t="s">
        <v>24</v>
      </c>
      <c r="B41" s="97">
        <v>25000</v>
      </c>
      <c r="C41" s="84">
        <v>375.1</v>
      </c>
      <c r="D41" s="83">
        <v>70000</v>
      </c>
      <c r="E41" s="84">
        <v>50000</v>
      </c>
      <c r="F41" s="83">
        <v>0</v>
      </c>
      <c r="G41" s="84">
        <v>44624.9</v>
      </c>
      <c r="H41" s="83">
        <v>0</v>
      </c>
      <c r="I41" s="84">
        <v>0</v>
      </c>
      <c r="J41" s="85">
        <f>B41+D41+F41+H41</f>
        <v>95000</v>
      </c>
      <c r="K41" s="86">
        <f>SUM(C41+E41+G41+I41)</f>
        <v>95000</v>
      </c>
      <c r="L41" s="70" t="s">
        <v>107</v>
      </c>
    </row>
    <row r="42" spans="1:12" s="9" customFormat="1" ht="26.25" customHeight="1" thickBot="1" x14ac:dyDescent="0.3">
      <c r="A42" s="71" t="s">
        <v>25</v>
      </c>
      <c r="B42" s="87">
        <v>0</v>
      </c>
      <c r="C42" s="88">
        <v>0</v>
      </c>
      <c r="D42" s="87">
        <v>0</v>
      </c>
      <c r="E42" s="88">
        <v>0</v>
      </c>
      <c r="F42" s="87">
        <v>30000</v>
      </c>
      <c r="G42" s="88">
        <v>30000</v>
      </c>
      <c r="H42" s="87">
        <v>65000</v>
      </c>
      <c r="I42" s="88">
        <v>65000</v>
      </c>
      <c r="J42" s="89">
        <f>B42+D42+F42+H42</f>
        <v>95000</v>
      </c>
      <c r="K42" s="96">
        <f>SUM(C42+E42+G42+I42)</f>
        <v>95000</v>
      </c>
      <c r="L42" s="70"/>
    </row>
    <row r="43" spans="1:12" s="6" customFormat="1" ht="18.75" customHeight="1" thickBot="1" x14ac:dyDescent="0.3">
      <c r="A43" s="76" t="s">
        <v>27</v>
      </c>
      <c r="B43" s="60">
        <f t="shared" ref="B43:K43" si="12">SUM(B40:B42)</f>
        <v>25615</v>
      </c>
      <c r="C43" s="77">
        <f t="shared" si="12"/>
        <v>990.1</v>
      </c>
      <c r="D43" s="60">
        <f t="shared" si="12"/>
        <v>110400</v>
      </c>
      <c r="E43" s="77">
        <f t="shared" si="12"/>
        <v>90400</v>
      </c>
      <c r="F43" s="60">
        <f t="shared" si="12"/>
        <v>40000</v>
      </c>
      <c r="G43" s="77">
        <f t="shared" si="12"/>
        <v>84624.9</v>
      </c>
      <c r="H43" s="60">
        <f t="shared" si="12"/>
        <v>65000</v>
      </c>
      <c r="I43" s="77">
        <f t="shared" si="12"/>
        <v>65000</v>
      </c>
      <c r="J43" s="60">
        <f t="shared" si="12"/>
        <v>241015</v>
      </c>
      <c r="K43" s="78">
        <f t="shared" si="12"/>
        <v>241015</v>
      </c>
      <c r="L43" s="63"/>
    </row>
    <row r="44" spans="1:12" s="13" customFormat="1" ht="19.5" customHeight="1" thickBot="1" x14ac:dyDescent="0.25">
      <c r="A44" s="311" t="s">
        <v>6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12"/>
      <c r="L44" s="64"/>
    </row>
    <row r="45" spans="1:12" s="9" customFormat="1" ht="26.25" customHeight="1" x14ac:dyDescent="0.25">
      <c r="A45" s="65" t="s">
        <v>28</v>
      </c>
      <c r="B45" s="79">
        <v>9000</v>
      </c>
      <c r="C45" s="80">
        <v>0</v>
      </c>
      <c r="D45" s="79">
        <v>10000</v>
      </c>
      <c r="E45" s="80">
        <v>0</v>
      </c>
      <c r="F45" s="79">
        <v>0</v>
      </c>
      <c r="G45" s="80">
        <v>0</v>
      </c>
      <c r="H45" s="79">
        <v>0</v>
      </c>
      <c r="I45" s="80">
        <v>0</v>
      </c>
      <c r="J45" s="81">
        <f t="shared" ref="J45:K48" si="13">B45+D45+F45+H45</f>
        <v>19000</v>
      </c>
      <c r="K45" s="82">
        <f t="shared" si="13"/>
        <v>0</v>
      </c>
      <c r="L45" s="70" t="s">
        <v>108</v>
      </c>
    </row>
    <row r="46" spans="1:12" s="9" customFormat="1" ht="26.25" customHeight="1" x14ac:dyDescent="0.25">
      <c r="A46" s="65" t="s">
        <v>29</v>
      </c>
      <c r="B46" s="83">
        <v>15865</v>
      </c>
      <c r="C46" s="84">
        <v>0</v>
      </c>
      <c r="D46" s="83">
        <v>82731</v>
      </c>
      <c r="E46" s="84">
        <f>82731+15000</f>
        <v>97731</v>
      </c>
      <c r="F46" s="83">
        <v>19761</v>
      </c>
      <c r="G46" s="84">
        <v>19761</v>
      </c>
      <c r="H46" s="83">
        <v>0</v>
      </c>
      <c r="I46" s="84">
        <v>0</v>
      </c>
      <c r="J46" s="85">
        <f t="shared" si="13"/>
        <v>118357</v>
      </c>
      <c r="K46" s="86">
        <f t="shared" si="13"/>
        <v>117492</v>
      </c>
      <c r="L46" s="70"/>
    </row>
    <row r="47" spans="1:12" s="9" customFormat="1" ht="26.25" customHeight="1" x14ac:dyDescent="0.25">
      <c r="A47" s="65" t="s">
        <v>30</v>
      </c>
      <c r="B47" s="83">
        <v>52961</v>
      </c>
      <c r="C47" s="84">
        <v>17961</v>
      </c>
      <c r="D47" s="83">
        <v>130000</v>
      </c>
      <c r="E47" s="84">
        <v>165000</v>
      </c>
      <c r="F47" s="83">
        <v>112039</v>
      </c>
      <c r="G47" s="84">
        <v>112039</v>
      </c>
      <c r="H47" s="83">
        <v>0</v>
      </c>
      <c r="I47" s="84">
        <v>0</v>
      </c>
      <c r="J47" s="85">
        <f t="shared" si="13"/>
        <v>295000</v>
      </c>
      <c r="K47" s="86">
        <f t="shared" si="13"/>
        <v>295000</v>
      </c>
      <c r="L47" s="70"/>
    </row>
    <row r="48" spans="1:12" s="9" customFormat="1" ht="26.25" customHeight="1" x14ac:dyDescent="0.25">
      <c r="A48" s="98" t="s">
        <v>31</v>
      </c>
      <c r="B48" s="83">
        <v>7800</v>
      </c>
      <c r="C48" s="84">
        <v>10700</v>
      </c>
      <c r="D48" s="83">
        <v>5700</v>
      </c>
      <c r="E48" s="84">
        <f>5700-2900</f>
        <v>2800</v>
      </c>
      <c r="F48" s="83">
        <v>0</v>
      </c>
      <c r="G48" s="84">
        <v>0</v>
      </c>
      <c r="H48" s="83">
        <v>0</v>
      </c>
      <c r="I48" s="84">
        <v>0</v>
      </c>
      <c r="J48" s="85">
        <f t="shared" si="13"/>
        <v>13500</v>
      </c>
      <c r="K48" s="86">
        <f t="shared" si="13"/>
        <v>13500</v>
      </c>
      <c r="L48" s="70" t="s">
        <v>109</v>
      </c>
    </row>
    <row r="49" spans="1:14" s="9" customFormat="1" ht="26.25" customHeight="1" x14ac:dyDescent="0.25">
      <c r="A49" s="99" t="s">
        <v>110</v>
      </c>
      <c r="B49" s="100">
        <v>0</v>
      </c>
      <c r="C49" s="101">
        <v>11814</v>
      </c>
      <c r="D49" s="83">
        <v>0</v>
      </c>
      <c r="E49" s="84">
        <v>0</v>
      </c>
      <c r="F49" s="83">
        <v>0</v>
      </c>
      <c r="G49" s="84">
        <v>0</v>
      </c>
      <c r="H49" s="83">
        <v>0</v>
      </c>
      <c r="I49" s="84">
        <v>0</v>
      </c>
      <c r="J49" s="85">
        <f>B49+D49+F49+H49</f>
        <v>0</v>
      </c>
      <c r="K49" s="86">
        <f>C49+E49+G49+I49</f>
        <v>11814</v>
      </c>
      <c r="L49" s="70"/>
    </row>
    <row r="50" spans="1:14" s="9" customFormat="1" ht="26.25" customHeight="1" x14ac:dyDescent="0.25">
      <c r="A50" s="98" t="s">
        <v>111</v>
      </c>
      <c r="B50" s="102">
        <v>0</v>
      </c>
      <c r="C50" s="103">
        <v>6329.89</v>
      </c>
      <c r="D50" s="83">
        <v>0</v>
      </c>
      <c r="E50" s="84">
        <v>0</v>
      </c>
      <c r="F50" s="83">
        <v>0</v>
      </c>
      <c r="G50" s="84">
        <v>0</v>
      </c>
      <c r="H50" s="83">
        <v>0</v>
      </c>
      <c r="I50" s="84">
        <v>0</v>
      </c>
      <c r="J50" s="85">
        <f t="shared" ref="J50:K51" si="14">B50+D50+F50+H50</f>
        <v>0</v>
      </c>
      <c r="K50" s="86">
        <f t="shared" si="14"/>
        <v>6329.89</v>
      </c>
      <c r="L50" s="70" t="s">
        <v>112</v>
      </c>
    </row>
    <row r="51" spans="1:14" s="9" customFormat="1" ht="26.25" customHeight="1" thickBot="1" x14ac:dyDescent="0.3">
      <c r="A51" s="98" t="s">
        <v>113</v>
      </c>
      <c r="B51" s="83">
        <v>0</v>
      </c>
      <c r="C51" s="84">
        <v>13185.7</v>
      </c>
      <c r="D51" s="83">
        <v>0</v>
      </c>
      <c r="E51" s="84">
        <v>0</v>
      </c>
      <c r="F51" s="83">
        <v>0</v>
      </c>
      <c r="G51" s="84">
        <v>0</v>
      </c>
      <c r="H51" s="83">
        <v>0</v>
      </c>
      <c r="I51" s="84">
        <v>0</v>
      </c>
      <c r="J51" s="85">
        <f t="shared" si="14"/>
        <v>0</v>
      </c>
      <c r="K51" s="86">
        <f t="shared" si="14"/>
        <v>13185.7</v>
      </c>
      <c r="L51" s="70" t="s">
        <v>114</v>
      </c>
    </row>
    <row r="52" spans="1:14" s="6" customFormat="1" ht="18.75" customHeight="1" thickBot="1" x14ac:dyDescent="0.3">
      <c r="A52" s="76" t="s">
        <v>9</v>
      </c>
      <c r="B52" s="60">
        <f t="shared" ref="B52:K52" si="15">SUM(B45:B51)</f>
        <v>85626</v>
      </c>
      <c r="C52" s="60">
        <f t="shared" si="15"/>
        <v>59990.59</v>
      </c>
      <c r="D52" s="60">
        <f t="shared" si="15"/>
        <v>228431</v>
      </c>
      <c r="E52" s="60">
        <f t="shared" si="15"/>
        <v>265531</v>
      </c>
      <c r="F52" s="60">
        <f t="shared" si="15"/>
        <v>131800</v>
      </c>
      <c r="G52" s="60">
        <f t="shared" si="15"/>
        <v>131800</v>
      </c>
      <c r="H52" s="60">
        <f t="shared" si="15"/>
        <v>0</v>
      </c>
      <c r="I52" s="60">
        <f t="shared" si="15"/>
        <v>0</v>
      </c>
      <c r="J52" s="60">
        <f t="shared" si="15"/>
        <v>445857</v>
      </c>
      <c r="K52" s="78">
        <f t="shared" si="15"/>
        <v>457321.59</v>
      </c>
      <c r="L52" s="63"/>
      <c r="N52" s="104"/>
    </row>
    <row r="53" spans="1:14" s="13" customFormat="1" ht="13.5" customHeight="1" thickBot="1" x14ac:dyDescent="0.25">
      <c r="A53" s="311" t="s">
        <v>32</v>
      </c>
      <c r="B53" s="312"/>
      <c r="C53" s="312"/>
      <c r="D53" s="312"/>
      <c r="E53" s="312"/>
      <c r="F53" s="312"/>
      <c r="G53" s="312"/>
      <c r="H53" s="312"/>
      <c r="I53" s="312"/>
      <c r="J53" s="312"/>
      <c r="K53" s="312"/>
      <c r="L53" s="64"/>
    </row>
    <row r="54" spans="1:14" s="13" customFormat="1" ht="24" customHeight="1" x14ac:dyDescent="0.25">
      <c r="A54" s="105" t="s">
        <v>33</v>
      </c>
      <c r="B54" s="79">
        <v>45000</v>
      </c>
      <c r="C54" s="80">
        <v>45000</v>
      </c>
      <c r="D54" s="79">
        <v>0</v>
      </c>
      <c r="E54" s="80">
        <v>0</v>
      </c>
      <c r="F54" s="79">
        <v>0</v>
      </c>
      <c r="G54" s="80">
        <v>0</v>
      </c>
      <c r="H54" s="79">
        <v>0</v>
      </c>
      <c r="I54" s="80">
        <v>0</v>
      </c>
      <c r="J54" s="81">
        <f>B54+D54+F54+H54</f>
        <v>45000</v>
      </c>
      <c r="K54" s="82">
        <f>C54+E54+G54+I54</f>
        <v>45000</v>
      </c>
      <c r="L54" s="106" t="s">
        <v>115</v>
      </c>
    </row>
    <row r="55" spans="1:14" s="13" customFormat="1" ht="24" customHeight="1" x14ac:dyDescent="0.25">
      <c r="A55" s="105" t="s">
        <v>34</v>
      </c>
      <c r="B55" s="83">
        <v>0</v>
      </c>
      <c r="C55" s="84">
        <v>0</v>
      </c>
      <c r="D55" s="83">
        <v>5500</v>
      </c>
      <c r="E55" s="84">
        <v>5500</v>
      </c>
      <c r="F55" s="83">
        <v>25000</v>
      </c>
      <c r="G55" s="84">
        <v>25000</v>
      </c>
      <c r="H55" s="83">
        <v>0</v>
      </c>
      <c r="I55" s="84">
        <v>0</v>
      </c>
      <c r="J55" s="85">
        <f t="shared" ref="J55:K75" si="16">B55+D55+F55+H55</f>
        <v>30500</v>
      </c>
      <c r="K55" s="86">
        <f>C55+E55+G55+I55</f>
        <v>30500</v>
      </c>
      <c r="L55" s="64"/>
    </row>
    <row r="56" spans="1:14" s="13" customFormat="1" ht="24" customHeight="1" x14ac:dyDescent="0.25">
      <c r="A56" s="105" t="s">
        <v>68</v>
      </c>
      <c r="B56" s="97">
        <v>2090</v>
      </c>
      <c r="C56" s="84">
        <v>0</v>
      </c>
      <c r="D56" s="83">
        <v>0</v>
      </c>
      <c r="E56" s="84">
        <v>2090</v>
      </c>
      <c r="F56" s="83">
        <v>26000</v>
      </c>
      <c r="G56" s="84">
        <v>26000</v>
      </c>
      <c r="H56" s="83">
        <v>27610</v>
      </c>
      <c r="I56" s="84">
        <v>27610</v>
      </c>
      <c r="J56" s="85">
        <f t="shared" si="16"/>
        <v>55700</v>
      </c>
      <c r="K56" s="86">
        <f t="shared" si="16"/>
        <v>55700</v>
      </c>
      <c r="L56" s="106" t="s">
        <v>116</v>
      </c>
    </row>
    <row r="57" spans="1:14" s="13" customFormat="1" ht="31.5" x14ac:dyDescent="0.25">
      <c r="A57" s="105" t="s">
        <v>36</v>
      </c>
      <c r="B57" s="83">
        <v>31098</v>
      </c>
      <c r="C57" s="84">
        <v>31098</v>
      </c>
      <c r="D57" s="83">
        <v>19500</v>
      </c>
      <c r="E57" s="84">
        <v>19500</v>
      </c>
      <c r="F57" s="83">
        <v>0</v>
      </c>
      <c r="G57" s="84">
        <v>0</v>
      </c>
      <c r="H57" s="83">
        <v>0</v>
      </c>
      <c r="I57" s="84">
        <v>0</v>
      </c>
      <c r="J57" s="85">
        <f t="shared" si="16"/>
        <v>50598</v>
      </c>
      <c r="K57" s="86">
        <f t="shared" si="16"/>
        <v>50598</v>
      </c>
      <c r="L57" s="64" t="s">
        <v>106</v>
      </c>
    </row>
    <row r="58" spans="1:14" s="13" customFormat="1" ht="31.5" x14ac:dyDescent="0.25">
      <c r="A58" s="105" t="s">
        <v>37</v>
      </c>
      <c r="B58" s="83">
        <v>5500</v>
      </c>
      <c r="C58" s="84">
        <v>0</v>
      </c>
      <c r="D58" s="83">
        <v>0</v>
      </c>
      <c r="E58" s="84">
        <v>5500</v>
      </c>
      <c r="F58" s="83">
        <v>0</v>
      </c>
      <c r="G58" s="84">
        <v>0</v>
      </c>
      <c r="H58" s="83">
        <v>0</v>
      </c>
      <c r="I58" s="84">
        <v>0</v>
      </c>
      <c r="J58" s="85">
        <f>B58+D58+F58+H58</f>
        <v>5500</v>
      </c>
      <c r="K58" s="86">
        <f>C58+E58+G58+I58</f>
        <v>5500</v>
      </c>
      <c r="L58" s="64" t="s">
        <v>117</v>
      </c>
    </row>
    <row r="59" spans="1:14" s="13" customFormat="1" ht="24" customHeight="1" x14ac:dyDescent="0.25">
      <c r="A59" s="105" t="s">
        <v>38</v>
      </c>
      <c r="B59" s="83">
        <v>20571</v>
      </c>
      <c r="C59" s="84">
        <v>10571</v>
      </c>
      <c r="D59" s="83">
        <v>113428</v>
      </c>
      <c r="E59" s="84">
        <v>113428</v>
      </c>
      <c r="F59" s="83">
        <v>42000</v>
      </c>
      <c r="G59" s="84">
        <v>52000</v>
      </c>
      <c r="H59" s="83">
        <v>0</v>
      </c>
      <c r="I59" s="84">
        <v>0</v>
      </c>
      <c r="J59" s="85">
        <f t="shared" si="16"/>
        <v>175999</v>
      </c>
      <c r="K59" s="86">
        <f t="shared" si="16"/>
        <v>175999</v>
      </c>
      <c r="L59" s="64" t="s">
        <v>118</v>
      </c>
    </row>
    <row r="60" spans="1:14" s="13" customFormat="1" ht="24" customHeight="1" x14ac:dyDescent="0.25">
      <c r="A60" s="105" t="s">
        <v>39</v>
      </c>
      <c r="B60" s="83">
        <v>51000</v>
      </c>
      <c r="C60" s="84">
        <f>51000+1500</f>
        <v>52500</v>
      </c>
      <c r="D60" s="83">
        <v>0</v>
      </c>
      <c r="E60" s="84">
        <v>0</v>
      </c>
      <c r="F60" s="83">
        <v>0</v>
      </c>
      <c r="G60" s="84">
        <v>0</v>
      </c>
      <c r="H60" s="83">
        <v>0</v>
      </c>
      <c r="I60" s="84">
        <v>0</v>
      </c>
      <c r="J60" s="85">
        <f t="shared" si="16"/>
        <v>51000</v>
      </c>
      <c r="K60" s="86">
        <f t="shared" si="16"/>
        <v>52500</v>
      </c>
      <c r="L60" s="64" t="s">
        <v>119</v>
      </c>
    </row>
    <row r="61" spans="1:14" s="13" customFormat="1" ht="24" customHeight="1" x14ac:dyDescent="0.25">
      <c r="A61" s="105" t="s">
        <v>40</v>
      </c>
      <c r="B61" s="83">
        <v>3300</v>
      </c>
      <c r="C61" s="84">
        <v>0</v>
      </c>
      <c r="D61" s="83">
        <v>0</v>
      </c>
      <c r="E61" s="84">
        <v>25000</v>
      </c>
      <c r="F61" s="83">
        <v>0</v>
      </c>
      <c r="G61" s="84">
        <v>0</v>
      </c>
      <c r="H61" s="83">
        <v>0</v>
      </c>
      <c r="I61" s="84">
        <v>0</v>
      </c>
      <c r="J61" s="85">
        <f t="shared" si="16"/>
        <v>3300</v>
      </c>
      <c r="K61" s="86">
        <f>C61+E61+G61+I61</f>
        <v>25000</v>
      </c>
      <c r="L61" s="64" t="s">
        <v>120</v>
      </c>
    </row>
    <row r="62" spans="1:14" s="13" customFormat="1" ht="34.5" customHeight="1" x14ac:dyDescent="0.25">
      <c r="A62" s="105" t="s">
        <v>41</v>
      </c>
      <c r="B62" s="83">
        <v>10000</v>
      </c>
      <c r="C62" s="84">
        <v>0</v>
      </c>
      <c r="D62" s="83">
        <v>28000</v>
      </c>
      <c r="E62" s="84">
        <v>20250</v>
      </c>
      <c r="F62" s="83">
        <v>0</v>
      </c>
      <c r="G62" s="84">
        <v>17750</v>
      </c>
      <c r="H62" s="83">
        <v>0</v>
      </c>
      <c r="I62" s="84">
        <v>0</v>
      </c>
      <c r="J62" s="85">
        <f t="shared" si="16"/>
        <v>38000</v>
      </c>
      <c r="K62" s="86">
        <f t="shared" si="16"/>
        <v>38000</v>
      </c>
      <c r="L62" s="64" t="s">
        <v>121</v>
      </c>
    </row>
    <row r="63" spans="1:14" s="13" customFormat="1" ht="24" customHeight="1" x14ac:dyDescent="0.25">
      <c r="A63" s="105" t="s">
        <v>42</v>
      </c>
      <c r="B63" s="83">
        <v>27200</v>
      </c>
      <c r="C63" s="84">
        <v>57200</v>
      </c>
      <c r="D63" s="83">
        <v>500</v>
      </c>
      <c r="E63" s="84">
        <v>500</v>
      </c>
      <c r="F63" s="83">
        <v>0</v>
      </c>
      <c r="G63" s="84">
        <v>0</v>
      </c>
      <c r="H63" s="83">
        <v>0</v>
      </c>
      <c r="I63" s="84">
        <v>0</v>
      </c>
      <c r="J63" s="85">
        <f t="shared" si="16"/>
        <v>27700</v>
      </c>
      <c r="K63" s="86">
        <f t="shared" si="16"/>
        <v>57700</v>
      </c>
      <c r="L63" s="64" t="s">
        <v>122</v>
      </c>
    </row>
    <row r="64" spans="1:14" s="13" customFormat="1" ht="24" customHeight="1" x14ac:dyDescent="0.25">
      <c r="A64" s="105" t="s">
        <v>43</v>
      </c>
      <c r="B64" s="83">
        <v>25700</v>
      </c>
      <c r="C64" s="84">
        <v>30678.01</v>
      </c>
      <c r="D64" s="83">
        <v>0</v>
      </c>
      <c r="E64" s="84">
        <v>0</v>
      </c>
      <c r="F64" s="83">
        <v>0</v>
      </c>
      <c r="G64" s="84">
        <v>0</v>
      </c>
      <c r="H64" s="83">
        <v>0</v>
      </c>
      <c r="I64" s="84">
        <v>0</v>
      </c>
      <c r="J64" s="85">
        <f t="shared" si="16"/>
        <v>25700</v>
      </c>
      <c r="K64" s="86">
        <f t="shared" si="16"/>
        <v>30678.01</v>
      </c>
      <c r="L64" s="64" t="s">
        <v>123</v>
      </c>
    </row>
    <row r="65" spans="1:14" s="13" customFormat="1" ht="24" customHeight="1" x14ac:dyDescent="0.25">
      <c r="A65" s="105" t="s">
        <v>44</v>
      </c>
      <c r="B65" s="83">
        <v>40000</v>
      </c>
      <c r="C65" s="84">
        <v>40000</v>
      </c>
      <c r="D65" s="83">
        <v>0</v>
      </c>
      <c r="E65" s="84">
        <v>0</v>
      </c>
      <c r="F65" s="83">
        <v>0</v>
      </c>
      <c r="G65" s="84">
        <v>0</v>
      </c>
      <c r="H65" s="83">
        <v>0</v>
      </c>
      <c r="I65" s="84">
        <v>0</v>
      </c>
      <c r="J65" s="85">
        <f t="shared" si="16"/>
        <v>40000</v>
      </c>
      <c r="K65" s="86">
        <f t="shared" si="16"/>
        <v>40000</v>
      </c>
      <c r="L65" s="64" t="s">
        <v>124</v>
      </c>
    </row>
    <row r="66" spans="1:14" s="13" customFormat="1" ht="24" customHeight="1" x14ac:dyDescent="0.25">
      <c r="A66" s="105" t="s">
        <v>45</v>
      </c>
      <c r="B66" s="83">
        <v>500</v>
      </c>
      <c r="C66" s="84">
        <v>500</v>
      </c>
      <c r="D66" s="83">
        <v>50639</v>
      </c>
      <c r="E66" s="84">
        <v>25639</v>
      </c>
      <c r="F66" s="83">
        <v>0</v>
      </c>
      <c r="G66" s="84">
        <v>25000</v>
      </c>
      <c r="H66" s="83">
        <v>0</v>
      </c>
      <c r="I66" s="84">
        <v>0</v>
      </c>
      <c r="J66" s="85">
        <f t="shared" si="16"/>
        <v>51139</v>
      </c>
      <c r="K66" s="86">
        <f t="shared" si="16"/>
        <v>51139</v>
      </c>
      <c r="L66" s="107" t="s">
        <v>125</v>
      </c>
    </row>
    <row r="67" spans="1:14" s="13" customFormat="1" ht="24" customHeight="1" x14ac:dyDescent="0.25">
      <c r="A67" s="105" t="s">
        <v>46</v>
      </c>
      <c r="B67" s="83">
        <v>6200</v>
      </c>
      <c r="C67" s="84">
        <v>6200</v>
      </c>
      <c r="D67" s="83">
        <v>0</v>
      </c>
      <c r="E67" s="84">
        <v>0</v>
      </c>
      <c r="F67" s="83">
        <v>0</v>
      </c>
      <c r="G67" s="84">
        <v>0</v>
      </c>
      <c r="H67" s="83">
        <v>0</v>
      </c>
      <c r="I67" s="84">
        <v>0</v>
      </c>
      <c r="J67" s="85">
        <f t="shared" si="16"/>
        <v>6200</v>
      </c>
      <c r="K67" s="86">
        <f t="shared" si="16"/>
        <v>6200</v>
      </c>
      <c r="L67" s="64" t="s">
        <v>124</v>
      </c>
    </row>
    <row r="68" spans="1:14" s="13" customFormat="1" ht="24" customHeight="1" x14ac:dyDescent="0.25">
      <c r="A68" s="105" t="s">
        <v>69</v>
      </c>
      <c r="B68" s="83">
        <v>11064.91</v>
      </c>
      <c r="C68" s="84">
        <v>28.6</v>
      </c>
      <c r="D68" s="83">
        <v>0</v>
      </c>
      <c r="E68" s="84">
        <v>11036.31</v>
      </c>
      <c r="F68" s="83">
        <v>100000</v>
      </c>
      <c r="G68" s="84">
        <v>0</v>
      </c>
      <c r="H68" s="83">
        <v>100000</v>
      </c>
      <c r="I68" s="84">
        <v>0</v>
      </c>
      <c r="J68" s="85">
        <f t="shared" si="16"/>
        <v>211064.91</v>
      </c>
      <c r="K68" s="86">
        <f>C68+E68+G68+I68</f>
        <v>11064.91</v>
      </c>
      <c r="L68" s="64" t="s">
        <v>126</v>
      </c>
    </row>
    <row r="69" spans="1:14" s="13" customFormat="1" ht="24" customHeight="1" x14ac:dyDescent="0.25">
      <c r="A69" s="105" t="s">
        <v>80</v>
      </c>
      <c r="B69" s="83">
        <v>1500</v>
      </c>
      <c r="C69" s="84">
        <v>350</v>
      </c>
      <c r="D69" s="83">
        <v>12850</v>
      </c>
      <c r="E69" s="84">
        <v>14000</v>
      </c>
      <c r="F69" s="83">
        <v>0</v>
      </c>
      <c r="G69" s="84">
        <v>0</v>
      </c>
      <c r="H69" s="83">
        <v>0</v>
      </c>
      <c r="I69" s="84">
        <v>0</v>
      </c>
      <c r="J69" s="85">
        <f t="shared" si="16"/>
        <v>14350</v>
      </c>
      <c r="K69" s="86">
        <f>C69+E69+G69+I69</f>
        <v>14350</v>
      </c>
      <c r="L69" s="64" t="s">
        <v>127</v>
      </c>
    </row>
    <row r="70" spans="1:14" s="13" customFormat="1" ht="34.5" customHeight="1" x14ac:dyDescent="0.25">
      <c r="A70" s="105" t="s">
        <v>81</v>
      </c>
      <c r="B70" s="83">
        <v>0</v>
      </c>
      <c r="C70" s="84">
        <v>0</v>
      </c>
      <c r="D70" s="83">
        <v>11420</v>
      </c>
      <c r="E70" s="84">
        <v>11420</v>
      </c>
      <c r="F70" s="83">
        <v>0</v>
      </c>
      <c r="G70" s="84">
        <v>0</v>
      </c>
      <c r="H70" s="83">
        <v>0</v>
      </c>
      <c r="I70" s="84">
        <v>0</v>
      </c>
      <c r="J70" s="85">
        <f t="shared" si="16"/>
        <v>11420</v>
      </c>
      <c r="K70" s="86">
        <f t="shared" si="16"/>
        <v>11420</v>
      </c>
      <c r="L70" s="64"/>
    </row>
    <row r="71" spans="1:14" s="13" customFormat="1" ht="15" customHeight="1" x14ac:dyDescent="0.25">
      <c r="A71" s="105" t="s">
        <v>88</v>
      </c>
      <c r="B71" s="83">
        <v>0</v>
      </c>
      <c r="C71" s="84">
        <v>0</v>
      </c>
      <c r="D71" s="83">
        <v>60500</v>
      </c>
      <c r="E71" s="84">
        <v>50000</v>
      </c>
      <c r="F71" s="83">
        <v>0</v>
      </c>
      <c r="G71" s="84">
        <v>20500</v>
      </c>
      <c r="H71" s="83">
        <v>0</v>
      </c>
      <c r="I71" s="84">
        <v>0</v>
      </c>
      <c r="J71" s="85">
        <f t="shared" si="16"/>
        <v>60500</v>
      </c>
      <c r="K71" s="86">
        <f t="shared" si="16"/>
        <v>70500</v>
      </c>
      <c r="L71" s="64" t="s">
        <v>128</v>
      </c>
    </row>
    <row r="72" spans="1:14" s="13" customFormat="1" ht="24" customHeight="1" x14ac:dyDescent="0.25">
      <c r="A72" s="105" t="s">
        <v>89</v>
      </c>
      <c r="B72" s="83">
        <v>9120</v>
      </c>
      <c r="C72" s="84">
        <v>9120</v>
      </c>
      <c r="D72" s="83">
        <v>0</v>
      </c>
      <c r="E72" s="84">
        <v>0</v>
      </c>
      <c r="F72" s="83">
        <v>0</v>
      </c>
      <c r="G72" s="84">
        <v>0</v>
      </c>
      <c r="H72" s="83">
        <v>0</v>
      </c>
      <c r="I72" s="84">
        <v>0</v>
      </c>
      <c r="J72" s="85">
        <f t="shared" si="16"/>
        <v>9120</v>
      </c>
      <c r="K72" s="86">
        <f t="shared" si="16"/>
        <v>9120</v>
      </c>
      <c r="L72" s="64" t="s">
        <v>124</v>
      </c>
    </row>
    <row r="73" spans="1:14" s="13" customFormat="1" ht="24" customHeight="1" x14ac:dyDescent="0.25">
      <c r="A73" s="105" t="s">
        <v>90</v>
      </c>
      <c r="B73" s="83">
        <v>1500</v>
      </c>
      <c r="C73" s="84">
        <v>200</v>
      </c>
      <c r="D73" s="83">
        <v>20000</v>
      </c>
      <c r="E73" s="84">
        <v>21300</v>
      </c>
      <c r="F73" s="83">
        <v>0</v>
      </c>
      <c r="G73" s="84">
        <v>0</v>
      </c>
      <c r="H73" s="83">
        <v>0</v>
      </c>
      <c r="I73" s="84">
        <v>0</v>
      </c>
      <c r="J73" s="85">
        <f t="shared" si="16"/>
        <v>21500</v>
      </c>
      <c r="K73" s="86">
        <f t="shared" si="16"/>
        <v>21500</v>
      </c>
      <c r="L73" s="64" t="s">
        <v>129</v>
      </c>
    </row>
    <row r="74" spans="1:14" s="13" customFormat="1" ht="24" customHeight="1" x14ac:dyDescent="0.25">
      <c r="A74" s="108" t="s">
        <v>91</v>
      </c>
      <c r="B74" s="109">
        <v>23000</v>
      </c>
      <c r="C74" s="84">
        <v>23000</v>
      </c>
      <c r="D74" s="109">
        <v>0</v>
      </c>
      <c r="E74" s="84">
        <v>2000</v>
      </c>
      <c r="F74" s="109">
        <v>0</v>
      </c>
      <c r="G74" s="84">
        <v>0</v>
      </c>
      <c r="H74" s="109">
        <v>0</v>
      </c>
      <c r="I74" s="84">
        <v>0</v>
      </c>
      <c r="J74" s="85">
        <f t="shared" si="16"/>
        <v>23000</v>
      </c>
      <c r="K74" s="86">
        <f t="shared" si="16"/>
        <v>25000</v>
      </c>
      <c r="L74" s="64" t="s">
        <v>130</v>
      </c>
    </row>
    <row r="75" spans="1:14" s="13" customFormat="1" ht="24" customHeight="1" thickBot="1" x14ac:dyDescent="0.3">
      <c r="A75" s="110" t="s">
        <v>131</v>
      </c>
      <c r="B75" s="102">
        <v>0</v>
      </c>
      <c r="C75" s="103">
        <v>7949.67</v>
      </c>
      <c r="D75" s="102">
        <v>0</v>
      </c>
      <c r="E75" s="103">
        <v>0</v>
      </c>
      <c r="F75" s="102">
        <v>0</v>
      </c>
      <c r="G75" s="103">
        <v>0</v>
      </c>
      <c r="H75" s="102">
        <v>0</v>
      </c>
      <c r="I75" s="103">
        <v>0</v>
      </c>
      <c r="J75" s="111">
        <f t="shared" si="16"/>
        <v>0</v>
      </c>
      <c r="K75" s="96">
        <f t="shared" si="16"/>
        <v>7949.67</v>
      </c>
      <c r="L75" s="64" t="s">
        <v>132</v>
      </c>
    </row>
    <row r="76" spans="1:14" s="6" customFormat="1" ht="15" customHeight="1" thickBot="1" x14ac:dyDescent="0.3">
      <c r="A76" s="76" t="s">
        <v>47</v>
      </c>
      <c r="B76" s="60">
        <f t="shared" ref="B76:K76" si="17">SUM(B54:B75)</f>
        <v>314343.90999999997</v>
      </c>
      <c r="C76" s="77">
        <f t="shared" si="17"/>
        <v>314395.27999999997</v>
      </c>
      <c r="D76" s="60">
        <f t="shared" si="17"/>
        <v>322337</v>
      </c>
      <c r="E76" s="77">
        <f t="shared" si="17"/>
        <v>327163.31</v>
      </c>
      <c r="F76" s="60">
        <f t="shared" si="17"/>
        <v>193000</v>
      </c>
      <c r="G76" s="77">
        <f t="shared" si="17"/>
        <v>166250</v>
      </c>
      <c r="H76" s="60">
        <f t="shared" si="17"/>
        <v>127610</v>
      </c>
      <c r="I76" s="77">
        <f t="shared" si="17"/>
        <v>27610</v>
      </c>
      <c r="J76" s="60">
        <f t="shared" si="17"/>
        <v>957290.91</v>
      </c>
      <c r="K76" s="78">
        <f t="shared" si="17"/>
        <v>835418.59000000008</v>
      </c>
      <c r="L76" s="63"/>
      <c r="N76" s="104"/>
    </row>
    <row r="77" spans="1:14" s="13" customFormat="1" ht="15.75" customHeight="1" thickBot="1" x14ac:dyDescent="0.25">
      <c r="A77" s="311" t="s">
        <v>133</v>
      </c>
      <c r="B77" s="312"/>
      <c r="C77" s="312"/>
      <c r="D77" s="312"/>
      <c r="E77" s="312"/>
      <c r="F77" s="312"/>
      <c r="G77" s="312"/>
      <c r="H77" s="312"/>
      <c r="I77" s="312"/>
      <c r="J77" s="312"/>
      <c r="K77" s="312"/>
      <c r="L77" s="64"/>
    </row>
    <row r="78" spans="1:14" s="13" customFormat="1" ht="24" customHeight="1" x14ac:dyDescent="0.25">
      <c r="A78" s="65" t="s">
        <v>49</v>
      </c>
      <c r="B78" s="79">
        <v>41000</v>
      </c>
      <c r="C78" s="80">
        <v>10000</v>
      </c>
      <c r="D78" s="79">
        <v>0</v>
      </c>
      <c r="E78" s="80">
        <v>50000</v>
      </c>
      <c r="F78" s="79">
        <v>0</v>
      </c>
      <c r="G78" s="80">
        <v>45000</v>
      </c>
      <c r="H78" s="79">
        <v>0</v>
      </c>
      <c r="I78" s="80">
        <v>0</v>
      </c>
      <c r="J78" s="81">
        <f>B78+D78+F78+H78</f>
        <v>41000</v>
      </c>
      <c r="K78" s="82">
        <f>C78+E78+G78+I78</f>
        <v>105000</v>
      </c>
      <c r="L78" s="64" t="s">
        <v>134</v>
      </c>
    </row>
    <row r="79" spans="1:14" s="13" customFormat="1" ht="24" customHeight="1" x14ac:dyDescent="0.25">
      <c r="A79" s="65" t="s">
        <v>50</v>
      </c>
      <c r="B79" s="83">
        <v>15000</v>
      </c>
      <c r="C79" s="84">
        <f>200+34.11</f>
        <v>234.11</v>
      </c>
      <c r="D79" s="83">
        <v>119416</v>
      </c>
      <c r="E79" s="84">
        <f>119416+15000-200-34.11</f>
        <v>134181.89000000001</v>
      </c>
      <c r="F79" s="83">
        <v>50000</v>
      </c>
      <c r="G79" s="84">
        <v>50000</v>
      </c>
      <c r="H79" s="83">
        <v>0</v>
      </c>
      <c r="I79" s="84">
        <v>0</v>
      </c>
      <c r="J79" s="85">
        <f t="shared" ref="J79:K86" si="18">B79+D79+F79+H79</f>
        <v>184416</v>
      </c>
      <c r="K79" s="86">
        <f t="shared" si="18"/>
        <v>184416</v>
      </c>
      <c r="L79" s="64" t="s">
        <v>135</v>
      </c>
    </row>
    <row r="80" spans="1:14" s="13" customFormat="1" ht="24" customHeight="1" x14ac:dyDescent="0.25">
      <c r="A80" s="65" t="s">
        <v>51</v>
      </c>
      <c r="B80" s="83">
        <v>2000</v>
      </c>
      <c r="C80" s="84">
        <f>2000-900</f>
        <v>1100</v>
      </c>
      <c r="D80" s="83">
        <v>22000</v>
      </c>
      <c r="E80" s="84">
        <f>22000+900</f>
        <v>22900</v>
      </c>
      <c r="F80" s="83">
        <v>0</v>
      </c>
      <c r="G80" s="84">
        <v>0</v>
      </c>
      <c r="H80" s="83">
        <v>0</v>
      </c>
      <c r="I80" s="84">
        <v>0</v>
      </c>
      <c r="J80" s="85">
        <f t="shared" si="18"/>
        <v>24000</v>
      </c>
      <c r="K80" s="86">
        <f t="shared" si="18"/>
        <v>24000</v>
      </c>
      <c r="L80" s="64" t="s">
        <v>136</v>
      </c>
    </row>
    <row r="81" spans="1:14" s="13" customFormat="1" ht="24" customHeight="1" x14ac:dyDescent="0.25">
      <c r="A81" s="65" t="s">
        <v>52</v>
      </c>
      <c r="B81" s="83">
        <f>1000+2500</f>
        <v>3500</v>
      </c>
      <c r="C81" s="84">
        <v>0</v>
      </c>
      <c r="D81" s="83">
        <v>30000</v>
      </c>
      <c r="E81" s="84">
        <v>0</v>
      </c>
      <c r="F81" s="83">
        <v>0</v>
      </c>
      <c r="G81" s="84">
        <v>0</v>
      </c>
      <c r="H81" s="83">
        <v>0</v>
      </c>
      <c r="I81" s="84">
        <v>0</v>
      </c>
      <c r="J81" s="85">
        <f t="shared" si="18"/>
        <v>33500</v>
      </c>
      <c r="K81" s="86">
        <f t="shared" si="18"/>
        <v>0</v>
      </c>
      <c r="L81" s="64" t="s">
        <v>137</v>
      </c>
    </row>
    <row r="82" spans="1:14" s="13" customFormat="1" ht="24" customHeight="1" x14ac:dyDescent="0.25">
      <c r="A82" s="71" t="s">
        <v>97</v>
      </c>
      <c r="B82" s="109">
        <v>21700</v>
      </c>
      <c r="C82" s="84">
        <v>21700</v>
      </c>
      <c r="D82" s="109">
        <v>0</v>
      </c>
      <c r="E82" s="84">
        <v>0</v>
      </c>
      <c r="F82" s="109">
        <v>0</v>
      </c>
      <c r="G82" s="84">
        <v>0</v>
      </c>
      <c r="H82" s="109">
        <v>0</v>
      </c>
      <c r="I82" s="84">
        <v>0</v>
      </c>
      <c r="J82" s="85">
        <f t="shared" si="18"/>
        <v>21700</v>
      </c>
      <c r="K82" s="86">
        <f t="shared" si="18"/>
        <v>21700</v>
      </c>
      <c r="L82" s="64" t="s">
        <v>138</v>
      </c>
    </row>
    <row r="83" spans="1:14" s="13" customFormat="1" ht="24" customHeight="1" x14ac:dyDescent="0.25">
      <c r="A83" s="71" t="s">
        <v>139</v>
      </c>
      <c r="B83" s="112">
        <v>0</v>
      </c>
      <c r="C83" s="103">
        <v>22241.64</v>
      </c>
      <c r="D83" s="112">
        <v>0</v>
      </c>
      <c r="E83" s="103">
        <v>0</v>
      </c>
      <c r="F83" s="112">
        <v>0</v>
      </c>
      <c r="G83" s="103">
        <v>0</v>
      </c>
      <c r="H83" s="112">
        <v>0</v>
      </c>
      <c r="I83" s="103">
        <v>0</v>
      </c>
      <c r="J83" s="111">
        <f t="shared" si="18"/>
        <v>0</v>
      </c>
      <c r="K83" s="96">
        <f t="shared" si="18"/>
        <v>22241.64</v>
      </c>
      <c r="L83" s="64" t="s">
        <v>140</v>
      </c>
    </row>
    <row r="84" spans="1:14" s="13" customFormat="1" ht="24" customHeight="1" x14ac:dyDescent="0.25">
      <c r="A84" s="71" t="s">
        <v>141</v>
      </c>
      <c r="B84" s="109">
        <v>0</v>
      </c>
      <c r="C84" s="84">
        <v>20898.27</v>
      </c>
      <c r="D84" s="109">
        <v>0</v>
      </c>
      <c r="E84" s="84">
        <v>0</v>
      </c>
      <c r="F84" s="109">
        <v>0</v>
      </c>
      <c r="G84" s="84">
        <v>0</v>
      </c>
      <c r="H84" s="109">
        <v>0</v>
      </c>
      <c r="I84" s="84">
        <v>0</v>
      </c>
      <c r="J84" s="85">
        <f t="shared" si="18"/>
        <v>0</v>
      </c>
      <c r="K84" s="86">
        <f t="shared" si="18"/>
        <v>20898.27</v>
      </c>
      <c r="L84" s="64" t="s">
        <v>142</v>
      </c>
    </row>
    <row r="85" spans="1:14" s="13" customFormat="1" ht="24" customHeight="1" x14ac:dyDescent="0.25">
      <c r="A85" s="71" t="s">
        <v>143</v>
      </c>
      <c r="B85" s="109">
        <v>0</v>
      </c>
      <c r="C85" s="84">
        <v>28727.64</v>
      </c>
      <c r="D85" s="109">
        <v>0</v>
      </c>
      <c r="E85" s="84">
        <v>0</v>
      </c>
      <c r="F85" s="109">
        <v>0</v>
      </c>
      <c r="G85" s="84">
        <v>0</v>
      </c>
      <c r="H85" s="109">
        <v>0</v>
      </c>
      <c r="I85" s="84">
        <v>0</v>
      </c>
      <c r="J85" s="85">
        <f t="shared" si="18"/>
        <v>0</v>
      </c>
      <c r="K85" s="86">
        <f t="shared" si="18"/>
        <v>28727.64</v>
      </c>
      <c r="L85" s="64" t="s">
        <v>144</v>
      </c>
    </row>
    <row r="86" spans="1:14" s="13" customFormat="1" ht="24" customHeight="1" x14ac:dyDescent="0.25">
      <c r="A86" s="98" t="s">
        <v>145</v>
      </c>
      <c r="B86" s="109">
        <v>0</v>
      </c>
      <c r="C86" s="84">
        <v>11437.7</v>
      </c>
      <c r="D86" s="109">
        <v>0</v>
      </c>
      <c r="E86" s="84">
        <v>0</v>
      </c>
      <c r="F86" s="109">
        <v>0</v>
      </c>
      <c r="G86" s="84">
        <v>0</v>
      </c>
      <c r="H86" s="109">
        <v>0</v>
      </c>
      <c r="I86" s="84">
        <v>0</v>
      </c>
      <c r="J86" s="85">
        <f t="shared" si="18"/>
        <v>0</v>
      </c>
      <c r="K86" s="86">
        <f t="shared" si="18"/>
        <v>11437.7</v>
      </c>
      <c r="L86" s="64" t="s">
        <v>146</v>
      </c>
    </row>
    <row r="87" spans="1:14" s="13" customFormat="1" ht="24" customHeight="1" thickBot="1" x14ac:dyDescent="0.3">
      <c r="A87" s="99" t="s">
        <v>147</v>
      </c>
      <c r="B87" s="113">
        <v>0</v>
      </c>
      <c r="C87" s="114">
        <v>11567.78</v>
      </c>
      <c r="D87" s="115">
        <v>0</v>
      </c>
      <c r="E87" s="116">
        <v>0</v>
      </c>
      <c r="F87" s="115">
        <v>0</v>
      </c>
      <c r="G87" s="116">
        <v>0</v>
      </c>
      <c r="H87" s="115">
        <v>0</v>
      </c>
      <c r="I87" s="116">
        <v>0</v>
      </c>
      <c r="J87" s="117">
        <f>B87+D87+F87+H87</f>
        <v>0</v>
      </c>
      <c r="K87" s="118">
        <f>C87+E87+G87+I87</f>
        <v>11567.78</v>
      </c>
      <c r="L87" s="64" t="s">
        <v>148</v>
      </c>
    </row>
    <row r="88" spans="1:14" s="6" customFormat="1" ht="15" customHeight="1" thickBot="1" x14ac:dyDescent="0.3">
      <c r="A88" s="76" t="s">
        <v>53</v>
      </c>
      <c r="B88" s="60">
        <f t="shared" ref="B88:K88" si="19">SUM(B78:B87)</f>
        <v>83200</v>
      </c>
      <c r="C88" s="60">
        <f t="shared" si="19"/>
        <v>127907.14</v>
      </c>
      <c r="D88" s="60">
        <f t="shared" si="19"/>
        <v>171416</v>
      </c>
      <c r="E88" s="60">
        <f t="shared" si="19"/>
        <v>207081.89</v>
      </c>
      <c r="F88" s="60">
        <f t="shared" si="19"/>
        <v>50000</v>
      </c>
      <c r="G88" s="60">
        <f t="shared" si="19"/>
        <v>95000</v>
      </c>
      <c r="H88" s="60">
        <f t="shared" si="19"/>
        <v>0</v>
      </c>
      <c r="I88" s="60">
        <f t="shared" si="19"/>
        <v>0</v>
      </c>
      <c r="J88" s="60">
        <f t="shared" si="19"/>
        <v>304616</v>
      </c>
      <c r="K88" s="60">
        <f t="shared" si="19"/>
        <v>429989.03000000009</v>
      </c>
      <c r="L88" s="63"/>
      <c r="N88" s="104"/>
    </row>
    <row r="89" spans="1:14" s="6" customFormat="1" ht="36" customHeight="1" thickBot="1" x14ac:dyDescent="0.3">
      <c r="A89" s="91" t="s">
        <v>54</v>
      </c>
      <c r="B89" s="92">
        <f t="shared" ref="B89:K89" si="20">B88+B76+B52+B43+B38</f>
        <v>536889.90999999992</v>
      </c>
      <c r="C89" s="93">
        <f t="shared" si="20"/>
        <v>522388.11</v>
      </c>
      <c r="D89" s="92">
        <f t="shared" si="20"/>
        <v>993570</v>
      </c>
      <c r="E89" s="93">
        <f t="shared" si="20"/>
        <v>1060162.2</v>
      </c>
      <c r="F89" s="92">
        <f t="shared" si="20"/>
        <v>832277</v>
      </c>
      <c r="G89" s="93">
        <f t="shared" si="20"/>
        <v>895151.9</v>
      </c>
      <c r="H89" s="92">
        <f t="shared" si="20"/>
        <v>196320</v>
      </c>
      <c r="I89" s="93">
        <f t="shared" si="20"/>
        <v>96320</v>
      </c>
      <c r="J89" s="92">
        <f t="shared" si="20"/>
        <v>2559056.91</v>
      </c>
      <c r="K89" s="93">
        <f t="shared" si="20"/>
        <v>2574022.21</v>
      </c>
      <c r="L89" s="63"/>
    </row>
    <row r="90" spans="1:14" s="6" customFormat="1" ht="13.5" thickBot="1" x14ac:dyDescent="0.3">
      <c r="A90" s="17"/>
      <c r="B90" s="94"/>
      <c r="C90" s="94"/>
      <c r="D90" s="94"/>
      <c r="E90" s="94"/>
      <c r="F90" s="94"/>
      <c r="G90" s="94"/>
      <c r="H90" s="94"/>
      <c r="I90" s="94"/>
      <c r="J90" s="94"/>
      <c r="K90" s="119"/>
      <c r="L90" s="63"/>
    </row>
    <row r="91" spans="1:14" s="6" customFormat="1" ht="36" customHeight="1" thickBot="1" x14ac:dyDescent="0.3">
      <c r="A91" s="91" t="s">
        <v>55</v>
      </c>
      <c r="B91" s="92">
        <f t="shared" ref="B91:K91" si="21">SUM(B18,B31,B89)</f>
        <v>590885.90999999992</v>
      </c>
      <c r="C91" s="93">
        <f t="shared" si="21"/>
        <v>558704.11</v>
      </c>
      <c r="D91" s="92">
        <f t="shared" si="21"/>
        <v>1252942</v>
      </c>
      <c r="E91" s="93">
        <f t="shared" si="21"/>
        <v>1324788.2</v>
      </c>
      <c r="F91" s="92">
        <f t="shared" si="21"/>
        <v>959852</v>
      </c>
      <c r="G91" s="93">
        <f t="shared" si="21"/>
        <v>998866.9</v>
      </c>
      <c r="H91" s="92">
        <f t="shared" si="21"/>
        <v>196320</v>
      </c>
      <c r="I91" s="93">
        <f t="shared" si="21"/>
        <v>96320</v>
      </c>
      <c r="J91" s="92">
        <f t="shared" si="21"/>
        <v>2999999.91</v>
      </c>
      <c r="K91" s="93">
        <f t="shared" si="21"/>
        <v>2978679.21</v>
      </c>
      <c r="L91" s="63"/>
    </row>
    <row r="93" spans="1:14" x14ac:dyDescent="0.2">
      <c r="B93" s="120" t="s">
        <v>149</v>
      </c>
    </row>
    <row r="94" spans="1:14" x14ac:dyDescent="0.2">
      <c r="A94" s="4" t="s">
        <v>150</v>
      </c>
      <c r="B94" s="120">
        <v>47290</v>
      </c>
      <c r="C94" s="120" t="s">
        <v>151</v>
      </c>
    </row>
    <row r="95" spans="1:14" x14ac:dyDescent="0.2">
      <c r="A95" s="4" t="s">
        <v>152</v>
      </c>
    </row>
    <row r="97" spans="1:4" x14ac:dyDescent="0.2">
      <c r="A97" s="4" t="s">
        <v>153</v>
      </c>
      <c r="B97" s="120">
        <v>30000</v>
      </c>
      <c r="D97" s="120" t="s">
        <v>154</v>
      </c>
    </row>
    <row r="98" spans="1:4" x14ac:dyDescent="0.2">
      <c r="A98" s="4" t="s">
        <v>155</v>
      </c>
      <c r="B98" s="120">
        <v>53000</v>
      </c>
      <c r="D98" s="120" t="s">
        <v>154</v>
      </c>
    </row>
  </sheetData>
  <mergeCells count="16">
    <mergeCell ref="A39:K39"/>
    <mergeCell ref="A44:K44"/>
    <mergeCell ref="A53:K53"/>
    <mergeCell ref="A77:K77"/>
    <mergeCell ref="A15:K15"/>
    <mergeCell ref="A20:K20"/>
    <mergeCell ref="A21:K21"/>
    <mergeCell ref="A26:K26"/>
    <mergeCell ref="A33:K33"/>
    <mergeCell ref="A34:K34"/>
    <mergeCell ref="A9:K9"/>
    <mergeCell ref="A1:K1"/>
    <mergeCell ref="A2:A3"/>
    <mergeCell ref="B2:K2"/>
    <mergeCell ref="A4:K4"/>
    <mergeCell ref="A5:K5"/>
  </mergeCells>
  <conditionalFormatting sqref="C6:C8">
    <cfRule type="cellIs" dxfId="1253" priority="191" operator="lessThan">
      <formula>B6</formula>
    </cfRule>
    <cfRule type="cellIs" dxfId="1252" priority="192" operator="greaterThan">
      <formula>B6</formula>
    </cfRule>
  </conditionalFormatting>
  <conditionalFormatting sqref="C10:C14">
    <cfRule type="cellIs" dxfId="1251" priority="171" operator="lessThan">
      <formula>B10</formula>
    </cfRule>
    <cfRule type="cellIs" dxfId="1250" priority="172" operator="greaterThan">
      <formula>B10</formula>
    </cfRule>
  </conditionalFormatting>
  <conditionalFormatting sqref="C16:C17">
    <cfRule type="cellIs" dxfId="1249" priority="163" operator="lessThan">
      <formula>B16</formula>
    </cfRule>
    <cfRule type="cellIs" dxfId="1248" priority="164" operator="greaterThan">
      <formula>B16</formula>
    </cfRule>
  </conditionalFormatting>
  <conditionalFormatting sqref="C22:C25">
    <cfRule type="cellIs" dxfId="1247" priority="141" operator="lessThan">
      <formula>B22</formula>
    </cfRule>
    <cfRule type="cellIs" dxfId="1246" priority="142" operator="greaterThan">
      <formula>B22</formula>
    </cfRule>
  </conditionalFormatting>
  <conditionalFormatting sqref="C27:C30">
    <cfRule type="cellIs" dxfId="1245" priority="129" operator="lessThan">
      <formula>B27</formula>
    </cfRule>
    <cfRule type="cellIs" dxfId="1244" priority="130" operator="greaterThan">
      <formula>B27</formula>
    </cfRule>
  </conditionalFormatting>
  <conditionalFormatting sqref="C35:C38">
    <cfRule type="cellIs" dxfId="1243" priority="109" operator="lessThan">
      <formula>B35</formula>
    </cfRule>
    <cfRule type="cellIs" dxfId="1242" priority="110" operator="greaterThan">
      <formula>B35</formula>
    </cfRule>
  </conditionalFormatting>
  <conditionalFormatting sqref="C40:C43">
    <cfRule type="cellIs" dxfId="1241" priority="89" operator="lessThan">
      <formula>B40</formula>
    </cfRule>
    <cfRule type="cellIs" dxfId="1240" priority="90" operator="greaterThan">
      <formula>B40</formula>
    </cfRule>
  </conditionalFormatting>
  <conditionalFormatting sqref="C45:C51">
    <cfRule type="cellIs" dxfId="1239" priority="11" operator="lessThan">
      <formula>B45</formula>
    </cfRule>
    <cfRule type="cellIs" dxfId="1238" priority="12" operator="greaterThan">
      <formula>B45</formula>
    </cfRule>
  </conditionalFormatting>
  <conditionalFormatting sqref="C54:C76">
    <cfRule type="cellIs" dxfId="1237" priority="15" operator="lessThan">
      <formula>B54</formula>
    </cfRule>
    <cfRule type="cellIs" dxfId="1236" priority="16" operator="greaterThan">
      <formula>B54</formula>
    </cfRule>
  </conditionalFormatting>
  <conditionalFormatting sqref="C78:C87">
    <cfRule type="cellIs" dxfId="1235" priority="23" operator="lessThan">
      <formula>B78</formula>
    </cfRule>
    <cfRule type="cellIs" dxfId="1234" priority="24" operator="greaterThan">
      <formula>B78</formula>
    </cfRule>
  </conditionalFormatting>
  <conditionalFormatting sqref="E6:E8">
    <cfRule type="cellIs" dxfId="1233" priority="189" operator="lessThan">
      <formula>D6</formula>
    </cfRule>
    <cfRule type="cellIs" dxfId="1232" priority="190" operator="greaterThan">
      <formula>D6</formula>
    </cfRule>
  </conditionalFormatting>
  <conditionalFormatting sqref="E10:E14 G10:G14 I10:I14 K10:K14">
    <cfRule type="cellIs" dxfId="1231" priority="167" operator="lessThan">
      <formula>D10</formula>
    </cfRule>
    <cfRule type="cellIs" dxfId="1230" priority="168" operator="greaterThan">
      <formula>D10</formula>
    </cfRule>
  </conditionalFormatting>
  <conditionalFormatting sqref="E16:E17 G16:G17 I16:I17 K16:K17">
    <cfRule type="cellIs" dxfId="1229" priority="159" operator="lessThan">
      <formula>D16</formula>
    </cfRule>
    <cfRule type="cellIs" dxfId="1228" priority="160" operator="greaterThan">
      <formula>D16</formula>
    </cfRule>
  </conditionalFormatting>
  <conditionalFormatting sqref="E22:E25 G22:G25 I22:I25 K22:K25">
    <cfRule type="cellIs" dxfId="1227" priority="139" operator="lessThan">
      <formula>D22</formula>
    </cfRule>
    <cfRule type="cellIs" dxfId="1226" priority="140" operator="greaterThan">
      <formula>D22</formula>
    </cfRule>
  </conditionalFormatting>
  <conditionalFormatting sqref="E27:E30 G27:G30 I27:I30 K27:K30">
    <cfRule type="cellIs" dxfId="1225" priority="119" operator="lessThan">
      <formula>D27</formula>
    </cfRule>
    <cfRule type="cellIs" dxfId="1224" priority="120" operator="greaterThan">
      <formula>D27</formula>
    </cfRule>
  </conditionalFormatting>
  <conditionalFormatting sqref="E35:E38 G35:G38 I35:I38">
    <cfRule type="cellIs" dxfId="1223" priority="99" operator="lessThan">
      <formula>D35</formula>
    </cfRule>
    <cfRule type="cellIs" dxfId="1222" priority="100" operator="greaterThan">
      <formula>D35</formula>
    </cfRule>
  </conditionalFormatting>
  <conditionalFormatting sqref="E40:E43 G40:G43 I40:I43">
    <cfRule type="cellIs" dxfId="1221" priority="79" operator="lessThan">
      <formula>D40</formula>
    </cfRule>
    <cfRule type="cellIs" dxfId="1220" priority="80" operator="greaterThan">
      <formula>D40</formula>
    </cfRule>
  </conditionalFormatting>
  <conditionalFormatting sqref="E45:E51">
    <cfRule type="cellIs" dxfId="1219" priority="7" operator="lessThan">
      <formula>D45</formula>
    </cfRule>
    <cfRule type="cellIs" dxfId="1218" priority="8" operator="greaterThan">
      <formula>D45</formula>
    </cfRule>
  </conditionalFormatting>
  <conditionalFormatting sqref="E54:E76 G54:G76 I54:I76 K54:K76">
    <cfRule type="cellIs" dxfId="1217" priority="13" operator="lessThan">
      <formula>D54</formula>
    </cfRule>
    <cfRule type="cellIs" dxfId="1216" priority="14" operator="greaterThan">
      <formula>D54</formula>
    </cfRule>
  </conditionalFormatting>
  <conditionalFormatting sqref="E78:E87 G78:G87 I78:I87">
    <cfRule type="cellIs" dxfId="1215" priority="21" operator="lessThan">
      <formula>D78</formula>
    </cfRule>
    <cfRule type="cellIs" dxfId="1214" priority="22" operator="greaterThan">
      <formula>D78</formula>
    </cfRule>
  </conditionalFormatting>
  <conditionalFormatting sqref="G6:G8">
    <cfRule type="cellIs" dxfId="1213" priority="187" operator="lessThan">
      <formula>F6</formula>
    </cfRule>
    <cfRule type="cellIs" dxfId="1212" priority="188" operator="greaterThan">
      <formula>F6</formula>
    </cfRule>
  </conditionalFormatting>
  <conditionalFormatting sqref="G45:G51">
    <cfRule type="cellIs" dxfId="1211" priority="5" operator="lessThan">
      <formula>F45</formula>
    </cfRule>
    <cfRule type="cellIs" dxfId="1210" priority="6" operator="greaterThan">
      <formula>F45</formula>
    </cfRule>
  </conditionalFormatting>
  <conditionalFormatting sqref="I6:I8">
    <cfRule type="cellIs" dxfId="1209" priority="185" operator="lessThan">
      <formula>H6</formula>
    </cfRule>
    <cfRule type="cellIs" dxfId="1208" priority="186" operator="greaterThan">
      <formula>H6</formula>
    </cfRule>
  </conditionalFormatting>
  <conditionalFormatting sqref="I45:I51">
    <cfRule type="cellIs" dxfId="1207" priority="3" operator="lessThan">
      <formula>H45</formula>
    </cfRule>
    <cfRule type="cellIs" dxfId="1206" priority="4" operator="greaterThan">
      <formula>H45</formula>
    </cfRule>
  </conditionalFormatting>
  <conditionalFormatting sqref="K6:K8">
    <cfRule type="cellIs" dxfId="1205" priority="183" operator="lessThan">
      <formula>J6</formula>
    </cfRule>
    <cfRule type="cellIs" dxfId="1204" priority="184" operator="greaterThan">
      <formula>J6</formula>
    </cfRule>
  </conditionalFormatting>
  <conditionalFormatting sqref="K35:K38">
    <cfRule type="cellIs" dxfId="1203" priority="101" operator="lessThan">
      <formula>J35</formula>
    </cfRule>
    <cfRule type="cellIs" dxfId="1202" priority="102" operator="greaterThan">
      <formula>J35</formula>
    </cfRule>
  </conditionalFormatting>
  <conditionalFormatting sqref="K40:K43">
    <cfRule type="cellIs" dxfId="1201" priority="81" operator="lessThan">
      <formula>J40</formula>
    </cfRule>
    <cfRule type="cellIs" dxfId="1200" priority="82" operator="greaterThan">
      <formula>J40</formula>
    </cfRule>
  </conditionalFormatting>
  <conditionalFormatting sqref="K45:K52">
    <cfRule type="cellIs" dxfId="1199" priority="1" operator="lessThan">
      <formula>J45</formula>
    </cfRule>
    <cfRule type="cellIs" dxfId="1198" priority="2" operator="greaterThan">
      <formula>J45</formula>
    </cfRule>
  </conditionalFormatting>
  <conditionalFormatting sqref="K78:K87">
    <cfRule type="cellIs" dxfId="1197" priority="25" operator="lessThan">
      <formula>J78</formula>
    </cfRule>
    <cfRule type="cellIs" dxfId="1196" priority="26" operator="greaterThan">
      <formula>J78</formula>
    </cfRule>
  </conditionalFormatting>
  <pageMargins left="0.23622047244094491" right="0.23622047244094491" top="0" bottom="0" header="0.31496062992125984" footer="0.31496062992125984"/>
  <pageSetup paperSize="8" scale="82" firstPageNumber="8" fitToHeight="0" orientation="landscape" r:id="rId1"/>
  <headerFooter>
    <oddHeader>&amp;LPříloha č. 3</oddHeader>
    <oddFooter>&amp;C&amp;"Tahoma,Obyčejné"&amp;10&amp;P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EB366695F00544AE8A4BE4650FFEDD" ma:contentTypeVersion="8" ma:contentTypeDescription="Create a new document." ma:contentTypeScope="" ma:versionID="9313a75fb8b22e2e8a354805c9e55ff3">
  <xsd:schema xmlns:xsd="http://www.w3.org/2001/XMLSchema" xmlns:xs="http://www.w3.org/2001/XMLSchema" xmlns:p="http://schemas.microsoft.com/office/2006/metadata/properties" xmlns:ns2="a6b573eb-d43f-4213-aa9f-907c5105b009" xmlns:ns3="04fd01bd-11bc-441a-9bd4-07c699ce4e53" targetNamespace="http://schemas.microsoft.com/office/2006/metadata/properties" ma:root="true" ma:fieldsID="29a3e7b4849db9980eb3d097d68935a1" ns2:_="" ns3:_="">
    <xsd:import namespace="a6b573eb-d43f-4213-aa9f-907c5105b009"/>
    <xsd:import namespace="04fd01bd-11bc-441a-9bd4-07c699ce4e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73eb-d43f-4213-aa9f-907c5105b0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d01bd-11bc-441a-9bd4-07c699ce4e5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DC204E-AD15-426C-89D6-682A767764C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CD3940C-0EBA-483E-8B37-EDE26C4001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73eb-d43f-4213-aa9f-907c5105b009"/>
    <ds:schemaRef ds:uri="04fd01bd-11bc-441a-9bd4-07c699ce4e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82C7A7A-E8B5-40F1-ACF1-3E183AD24F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27</vt:i4>
      </vt:variant>
      <vt:variant>
        <vt:lpstr>Pojmenované oblasti</vt:lpstr>
      </vt:variant>
      <vt:variant>
        <vt:i4>45</vt:i4>
      </vt:variant>
    </vt:vector>
  </HeadingPairs>
  <TitlesOfParts>
    <vt:vector size="72" baseType="lpstr">
      <vt:lpstr>Akce úvěru ČS-stav 2021 k 26_4</vt:lpstr>
      <vt:lpstr>Akce z úvěru ČS-plán</vt:lpstr>
      <vt:lpstr>Akce z úvěru ČS-plán 21_04</vt:lpstr>
      <vt:lpstr>Akce z úvěru ČS-plán 29_04</vt:lpstr>
      <vt:lpstr>Akce z úvěru ČS-plán 04_05</vt:lpstr>
      <vt:lpstr>Akce z úvěru ČS-plán 07_05</vt:lpstr>
      <vt:lpstr>Akce z úvěru ČS-plán 14_05</vt:lpstr>
      <vt:lpstr>Akce z úvěru ČS-plán 20_05</vt:lpstr>
      <vt:lpstr>ZK září 3.8</vt:lpstr>
      <vt:lpstr>ZK září 9.8.</vt:lpstr>
      <vt:lpstr>ZK září 10.8 ZMĚNY</vt:lpstr>
      <vt:lpstr>ZK září 13.8.</vt:lpstr>
      <vt:lpstr>ZK září 17.8.</vt:lpstr>
      <vt:lpstr>ZK 16.9.</vt:lpstr>
      <vt:lpstr>po ZK 16.9.-přípravaROZP</vt:lpstr>
      <vt:lpstr>ZK 16.12.</vt:lpstr>
      <vt:lpstr>RK 24.1. převody</vt:lpstr>
      <vt:lpstr>Úvěr ČS-další změny 2022</vt:lpstr>
      <vt:lpstr>Úvěr ČS podklad revize duben 22</vt:lpstr>
      <vt:lpstr>ZK 16.6.</vt:lpstr>
      <vt:lpstr>Přesuny -podklad revize září 22</vt:lpstr>
      <vt:lpstr>po ZK 16.6.</vt:lpstr>
      <vt:lpstr>ZK 15.9.</vt:lpstr>
      <vt:lpstr>po ZK 15.9.-přípravaROZP</vt:lpstr>
      <vt:lpstr>ZK 15.12.</vt:lpstr>
      <vt:lpstr>2023-po převodech</vt:lpstr>
      <vt:lpstr>Revize květen 23</vt:lpstr>
      <vt:lpstr>'2023-po převodech'!Názvy_tisku</vt:lpstr>
      <vt:lpstr>'Akce úvěru ČS-stav 2021 k 26_4'!Názvy_tisku</vt:lpstr>
      <vt:lpstr>'Akce z úvěru ČS-plán'!Názvy_tisku</vt:lpstr>
      <vt:lpstr>'Akce z úvěru ČS-plán 04_05'!Názvy_tisku</vt:lpstr>
      <vt:lpstr>'Akce z úvěru ČS-plán 07_05'!Názvy_tisku</vt:lpstr>
      <vt:lpstr>'Akce z úvěru ČS-plán 14_05'!Názvy_tisku</vt:lpstr>
      <vt:lpstr>'Akce z úvěru ČS-plán 20_05'!Názvy_tisku</vt:lpstr>
      <vt:lpstr>'Akce z úvěru ČS-plán 21_04'!Názvy_tisku</vt:lpstr>
      <vt:lpstr>'Akce z úvěru ČS-plán 29_04'!Názvy_tisku</vt:lpstr>
      <vt:lpstr>'po ZK 16.6.'!Názvy_tisku</vt:lpstr>
      <vt:lpstr>'po ZK 16.9.-přípravaROZP'!Názvy_tisku</vt:lpstr>
      <vt:lpstr>'Revize květen 23'!Názvy_tisku</vt:lpstr>
      <vt:lpstr>'RK 24.1. převody'!Názvy_tisku</vt:lpstr>
      <vt:lpstr>'Úvěr ČS podklad revize duben 22'!Názvy_tisku</vt:lpstr>
      <vt:lpstr>'Úvěr ČS-další změny 2022'!Názvy_tisku</vt:lpstr>
      <vt:lpstr>'ZK 15.12.'!Názvy_tisku</vt:lpstr>
      <vt:lpstr>'ZK 16.12.'!Názvy_tisku</vt:lpstr>
      <vt:lpstr>'ZK 16.6.'!Názvy_tisku</vt:lpstr>
      <vt:lpstr>'ZK 16.9.'!Názvy_tisku</vt:lpstr>
      <vt:lpstr>'ZK září 10.8 ZMĚNY'!Názvy_tisku</vt:lpstr>
      <vt:lpstr>'ZK září 13.8.'!Názvy_tisku</vt:lpstr>
      <vt:lpstr>'ZK září 17.8.'!Názvy_tisku</vt:lpstr>
      <vt:lpstr>'ZK září 3.8'!Názvy_tisku</vt:lpstr>
      <vt:lpstr>'ZK září 9.8.'!Názvy_tisku</vt:lpstr>
      <vt:lpstr>'Akce úvěru ČS-stav 2021 k 26_4'!Oblast_tisku</vt:lpstr>
      <vt:lpstr>'Akce z úvěru ČS-plán'!Oblast_tisku</vt:lpstr>
      <vt:lpstr>'Akce z úvěru ČS-plán 04_05'!Oblast_tisku</vt:lpstr>
      <vt:lpstr>'Akce z úvěru ČS-plán 07_05'!Oblast_tisku</vt:lpstr>
      <vt:lpstr>'Akce z úvěru ČS-plán 14_05'!Oblast_tisku</vt:lpstr>
      <vt:lpstr>'Akce z úvěru ČS-plán 20_05'!Oblast_tisku</vt:lpstr>
      <vt:lpstr>'Akce z úvěru ČS-plán 21_04'!Oblast_tisku</vt:lpstr>
      <vt:lpstr>'Akce z úvěru ČS-plán 29_04'!Oblast_tisku</vt:lpstr>
      <vt:lpstr>'po ZK 16.6.'!Oblast_tisku</vt:lpstr>
      <vt:lpstr>'po ZK 16.9.-přípravaROZP'!Oblast_tisku</vt:lpstr>
      <vt:lpstr>'RK 24.1. převody'!Oblast_tisku</vt:lpstr>
      <vt:lpstr>'Úvěr ČS podklad revize duben 22'!Oblast_tisku</vt:lpstr>
      <vt:lpstr>'Úvěr ČS-další změny 2022'!Oblast_tisku</vt:lpstr>
      <vt:lpstr>'ZK 16.12.'!Oblast_tisku</vt:lpstr>
      <vt:lpstr>'ZK 16.6.'!Oblast_tisku</vt:lpstr>
      <vt:lpstr>'ZK 16.9.'!Oblast_tisku</vt:lpstr>
      <vt:lpstr>'ZK září 10.8 ZMĚNY'!Oblast_tisku</vt:lpstr>
      <vt:lpstr>'ZK září 13.8.'!Oblast_tisku</vt:lpstr>
      <vt:lpstr>'ZK září 17.8.'!Oblast_tisku</vt:lpstr>
      <vt:lpstr>'ZK září 3.8'!Oblast_tisku</vt:lpstr>
      <vt:lpstr>'ZK září 9.8.'!Oblast_tisku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Metelka Tomáš</dc:creator>
  <cp:keywords/>
  <dc:description/>
  <cp:lastModifiedBy>Metelka Tomáš</cp:lastModifiedBy>
  <cp:revision/>
  <cp:lastPrinted>2023-05-16T14:28:49Z</cp:lastPrinted>
  <dcterms:created xsi:type="dcterms:W3CDTF">2021-03-12T13:37:06Z</dcterms:created>
  <dcterms:modified xsi:type="dcterms:W3CDTF">2023-05-16T14:33:33Z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0x010100F5EB366695F00544AE8A4BE4650FFEDD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2021-11-08T19:20:31Z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bf148615-0d6a-4cac-9852-03156554990d</vt:lpwstr>
  </property>
  <property fmtid="{D5CDD505-2E9C-101B-9397-08002B2CF9AE}" pid="9" name="MSIP_Label_63ff9749-f68b-40ec-aa05-229831920469_ContentBits">
    <vt:lpwstr>2</vt:lpwstr>
  </property>
</Properties>
</file>