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ROZPOČET 2024/16-MAT do ZK/5-MAT do ZK-oprava stránkování/"/>
    </mc:Choice>
  </mc:AlternateContent>
  <xr:revisionPtr revIDLastSave="1" documentId="8_{E7F90F53-9612-4AD0-B7FF-F04272D2DDCB}" xr6:coauthVersionLast="47" xr6:coauthVersionMax="47" xr10:uidLastSave="{DCB18C7E-4D1C-450C-B491-C34B1CE0729F}"/>
  <bookViews>
    <workbookView xWindow="28680" yWindow="-120" windowWidth="29040" windowHeight="15840" tabRatio="903" xr2:uid="{00000000-000D-0000-FFFF-FFFF00000000}"/>
  </bookViews>
  <sheets>
    <sheet name="OBSAH" sheetId="2" r:id="rId1"/>
    <sheet name="Dotační programy" sheetId="25" r:id="rId2"/>
    <sheet name="Akce spolufin. z evr.fin.zdrojů" sheetId="39" r:id="rId3"/>
    <sheet name="Akce fin. z úvěrových zdrojů" sheetId="42" r:id="rId4"/>
    <sheet name="Akce fin. z úvěru ČS" sheetId="41" r:id="rId5"/>
    <sheet name="Fin. vybraných organizací" sheetId="44" r:id="rId6"/>
    <sheet name="Přehled příjmů 2024" sheetId="40" r:id="rId7"/>
    <sheet name="Graf 1. Rozpočet 2020-2024" sheetId="9" r:id="rId8"/>
    <sheet name="Zdrojová data I.s" sheetId="10" state="hidden" r:id="rId9"/>
    <sheet name="Graf 2. Příjmy 2019-2023" sheetId="11" state="hidden" r:id="rId10"/>
    <sheet name="Graf 3. Výdaje B+K 2019-2023" sheetId="12" state="hidden" r:id="rId11"/>
    <sheet name="Zdrojová data II. a III. s" sheetId="13" state="hidden" r:id="rId12"/>
    <sheet name="Graf 2. Příjmy 2024" sheetId="14" r:id="rId13"/>
    <sheet name="Zdrojová data IV." sheetId="15" state="hidden" r:id="rId14"/>
    <sheet name="Graf 3. Výdaje 2024" sheetId="16" r:id="rId15"/>
    <sheet name="Graf 4. Výdaje EU 2024" sheetId="17" r:id="rId16"/>
    <sheet name="Zdrojová data V.a VI." sheetId="18" state="hidden" r:id="rId17"/>
  </sheets>
  <externalReferences>
    <externalReference r:id="rId18"/>
    <externalReference r:id="rId19"/>
  </externalReferences>
  <definedNames>
    <definedName name="_xlnm._FilterDatabase" localSheetId="3" hidden="1">'Akce fin. z úvěrových zdrojů'!$A$4:$L$87</definedName>
    <definedName name="_xlnm._FilterDatabase" localSheetId="6" hidden="1">'Přehled příjmů 2024'!$A$18:$D$51</definedName>
    <definedName name="DF_GRID_1" localSheetId="3">#REF!</definedName>
    <definedName name="DF_GRID_1" localSheetId="4">#REF!</definedName>
    <definedName name="DF_GRID_1" localSheetId="2">#REF!</definedName>
    <definedName name="DF_GRID_1" localSheetId="6">#REF!</definedName>
    <definedName name="DF_GRID_1">#REF!</definedName>
    <definedName name="DF_GRID_2">#REF!</definedName>
    <definedName name="DF_GRID_3">#REF!</definedName>
    <definedName name="kurz" localSheetId="3">[1]rozhodnutí!$N$31</definedName>
    <definedName name="kurz" localSheetId="4">[1]rozhodnutí!$N$31</definedName>
    <definedName name="kurz" localSheetId="2">[2]rozhodnutí!$N$31</definedName>
    <definedName name="kurz" localSheetId="6">[2]rozhodnutí!$N$31</definedName>
    <definedName name="kurz">[1]rozhodnutí!$N$31</definedName>
    <definedName name="_xlnm.Print_Titles" localSheetId="3">'Akce fin. z úvěrových zdrojů'!$2:$4</definedName>
    <definedName name="_xlnm.Print_Titles" localSheetId="4">'Akce fin. z úvěru ČS'!$3:$4</definedName>
    <definedName name="_xlnm.Print_Titles" localSheetId="2">'Akce spolufin. z evr.fin.zdrojů'!$2:$4</definedName>
    <definedName name="_xlnm.Print_Titles" localSheetId="1">'Dotační programy'!$2:$2</definedName>
    <definedName name="_xlnm.Print_Titles" localSheetId="5">'Fin. vybraných organizací'!$2:$3</definedName>
    <definedName name="_xlnm.Print_Titles" localSheetId="6">'Přehled příjmů 2024'!$4:$4</definedName>
    <definedName name="_xlnm.Print_Area" localSheetId="4">'Akce fin. z úvěru ČS'!$A$1:$H$101</definedName>
    <definedName name="_xlnm.Print_Area" localSheetId="2">'Akce spolufin. z evr.fin.zdrojů'!$A$1:$M$120</definedName>
    <definedName name="_xlnm.Print_Area" localSheetId="1">'Dotační programy'!$A$1:$G$78</definedName>
    <definedName name="_xlnm.Print_Area" localSheetId="5">'Fin. vybraných organizací'!$A$1:$G$36</definedName>
    <definedName name="_xlnm.Print_Area" localSheetId="6">'Přehled příjmů 2024'!$A$1:$D$111</definedName>
    <definedName name="SAPBEXhrIndnt" hidden="1">"Wide"</definedName>
    <definedName name="SAPsysID" hidden="1">"708C5W7SBKP804JT78WJ0JNKI"</definedName>
    <definedName name="SAPwbID" hidden="1">"ARS"</definedName>
    <definedName name="Z_14FC9820_EF8C_4D55_8881_D5E51DC559B3_.wvu.Cols" localSheetId="1" hidden="1">'Dotační programy'!#REF!</definedName>
    <definedName name="Z_632980EE_AB4F_49FA_B8D9_C4F0628108CE_.wvu.Cols" localSheetId="8" hidden="1">'Zdrojová data I.s'!$B:$E</definedName>
    <definedName name="Z_632980EE_AB4F_49FA_B8D9_C4F0628108CE_.wvu.Cols" localSheetId="11" hidden="1">'Zdrojová data II. a III. s'!$B:$E</definedName>
    <definedName name="Z_632980EE_AB4F_49FA_B8D9_C4F0628108CE_.wvu.Cols" localSheetId="13" hidden="1">'Zdrojová data IV.'!$B:$I</definedName>
    <definedName name="Z_632980EE_AB4F_49FA_B8D9_C4F0628108CE_.wvu.Cols" localSheetId="16" hidden="1">'Zdrojová data V.a VI.'!$B:$I</definedName>
    <definedName name="Z_632980EE_AB4F_49FA_B8D9_C4F0628108CE_.wvu.Rows" localSheetId="8" hidden="1">'Zdrojová data I.s'!$17:$31</definedName>
    <definedName name="Z_632980EE_AB4F_49FA_B8D9_C4F0628108CE_.wvu.Rows" localSheetId="16" hidden="1">'Zdrojová data V.a VI.'!$11:$11,'Zdrojová data V.a VI.'!$29:$29</definedName>
    <definedName name="Z_6667F704_353F_485F_A09F_F23ECB85BB95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6667F704_353F_485F_A09F_F23ECB85BB95_.wvu.PrintArea" localSheetId="2" hidden="1">'Akce spolufin. z evr.fin.zdrojů'!$A$1:$M$120</definedName>
    <definedName name="Z_6667F704_353F_485F_A09F_F23ECB85BB95_.wvu.PrintTitles" localSheetId="2" hidden="1">'Akce spolufin. z evr.fin.zdrojů'!$2:$4</definedName>
    <definedName name="Z_8135008D_FA09_47D0_A3D6_431443FF0074_.wvu.PrintArea" localSheetId="1" hidden="1">'Dotační programy'!$A$1:$G$78</definedName>
    <definedName name="Z_816DCA7E_FC41_44AE_85AF_FE12F0BC4BE0_.wvu.PrintArea" localSheetId="1" hidden="1">'Dotační programy'!$A$1:$G$78</definedName>
    <definedName name="Z_8DF5934D_271D_4996_8FBD_8BBE47175559_.wvu.Cols" localSheetId="2" hidden="1">'Akce spolufin. z evr.fin.zdrojů'!$C:$C,'Akce spolufin. z evr.fin.zdrojů'!$F:$F,'Akce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8DF5934D_271D_4996_8FBD_8BBE47175559_.wvu.Cols" localSheetId="8" hidden="1">'Zdrojová data I.s'!$B:$E</definedName>
    <definedName name="Z_8DF5934D_271D_4996_8FBD_8BBE47175559_.wvu.Cols" localSheetId="11" hidden="1">'Zdrojová data II. a III. s'!$B:$E</definedName>
    <definedName name="Z_8DF5934D_271D_4996_8FBD_8BBE47175559_.wvu.Cols" localSheetId="13" hidden="1">'Zdrojová data IV.'!$B:$M</definedName>
    <definedName name="Z_8DF5934D_271D_4996_8FBD_8BBE47175559_.wvu.Cols" localSheetId="16" hidden="1">'Zdrojová data V.a VI.'!$B:$M</definedName>
    <definedName name="Z_8DF5934D_271D_4996_8FBD_8BBE47175559_.wvu.PrintArea" localSheetId="2" hidden="1">'Akce spolufin. z evr.fin.zdrojů'!$A$1:$M$120</definedName>
    <definedName name="Z_8DF5934D_271D_4996_8FBD_8BBE47175559_.wvu.PrintArea" localSheetId="1" hidden="1">'Dotační programy'!$A$1:$G$78</definedName>
    <definedName name="Z_8DF5934D_271D_4996_8FBD_8BBE47175559_.wvu.PrintTitles" localSheetId="2" hidden="1">'Akce spolufin. z evr.fin.zdrojů'!$2:$4</definedName>
    <definedName name="Z_8DF5934D_271D_4996_8FBD_8BBE47175559_.wvu.Rows" localSheetId="8" hidden="1">'Zdrojová data I.s'!$17:$31</definedName>
    <definedName name="Z_8DF5934D_271D_4996_8FBD_8BBE47175559_.wvu.Rows" localSheetId="16" hidden="1">'Zdrojová data V.a VI.'!$11:$11,'Zdrojová data V.a VI.'!$29:$29</definedName>
    <definedName name="Z_AE6F0D81_F630_472F_8BD4_EE2E1E40DF28_.wvu.PrintArea" localSheetId="1" hidden="1">'Dotační programy'!$A$1:$G$78</definedName>
    <definedName name="Z_AF65B0D2_A89B_4D75_B4AE_5BFEE1615BA9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AF65B0D2_A89B_4D75_B4AE_5BFEE1615BA9_.wvu.PrintArea" localSheetId="1" hidden="1">'Dotační programy'!$A$1:$G$78</definedName>
    <definedName name="Z_AF65B0D2_A89B_4D75_B4AE_5BFEE1615BA9_.wvu.PrintTitles" localSheetId="2" hidden="1">'Akce spolufin. z evr.fin.zdrojů'!$2:$4</definedName>
    <definedName name="Z_C49FCFC9_CF51_484E_9F6E_E5FACC7A48A4_.wvu.Cols" localSheetId="1" hidden="1">'Dotační programy'!#REF!</definedName>
    <definedName name="Z_EFAD90BE_EFFB_4F0D_9A95_6915124B8751_.wvu.Cols" localSheetId="8" hidden="1">'Zdrojová data I.s'!$B:$E</definedName>
    <definedName name="Z_EFAD90BE_EFFB_4F0D_9A95_6915124B8751_.wvu.Cols" localSheetId="11" hidden="1">'Zdrojová data II. a III. s'!$B:$E</definedName>
    <definedName name="Z_EFAD90BE_EFFB_4F0D_9A95_6915124B8751_.wvu.Cols" localSheetId="13" hidden="1">'Zdrojová data IV.'!$B:$M</definedName>
    <definedName name="Z_EFAD90BE_EFFB_4F0D_9A95_6915124B8751_.wvu.Cols" localSheetId="16" hidden="1">'Zdrojová data V.a VI.'!$B:$M</definedName>
    <definedName name="Z_EFAD90BE_EFFB_4F0D_9A95_6915124B8751_.wvu.Rows" localSheetId="8" hidden="1">'Zdrojová data I.s'!$17:$31</definedName>
    <definedName name="Z_EFAD90BE_EFFB_4F0D_9A95_6915124B8751_.wvu.Rows" localSheetId="16" hidden="1">'Zdrojová data V.a VI.'!$11:$11,'Zdrojová data V.a VI.'!$29:$29</definedName>
    <definedName name="Z_F55F3396_F003_4C77_BF1B_160F1F658C4B_.wvu.Cols" localSheetId="1" hidden="1">'Dotační programy'!#REF!</definedName>
    <definedName name="Z_F55F3396_F003_4C77_BF1B_160F1F658C4B_.wvu.PrintArea" localSheetId="1" hidden="1">'Dotační programy'!$B$1:$H$78</definedName>
    <definedName name="Z_FE857634_B83D_4669_BE72_6E5297B7F9FE_.wvu.Rows" localSheetId="8" hidden="1">'Zdrojová data I.s'!$17:$31</definedName>
    <definedName name="Z_FFF09864_B75B_45CC_8A23_7ED56E2D3858_.wvu.Cols" localSheetId="2" hidden="1">'Akce spolufin. z evr.fin.zdrojů'!#REF!,'Akce spolufin. z evr.fin.zdrojů'!$IU:$IU,'Akce spolufin. z evr.fin.zdrojů'!$SQ:$SQ,'Akce spolufin. z evr.fin.zdrojů'!$ACM:$ACM,'Akce spolufin. z evr.fin.zdrojů'!$AMI:$AMI,'Akce spolufin. z evr.fin.zdrojů'!$AWE:$AWE,'Akce spolufin. z evr.fin.zdrojů'!$BGA:$BGA,'Akce spolufin. z evr.fin.zdrojů'!$BPW:$BPW,'Akce spolufin. z evr.fin.zdrojů'!$BZS:$BZS,'Akce spolufin. z evr.fin.zdrojů'!$CJO:$CJO,'Akce spolufin. z evr.fin.zdrojů'!$CTK:$CTK,'Akce spolufin. z evr.fin.zdrojů'!$DDG:$DDG,'Akce spolufin. z evr.fin.zdrojů'!$DNC:$DNC,'Akce spolufin. z evr.fin.zdrojů'!$DWY:$DWY,'Akce spolufin. z evr.fin.zdrojů'!$EGU:$EGU,'Akce spolufin. z evr.fin.zdrojů'!$EQQ:$EQQ,'Akce spolufin. z evr.fin.zdrojů'!$FAM:$FAM,'Akce spolufin. z evr.fin.zdrojů'!$FKI:$FKI,'Akce spolufin. z evr.fin.zdrojů'!$FUE:$FUE,'Akce spolufin. z evr.fin.zdrojů'!$GEA:$GEA,'Akce spolufin. z evr.fin.zdrojů'!$GNW:$GNW,'Akce spolufin. z evr.fin.zdrojů'!$GXS:$GXS,'Akce spolufin. z evr.fin.zdrojů'!$HHO:$HHO,'Akce spolufin. z evr.fin.zdrojů'!$HRK:$HRK,'Akce spolufin. z evr.fin.zdrojů'!$IBG:$IBG,'Akce spolufin. z evr.fin.zdrojů'!$ILC:$ILC,'Akce spolufin. z evr.fin.zdrojů'!$IUY:$IUY,'Akce spolufin. z evr.fin.zdrojů'!$JEU:$JEU,'Akce spolufin. z evr.fin.zdrojů'!$JOQ:$JOQ,'Akce spolufin. z evr.fin.zdrojů'!$JYM:$JYM,'Akce spolufin. z evr.fin.zdrojů'!$KII:$KII,'Akce spolufin. z evr.fin.zdrojů'!$KSE:$KSE,'Akce spolufin. z evr.fin.zdrojů'!$LCA:$LCA,'Akce spolufin. z evr.fin.zdrojů'!$LLW:$LLW,'Akce spolufin. z evr.fin.zdrojů'!$LVS:$LVS,'Akce spolufin. z evr.fin.zdrojů'!$MFO:$MFO,'Akce spolufin. z evr.fin.zdrojů'!$MPK:$MPK,'Akce spolufin. z evr.fin.zdrojů'!$MZG:$MZG,'Akce spolufin. z evr.fin.zdrojů'!$NJC:$NJC,'Akce spolufin. z evr.fin.zdrojů'!$NSY:$NSY,'Akce spolufin. z evr.fin.zdrojů'!$OCU:$OCU,'Akce spolufin. z evr.fin.zdrojů'!$OMQ:$OMQ,'Akce spolufin. z evr.fin.zdrojů'!$OWM:$OWM,'Akce spolufin. z evr.fin.zdrojů'!$PGI:$PGI,'Akce spolufin. z evr.fin.zdrojů'!$PQE:$PQE,'Akce spolufin. z evr.fin.zdrojů'!$QAA:$QAA,'Akce spolufin. z evr.fin.zdrojů'!$QJW:$QJW,'Akce spolufin. z evr.fin.zdrojů'!$QTS:$QTS,'Akce spolufin. z evr.fin.zdrojů'!$RDO:$RDO,'Akce spolufin. z evr.fin.zdrojů'!$RNK:$RNK,'Akce spolufin. z evr.fin.zdrojů'!$RXG:$RXG,'Akce spolufin. z evr.fin.zdrojů'!$SHC:$SHC,'Akce spolufin. z evr.fin.zdrojů'!$SQY:$SQY,'Akce spolufin. z evr.fin.zdrojů'!$TAU:$TAU,'Akce spolufin. z evr.fin.zdrojů'!$TKQ:$TKQ,'Akce spolufin. z evr.fin.zdrojů'!$TUM:$TUM,'Akce spolufin. z evr.fin.zdrojů'!$UEI:$UEI,'Akce spolufin. z evr.fin.zdrojů'!$UOE:$UOE,'Akce spolufin. z evr.fin.zdrojů'!$UYA:$UYA,'Akce spolufin. z evr.fin.zdrojů'!$VHW:$VHW,'Akce spolufin. z evr.fin.zdrojů'!$VRS:$VRS,'Akce spolufin. z evr.fin.zdrojů'!$WBO:$WBO,'Akce spolufin. z evr.fin.zdrojů'!$WLK:$WLK,'Akce spolufin. z evr.fin.zdrojů'!$WVG:$WVG</definedName>
    <definedName name="Z_FFF09864_B75B_45CC_8A23_7ED56E2D3858_.wvu.PrintArea" localSheetId="1" hidden="1">'Dotační programy'!$A$1:$G$78</definedName>
    <definedName name="Z_FFF09864_B75B_45CC_8A23_7ED56E2D3858_.wvu.PrintTitles" localSheetId="2" hidden="1">'Akce spolufin. z evr.fin.zdrojů'!$2:$4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4" i="39" l="1"/>
  <c r="A65" i="39" s="1"/>
  <c r="A74" i="39" s="1"/>
  <c r="A75" i="39" s="1"/>
  <c r="A76" i="39" s="1"/>
  <c r="A77" i="39" s="1"/>
  <c r="A78" i="39" s="1"/>
  <c r="A79" i="39" s="1"/>
  <c r="A80" i="39" s="1"/>
  <c r="A81" i="39" s="1"/>
  <c r="A63" i="39"/>
  <c r="AJ3" i="18"/>
  <c r="AJ5" i="18"/>
  <c r="AJ8" i="15" l="1"/>
  <c r="Y14" i="10"/>
  <c r="F36" i="44" l="1"/>
  <c r="F30" i="44"/>
  <c r="F24" i="44"/>
  <c r="F15" i="44"/>
  <c r="F11" i="44"/>
  <c r="F35" i="44"/>
  <c r="L87" i="42"/>
  <c r="K87" i="42"/>
  <c r="I87" i="42"/>
  <c r="H87" i="42"/>
  <c r="G87" i="42"/>
  <c r="F87" i="42"/>
  <c r="E87" i="42"/>
  <c r="J86" i="42"/>
  <c r="J85" i="42"/>
  <c r="L81" i="42"/>
  <c r="K81" i="42"/>
  <c r="I81" i="42"/>
  <c r="H81" i="42"/>
  <c r="G81" i="42"/>
  <c r="F81" i="42"/>
  <c r="E81" i="42"/>
  <c r="J80" i="42"/>
  <c r="J79" i="42"/>
  <c r="L77" i="42"/>
  <c r="K77" i="42"/>
  <c r="I77" i="42"/>
  <c r="H77" i="42"/>
  <c r="G77" i="42"/>
  <c r="F77" i="42"/>
  <c r="E77" i="42"/>
  <c r="J76" i="42"/>
  <c r="J75" i="42"/>
  <c r="J74" i="42"/>
  <c r="J73" i="42"/>
  <c r="J77" i="42" s="1"/>
  <c r="J72" i="42"/>
  <c r="L70" i="42"/>
  <c r="K70" i="42"/>
  <c r="I70" i="42"/>
  <c r="H70" i="42"/>
  <c r="G70" i="42"/>
  <c r="F70" i="42"/>
  <c r="E70" i="42"/>
  <c r="J69" i="42"/>
  <c r="J68" i="42"/>
  <c r="J70" i="42" s="1"/>
  <c r="L66" i="42"/>
  <c r="K66" i="42"/>
  <c r="I66" i="42"/>
  <c r="H66" i="42"/>
  <c r="G66" i="42"/>
  <c r="F66" i="42"/>
  <c r="E66" i="42"/>
  <c r="J65" i="42"/>
  <c r="J66" i="42" s="1"/>
  <c r="L63" i="42"/>
  <c r="K63" i="42"/>
  <c r="I63" i="42"/>
  <c r="H63" i="42"/>
  <c r="G63" i="42"/>
  <c r="F63" i="42"/>
  <c r="E63" i="42"/>
  <c r="D63" i="42"/>
  <c r="J62" i="42"/>
  <c r="J61" i="42"/>
  <c r="J63" i="42" s="1"/>
  <c r="L56" i="42"/>
  <c r="K56" i="42"/>
  <c r="I56" i="42"/>
  <c r="H56" i="42"/>
  <c r="G56" i="42"/>
  <c r="F56" i="42"/>
  <c r="E56" i="42"/>
  <c r="J55" i="42"/>
  <c r="J54" i="42"/>
  <c r="L52" i="42"/>
  <c r="K52" i="42"/>
  <c r="I52" i="42"/>
  <c r="H52" i="42"/>
  <c r="G52" i="42"/>
  <c r="F52" i="42"/>
  <c r="E52" i="42"/>
  <c r="J51" i="42"/>
  <c r="J52" i="42" s="1"/>
  <c r="L49" i="42"/>
  <c r="K49" i="42"/>
  <c r="I49" i="42"/>
  <c r="H49" i="42"/>
  <c r="G49" i="42"/>
  <c r="F49" i="42"/>
  <c r="E49" i="42"/>
  <c r="J48" i="42"/>
  <c r="J47" i="42"/>
  <c r="J46" i="42"/>
  <c r="J45" i="42"/>
  <c r="J44" i="42"/>
  <c r="J43" i="42"/>
  <c r="J42" i="42"/>
  <c r="L40" i="42"/>
  <c r="K40" i="42"/>
  <c r="I40" i="42"/>
  <c r="H40" i="42"/>
  <c r="G40" i="42"/>
  <c r="F40" i="42"/>
  <c r="E40" i="42"/>
  <c r="J39" i="42"/>
  <c r="J38" i="42"/>
  <c r="J37" i="42"/>
  <c r="J36" i="42"/>
  <c r="J35" i="42"/>
  <c r="J34" i="42"/>
  <c r="J33" i="42"/>
  <c r="J32" i="42"/>
  <c r="J31" i="42"/>
  <c r="J30" i="42"/>
  <c r="L28" i="42"/>
  <c r="K28" i="42"/>
  <c r="I28" i="42"/>
  <c r="H28" i="42"/>
  <c r="G28" i="42"/>
  <c r="F28" i="42"/>
  <c r="E28" i="42"/>
  <c r="J27" i="42"/>
  <c r="J26" i="42"/>
  <c r="J25" i="42"/>
  <c r="J24" i="42"/>
  <c r="J23" i="42"/>
  <c r="J22" i="42"/>
  <c r="J21" i="42"/>
  <c r="L19" i="42"/>
  <c r="K19" i="42"/>
  <c r="I19" i="42"/>
  <c r="H19" i="42"/>
  <c r="H57" i="42" s="1"/>
  <c r="G19" i="42"/>
  <c r="F19" i="42"/>
  <c r="E19" i="42"/>
  <c r="J18" i="42"/>
  <c r="J17" i="42"/>
  <c r="J16" i="42"/>
  <c r="J15" i="42"/>
  <c r="J14" i="42"/>
  <c r="J13" i="42"/>
  <c r="J12" i="42"/>
  <c r="J11" i="42"/>
  <c r="J10" i="42"/>
  <c r="L8" i="42"/>
  <c r="K8" i="42"/>
  <c r="I8" i="42"/>
  <c r="H8" i="42"/>
  <c r="G8" i="42"/>
  <c r="F8" i="42"/>
  <c r="F57" i="42" s="1"/>
  <c r="E8" i="42"/>
  <c r="J7" i="42"/>
  <c r="J8" i="42" s="1"/>
  <c r="J19" i="42" l="1"/>
  <c r="J49" i="42"/>
  <c r="E82" i="42"/>
  <c r="H82" i="42"/>
  <c r="K57" i="42"/>
  <c r="K89" i="42" s="1"/>
  <c r="I82" i="42"/>
  <c r="J81" i="42"/>
  <c r="J82" i="42" s="1"/>
  <c r="G57" i="42"/>
  <c r="K82" i="42"/>
  <c r="J87" i="42"/>
  <c r="L57" i="42"/>
  <c r="J40" i="42"/>
  <c r="E57" i="42"/>
  <c r="E89" i="42" s="1"/>
  <c r="L82" i="42"/>
  <c r="J28" i="42"/>
  <c r="J57" i="42" s="1"/>
  <c r="F82" i="42"/>
  <c r="F89" i="42" s="1"/>
  <c r="I57" i="42"/>
  <c r="J56" i="42"/>
  <c r="G82" i="42"/>
  <c r="H89" i="42"/>
  <c r="L89" i="42"/>
  <c r="J89" i="42" l="1"/>
  <c r="G89" i="42"/>
  <c r="I89" i="42"/>
  <c r="G98" i="41" l="1"/>
  <c r="E98" i="41"/>
  <c r="D98" i="41"/>
  <c r="H97" i="41"/>
  <c r="H96" i="41"/>
  <c r="H95" i="41"/>
  <c r="H94" i="41"/>
  <c r="H93" i="41"/>
  <c r="H92" i="41"/>
  <c r="F91" i="41"/>
  <c r="F98" i="41" s="1"/>
  <c r="H90" i="41"/>
  <c r="H89" i="41"/>
  <c r="H88" i="41"/>
  <c r="H87" i="41"/>
  <c r="H86" i="41"/>
  <c r="H85" i="41"/>
  <c r="H84" i="41"/>
  <c r="H83" i="41"/>
  <c r="H82" i="41"/>
  <c r="H81" i="41"/>
  <c r="G79" i="41"/>
  <c r="F79" i="41"/>
  <c r="E79" i="41"/>
  <c r="D79" i="41"/>
  <c r="H78" i="41"/>
  <c r="H77" i="41"/>
  <c r="H76" i="41"/>
  <c r="H75" i="41"/>
  <c r="H74" i="41"/>
  <c r="H73" i="41"/>
  <c r="H72" i="41"/>
  <c r="H71" i="41"/>
  <c r="H70" i="41"/>
  <c r="H69" i="41"/>
  <c r="H68" i="41"/>
  <c r="H67" i="41"/>
  <c r="H66" i="41"/>
  <c r="H65" i="41"/>
  <c r="H64" i="41"/>
  <c r="H63" i="41"/>
  <c r="H62" i="41"/>
  <c r="H61" i="41"/>
  <c r="H60" i="41"/>
  <c r="H59" i="41"/>
  <c r="H58" i="41"/>
  <c r="H57" i="41"/>
  <c r="H56" i="41"/>
  <c r="H55" i="41"/>
  <c r="H54" i="41"/>
  <c r="H53" i="41"/>
  <c r="H52" i="41"/>
  <c r="H51" i="41"/>
  <c r="G49" i="41"/>
  <c r="F49" i="41"/>
  <c r="E49" i="41"/>
  <c r="D49" i="41"/>
  <c r="H48" i="41"/>
  <c r="H47" i="41"/>
  <c r="H46" i="41"/>
  <c r="H45" i="41"/>
  <c r="H44" i="41"/>
  <c r="H43" i="41"/>
  <c r="F41" i="41"/>
  <c r="E41" i="41"/>
  <c r="D41" i="41"/>
  <c r="H40" i="41"/>
  <c r="H39" i="41"/>
  <c r="H41" i="41" s="1"/>
  <c r="F37" i="41"/>
  <c r="E37" i="41"/>
  <c r="D37" i="41"/>
  <c r="H36" i="41"/>
  <c r="G35" i="41"/>
  <c r="H35" i="41" s="1"/>
  <c r="H34" i="41"/>
  <c r="H33" i="41"/>
  <c r="H32" i="41"/>
  <c r="G27" i="41"/>
  <c r="G28" i="41" s="1"/>
  <c r="F27" i="41"/>
  <c r="F28" i="41" s="1"/>
  <c r="E27" i="41"/>
  <c r="E28" i="41" s="1"/>
  <c r="D27" i="41"/>
  <c r="D28" i="41" s="1"/>
  <c r="H26" i="41"/>
  <c r="H27" i="41" s="1"/>
  <c r="H28" i="41" s="1"/>
  <c r="F21" i="41"/>
  <c r="E21" i="41"/>
  <c r="H20" i="41"/>
  <c r="H21" i="41" s="1"/>
  <c r="G18" i="41"/>
  <c r="F18" i="41"/>
  <c r="E18" i="41"/>
  <c r="D18" i="41"/>
  <c r="H17" i="41"/>
  <c r="H16" i="41"/>
  <c r="H15" i="41"/>
  <c r="H14" i="41"/>
  <c r="G12" i="41"/>
  <c r="F12" i="41"/>
  <c r="E12" i="41"/>
  <c r="D12" i="41"/>
  <c r="H11" i="41"/>
  <c r="H10" i="41"/>
  <c r="G8" i="41"/>
  <c r="G22" i="41" s="1"/>
  <c r="F8" i="41"/>
  <c r="E8" i="41"/>
  <c r="D8" i="41"/>
  <c r="H7" i="41"/>
  <c r="H8" i="41" s="1"/>
  <c r="H49" i="41" l="1"/>
  <c r="H12" i="41"/>
  <c r="G99" i="41"/>
  <c r="G101" i="41" s="1"/>
  <c r="H37" i="41"/>
  <c r="G37" i="41"/>
  <c r="D22" i="41"/>
  <c r="D101" i="41" s="1"/>
  <c r="E22" i="41"/>
  <c r="E101" i="41" s="1"/>
  <c r="D99" i="41"/>
  <c r="H79" i="41"/>
  <c r="F22" i="41"/>
  <c r="F99" i="41"/>
  <c r="E99" i="41"/>
  <c r="H18" i="41"/>
  <c r="H22" i="41" s="1"/>
  <c r="H98" i="41"/>
  <c r="H91" i="41"/>
  <c r="F101" i="41" l="1"/>
  <c r="H99" i="41"/>
  <c r="H101" i="41" s="1"/>
  <c r="AJ20" i="18" l="1"/>
  <c r="AK22" i="18" s="1"/>
  <c r="AJ14" i="18"/>
  <c r="AJ14" i="15"/>
  <c r="AJ11" i="15"/>
  <c r="AK9" i="15" s="1"/>
  <c r="Y14" i="13"/>
  <c r="Y5" i="13"/>
  <c r="X15" i="10"/>
  <c r="C111" i="40"/>
  <c r="C109" i="40"/>
  <c r="C59" i="40"/>
  <c r="C51" i="40"/>
  <c r="C14" i="40"/>
  <c r="AK5" i="18" l="1"/>
  <c r="AK6" i="18"/>
  <c r="AK7" i="18"/>
  <c r="AK8" i="18"/>
  <c r="AK4" i="18"/>
  <c r="AK21" i="18"/>
  <c r="AK35" i="18"/>
  <c r="AK27" i="18"/>
  <c r="AK34" i="18"/>
  <c r="AK26" i="18"/>
  <c r="AK28" i="18"/>
  <c r="AK33" i="18"/>
  <c r="AK25" i="18"/>
  <c r="AK32" i="18"/>
  <c r="AK24" i="18"/>
  <c r="AK29" i="18"/>
  <c r="AK31" i="18"/>
  <c r="AK23" i="18"/>
  <c r="AK30" i="18"/>
  <c r="AK6" i="15"/>
  <c r="AK7" i="15"/>
  <c r="AK8" i="15"/>
  <c r="AK2" i="15"/>
  <c r="AK4" i="15"/>
  <c r="AK5" i="15"/>
  <c r="AK3" i="15"/>
  <c r="AK2" i="18"/>
  <c r="AK12" i="18"/>
  <c r="AK3" i="18"/>
  <c r="AK11" i="18"/>
  <c r="AK10" i="18"/>
  <c r="AK9" i="18"/>
  <c r="K118" i="39" l="1"/>
  <c r="J118" i="39"/>
  <c r="I118" i="39"/>
  <c r="H118" i="39"/>
  <c r="G118" i="39"/>
  <c r="G120" i="39" s="1"/>
  <c r="F118" i="39"/>
  <c r="E118" i="39"/>
  <c r="E120" i="39" s="1"/>
  <c r="C118" i="39"/>
  <c r="C120" i="39" s="1"/>
  <c r="D117" i="39"/>
  <c r="D116" i="39"/>
  <c r="D115" i="39"/>
  <c r="L114" i="39"/>
  <c r="D114" i="39" s="1"/>
  <c r="D113" i="39"/>
  <c r="L112" i="39"/>
  <c r="L118" i="39" s="1"/>
  <c r="L120" i="39" s="1"/>
  <c r="D112" i="39"/>
  <c r="D111" i="39"/>
  <c r="L109" i="39"/>
  <c r="K109" i="39"/>
  <c r="J109" i="39"/>
  <c r="I109" i="39"/>
  <c r="H109" i="39"/>
  <c r="H120" i="39" s="1"/>
  <c r="G109" i="39"/>
  <c r="F109" i="39"/>
  <c r="E109" i="39"/>
  <c r="C109" i="39"/>
  <c r="D108" i="39"/>
  <c r="D106" i="39"/>
  <c r="D105" i="39"/>
  <c r="L103" i="39"/>
  <c r="K103" i="39"/>
  <c r="K120" i="39" s="1"/>
  <c r="J103" i="39"/>
  <c r="J120" i="39" s="1"/>
  <c r="I103" i="39"/>
  <c r="I120" i="39" s="1"/>
  <c r="H103" i="39"/>
  <c r="G103" i="39"/>
  <c r="F103" i="39"/>
  <c r="E103" i="39"/>
  <c r="C103" i="39"/>
  <c r="D102" i="39"/>
  <c r="L100" i="39"/>
  <c r="K100" i="39"/>
  <c r="J100" i="39"/>
  <c r="I100" i="39"/>
  <c r="H100" i="39"/>
  <c r="G100" i="39"/>
  <c r="E100" i="39"/>
  <c r="C100" i="39"/>
  <c r="F99" i="39"/>
  <c r="D99" i="39"/>
  <c r="D98" i="39"/>
  <c r="D97" i="39"/>
  <c r="D96" i="39"/>
  <c r="D95" i="39"/>
  <c r="D94" i="39"/>
  <c r="F93" i="39"/>
  <c r="D93" i="39" s="1"/>
  <c r="F92" i="39"/>
  <c r="D92" i="39" s="1"/>
  <c r="F91" i="39"/>
  <c r="D91" i="39" s="1"/>
  <c r="D90" i="39"/>
  <c r="D89" i="39"/>
  <c r="D88" i="39"/>
  <c r="D87" i="39"/>
  <c r="D86" i="39"/>
  <c r="D85" i="39"/>
  <c r="D84" i="39"/>
  <c r="L82" i="39"/>
  <c r="K82" i="39"/>
  <c r="J82" i="39"/>
  <c r="I82" i="39"/>
  <c r="H82" i="39"/>
  <c r="G82" i="39"/>
  <c r="E82" i="39"/>
  <c r="C82" i="39"/>
  <c r="D81" i="39"/>
  <c r="F80" i="39"/>
  <c r="D80" i="39"/>
  <c r="D79" i="39"/>
  <c r="D78" i="39"/>
  <c r="D77" i="39"/>
  <c r="D76" i="39"/>
  <c r="D75" i="39"/>
  <c r="F74" i="39"/>
  <c r="D74" i="39" s="1"/>
  <c r="D73" i="39"/>
  <c r="D72" i="39"/>
  <c r="D71" i="39"/>
  <c r="D70" i="39"/>
  <c r="D69" i="39"/>
  <c r="D68" i="39"/>
  <c r="D67" i="39"/>
  <c r="D66" i="39"/>
  <c r="D65" i="39"/>
  <c r="F64" i="39"/>
  <c r="D64" i="39"/>
  <c r="F63" i="39"/>
  <c r="F82" i="39" s="1"/>
  <c r="G62" i="39"/>
  <c r="D62" i="39"/>
  <c r="L60" i="39"/>
  <c r="K60" i="39"/>
  <c r="J60" i="39"/>
  <c r="I60" i="39"/>
  <c r="H60" i="39"/>
  <c r="G60" i="39"/>
  <c r="F60" i="39"/>
  <c r="E60" i="39"/>
  <c r="C60" i="39"/>
  <c r="D59" i="39"/>
  <c r="D58" i="39"/>
  <c r="D57" i="39"/>
  <c r="D56" i="39"/>
  <c r="K54" i="39"/>
  <c r="J54" i="39"/>
  <c r="I54" i="39"/>
  <c r="H54" i="39"/>
  <c r="G54" i="39"/>
  <c r="F54" i="39"/>
  <c r="E54" i="39"/>
  <c r="C54" i="39"/>
  <c r="L53" i="39"/>
  <c r="L54" i="39" s="1"/>
  <c r="D53" i="39"/>
  <c r="D52" i="39"/>
  <c r="D51" i="39"/>
  <c r="D50" i="39"/>
  <c r="D49" i="39"/>
  <c r="D48" i="39"/>
  <c r="L46" i="39"/>
  <c r="K46" i="39"/>
  <c r="J46" i="39"/>
  <c r="I46" i="39"/>
  <c r="H46" i="39"/>
  <c r="G46" i="39"/>
  <c r="F46" i="39"/>
  <c r="E46" i="39"/>
  <c r="C46" i="39"/>
  <c r="F45" i="39"/>
  <c r="D45" i="39"/>
  <c r="F44" i="39"/>
  <c r="D44" i="39"/>
  <c r="D43" i="39"/>
  <c r="D42" i="39"/>
  <c r="D41" i="39"/>
  <c r="D40" i="39"/>
  <c r="D39" i="39"/>
  <c r="D38" i="39"/>
  <c r="D37" i="39"/>
  <c r="D36" i="39"/>
  <c r="L34" i="39"/>
  <c r="K34" i="39"/>
  <c r="J34" i="39"/>
  <c r="I34" i="39"/>
  <c r="H34" i="39"/>
  <c r="G34" i="39"/>
  <c r="F34" i="39"/>
  <c r="E34" i="39"/>
  <c r="C34" i="39"/>
  <c r="D33" i="39"/>
  <c r="L31" i="39"/>
  <c r="K31" i="39"/>
  <c r="J31" i="39"/>
  <c r="I31" i="39"/>
  <c r="H31" i="39"/>
  <c r="G31" i="39"/>
  <c r="F31" i="39"/>
  <c r="E31" i="39"/>
  <c r="C31" i="39"/>
  <c r="D30" i="39"/>
  <c r="D29" i="39"/>
  <c r="D28" i="39"/>
  <c r="L26" i="39"/>
  <c r="K26" i="39"/>
  <c r="J26" i="39"/>
  <c r="I26" i="39"/>
  <c r="H26" i="39"/>
  <c r="G26" i="39"/>
  <c r="F26" i="39"/>
  <c r="E26" i="39"/>
  <c r="C26" i="39"/>
  <c r="D25" i="39"/>
  <c r="D24" i="39"/>
  <c r="D23" i="39"/>
  <c r="D22" i="39"/>
  <c r="D21" i="39"/>
  <c r="D20" i="39"/>
  <c r="D19" i="39"/>
  <c r="D18" i="39"/>
  <c r="D17" i="39"/>
  <c r="D16" i="39"/>
  <c r="D15" i="39"/>
  <c r="D14" i="39"/>
  <c r="D13" i="39"/>
  <c r="D12" i="39"/>
  <c r="D11" i="39"/>
  <c r="D10" i="39"/>
  <c r="D26" i="39" s="1"/>
  <c r="L8" i="39"/>
  <c r="K8" i="39"/>
  <c r="J8" i="39"/>
  <c r="I8" i="39"/>
  <c r="H8" i="39"/>
  <c r="G8" i="39"/>
  <c r="F8" i="39"/>
  <c r="E8" i="39"/>
  <c r="C8" i="39"/>
  <c r="D7" i="39"/>
  <c r="D6" i="39"/>
  <c r="F120" i="39" l="1"/>
  <c r="F100" i="39"/>
  <c r="D63" i="39"/>
  <c r="E66" i="25"/>
  <c r="D66" i="25"/>
  <c r="F66" i="25" l="1"/>
  <c r="C66" i="25"/>
  <c r="G65" i="25"/>
  <c r="G12" i="25" l="1"/>
  <c r="G38" i="25"/>
  <c r="G16" i="25"/>
  <c r="G17" i="25"/>
  <c r="G18" i="25"/>
  <c r="G22" i="25"/>
  <c r="G24" i="25"/>
  <c r="G25" i="25"/>
  <c r="G26" i="25"/>
  <c r="C59" i="25"/>
  <c r="C54" i="25"/>
  <c r="C49" i="25"/>
  <c r="C40" i="25"/>
  <c r="C27" i="25"/>
  <c r="C10" i="25"/>
  <c r="C4" i="25"/>
  <c r="C67" i="25" l="1"/>
  <c r="X14" i="13" l="1"/>
  <c r="X5" i="13"/>
  <c r="AH14" i="15"/>
  <c r="AH11" i="15"/>
  <c r="AH20" i="18"/>
  <c r="AH14" i="18"/>
  <c r="D40" i="25"/>
  <c r="AI10" i="18" l="1"/>
  <c r="AI23" i="18"/>
  <c r="AI3" i="15"/>
  <c r="AK11" i="15"/>
  <c r="AI30" i="18"/>
  <c r="AI27" i="18"/>
  <c r="AI26" i="18"/>
  <c r="AI22" i="18"/>
  <c r="AI35" i="18"/>
  <c r="AI34" i="18"/>
  <c r="AI8" i="18"/>
  <c r="AI7" i="18"/>
  <c r="AI9" i="18"/>
  <c r="AI5" i="18"/>
  <c r="AI2" i="18"/>
  <c r="AI4" i="18"/>
  <c r="AI12" i="18"/>
  <c r="AI3" i="18"/>
  <c r="AI11" i="18"/>
  <c r="AI2" i="15"/>
  <c r="AI8" i="15"/>
  <c r="AI7" i="15"/>
  <c r="AI6" i="15"/>
  <c r="AI5" i="15"/>
  <c r="AI4" i="15"/>
  <c r="AI29" i="18"/>
  <c r="AI21" i="18"/>
  <c r="AI28" i="18"/>
  <c r="AI33" i="18"/>
  <c r="AI25" i="18"/>
  <c r="AI32" i="18"/>
  <c r="AI24" i="18"/>
  <c r="AI31" i="18"/>
  <c r="F49" i="25"/>
  <c r="E49" i="25"/>
  <c r="D49" i="25"/>
  <c r="AK14" i="18" l="1"/>
  <c r="AK20" i="18"/>
  <c r="G13" i="25"/>
  <c r="G62" i="25"/>
  <c r="G53" i="25"/>
  <c r="G52" i="25"/>
  <c r="G51" i="25"/>
  <c r="G39" i="25"/>
  <c r="G35" i="25"/>
  <c r="G28" i="25"/>
  <c r="G8" i="25"/>
  <c r="AF20" i="18" l="1"/>
  <c r="AF14" i="18"/>
  <c r="AG26" i="18" l="1"/>
  <c r="AG9" i="18"/>
  <c r="AG22" i="18"/>
  <c r="AG33" i="18"/>
  <c r="AG25" i="18"/>
  <c r="AG29" i="18"/>
  <c r="AG23" i="18"/>
  <c r="AG28" i="18"/>
  <c r="AG35" i="18"/>
  <c r="AG27" i="18"/>
  <c r="AG32" i="18"/>
  <c r="AG24" i="18"/>
  <c r="AG31" i="18"/>
  <c r="AG30" i="18"/>
  <c r="AG21" i="18"/>
  <c r="AG34" i="18"/>
  <c r="AG8" i="18"/>
  <c r="AG7" i="18"/>
  <c r="AG2" i="18"/>
  <c r="AG4" i="18"/>
  <c r="AG12" i="18"/>
  <c r="AG3" i="18"/>
  <c r="AG10" i="18"/>
  <c r="AG5" i="18"/>
  <c r="AG11" i="18"/>
  <c r="AI20" i="18" l="1"/>
  <c r="AI14" i="18"/>
  <c r="AG20" i="18"/>
  <c r="AG14" i="18"/>
  <c r="AF14" i="15" l="1"/>
  <c r="AF11" i="15"/>
  <c r="AG7" i="15" l="1"/>
  <c r="AG5" i="15"/>
  <c r="AG6" i="15"/>
  <c r="AG4" i="15"/>
  <c r="AG3" i="15"/>
  <c r="AG2" i="15"/>
  <c r="AG8" i="15"/>
  <c r="W14" i="13"/>
  <c r="W5" i="13"/>
  <c r="AI11" i="15" l="1"/>
  <c r="AG11" i="15"/>
  <c r="E59" i="25" l="1"/>
  <c r="D59" i="25"/>
  <c r="F59" i="25" l="1"/>
  <c r="G58" i="25"/>
  <c r="G36" i="25" l="1"/>
  <c r="G31" i="25"/>
  <c r="G30" i="25"/>
  <c r="AD20" i="18" l="1"/>
  <c r="AE23" i="18" s="1"/>
  <c r="AD14" i="18"/>
  <c r="AE5" i="18" s="1"/>
  <c r="AD14" i="15"/>
  <c r="AD11" i="15"/>
  <c r="AE8" i="15" s="1"/>
  <c r="AE7" i="15" l="1"/>
  <c r="AE6" i="15"/>
  <c r="AE5" i="15"/>
  <c r="AE4" i="15"/>
  <c r="AE3" i="15"/>
  <c r="AE2" i="15"/>
  <c r="AE21" i="18"/>
  <c r="AE30" i="18"/>
  <c r="AE29" i="18"/>
  <c r="AE27" i="18"/>
  <c r="AE28" i="18"/>
  <c r="AE34" i="18"/>
  <c r="AE26" i="18"/>
  <c r="AE35" i="18"/>
  <c r="AE33" i="18"/>
  <c r="AE25" i="18"/>
  <c r="AE32" i="18"/>
  <c r="AE24" i="18"/>
  <c r="AE31" i="18"/>
  <c r="AE4" i="18"/>
  <c r="AE7" i="18"/>
  <c r="AE2" i="18"/>
  <c r="AE12" i="18"/>
  <c r="AE3" i="18"/>
  <c r="AE11" i="18"/>
  <c r="AE10" i="18"/>
  <c r="AE9" i="18"/>
  <c r="AE8" i="18"/>
  <c r="AE11" i="15" l="1"/>
  <c r="AE20" i="18"/>
  <c r="AE14" i="18"/>
  <c r="V14" i="13"/>
  <c r="V5" i="13"/>
  <c r="F54" i="25" l="1"/>
  <c r="E54" i="25"/>
  <c r="D54" i="25"/>
  <c r="G64" i="25" l="1"/>
  <c r="F10" i="25" l="1"/>
  <c r="D10" i="25"/>
  <c r="E10" i="25"/>
  <c r="G9" i="25" l="1"/>
  <c r="G29" i="25"/>
  <c r="AB20" i="18" l="1"/>
  <c r="AB14" i="18"/>
  <c r="AC7" i="18" s="1"/>
  <c r="AC25" i="18" l="1"/>
  <c r="AC29" i="18"/>
  <c r="AC30" i="18"/>
  <c r="AC31" i="18"/>
  <c r="AC33" i="18"/>
  <c r="AC28" i="18"/>
  <c r="AC24" i="18"/>
  <c r="AC21" i="18"/>
  <c r="AC32" i="18"/>
  <c r="AC27" i="18"/>
  <c r="AC23" i="18"/>
  <c r="AC35" i="18"/>
  <c r="AC26" i="18"/>
  <c r="AC34" i="18"/>
  <c r="AC5" i="18"/>
  <c r="AC2" i="18"/>
  <c r="AC10" i="18"/>
  <c r="AC9" i="18"/>
  <c r="AC4" i="18"/>
  <c r="AC12" i="18"/>
  <c r="AC8" i="18"/>
  <c r="AC3" i="18"/>
  <c r="AC11" i="18"/>
  <c r="AC20" i="18" l="1"/>
  <c r="AC14" i="18"/>
  <c r="C73" i="25" l="1"/>
  <c r="F77" i="25"/>
  <c r="G61" i="25"/>
  <c r="G63" i="25"/>
  <c r="G60" i="25"/>
  <c r="C76" i="25"/>
  <c r="G57" i="25"/>
  <c r="G56" i="25"/>
  <c r="G55" i="25"/>
  <c r="F75" i="25"/>
  <c r="E75" i="25"/>
  <c r="D75" i="25"/>
  <c r="G50" i="25"/>
  <c r="G49" i="25"/>
  <c r="E74" i="25"/>
  <c r="D74" i="25"/>
  <c r="C74" i="25"/>
  <c r="G48" i="25"/>
  <c r="G47" i="25"/>
  <c r="G46" i="25"/>
  <c r="G45" i="25"/>
  <c r="G44" i="25"/>
  <c r="G43" i="25"/>
  <c r="G42" i="25"/>
  <c r="G41" i="25"/>
  <c r="F40" i="25"/>
  <c r="F73" i="25" s="1"/>
  <c r="E40" i="25"/>
  <c r="E73" i="25" s="1"/>
  <c r="D73" i="25"/>
  <c r="F27" i="25"/>
  <c r="F72" i="25" s="1"/>
  <c r="C72" i="25"/>
  <c r="E27" i="25"/>
  <c r="E72" i="25" s="1"/>
  <c r="D27" i="25"/>
  <c r="D72" i="25" s="1"/>
  <c r="F71" i="25"/>
  <c r="E71" i="25"/>
  <c r="D71" i="25"/>
  <c r="G7" i="25"/>
  <c r="G6" i="25"/>
  <c r="G5" i="25"/>
  <c r="F4" i="25"/>
  <c r="F70" i="25" s="1"/>
  <c r="E4" i="25"/>
  <c r="E70" i="25" s="1"/>
  <c r="D4" i="25"/>
  <c r="D70" i="25" s="1"/>
  <c r="G3" i="25"/>
  <c r="E76" i="25" l="1"/>
  <c r="E67" i="25"/>
  <c r="D76" i="25"/>
  <c r="D67" i="25"/>
  <c r="F76" i="25"/>
  <c r="G76" i="25" s="1"/>
  <c r="F67" i="25"/>
  <c r="G67" i="25" s="1"/>
  <c r="G40" i="25"/>
  <c r="G10" i="25"/>
  <c r="G4" i="25"/>
  <c r="G54" i="25"/>
  <c r="G72" i="25"/>
  <c r="G73" i="25"/>
  <c r="G66" i="25"/>
  <c r="F74" i="25"/>
  <c r="G74" i="25" s="1"/>
  <c r="G27" i="25"/>
  <c r="D77" i="25"/>
  <c r="C70" i="25"/>
  <c r="G70" i="25" s="1"/>
  <c r="C71" i="25"/>
  <c r="G71" i="25" s="1"/>
  <c r="C75" i="25"/>
  <c r="G75" i="25" s="1"/>
  <c r="E77" i="25"/>
  <c r="C77" i="25"/>
  <c r="G77" i="25" s="1"/>
  <c r="G59" i="25"/>
  <c r="D78" i="25" l="1"/>
  <c r="E78" i="25"/>
  <c r="F78" i="25"/>
  <c r="C78" i="25"/>
  <c r="G78" i="25" l="1"/>
  <c r="AB14" i="15"/>
  <c r="AB11" i="15"/>
  <c r="U14" i="13"/>
  <c r="U5" i="13"/>
  <c r="AC3" i="15" l="1"/>
  <c r="AC7" i="15"/>
  <c r="AC8" i="15"/>
  <c r="AC5" i="15"/>
  <c r="AC6" i="15"/>
  <c r="AC4" i="15"/>
  <c r="AC2" i="15"/>
  <c r="AC11" i="15" l="1"/>
  <c r="Z20" i="18"/>
  <c r="AA27" i="18" s="1"/>
  <c r="Z14" i="18"/>
  <c r="AA4" i="18" s="1"/>
  <c r="Z14" i="15"/>
  <c r="X14" i="15"/>
  <c r="V14" i="15"/>
  <c r="T14" i="15"/>
  <c r="R14" i="15"/>
  <c r="AA23" i="18" l="1"/>
  <c r="AA33" i="18"/>
  <c r="AA25" i="18"/>
  <c r="AA29" i="18"/>
  <c r="AA35" i="18"/>
  <c r="AA26" i="18"/>
  <c r="AA21" i="18"/>
  <c r="AA24" i="18"/>
  <c r="AA28" i="18"/>
  <c r="AA34" i="18"/>
  <c r="AA32" i="18"/>
  <c r="AA12" i="18"/>
  <c r="AA8" i="18"/>
  <c r="AA3" i="18"/>
  <c r="AA11" i="18"/>
  <c r="AA7" i="18"/>
  <c r="AA10" i="18"/>
  <c r="AA5" i="18"/>
  <c r="AA2" i="18"/>
  <c r="AA9" i="18"/>
  <c r="AA20" i="18" l="1"/>
  <c r="AA14" i="18"/>
  <c r="Z11" i="15" l="1"/>
  <c r="T14" i="13"/>
  <c r="T5" i="13"/>
  <c r="AA5" i="15" l="1"/>
  <c r="AA2" i="15"/>
  <c r="AA7" i="15"/>
  <c r="AA4" i="15"/>
  <c r="AA8" i="15"/>
  <c r="AA6" i="15"/>
  <c r="AA3" i="15"/>
  <c r="AA11" i="15" l="1"/>
  <c r="T3" i="18"/>
  <c r="P4" i="18"/>
  <c r="D5" i="18"/>
  <c r="F5" i="18"/>
  <c r="F14" i="18" s="1"/>
  <c r="P5" i="18"/>
  <c r="P14" i="18" s="1"/>
  <c r="Q8" i="18" s="1"/>
  <c r="R5" i="18"/>
  <c r="R14" i="18" s="1"/>
  <c r="S2" i="18" s="1"/>
  <c r="T5" i="18"/>
  <c r="T14" i="18" s="1"/>
  <c r="U2" i="18" s="1"/>
  <c r="D7" i="18"/>
  <c r="D14" i="18" s="1"/>
  <c r="G9" i="18" s="1"/>
  <c r="F7" i="18"/>
  <c r="B14" i="18"/>
  <c r="C2" i="18" s="1"/>
  <c r="H14" i="18"/>
  <c r="I8" i="18" s="1"/>
  <c r="J14" i="18"/>
  <c r="K2" i="18" s="1"/>
  <c r="L14" i="18"/>
  <c r="M5" i="18" s="1"/>
  <c r="N14" i="18"/>
  <c r="O5" i="18" s="1"/>
  <c r="V14" i="18"/>
  <c r="W5" i="18" s="1"/>
  <c r="X14" i="18"/>
  <c r="Y3" i="18" s="1"/>
  <c r="D20" i="18"/>
  <c r="F20" i="18"/>
  <c r="G21" i="18" s="1"/>
  <c r="J20" i="18"/>
  <c r="K23" i="18" s="1"/>
  <c r="L20" i="18"/>
  <c r="M24" i="18" s="1"/>
  <c r="N20" i="18"/>
  <c r="O33" i="18" s="1"/>
  <c r="P20" i="18"/>
  <c r="Q21" i="18" s="1"/>
  <c r="R20" i="18"/>
  <c r="S23" i="18" s="1"/>
  <c r="T20" i="18"/>
  <c r="U28" i="18" s="1"/>
  <c r="V20" i="18"/>
  <c r="W26" i="18" s="1"/>
  <c r="X20" i="18"/>
  <c r="Y21" i="18" s="1"/>
  <c r="B25" i="18"/>
  <c r="H27" i="18"/>
  <c r="B28" i="18"/>
  <c r="H28" i="18"/>
  <c r="S29" i="18"/>
  <c r="B34" i="18"/>
  <c r="J5" i="15"/>
  <c r="L5" i="15"/>
  <c r="L11" i="15" s="1"/>
  <c r="N5" i="15"/>
  <c r="P5" i="15"/>
  <c r="I6" i="15"/>
  <c r="B11" i="15"/>
  <c r="C2" i="15" s="1"/>
  <c r="D11" i="15"/>
  <c r="E6" i="15" s="1"/>
  <c r="F11" i="15"/>
  <c r="H11" i="15"/>
  <c r="M8" i="15" s="1"/>
  <c r="J11" i="15"/>
  <c r="K2" i="15" s="1"/>
  <c r="N11" i="15"/>
  <c r="O2" i="15" s="1"/>
  <c r="R11" i="15"/>
  <c r="S2" i="15" s="1"/>
  <c r="T11" i="15"/>
  <c r="U6" i="15" s="1"/>
  <c r="V11" i="15"/>
  <c r="W2" i="15" s="1"/>
  <c r="X11" i="15"/>
  <c r="Y6" i="15" s="1"/>
  <c r="D14" i="15"/>
  <c r="H14" i="15"/>
  <c r="J14" i="15"/>
  <c r="N14" i="15"/>
  <c r="B5" i="13"/>
  <c r="C5" i="13"/>
  <c r="D5" i="13"/>
  <c r="E5" i="13"/>
  <c r="F5" i="13"/>
  <c r="F17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D17" i="13"/>
  <c r="E11" i="10"/>
  <c r="H15" i="10"/>
  <c r="I15" i="10"/>
  <c r="C21" i="10"/>
  <c r="D21" i="10"/>
  <c r="B26" i="10"/>
  <c r="C26" i="10"/>
  <c r="D26" i="10"/>
  <c r="M34" i="18" l="1"/>
  <c r="M21" i="18"/>
  <c r="M32" i="18"/>
  <c r="M26" i="18"/>
  <c r="M23" i="18"/>
  <c r="M25" i="18"/>
  <c r="M29" i="18"/>
  <c r="M27" i="18"/>
  <c r="M20" i="18" s="1"/>
  <c r="M28" i="18"/>
  <c r="S24" i="18"/>
  <c r="M33" i="18"/>
  <c r="L14" i="15"/>
  <c r="K33" i="18"/>
  <c r="K32" i="18"/>
  <c r="K5" i="18"/>
  <c r="K27" i="18"/>
  <c r="K34" i="18"/>
  <c r="K29" i="18"/>
  <c r="K25" i="18"/>
  <c r="K24" i="18"/>
  <c r="S33" i="18"/>
  <c r="K26" i="18"/>
  <c r="S21" i="18"/>
  <c r="K21" i="18"/>
  <c r="K28" i="18"/>
  <c r="U33" i="18"/>
  <c r="W9" i="18"/>
  <c r="O9" i="18"/>
  <c r="I4" i="15"/>
  <c r="S34" i="18"/>
  <c r="S32" i="18"/>
  <c r="S27" i="18"/>
  <c r="W29" i="18"/>
  <c r="W24" i="18"/>
  <c r="U23" i="18"/>
  <c r="W34" i="18"/>
  <c r="U26" i="18"/>
  <c r="U34" i="18"/>
  <c r="U24" i="18"/>
  <c r="U21" i="18"/>
  <c r="W23" i="18"/>
  <c r="W32" i="18"/>
  <c r="W27" i="18"/>
  <c r="U32" i="18"/>
  <c r="U27" i="18"/>
  <c r="U25" i="18"/>
  <c r="O24" i="18"/>
  <c r="S25" i="18"/>
  <c r="U29" i="18"/>
  <c r="S28" i="18"/>
  <c r="Y8" i="15"/>
  <c r="P11" i="15"/>
  <c r="Q6" i="15" s="1"/>
  <c r="P14" i="15"/>
  <c r="G4" i="15"/>
  <c r="W12" i="18"/>
  <c r="W8" i="18"/>
  <c r="G2" i="15"/>
  <c r="Y5" i="15"/>
  <c r="O27" i="18"/>
  <c r="O21" i="18"/>
  <c r="K8" i="15"/>
  <c r="O5" i="15"/>
  <c r="Y3" i="15"/>
  <c r="O12" i="18"/>
  <c r="O8" i="18"/>
  <c r="I8" i="15"/>
  <c r="I3" i="15"/>
  <c r="O34" i="18"/>
  <c r="B20" i="18"/>
  <c r="C21" i="18" s="1"/>
  <c r="W11" i="18"/>
  <c r="G7" i="18"/>
  <c r="W4" i="18"/>
  <c r="Y7" i="15"/>
  <c r="K5" i="15"/>
  <c r="G3" i="15"/>
  <c r="O29" i="18"/>
  <c r="O23" i="18"/>
  <c r="O11" i="18"/>
  <c r="E7" i="18"/>
  <c r="Q4" i="18"/>
  <c r="C17" i="13"/>
  <c r="E17" i="13"/>
  <c r="I7" i="15"/>
  <c r="I5" i="15"/>
  <c r="Y2" i="15"/>
  <c r="W10" i="18"/>
  <c r="W3" i="18"/>
  <c r="Y4" i="15"/>
  <c r="B17" i="13"/>
  <c r="B13" i="15"/>
  <c r="G5" i="15"/>
  <c r="I2" i="15"/>
  <c r="C34" i="18"/>
  <c r="O32" i="18"/>
  <c r="O10" i="18"/>
  <c r="U3" i="18"/>
  <c r="Y23" i="18"/>
  <c r="Y27" i="18"/>
  <c r="Q27" i="18"/>
  <c r="W21" i="18"/>
  <c r="Y34" i="18"/>
  <c r="Q34" i="18"/>
  <c r="G34" i="18"/>
  <c r="Y29" i="18"/>
  <c r="Q29" i="18"/>
  <c r="G29" i="18"/>
  <c r="Y28" i="18"/>
  <c r="Q28" i="18"/>
  <c r="G27" i="18"/>
  <c r="Q26" i="18"/>
  <c r="Q25" i="18"/>
  <c r="G25" i="18"/>
  <c r="Y33" i="18"/>
  <c r="Q33" i="18"/>
  <c r="G33" i="18"/>
  <c r="W28" i="18"/>
  <c r="O28" i="18"/>
  <c r="G28" i="18"/>
  <c r="Y26" i="18"/>
  <c r="O26" i="18"/>
  <c r="W25" i="18"/>
  <c r="O25" i="18"/>
  <c r="G23" i="18"/>
  <c r="Y25" i="18"/>
  <c r="Y35" i="18"/>
  <c r="W33" i="18"/>
  <c r="Y32" i="18"/>
  <c r="Q32" i="18"/>
  <c r="G32" i="18"/>
  <c r="Y24" i="18"/>
  <c r="Q24" i="18"/>
  <c r="G24" i="18"/>
  <c r="Q23" i="18"/>
  <c r="C33" i="18"/>
  <c r="C28" i="18"/>
  <c r="C29" i="18"/>
  <c r="C24" i="18"/>
  <c r="C27" i="18"/>
  <c r="C32" i="18"/>
  <c r="C23" i="18"/>
  <c r="I7" i="18"/>
  <c r="Q5" i="18"/>
  <c r="E5" i="18"/>
  <c r="Q3" i="18"/>
  <c r="I3" i="18"/>
  <c r="Y2" i="18"/>
  <c r="Q2" i="18"/>
  <c r="I2" i="18"/>
  <c r="S26" i="18"/>
  <c r="C25" i="18"/>
  <c r="H20" i="18"/>
  <c r="U12" i="18"/>
  <c r="M12" i="18"/>
  <c r="E12" i="18"/>
  <c r="U11" i="18"/>
  <c r="M11" i="18"/>
  <c r="E11" i="18"/>
  <c r="U10" i="18"/>
  <c r="M10" i="18"/>
  <c r="E10" i="18"/>
  <c r="U9" i="18"/>
  <c r="M9" i="18"/>
  <c r="E9" i="18"/>
  <c r="U8" i="18"/>
  <c r="M8" i="18"/>
  <c r="W7" i="18"/>
  <c r="O7" i="18"/>
  <c r="C7" i="18"/>
  <c r="I5" i="18"/>
  <c r="U4" i="18"/>
  <c r="O4" i="18"/>
  <c r="G4" i="18"/>
  <c r="O3" i="18"/>
  <c r="G3" i="18"/>
  <c r="W2" i="18"/>
  <c r="O2" i="18"/>
  <c r="G2" i="18"/>
  <c r="G11" i="18"/>
  <c r="G10" i="18"/>
  <c r="Q7" i="18"/>
  <c r="U5" i="18"/>
  <c r="I4" i="18"/>
  <c r="S12" i="18"/>
  <c r="K12" i="18"/>
  <c r="C12" i="18"/>
  <c r="S11" i="18"/>
  <c r="K11" i="18"/>
  <c r="C11" i="18"/>
  <c r="S10" i="18"/>
  <c r="K10" i="18"/>
  <c r="C10" i="18"/>
  <c r="S9" i="18"/>
  <c r="K9" i="18"/>
  <c r="C9" i="18"/>
  <c r="S8" i="18"/>
  <c r="K8" i="18"/>
  <c r="U7" i="18"/>
  <c r="M7" i="18"/>
  <c r="Y5" i="18"/>
  <c r="S5" i="18"/>
  <c r="G5" i="18"/>
  <c r="C5" i="18"/>
  <c r="S4" i="18"/>
  <c r="M4" i="18"/>
  <c r="E4" i="18"/>
  <c r="M3" i="18"/>
  <c r="E3" i="18"/>
  <c r="M2" i="18"/>
  <c r="E2" i="18"/>
  <c r="G12" i="18"/>
  <c r="Y7" i="18"/>
  <c r="Y12" i="18"/>
  <c r="Q12" i="18"/>
  <c r="I12" i="18"/>
  <c r="Y11" i="18"/>
  <c r="Q11" i="18"/>
  <c r="I11" i="18"/>
  <c r="Y10" i="18"/>
  <c r="Q10" i="18"/>
  <c r="I10" i="18"/>
  <c r="Y9" i="18"/>
  <c r="Q9" i="18"/>
  <c r="I9" i="18"/>
  <c r="Y8" i="18"/>
  <c r="S7" i="18"/>
  <c r="K7" i="18"/>
  <c r="Y4" i="18"/>
  <c r="K4" i="18"/>
  <c r="S3" i="18"/>
  <c r="K3" i="18"/>
  <c r="C3" i="18"/>
  <c r="Q4" i="15"/>
  <c r="M6" i="15"/>
  <c r="M7" i="15"/>
  <c r="M2" i="15"/>
  <c r="M3" i="15"/>
  <c r="M4" i="15"/>
  <c r="M5" i="15"/>
  <c r="S7" i="15"/>
  <c r="C7" i="15"/>
  <c r="W5" i="15"/>
  <c r="W4" i="15"/>
  <c r="O4" i="15"/>
  <c r="W3" i="15"/>
  <c r="O3" i="15"/>
  <c r="W8" i="15"/>
  <c r="O8" i="15"/>
  <c r="G8" i="15"/>
  <c r="W7" i="15"/>
  <c r="O7" i="15"/>
  <c r="G7" i="15"/>
  <c r="W6" i="15"/>
  <c r="O6" i="15"/>
  <c r="G6" i="15"/>
  <c r="U5" i="15"/>
  <c r="E5" i="15"/>
  <c r="U4" i="15"/>
  <c r="E4" i="15"/>
  <c r="U3" i="15"/>
  <c r="E3" i="15"/>
  <c r="U2" i="15"/>
  <c r="E2" i="15"/>
  <c r="S8" i="15"/>
  <c r="C8" i="15"/>
  <c r="K7" i="15"/>
  <c r="S6" i="15"/>
  <c r="K6" i="15"/>
  <c r="U8" i="15"/>
  <c r="E8" i="15"/>
  <c r="U7" i="15"/>
  <c r="E7" i="15"/>
  <c r="S5" i="15"/>
  <c r="C5" i="15"/>
  <c r="S4" i="15"/>
  <c r="K4" i="15"/>
  <c r="C4" i="15"/>
  <c r="S3" i="15"/>
  <c r="K3" i="15"/>
  <c r="C3" i="15"/>
  <c r="Q5" i="15" l="1"/>
  <c r="K20" i="18"/>
  <c r="Q3" i="15"/>
  <c r="Q2" i="15"/>
  <c r="Q7" i="15"/>
  <c r="Q8" i="15"/>
  <c r="C14" i="18"/>
  <c r="S20" i="18"/>
  <c r="U20" i="18"/>
  <c r="C11" i="15"/>
  <c r="K11" i="15"/>
  <c r="E11" i="15"/>
  <c r="G11" i="15"/>
  <c r="W11" i="15"/>
  <c r="S11" i="15"/>
  <c r="O11" i="15"/>
  <c r="E14" i="18"/>
  <c r="Y11" i="15"/>
  <c r="I11" i="15"/>
  <c r="W14" i="18"/>
  <c r="O20" i="18"/>
  <c r="W20" i="18"/>
  <c r="G20" i="18"/>
  <c r="Q20" i="18"/>
  <c r="Y20" i="18"/>
  <c r="U14" i="18"/>
  <c r="S14" i="18"/>
  <c r="K14" i="18"/>
  <c r="G14" i="18"/>
  <c r="M14" i="18"/>
  <c r="O14" i="18"/>
  <c r="I14" i="18"/>
  <c r="C20" i="18"/>
  <c r="I24" i="18"/>
  <c r="I25" i="18"/>
  <c r="I32" i="18"/>
  <c r="I33" i="18"/>
  <c r="I34" i="18"/>
  <c r="I23" i="18"/>
  <c r="I26" i="18"/>
  <c r="I29" i="18"/>
  <c r="I21" i="18"/>
  <c r="Q14" i="18"/>
  <c r="I27" i="18"/>
  <c r="I28" i="18"/>
  <c r="Y14" i="18"/>
  <c r="M11" i="15"/>
  <c r="U11" i="15"/>
  <c r="Q11" i="15" l="1"/>
  <c r="I2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AJ3" authorId="0" shapeId="0" xr:uid="{ADC06A4C-FE91-4479-BB2C-096FA5DC737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kvůli malé částce nerozpadáme</t>
        </r>
      </text>
    </comment>
  </commentList>
</comments>
</file>

<file path=xl/sharedStrings.xml><?xml version="1.0" encoding="utf-8"?>
<sst xmlns="http://schemas.openxmlformats.org/spreadsheetml/2006/main" count="1051" uniqueCount="627">
  <si>
    <t>Str. přílohy č. 2</t>
  </si>
  <si>
    <t>DOTAČNÍ PROGRAMY
(v tis. Kč)</t>
  </si>
  <si>
    <t>Odvětví krizového řízení celkem</t>
  </si>
  <si>
    <t>Program obnovy kulturních památek a památkově chráněných nemovitostí v Moravskoslezském kraji</t>
  </si>
  <si>
    <t>Program podpory aktivit příslušníků národnostních menšin žijících na území Moravskoslezského kraje</t>
  </si>
  <si>
    <t>Odvětví kultury celkem</t>
  </si>
  <si>
    <t>Odvětví regionálního rozvoje celkem</t>
  </si>
  <si>
    <t>Odvětví cestovního ruchu celkem</t>
  </si>
  <si>
    <t>Program realizace specifických aktivit Moravskoslezského krajského plánu vyrovnávání příležitostí pro občany se zdravotním postižením</t>
  </si>
  <si>
    <t xml:space="preserve">Program na podporu zvýšení kvality sociálních služeb poskytovaných v Moravskoslezském kraji </t>
  </si>
  <si>
    <t>Program na podporu financování běžných výdajů souvisejících s poskytováním sociálních služeb včetně realizace protidrogové politiky kraje</t>
  </si>
  <si>
    <t>Program pro poskytování návratných finančních výpomocí z Fondu sociálních služeb</t>
  </si>
  <si>
    <t>Odvětví sociálních věcí celkem</t>
  </si>
  <si>
    <t>Podpora vrcholového sportu v Moravskoslezském kraji</t>
  </si>
  <si>
    <t>Odvětví školství celkem</t>
  </si>
  <si>
    <t>Odvětví zdravotnictví celkem</t>
  </si>
  <si>
    <t>Drobné vodohospodářské akce</t>
  </si>
  <si>
    <t>Odvětví životního prostředí celkem</t>
  </si>
  <si>
    <t>Celkový součet</t>
  </si>
  <si>
    <t>Rekapitulace dotačních programů dle odvětví</t>
  </si>
  <si>
    <t>Krizové řízení</t>
  </si>
  <si>
    <t>Kultura</t>
  </si>
  <si>
    <t>Regionální rozvoj</t>
  </si>
  <si>
    <t>Cestovní ruch</t>
  </si>
  <si>
    <t>Sociální věci</t>
  </si>
  <si>
    <t>Školství</t>
  </si>
  <si>
    <t>Zdravotnictví</t>
  </si>
  <si>
    <t>Životní prostředí</t>
  </si>
  <si>
    <t>Obsah:</t>
  </si>
  <si>
    <t>str.</t>
  </si>
  <si>
    <t>Podpora hospicové péče</t>
  </si>
  <si>
    <t>v tis. Kč</t>
  </si>
  <si>
    <t>CELKEM</t>
  </si>
  <si>
    <t>Program na podporu zdravého stárnutí v Moravskoslezském kraji</t>
  </si>
  <si>
    <t>Podpora vzdělávání a poradenství v oblasti životního prostředí</t>
  </si>
  <si>
    <t>Název akce</t>
  </si>
  <si>
    <t>Poznámka</t>
  </si>
  <si>
    <t>2019</t>
  </si>
  <si>
    <t>ODVĚTVÍ KRIZOVÉHO ŘÍZENÍ:</t>
  </si>
  <si>
    <t>ODVĚTVÍ KRIZOVÉHO ŘÍZENÍ CELKEM</t>
  </si>
  <si>
    <t>ODVĚTVÍ KULTURY:</t>
  </si>
  <si>
    <t>ODVĚTVÍ KULTURY CELKEM</t>
  </si>
  <si>
    <t>ODVĚTVÍ SOCIÁLNÍCH VĚCÍ:</t>
  </si>
  <si>
    <t>ODVĚTVÍ SOCIÁLNÍCH VĚCÍ CELKEM</t>
  </si>
  <si>
    <t>ODVĚTVÍ ŠKOLSTVÍ:</t>
  </si>
  <si>
    <t>ODVĚTVÍ ŠKOLSTVÍ CELKEM</t>
  </si>
  <si>
    <t>ODVĚTVÍ ZDRAVOTNICTVÍ:</t>
  </si>
  <si>
    <t>ODVĚTVÍ ZDRAVOTNICTVÍ CELKEM</t>
  </si>
  <si>
    <t>Celkové výdaje
na akci</t>
  </si>
  <si>
    <t>2020</t>
  </si>
  <si>
    <t xml:space="preserve">Projekt je financován formou záloh. Výdaje jsou určeny na úhradu podílu kraje a neuznatelných výdajů. </t>
  </si>
  <si>
    <t>ODVĚTVÍ REGIONÁLNÍHO ROZVOJE:</t>
  </si>
  <si>
    <t>Prostředky na přípravu projektů</t>
  </si>
  <si>
    <t>ODVĚTVÍ REGIONÁLNÍHO ROZVOJE CELKEM</t>
  </si>
  <si>
    <t>ODVĚTVÍ ŽIVOTNÍHO PROSTŘEDÍ:</t>
  </si>
  <si>
    <t>ODVĚTVÍ ŽIVOTNÍHO PROSTŘEDÍ CELKEM</t>
  </si>
  <si>
    <t>ODVĚTVÍ VLASTNÍ SPRÁVNÍ ČINNOST KRAJE A ČINNOST ZASTUPITELSTVA KRAJE:</t>
  </si>
  <si>
    <t>ODVĚTVÍ VLASTNÍ SPRÁVNÍ ČINNOST KRAJE A ČINNOST ZASTUPITELSTVA KRAJE CELKEM</t>
  </si>
  <si>
    <t>Celkové výdaje na projekt</t>
  </si>
  <si>
    <t>Podíl MSK</t>
  </si>
  <si>
    <t>Evropské finanční zdroje
a státní rozpočet</t>
  </si>
  <si>
    <t>AKCE SPOLUFINANCOVANÉ Z EVROPSKÝCH FINANČNÍCH ZDROJŮ</t>
  </si>
  <si>
    <t>NÁVRATNÁ FINANČNÍ VÝPOMOC PŘÍSPĚVKOVÝM ORGANIZACÍM NA PROFINANCOVÁNÍ PODÍLŮ STÁTNÍHO ROZPOČTU A EVROPSKÉ UNIE</t>
  </si>
  <si>
    <t>Návratná finanční výpomoc příspěvkovým organizacím v odvětví kultury</t>
  </si>
  <si>
    <t>Návratná finanční výpomoc příspěvkovým organizacím v odvětví zdravotnictví</t>
  </si>
  <si>
    <t>Daňové příjmy</t>
  </si>
  <si>
    <t>Nedaňové příjmy</t>
  </si>
  <si>
    <t>Kapitálové příjmy</t>
  </si>
  <si>
    <t>Přijaté dotace</t>
  </si>
  <si>
    <t>Očekávané účelové dotace</t>
  </si>
  <si>
    <t>Úprava rozpočtu</t>
  </si>
  <si>
    <t xml:space="preserve">Schválený rozpočet </t>
  </si>
  <si>
    <t>2004 - Varianta II (RUD)</t>
  </si>
  <si>
    <t>2004 - Varianta I</t>
  </si>
  <si>
    <t>Upravený rozpočet</t>
  </si>
  <si>
    <t>Výdaje</t>
  </si>
  <si>
    <t>Příjmy</t>
  </si>
  <si>
    <t>převody+oček.dotace+ISPROFIN+oček.záloh.platby</t>
  </si>
  <si>
    <t>při schodkovém</t>
  </si>
  <si>
    <r>
      <t xml:space="preserve">Úprava rozpočtu </t>
    </r>
    <r>
      <rPr>
        <sz val="12"/>
        <rFont val="Times New Roman CE"/>
        <charset val="238"/>
      </rPr>
      <t>= tzn. o kolik se navýšil upravený rozpočet (tj. UR-SR=úprava rozpočtu)</t>
    </r>
  </si>
  <si>
    <t>Očekávané účelové dotace a převody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</si>
  <si>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</si>
  <si>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</si>
  <si>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</si>
  <si>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</si>
  <si>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</si>
  <si>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</si>
  <si>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</si>
  <si>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</si>
  <si>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</si>
  <si>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2007</t>
  </si>
  <si>
    <t>2005</t>
  </si>
  <si>
    <t>2004</t>
  </si>
  <si>
    <t>přebytkový - příjmy - nepřičítat převody!</t>
  </si>
  <si>
    <t>k 9/14(dle kalk.)</t>
  </si>
  <si>
    <t>Schválený rozpočet</t>
  </si>
  <si>
    <t>Příjmy po konsolidaci</t>
  </si>
  <si>
    <t xml:space="preserve">Daňové příjmy </t>
  </si>
  <si>
    <t>Výdaje po konsolidaci</t>
  </si>
  <si>
    <t>Kapitálové výdaje</t>
  </si>
  <si>
    <t>Běžné výdaje</t>
  </si>
  <si>
    <t>Celkem</t>
  </si>
  <si>
    <t>Ostatní přijaté dotace</t>
  </si>
  <si>
    <t>Přijatá dotace v rámci souhrnného finančního vztahu</t>
  </si>
  <si>
    <t>Přijatá dotace na drážní obslužnost</t>
  </si>
  <si>
    <t>Přijaté dotace na akce spolufinancované z evropských finančních zdrojů</t>
  </si>
  <si>
    <t>Rozpočet 2018</t>
  </si>
  <si>
    <t>Rozpočet 2017</t>
  </si>
  <si>
    <t>Rozpočet 2016</t>
  </si>
  <si>
    <t>Rozpočet 2015</t>
  </si>
  <si>
    <t>Rozpočet 2014</t>
  </si>
  <si>
    <t>Rozpočet 2013</t>
  </si>
  <si>
    <t>Rozpočet 2012</t>
  </si>
  <si>
    <t>Rozpočet 2011</t>
  </si>
  <si>
    <t>Rozpočet 2010</t>
  </si>
  <si>
    <t>Rozpočet 2009</t>
  </si>
  <si>
    <t>Rozpočet 2008</t>
  </si>
  <si>
    <t>Rozpočet 2007</t>
  </si>
  <si>
    <t>PŘÍJMY</t>
  </si>
  <si>
    <t>Finance a správa majetku</t>
  </si>
  <si>
    <t>Krajský úřad</t>
  </si>
  <si>
    <t>Územní plánování a stavební řád</t>
  </si>
  <si>
    <t xml:space="preserve">Regionální rozvoj </t>
  </si>
  <si>
    <t>odvětví</t>
  </si>
  <si>
    <t>Akce spolufinancované z EU a EHP</t>
  </si>
  <si>
    <t>Ostatní výdaje</t>
  </si>
  <si>
    <t>Průmyslová zóna Nošovice</t>
  </si>
  <si>
    <t>Akce spolufinancované z evropských finančních zdrojů</t>
  </si>
  <si>
    <t>Reprodukce majetku kraje vyjma akcí EU</t>
  </si>
  <si>
    <t>Návratné finanční výpomoci příspěvkovým organizacím</t>
  </si>
  <si>
    <t>Běžné výdaje na zastupitelstvo kraje a krajský úřad</t>
  </si>
  <si>
    <t>Činnost zastupitelstva</t>
  </si>
  <si>
    <t>VÝDAJE</t>
  </si>
  <si>
    <t>Požadavek na rozpočet kraje</t>
  </si>
  <si>
    <t>Příloha č. 10</t>
  </si>
  <si>
    <t>Program na podporu dobrovolných hasičů</t>
  </si>
  <si>
    <t>Program podpory aktivit v oblasti kultury v Moravskoslezském kraji</t>
  </si>
  <si>
    <t>Zvýšení přístupnosti a bezpečnosti ke kulturním památkám v česko-slovenském pohraničí</t>
  </si>
  <si>
    <t>Rekonstrukce a výstavba Domova Březiny</t>
  </si>
  <si>
    <t>Kotlíkové dotace v Moravskoslezském kraji – 3. grantové schéma</t>
  </si>
  <si>
    <t>Rozpočet 2019</t>
  </si>
  <si>
    <t>Příspěvek na provoz příspěvkovým organizacím</t>
  </si>
  <si>
    <t>Položka</t>
  </si>
  <si>
    <t>Název položky</t>
  </si>
  <si>
    <t>Příjem
(v tis. Kč)</t>
  </si>
  <si>
    <t>Komentář</t>
  </si>
  <si>
    <t>Daň z příjmů fyzických osob placená plátci (ze závislé činnosti a funkčních požitků) - na základě zákona č. 243/2000 Sb., o rozpočtovém určení daní.</t>
  </si>
  <si>
    <t>Daň z příjmů fyzických osob placená poplatníky (ze samostatné výdělečné činnosti) - na základě zákona č. 243/2000 Sb., o rozpočtovém určení daní.</t>
  </si>
  <si>
    <t>Daň z příjmů fyzických osob vybíraná srážkou - na základě zákona č. 243/2000 Sb., o rozpočtovém určení daní.</t>
  </si>
  <si>
    <t>Daň z příjmů právnických osob - na základě zákona č. 243/2000 Sb., o rozpočtovém určení daní.</t>
  </si>
  <si>
    <t>Daň z příjmů právnických osob za kraj - na základě zákona č. 243/2000 Sb., o rozpočtovém určení daní.</t>
  </si>
  <si>
    <t>Daň z přidané hodnoty -  na základě zákona č. 243/2000 Sb., o rozpočtovém určení daní.</t>
  </si>
  <si>
    <t>Daňové příjmy celkem</t>
  </si>
  <si>
    <t>Příjmy z refakturovaných nákladů za dodávky energií a poskytnuté služby související s užíváním nebytových prostor v budovách krajského úřadu cizími subjekty na základě uzavřených smluv.</t>
  </si>
  <si>
    <t>Zpracování posudků EIA - příjem kraje od žadatele za zprostředkování zpracování posudku krajským úřadem na základě zákona č. 100/2001 Sb., o posuzování vlivů na životní prostředí.</t>
  </si>
  <si>
    <t>Ostatní příjmy z vlastní činnosti</t>
  </si>
  <si>
    <t>Příjmy za věcná břemena - dle obecně platných právních předpisů.</t>
  </si>
  <si>
    <t>Úroky - přijaté úroky z bankovních účtů zřízených Moravskoslezským krajem.</t>
  </si>
  <si>
    <t>Přijaté sankční platby - pokuty podle zákona č. 117/2001 Sb., o veřejných sbírkách, blokové pokuty, pokuty ve správním řízení KŽÚ podle § 8a, odst. 5-9 zákona č. 40/1995 Sb., o regulaci reklamy a o změně a doplnění zákona č. 468/1991, dále podle zákona č. 526/1990 Sb., § 17a, o cenách, pokuty právnickým osobám a podnikajícím fyzickým osobám dle zákona č. 129/2000 Sb.</t>
  </si>
  <si>
    <t>Pokuty a kauce -  na základě zákona č. 111/1994 Sb., o silniční dopravě, zákona č. 247/2000 Sb., o získávání a zdokonalování odborné způsobilosti k řízení motorových vozidel, zákona č. 56/2001 Sb., o podmínkách provozu vozidel na pozemních komunikacích a zákona č. 13/1997 Sb., o pozemních komunikacích.</t>
  </si>
  <si>
    <t>Ostatní nedaňové příjmy jinde nezařazené</t>
  </si>
  <si>
    <t>Splátky půjčených prostředků na základě operačních smluv s Fondy rozvoje měst.</t>
  </si>
  <si>
    <t>2420</t>
  </si>
  <si>
    <t>Splátky půjčených prostředků od obcí</t>
  </si>
  <si>
    <t>Splátky půjčených prostředků od příspěvkových organizací</t>
  </si>
  <si>
    <t>Vratky návratných finančních výpomocí poskytnutých příspěvkovým organizacím v odvětví zdravotnictví na předfinancování podílů státu a EU při realizaci projektů spolufinancovaných z evropských finančních zdrojů.</t>
  </si>
  <si>
    <t>Nedaňové příjmy celkem</t>
  </si>
  <si>
    <t>Prodej pozemků - v souladu s požadavky Moravskoslezského kraje a § 36 zákona č. 129/2000 Sb., o krajích.</t>
  </si>
  <si>
    <t>Kapitálové příjmy celkem</t>
  </si>
  <si>
    <t>Neinvestiční přijaté transfery ze státního rozpočtu v rámci souhrnného dotačního vztahu</t>
  </si>
  <si>
    <t>Souhrnný dotační vztah - na základě zákona o státním rozpočtu.</t>
  </si>
  <si>
    <t>Ostatní neinvestiční přijaté transfery ze státního rozpočtu</t>
  </si>
  <si>
    <t>Dopravní obslužnost - drážní doprava</t>
  </si>
  <si>
    <t>Neinvestiční převody z Národního fondu</t>
  </si>
  <si>
    <t>Neinvestiční přijaté transfery od obcí</t>
  </si>
  <si>
    <t>Dopravní obslužnost - linková doprava</t>
  </si>
  <si>
    <t>Ostatní investiční přijaté transfery ze státního rozpočtu</t>
  </si>
  <si>
    <t>Investiční přijaté transfery od obcí</t>
  </si>
  <si>
    <t>Přijaté dotace celkem</t>
  </si>
  <si>
    <t>PŘÍJMY CELKEM</t>
  </si>
  <si>
    <t>Neinvestiční přijaté transfery od krajů</t>
  </si>
  <si>
    <t>Zateplení a stavební úpravy správní budovy, pavilonu E a F Domova Březiny</t>
  </si>
  <si>
    <t>Rozpočet 2020</t>
  </si>
  <si>
    <t>Program podpory činností v oblasti rodinné politiky, sociálně právní ochrany dětí a navazujících činností v sociálních službách</t>
  </si>
  <si>
    <t>Program na podporu aktivit sociálního podnikání v Moravskoslezském kraji</t>
  </si>
  <si>
    <t>Podpora včelařství v Moravskoslezském kraji</t>
  </si>
  <si>
    <t>2023</t>
  </si>
  <si>
    <t>ODVĚTVÍ ÚZEMNÍHO PLÁNOVÁNÍ A STAVEBNÍHO ŘÁDU:</t>
  </si>
  <si>
    <t>ODVĚTVÍ ÚZEMNÍHO PLÁNOVÁNÍ A STAVEBNÍHO ŘÁDU CELKEM</t>
  </si>
  <si>
    <t>Pronájem podniku společnost Letiště Ostrava a. s. - na základě usnesení rady kraje č.43/3413 z 28.6.2004 a smlouvy č. 0671/2004/POR včetně dodatků.</t>
  </si>
  <si>
    <t>Pronájem podniku Nemocnice v Novém Jičíně - na základě usnesení zastupitelstva č.21/1723 ze dne 21. 9. 2011 a smlouvy o nájmu podniku č.02262/2011/ZDR.</t>
  </si>
  <si>
    <t>Podpora rozvoje cykloturistiky v Moravskoslezském kraji 2021+</t>
  </si>
  <si>
    <t>Doprava</t>
  </si>
  <si>
    <t>Program na podporu přípravy projektové dokumentace 2019</t>
  </si>
  <si>
    <t>Podpora turistických informačních center v Moravskoslezském kraji</t>
  </si>
  <si>
    <t>Program na podporu technických atraktivit</t>
  </si>
  <si>
    <t>Finanční prostředky jsou určeny na kofinancování projektu. Žadatelem o podporu u poskytovatele dotace je příspěvková organizace.</t>
  </si>
  <si>
    <t>ODVĚTVÍ DOPRAVY CELKEM</t>
  </si>
  <si>
    <t>ODVĚTVÍ DOPRAVY:</t>
  </si>
  <si>
    <t>2024</t>
  </si>
  <si>
    <t>Pavilon L - stavební úpravy (Slezská nemocnice v Opavě, příspěvková organizace)</t>
  </si>
  <si>
    <t>Přístavba a nástavba rehabilitace (Nemocnice Třinec, příspěvková organizace)</t>
  </si>
  <si>
    <t>Rekonstrukce objektu SŠ a domova mládeže (Střední škola společného stravování, Ostrava-Hrabůvka,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</si>
  <si>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</si>
  <si>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Rekonstrukce budovy na ulici Praskova čp. 411 v Opavě (Základní škola, Opava, Havlíčkova 1, příspěvková organizace)</t>
  </si>
  <si>
    <t>Rekultivace vnitrobloku a zpevněné plochy (Polské gymnázium - Polskie Gimnazjum im. Juliusza Słowackiego, Český Těšín, příspěvková organizace)</t>
  </si>
  <si>
    <t>Rekonstrukce budovy a spojovací chodby Máchova (Domov Duha, příspěvková organizace, Nový Jičín)</t>
  </si>
  <si>
    <t>Letiště Leoše Janáčka Ostrava, výstavba odbavovací plochy APN S3</t>
  </si>
  <si>
    <t>z toho financováno z úvěru ČS</t>
  </si>
  <si>
    <t>Splátky jistin půjčených prostředků od obcí v rámci Jessica II.</t>
  </si>
  <si>
    <t>Příjmy z inkasovaných dobropisů, náhrady poštovného za ztracené nebo nedoručené zásilky.</t>
  </si>
  <si>
    <t>Správní poplatky - poplatky vybírané převážně na základě zákona č. 634/2004 Sb., o správních poplatcích, zákona č. 160/1992 Sb., o zdravotní péči v nestátních zdravotnických zařízeních, zákona č. 13/1997 Sb., o pozemních komunikacích, zákona 254/2001 Sb. o vodách a o změně některých zákonů (vodní zákon) a zákona č. 183/2006 o územním plánování a stavebním řádu (stavební zákon).</t>
  </si>
  <si>
    <t>Poplatek za odebrané množství podzemní vody dle § 88 zákona 254/2001 Sb. o vodách a o změně některých zákonů (vodní zákon) - část poplatků za odběr podzemní vody ve výši 50 % je příjmem rozpočtu kraje, na jehož území se odběr podzemní vody uskutečňuje.</t>
  </si>
  <si>
    <t>REPRODUKCE MAJETKU KRAJE VYJMA AKCÍ SPOLUFINANCOVANÝCH Z EVROPSKÝCH FINANČNÍCH ZDROJŮ</t>
  </si>
  <si>
    <t>NÁVRATNÁ FINANČNÍ VÝPOMOC PŘÍSPĚVKOVÝM ORGANIZACÍM NA PROFINANCOVÁNÍ PODÍLŮ STÁTNÍHO ROZPOČTU A EVROPSKÉ UNIE CELKEM</t>
  </si>
  <si>
    <t>CELKEM ZA AKCE SPOLUFINANCOVANÉ Z EVROPSKÝCH FINANČNÍCH ZDROJŮ</t>
  </si>
  <si>
    <t>CELKEM ZA AKCE REPRODUKCE MAJETKU KRAJE VYJMA AKCÍ SPOLUFINANCOVANÝCH Z EVROPSKÝCH FINANČNÍCH ZDROJŮ</t>
  </si>
  <si>
    <t>Vratky návratných finančních výpomocí poskytnutých příspěvkovým organizacím v odvětví sociálních věcí na zajištění běžného chodu organizací.</t>
  </si>
  <si>
    <t>2021</t>
  </si>
  <si>
    <t>Rozpočet 2021</t>
  </si>
  <si>
    <t>Přijaté sankční platby - pokuty podle zákona č. 117/2001 Sb., o veřejných sbírkách.</t>
  </si>
  <si>
    <t>Program obnovy památek nadregionálního významu v Moravskoslezském kraji</t>
  </si>
  <si>
    <t>Podpora obnovy a rozvoje venkova Moravskoslezského kraje 2022</t>
  </si>
  <si>
    <t>Program na podporu přípravy projektové dokumentace 2018</t>
  </si>
  <si>
    <t>Úprava lyžařských běžeckých tras v Moravskoslezském kraji 2022/2023, 2023/2024 a 2024/2025</t>
  </si>
  <si>
    <t>Podpora rozvoje cykloturistiky v Moravskoslezském kraji 2022+</t>
  </si>
  <si>
    <t>Podpora významných sportovních akcí v Moravskoslezském kraji</t>
  </si>
  <si>
    <t>Podpora volnočasových aktivit pro mládež</t>
  </si>
  <si>
    <t>Podpora projektů ve zdravotnictví</t>
  </si>
  <si>
    <t>Podpora odpadového hospodářství</t>
  </si>
  <si>
    <t>ČÍSLO AKCE</t>
  </si>
  <si>
    <t>2025</t>
  </si>
  <si>
    <t>ODVĚTVÍ CHYTRÉHO REGIONU:</t>
  </si>
  <si>
    <t>Centrum veřejných energetiků (Moravskoslezské energetické centrum, příspěvková organizace, Ostrava)</t>
  </si>
  <si>
    <t>ODVĚTVÍ CHYTRÉHO REGIONU CELKEM</t>
  </si>
  <si>
    <t>Černá kostka - Centrum digitalizace, vědy a inovací</t>
  </si>
  <si>
    <t>Žerotínský zámek – centrum relaxace a poznání</t>
  </si>
  <si>
    <t>Chráněné bydlení Okrajová</t>
  </si>
  <si>
    <t>Podpora procesu plánování sociálních služeb na území MSK</t>
  </si>
  <si>
    <t>Energetické úspory v ZŠ Čkalovova</t>
  </si>
  <si>
    <t>Energetické úspory v ZUŠ Klimkovice</t>
  </si>
  <si>
    <t>Energetické úspory v ZUŠ L. Janáčka Havířov</t>
  </si>
  <si>
    <t>Celkem Územní plánování</t>
  </si>
  <si>
    <t>Vzdělávání a nácvik proti covidu</t>
  </si>
  <si>
    <t>Krajský akční plán pro oblast ochrany ovzduší</t>
  </si>
  <si>
    <t>River Continuum</t>
  </si>
  <si>
    <t>Příjmy z pronájmu budov nebo prostor v budovách ve vlastnictví kraje.</t>
  </si>
  <si>
    <t>Příjmy za odebrané stravovací služby poskytnuté zaměstnancům v jídelně a bufetu krajského úřadu, příjmy z inkasovaných dobropisů, vratky přeplatků záloh, náhrady za náklady soudního nebo správního řízení, náhrady za škody způsobené zaměstnanci.</t>
  </si>
  <si>
    <t>Prodej budov a staveb - v souladu s požadavky Moravskoslezského kraje a § 36 zákona č. 129/2000 Sb., o krajích.</t>
  </si>
  <si>
    <t>Neinvestiční přijaté transfery ze státních fondů</t>
  </si>
  <si>
    <t>Dotační program - Kotlíkové dotace v Moravskoslezském kraji 3. grantové schéma (AMO)</t>
  </si>
  <si>
    <t>Poplatky za znečišťování ovzduší - poplatky vybírané na základě zákona č. 201/2012 Sb., o ochraně ovzduší, ve znění pozdějších předpisů. Výnos z poplatků za znečišťování ve výši 25 % je příjmem kraje, na jehož území se stacionární zdroj nachází.</t>
  </si>
  <si>
    <t>Rozpočet 2022</t>
  </si>
  <si>
    <t>2022</t>
  </si>
  <si>
    <t>Chytrý region</t>
  </si>
  <si>
    <t>Rekonstrukce mostů ev. č. 486-011, 012 Hukvaldy (Správa silnic Moravskoslezského kraje, příspěvková organizace, Ostrava)</t>
  </si>
  <si>
    <t>Využití objektu v Bílé (Vzdělávací a sportovní centrum, Bílá, příspěvková organizace)</t>
  </si>
  <si>
    <t>Rekonstrukce školního dvora (Matiční gymnázium, Ostrava, příspěvková organizace)</t>
  </si>
  <si>
    <t>Přístavba tělocvičny (Gymnázium, Třinec, příspěvková organizace)</t>
  </si>
  <si>
    <t>Rekonstrukce střechy a zateplení fasády (Gymnázium Třinec, příspěvková organizace)</t>
  </si>
  <si>
    <t>ODVĚTVÍ ÚZEMNÍ PLÁNOVÁNÍ A STAVEBNÍHO ŘÁDU:</t>
  </si>
  <si>
    <t>ODVĚTVÍ ÚZEMNÍ PLÁNOVÁNÍ A STAVEBNÍHO ŘÁDU CELKEM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</si>
  <si>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</si>
  <si>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</si>
  <si>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</si>
  <si>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</si>
  <si>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kraj, s výjimkou daně vybírané srážkou podle zvláštní sazby daně</t>
  </si>
  <si>
    <t>Příjem z daně z přidané hodnoty</t>
  </si>
  <si>
    <t>Příjem z poplatků za znečišťování ovzduší</t>
  </si>
  <si>
    <t>Příjem z poplatku za odebrané množství podzemní vody</t>
  </si>
  <si>
    <t>Příjem ze správních poplatků</t>
  </si>
  <si>
    <t>Příjem z pronájmu nebo pachtu pozemků</t>
  </si>
  <si>
    <t>Příjem z pronájmu nebo pachtu ostatních nemovitých věcí a jejich částí</t>
  </si>
  <si>
    <t>Ostatní příjmy z pronájmu nebo pachtu majetku</t>
  </si>
  <si>
    <t>Příjem z úroků</t>
  </si>
  <si>
    <t>Příjem sankčních plateb přijatých od státu, obcí a krajů</t>
  </si>
  <si>
    <t>Přijaté neinvestiční příspěvky a náhrady</t>
  </si>
  <si>
    <t>Splátky půjčených prostředků od nefinančních podnikatelů - právnických osob</t>
  </si>
  <si>
    <t>Splátky půjčených prostředků od obecně prospěšných společností a obdobných osob</t>
  </si>
  <si>
    <t>Příjem z prodeje pozemků</t>
  </si>
  <si>
    <t>Příjem z prodeje ostatních nemovitých věcí a jejich částí</t>
  </si>
  <si>
    <t>Neinvestiční přijaté transfery od mezinárodních organizací a některých zahraničních orgánů a právnických osob</t>
  </si>
  <si>
    <t>Podpora obnovy a rozvoje venkova Moravskoslezského kraje 2023</t>
  </si>
  <si>
    <t>Program na podporu přípravy projektové dokumentace 2021</t>
  </si>
  <si>
    <t>Program na podporu stáží žáků a studentů ve firmách 2023</t>
  </si>
  <si>
    <t>Podpora znevýhodněných oblastí Moravskoslezského kraje 2023</t>
  </si>
  <si>
    <t>Podpora provozu venkovských prodejen v Moravskoslezském kraji</t>
  </si>
  <si>
    <t>Podpora infrastruktury a propagace cestovního ruchu v Moravskoslezském kraji</t>
  </si>
  <si>
    <t>Podpora primární péče</t>
  </si>
  <si>
    <t>Podpora péče o duševní zdraví</t>
  </si>
  <si>
    <t>×</t>
  </si>
  <si>
    <t>Podpora aktivit v oblasti prevence rizikového chování</t>
  </si>
  <si>
    <t>2026</t>
  </si>
  <si>
    <t>Otevřený úřad – otevřené rozhraní pro přístup k datům</t>
  </si>
  <si>
    <t>Realizace bezpečnostních opatření podle zákona o kybernetické bezpečnosti II</t>
  </si>
  <si>
    <t>Rekonstrukce a modernizace silnice II/442 VD Kružberk – Svatoňovice – Čermná ve Slezsku</t>
  </si>
  <si>
    <t>Rekonstrukce a modernizace silnice II/470H Severní spoj (Ostrava)</t>
  </si>
  <si>
    <t>Rekonstrukce a modernizace silnice II/475 v Karviné, ul. Rudé Armády</t>
  </si>
  <si>
    <t>Rekonstrukce a modernizace silnice II/648 Český Těšín, ul. Frýdecká</t>
  </si>
  <si>
    <t>Silnice II/483 průtah Frenštát p. R. – hr. okresu FM</t>
  </si>
  <si>
    <t>Silnice III/0578 hraniční most ev. č. 0578-2 Vávrovice - Wiechowice</t>
  </si>
  <si>
    <t>Silnice III/4593 hraniční most ev. č. 4593-3 Úvalno - Branice</t>
  </si>
  <si>
    <t>Příprava staveb a příprava vypořádání pozemků (Správa silnic Moravskoslezského kraje, příspěvková organizace, Ostrava)</t>
  </si>
  <si>
    <t>Celkové výdaje uvedeny jen pro rok 2023.</t>
  </si>
  <si>
    <t>POHO Park Gabriela</t>
  </si>
  <si>
    <t>Městečko bezpečí</t>
  </si>
  <si>
    <t>Černá kostka – Centrum digitalizace, vědy a inovací</t>
  </si>
  <si>
    <t>Digitalizace kulturního dědictví Moravskoslezského kraje</t>
  </si>
  <si>
    <t>Nová Horka - centrum tradic a zážitků</t>
  </si>
  <si>
    <t>Novostavba depozitáře Muzeum v Bruntále</t>
  </si>
  <si>
    <t>Rekonstrukce depozitáře Muzea Beskyd Frýdek-Místek</t>
  </si>
  <si>
    <t>Podpora činnosti sekretariátu Regionální stálé konference Moravskoslezského kraje IV</t>
  </si>
  <si>
    <t>Smart akcelerátor MSK</t>
  </si>
  <si>
    <t>Gastro vybavení Domova Březiny v Petřvaldě</t>
  </si>
  <si>
    <t>Podpora (Ne)formální péče v Moravskoslezském kraji</t>
  </si>
  <si>
    <t>Podpora duše III</t>
  </si>
  <si>
    <t>Podpora návazných aktivit sociálních služeb v MSK</t>
  </si>
  <si>
    <t>Podpora služeb sociální prevence 2022+</t>
  </si>
  <si>
    <t>Rozvoj služeb v Ostravě – ul. Dr. Malého</t>
  </si>
  <si>
    <t>Žít normálně II</t>
  </si>
  <si>
    <t>Implementace standardu konektivity, infrastruktury a kyberbezpečnosti ve středních školách v MSK</t>
  </si>
  <si>
    <t>Modernizace výuky přírodovědných předmětů III</t>
  </si>
  <si>
    <t>Modernizace zázemí pro výuku zemědělských a polygrafických oborů na Albrechtově SŠ Český Těšín</t>
  </si>
  <si>
    <t>Novostavba a přístavba objektu dílen a učeben praktického vyučování ve Středním odborném učilišti stavebním Opava</t>
  </si>
  <si>
    <t>Novostavba dílen a venkovní sportoviště pro Střední školu technickou Opava</t>
  </si>
  <si>
    <t>Rozšíření a modernizace výukových prostor na JG PT Ostrava-Poruba</t>
  </si>
  <si>
    <t>TPA – Inovační centrum pro transformaci vzdělávání</t>
  </si>
  <si>
    <t>Digitálně technická mapa Moravskoslezského kraje</t>
  </si>
  <si>
    <t>Obnova vozového parku sanitních vozidel ZZS MSK</t>
  </si>
  <si>
    <t>Výstavba výjezdového stanoviště Nový Jičín</t>
  </si>
  <si>
    <t>Kotlíkové dotace v Moravskoslezském kraji – 4. grantové schéma</t>
  </si>
  <si>
    <t>Rozpočet 2023</t>
  </si>
  <si>
    <t>Příjem z pachtového Průmyslové zóny Nošovice na základě smlouvy 04105/2016/RRC a 08180/2019/IM.</t>
  </si>
  <si>
    <t>Příjmy z umístění bankomatu České spořitelny, a.s. a nápojového automatu společnosti Automaty Kavamat Vending, s.r.o. a v budově krajského úřadu.</t>
  </si>
  <si>
    <t>Příjem z finančního vypořádání mezi kraji, obcemi a dobrovolnými svazky obcí</t>
  </si>
  <si>
    <t>Příjem od obce Hrčava, která vrací nečerpanou dotaci na realizaci projektu "Zlepšení dopravní dostupnosti v oblasti přírodních a kulturních aktivit „Trojmezí"" dle splátkového kalendáře.</t>
  </si>
  <si>
    <t>Příspěvek společnosti Hyundai Motor Manufacturing Czech s.r.o. na zabezpečení úkolů JPO IV - Hasičského záchranného sboru podniku Hyundai Motor Manufacturing Czech s.r.o. na základě smlouvy č. 01865/2008/KH.</t>
  </si>
  <si>
    <t>Dotační program - Podpora provozu venkovských prodejen v Moravskoslezském kraji</t>
  </si>
  <si>
    <t>Investiční přijaté transfery ze státních fondů</t>
  </si>
  <si>
    <t>Investiční přijaté transfery od jiných států</t>
  </si>
  <si>
    <t>Akce</t>
  </si>
  <si>
    <t>ORJ</t>
  </si>
  <si>
    <t>Modernizace výuky informačních technologií III</t>
  </si>
  <si>
    <t>Rekonstrukce JIP neoperačních oborů (Nemocnice ve Frýdku-Místku, příspěvková organizace )</t>
  </si>
  <si>
    <t>Rekonstrukce a modernizace silnice II/478, III/47811 Ostrava, ul. Mitrovická</t>
  </si>
  <si>
    <t>Výstavba domova pro seniory a domova se zvláštním režimem Kopřivnice (Domov pod Bílou horou, příspěvková organizace, Kopřivnice)</t>
  </si>
  <si>
    <t>Pavilon T - stavební úpravy a přístavba odd. onkologie (Slezská nemocnice v Opavě, příspěvková organizace)</t>
  </si>
  <si>
    <t>Výstavba nadzemních koridorů (Slezská nemocnice v Opavě, příspěvková organizace)</t>
  </si>
  <si>
    <t>Rekonstrukce vzletové a přistávací dráhy a navazujících provozních ploch Letiště Leoše Janáčka Ostrava</t>
  </si>
  <si>
    <t>Projekt technické pomoci - Operační program Spravedlivá transformace</t>
  </si>
  <si>
    <t>-</t>
  </si>
  <si>
    <t>Přehled dotačních programů v návrhu rozpočtu kraje na rok 2024</t>
  </si>
  <si>
    <t>Přehled akcí spolufinancovaných z evropských finančních zdrojů v návrhu rozpočtu kraje na rok 2024 včetně závazků kraje vyvolaných pro rok 2025 a další léta</t>
  </si>
  <si>
    <t>Přehled akcí financovaných z úvěrových zdrojů v návrhu rozpočtu kraje na rok 2024</t>
  </si>
  <si>
    <t>Přehled příjmů zařazených v návrhu rozpočtu kraje na rok 2024</t>
  </si>
  <si>
    <t>Graf č. 1 - Rozpočet Moravskoslezského kraje v letech 2020 až 2023, návrh rozpočtu Moravskoslezského kraje na rok 2024</t>
  </si>
  <si>
    <t>Graf č. 2 - Schválený rozpočet příjmů Moravskoslezského kraje v letech 2020 až 2023, návrh rozpočtu příjmů Moravskoslezského kraje na rok 2024 v členění na přijaté dotace, daňové, nedaňové a kapitálové příjmy</t>
  </si>
  <si>
    <t>Přehled akcí financovaných z úvěru České spořitelny, a. s.</t>
  </si>
  <si>
    <t>PŘEHLED DOTAČNÍCH PROGRAMŮ V NÁVRHU ROZPOČTU KRAJE NA ROK 2024 (v tis. Kč)</t>
  </si>
  <si>
    <t>Schválený rozpočet 2023</t>
  </si>
  <si>
    <t>Upravený rozpočet 9/2023</t>
  </si>
  <si>
    <t>Čerpání
k 9/2023</t>
  </si>
  <si>
    <t>Rok 2024</t>
  </si>
  <si>
    <t>% 2024/
SR 2023</t>
  </si>
  <si>
    <t>Dotační programy nezařazené do rozpočtu na rok 2024 (odvětví kultury)</t>
  </si>
  <si>
    <t>Podpora obnovy a rozvoje venkova Moravskoslezského kraje 2024</t>
  </si>
  <si>
    <t>Program na podporu přípravy projektové dokumentace 2024</t>
  </si>
  <si>
    <t>Program na podporu přípravy projektové dokumentace 2022</t>
  </si>
  <si>
    <t>Podpora vědy a výzkumu v Moravskoslezském kraji 2024</t>
  </si>
  <si>
    <t>Podpora vědy a výzkumu v Moravskoslezském kraji 2021</t>
  </si>
  <si>
    <t>Program na podporu stáží žáků a studentů ve firmách 2024</t>
  </si>
  <si>
    <t>Podpora znevýhodněných oblastí Moravskoslezského kraje 2024</t>
  </si>
  <si>
    <t>Dotační programy nezařazené do rozpočtu na rok 2024 (odvětví regionálního rozvoje)</t>
  </si>
  <si>
    <t>Podpora systému destinačního managementu turistických oblastí 2024-2025</t>
  </si>
  <si>
    <t>Podpora systému destinačního managementu turistických oblastí 2023-2024</t>
  </si>
  <si>
    <t>Podpora rozvoje cykloturistiky v Moravskoslezském kraji 2024+</t>
  </si>
  <si>
    <t>Podpora kempování v Moravskoslezském kraji 2024-2025</t>
  </si>
  <si>
    <t>Podpora kempování v Moravskoslezském kraji 2023-2024</t>
  </si>
  <si>
    <t>Dotační programy nezařazené do rozpočtu na rok 2024 (odvětví cestovního ruchu)</t>
  </si>
  <si>
    <t xml:space="preserve">Program na podporu komunitní práce a neinvestičních aktivit z oblasti prevence kriminality </t>
  </si>
  <si>
    <t>Podpora návrhu řešení nakládání s vodami</t>
  </si>
  <si>
    <t>Dotační programy nezařazené do rozpočtu na rok 2024 (odvětví životního prostředí)</t>
  </si>
  <si>
    <t>Rozborové tabulky a grafy k návrhu rozpočtu kraje
na rok 2024</t>
  </si>
  <si>
    <t xml:space="preserve"> PŘEHLED AKCÍ SPOLUFINANCOVANÝCH Z EVROPSKÝCH FINANČNÍCH ZDROJŮ V NÁVRHU ROZPOČTU KRAJE NA ROK 2024
VČETNĚ ZÁVAZKŮ KRAJE VYVOLANÝCH PRO ROK 2025 A DALŠÍ LÉTA (v tis. Kč)             </t>
  </si>
  <si>
    <t>Skutečné výdaje
před r. 2023</t>
  </si>
  <si>
    <t>Předpokl. výdaje
r. 2023</t>
  </si>
  <si>
    <t>Návrh
na rok 2024</t>
  </si>
  <si>
    <t>2027</t>
  </si>
  <si>
    <t>po r. 2027</t>
  </si>
  <si>
    <t>Rekonstrukce a modernizace silnice II/443 Štáblovice – Otice</t>
  </si>
  <si>
    <t>Rekonstrukce a modernizace silnice II/472 Karviná, ul. Borovského</t>
  </si>
  <si>
    <t>Rekonstrukce a modernizace silnice II/478 Šenov ul. Šenovská/Datyňská</t>
  </si>
  <si>
    <t>Rekonstrukce silnic II/445 a II/370 (Rýmařov)</t>
  </si>
  <si>
    <t>Rekonstrukce silnice II/445 Vrbno p. Pradědem – Heřmanovice</t>
  </si>
  <si>
    <t>Silnice II/442 Bohdanovice - Hořejší Kunčice</t>
  </si>
  <si>
    <t>Silnice II/442 Kerhartice - VD Kružberk</t>
  </si>
  <si>
    <t>Silnice III/01129 Opava - Pilszcz</t>
  </si>
  <si>
    <t>Silnice III/05712 – hraniční most ev. č. 05712-2 Držkovice</t>
  </si>
  <si>
    <t>Silnice III/4593 Úvalno - Branice, km 7,194 - 8,239 s vazbou na hraniční přechod PR - Bogdanowice – Włodzienin</t>
  </si>
  <si>
    <t>Celkové výdaje uvedeny jen pro rok 2024.</t>
  </si>
  <si>
    <t xml:space="preserve">Juraj a Ondráš – zbojnické legendy </t>
  </si>
  <si>
    <t>Objevování česko-polského příhraničí</t>
  </si>
  <si>
    <t xml:space="preserve">Restaurování kulturního dědictví Moravskoslezského kraje </t>
  </si>
  <si>
    <t xml:space="preserve">Těšínské divadelní a kulturní centrum </t>
  </si>
  <si>
    <t>Regio SK-CZ</t>
  </si>
  <si>
    <t>Podpora činnosti sekretariátu Regionální stálé konference Moravskoslezského kraje V</t>
  </si>
  <si>
    <t>Technická pomoc – Podpora aktivit v rámci Programu Interreg Česko – Polsko 2021–2027</t>
  </si>
  <si>
    <t>ODVĚTVÍ CESTOVNÍHO RUCHU:</t>
  </si>
  <si>
    <t>Cyrilometodějská stezka - produkt udržitelného cestovního ruchu</t>
  </si>
  <si>
    <t>Cyrilometodějská stezka - putování po stopách Jana Pavla II.</t>
  </si>
  <si>
    <t>Obnova techniky na Jesenické magistrále II</t>
  </si>
  <si>
    <t>Obnova techniky, turistického značení a mobiliáře na Beskydské magistrále</t>
  </si>
  <si>
    <t>ODVĚTVÍ CESTOVNÍHO RUCHU CELKEM</t>
  </si>
  <si>
    <t xml:space="preserve">Chráněné bydlení ul. Karasova v Ostravě </t>
  </si>
  <si>
    <t>Novostavba objektu DZR v Bohumíně</t>
  </si>
  <si>
    <t>Podpora komunitní práce v MSK III</t>
  </si>
  <si>
    <t>Podpora procesu transformace zařízení pro děti a posílení kvality péče o děti se specifickými potřebami</t>
  </si>
  <si>
    <t>Profesionalizace systému péče o ohrožené děti v Moravskoslezském kraji</t>
  </si>
  <si>
    <t>Rekonstrukce a výstavba objektů ve Skotnici</t>
  </si>
  <si>
    <t>Rekonstrukce objektu organizace Nový domov, příspěvková organizace vedoucí k energetickým úsporám</t>
  </si>
  <si>
    <t>Transformace - DOZP a zázemí organizace Opava</t>
  </si>
  <si>
    <t>Výstavba domků pro osoby s atypickými potřebami (Náš svět, Pržno)</t>
  </si>
  <si>
    <t>Výstavba domova se zvláštním režimem (Domov Hortenzie, Frenštát)</t>
  </si>
  <si>
    <t>Akreditovaný projekt mobilit žáků a pracovníků ve školním vzdělávání</t>
  </si>
  <si>
    <t>Energetické úspory Albrechtova střední škola, Český Těšín</t>
  </si>
  <si>
    <t>Implementace Dlouhodobého záměru Moravskoslezského kraje</t>
  </si>
  <si>
    <t>Modernizace Školního statku Opava III</t>
  </si>
  <si>
    <t>Potravinová pomoc dětem v sociální nouzi z prostředků OPZ+ v Moravskoslezském kraji</t>
  </si>
  <si>
    <t>Rozšíření a modernizace prostor speciálně pedagogického centra při Střední škole, Základní škole a Mateřské škole, Karviná, příspěvkové organizaci</t>
  </si>
  <si>
    <t>Rozšíření a modernizace prostor Základní školy a Mateřské školy, Ostrava-Poruba, Ukrajinská 19, příspěvkové organizace</t>
  </si>
  <si>
    <t>Zřízení nového gastrocentra</t>
  </si>
  <si>
    <t>Digitální technická mapa Moravskoslezského kraje II</t>
  </si>
  <si>
    <t>ECOPORTÁL - společně k ekologii</t>
  </si>
  <si>
    <t>IP LIFE for Coal Mining Landscape Adaptation (IP LIFE pro adaptaci pohornické krajiny)</t>
  </si>
  <si>
    <t>Modelová péče o lesní stanoviště a druhy vázané na lesní stanoviště a stromy (LIFE ModelForest)</t>
  </si>
  <si>
    <t>Kotlíkové dotace v Moravskoslezském kraji - 4. grantové schéma</t>
  </si>
  <si>
    <t>Kotlíkové dotace v Moravskoslezském kraji - 5. grantové schéma</t>
  </si>
  <si>
    <t>"UNIFHY - Unifying policies to support the uptake of green hydrogen to decarbonize Europe" - "UNIFHY - Sjednocení politik na podporu zavádění zeleného vodíku k dekarbonizaci Evropy"</t>
  </si>
  <si>
    <t>PŘEHLED PŘÍJMŮ ZAŘAZENÝCH V NÁVRHU ROZPOČTU KRAJE NA ROK 2024 (v tis. Kč)</t>
  </si>
  <si>
    <t>Příjem z poskytování služeb, a výrobků, prací, výkonů a práv</t>
  </si>
  <si>
    <t>Příjmy z poplatků za kopírování.</t>
  </si>
  <si>
    <t>Příjmy z prodeje příkazových bloků.</t>
  </si>
  <si>
    <t>Příjem sankčních plateb přijatých od jiných osob</t>
  </si>
  <si>
    <t>Vratka návratné finanční výpomoci poskytnuté Moravskoslezskému paktu zaměstnanosti, z.s.,  na předfinancování aktivit projektu „TRAUTOM – Kompetence pro 21. století“.</t>
  </si>
  <si>
    <t>Návratné finanční výpomoci u odvětví sociálních věcí poskytnutých z Fondu sociálních služeb.</t>
  </si>
  <si>
    <t>Splátky jistin půjčených prostředků od obcí v rámci Jessica III.</t>
  </si>
  <si>
    <t>Vratka návratné finanční výpomoci poskytnuté obci Trojanovice na financování nákladů spojených s realizací projektu „CÉRKA - Revitalizace areálu Dolu Frenštát - předprojektová příprava, 2. etapa“.</t>
  </si>
  <si>
    <t>Vratky návratných finančních výpomocí poskytnutých příspěvkovým organizacím v odvětví školství na předfinancování podílů státu a evropské unie při realizaci projektů spolufinancovaných z evropských finančních zdrojů.</t>
  </si>
  <si>
    <t>Splátka návratné finanční výpomoci, poskytnuté pro příspěvkovou organizaci na projekt probíhající v roce 2023. K proplácení nákladů projektů  řídícím orgánem dochází dle podmínek čerpání zpětně (ex-post).  Příspěvková organizace vrátí zpět na účet zřizovatele splátku návratné finanční výpomoci v roce 2024.</t>
  </si>
  <si>
    <t>Splátky půjčených prostředků od ostatních zřízených a podobných osob</t>
  </si>
  <si>
    <t>Individuální návratná finanční výpomoc u odvětví sociálních věcí poskytnutá z Fondu sociálních služeb. V případě registrovaných poskytovatelů soc.služeb v období od počátku roku do doby poskytnutí fin.prostředků v rámci dotačního programu z kapitoly 313 - MPSV státního rozpočtu.</t>
  </si>
  <si>
    <t>Splátky půjčených prostředků ze zahraničí</t>
  </si>
  <si>
    <t>Vratka návratné finanční výpomoci poskytnuté Evropskému seskupení pro územní spolupráci TRITIA s omezenou odpovědností na předfinancování projektu „Pojďme se lépe poznat! Posilování jazykových a kulturních kompetencí obyvatel Polska, České republiky a Ukrajiny“.</t>
  </si>
  <si>
    <t>Ostatní investiční příjmy jinde nezařazené</t>
  </si>
  <si>
    <t>Neinvestiční přijaté transfery z všeobecné pokladní správy státního rozpočtu</t>
  </si>
  <si>
    <t>Technická pomoc  - Podpora aktivit v rámci Programu Interreg V-A ČR – PL III</t>
  </si>
  <si>
    <t>Projekt TP - OP Spravedlivá transformace</t>
  </si>
  <si>
    <t>Kotlíkové dotace v Moravskoslezském kraji – 5. grantové schéma</t>
  </si>
  <si>
    <t>Potravinová pomoc dětem v sociální nouzi z prostředků OPZ+ v Moravskoslezském kraji</t>
  </si>
  <si>
    <t>Podpora činnosti sekretariátu a zajištění chodu Regionální stálé konference Moravskoslezského kraje V</t>
  </si>
  <si>
    <t>Dotace z Ministerstva práce a sociálních věcí ČR</t>
  </si>
  <si>
    <t>Dotace z Ministerstva školství, mládeže a tělovýchovy ČR</t>
  </si>
  <si>
    <t>Individuální dotace - Podpora přípravy strategických projektů</t>
  </si>
  <si>
    <t>Technická pomoc - Podpora aktivit v rámci Programu Interreg Česko – Polsko 2021–2027</t>
  </si>
  <si>
    <t>Propagace Moravskoslezského kraje prostřednictvím letecké reklamy</t>
  </si>
  <si>
    <t>Silnice III/4593 Úvalno - Branice, km 6,422 - 8,770 s vazbou na hraniční přechod PR – Niekazanice</t>
  </si>
  <si>
    <t>Dotace z Všeobecné pokladní správy.</t>
  </si>
  <si>
    <t>"NUTSHELL - Strengthening public transport to enhance accessibility in rural central Europe" – „NUTSHELL - Posílení veřejné dopravy pro zlepšení dostupnosti ve venkovských oblastech střední Evropy"</t>
  </si>
  <si>
    <t>Příjem z pronájmu pozemku na základě smlouvy č. 00499/2021/IM.</t>
  </si>
  <si>
    <t>Rozpočet 2024</t>
  </si>
  <si>
    <t xml:space="preserve">PŘEHLED AKCÍ FINANCOVANÝCH Z ÚVĚRU ČESKÉ SPOŘITELNY, a. s. </t>
  </si>
  <si>
    <t>Výdaje financované z úvěru ČS </t>
  </si>
  <si>
    <t>číslo akce</t>
  </si>
  <si>
    <t>odbor</t>
  </si>
  <si>
    <t>AKCE SPOLUFINANCOVANÉ Z EVROPSKÝCH FINANČNÍCH ZDROJŮ REALIZOVANÉ KRAJEM</t>
  </si>
  <si>
    <t>EP</t>
  </si>
  <si>
    <t>;</t>
  </si>
  <si>
    <t>Energetické úspory ve VOŠ zdravotnická Ostrava</t>
  </si>
  <si>
    <t>CELKEM ZA AKCE SPOLUFINANCOVANÉ Z EVROPSKÝCH FINANČNÍCH ZDROJŮ REALIZOVANÉ KRAJEM</t>
  </si>
  <si>
    <t> </t>
  </si>
  <si>
    <t>AKCE SPOLUFINANCOVANÉ Z EVROPSKÝCH FINANČNÍCH ZDROJŮ REALIZOVANÉ PŘÍSPĚVKOVÝMI ORGANIZACEMI KRAJE</t>
  </si>
  <si>
    <t>ZDR</t>
  </si>
  <si>
    <t>CELKEM ZA AKCE SPOLUFINANCOVANÉ Z EVROPSKÝCH FINANČNÍCH ZDROJŮ REALIZOVANÉ PŘÍSPĚVKOVÝMI ORGANIZACEMI KRAJE</t>
  </si>
  <si>
    <t>DSH</t>
  </si>
  <si>
    <t>Rekonstrukce mostu ev. č. 4804-2 Košatka (Správa silnic Moravskoslezského kraje, příspěvková organizace, Ostrava)</t>
  </si>
  <si>
    <t>IM</t>
  </si>
  <si>
    <t>Zámek Bruntál - revitalizace objektu (Muzeum v Bruntále, příspěvková organizace)</t>
  </si>
  <si>
    <t>Zámek Nová Horka - dobudování infrastruktury a zázemí (Muzeum Novojičínska, příspěvková organizace)</t>
  </si>
  <si>
    <t xml:space="preserve">Nákup budovy a pozemků ve Skotnici (Domov NaNovo, příspěvková organizace) </t>
  </si>
  <si>
    <t>Stavební úpravy budovy na ul. Rybářská 27 (Domov Bílá Opava, příspěvková organizace)</t>
  </si>
  <si>
    <t>Dům pro volnočasové aktivity seniorů se zahradním parterem (Domov Letokruhy, příspěvková organizace, Budišov nad Budišovkou)</t>
  </si>
  <si>
    <t>Nákup budov a pozemků v Opavě (Sírius, příspěvková organizace, Opava)</t>
  </si>
  <si>
    <t>Výstavba domova pro seniory a domova se zvláštním režimem Kopřivnice</t>
  </si>
  <si>
    <t>Rekonstrukce elektroinstalace (Mendelovo gymnázium, Opava, příspěvková organizace)</t>
  </si>
  <si>
    <t>Demolice budov a výstavba sportoviště (Střední průmyslová škola a Obchodní akademie, Bruntál,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</si>
  <si>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</si>
  <si>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</si>
  <si>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cvičné kuchyně v prostorách Tyršova 34, Opava (Střední škola hotelnictví a služeb a Vyšší odborná škola, Opava, příspěvková organizace)</t>
  </si>
  <si>
    <t>Stavební úpravy tělocvičny (Střední škola průmyslová, Krnov, příspěvková organiazce)</t>
  </si>
  <si>
    <t>Rekonstrukce prostor dílen (Střední průmyslová škola, Ostrava-Vítkovice, příspěvková organizace)</t>
  </si>
  <si>
    <t>Oprava izolačních vrstev střešního pláště (Střední škola prof. Zdeňka Matějčka, Ostrava-Poruba, příspěvková organizace)</t>
  </si>
  <si>
    <t>Sportovní areál na ul. Komenského, Opava (Mendelovo gymnázium, Opava, příspěvková organizace)</t>
  </si>
  <si>
    <t>Vybudování dílen pro praktické vyučování (Střední odborná škola, Frýdek-Místek, příspěvková organizace)</t>
  </si>
  <si>
    <t>Rekonstrukce objektů Polského gymnázia (Polské gymnázium - Polskie Gimnazjum im. Juliusza Słowackiego, Český Těšín, příspěvková organizace)</t>
  </si>
  <si>
    <t>IM, ŠMS</t>
  </si>
  <si>
    <t>Vybavení rekonstruovaných objektů Polského gymnázia (Polské gymnázium - Polskie Gimnazjum im. Juliusza Słowackiego, Český Těšín, příspěvková organizace)</t>
  </si>
  <si>
    <t xml:space="preserve"> ŠMS</t>
  </si>
  <si>
    <t>Rekonstrukce objektu na ul. B. Němcové, Opava (Střední odborné učiliště stavební, Opava, příspěvková organizace)</t>
  </si>
  <si>
    <t>Rekonstrukce školní kuchyně a výdejny (Základní škola, Ostrava - Poruba, Čkalovova 942, příspěvková organizace)</t>
  </si>
  <si>
    <t>Rekonstrukce střechy budov dílen (Střední průmyslová škola, Ostrava - Vítkovice, příspěvková organizace)</t>
  </si>
  <si>
    <t>Úpravy venkovních ploch (Mateřská školka Klíček, Karviná-Hranice, Einsteinova 2849, příspěvková organizace)</t>
  </si>
  <si>
    <t>Rekonstrukce venkovního sportovního areálu (Střední průmyslová škola, Ostrava-Vítkovice, příspěvková organizace)</t>
  </si>
  <si>
    <t>Oprava krovů a střešního pláště budov školního statku (Školní statek, Opava, příspěvková organizace)</t>
  </si>
  <si>
    <t>Výměna rozvodů vody a kanalizace (Střední průmyslová škola chemická akademika Heyrovského, Ostrava, příspěvková organizace)</t>
  </si>
  <si>
    <t>Rekonstrukce a modernizace varny (Střední průmyslová škola chemická akademika Heyrovského, Ostrava, příspěvková organizace)</t>
  </si>
  <si>
    <t>Pavilon F - stavební úpravy 1.NP pro rehabilitaci (Slezská nemocnice v Opavě, příspěvková organizace)</t>
  </si>
  <si>
    <t>Výstavba operačních sálů a dospávacího pokoje (Nemocnice s poliklinikou Karviná-Ráj, příspěvková organizace)</t>
  </si>
  <si>
    <t>Pavilon H - stavební úpravy a přístavba (Slezská nemocnice v Opavě, příspěvková organizace)</t>
  </si>
  <si>
    <t>Rekonstrukce hemodialýzy v budově S (Nemocnice ve Frýdku-Místku, příspěvková organizace)</t>
  </si>
  <si>
    <t>Rekonstrukce podkroví (Odborný léčebný ústav Metylovice - Moravskoslezské sanatorium, příspěvková organizace)</t>
  </si>
  <si>
    <t>Domov sester - přístavba výtahu a stavební úpravy (Slezská nemocnice v Opavě, příspěvková organizace)</t>
  </si>
  <si>
    <t>Nemocnice Havířov - ČOV (Nemocnice Havířov, příspěvková organizace)</t>
  </si>
  <si>
    <t>Adaptace budovy na spisovnu (Slezská nemocnice v Opavě, příspěvková organizace)</t>
  </si>
  <si>
    <t>Rekonstrukce dětského oddělení vč. DIP (Nemocnice ve Frýdku Místku, příspěvková organizace)</t>
  </si>
  <si>
    <t>Šatny pro zaměstnance v 1.PP budovy PCHO (Nemocnice ve Frýdku Místku, příspěvková organizace)</t>
  </si>
  <si>
    <t>Rozvoj a modernizace pracovišť navazujících na urgentní příjem Slezské nemocnice v Opavě (Slezská nemocnice v Opavě, příspěvková organizace)</t>
  </si>
  <si>
    <t>Pavilon O - Instalace systému výměny vzduchu (Slezská nemocnice v Opavě, příspěvková organizace)</t>
  </si>
  <si>
    <t>Výdaje financované z úvěru ČS</t>
  </si>
  <si>
    <r>
      <t>Pavilon W - stavební úpravy a přístavba</t>
    </r>
    <r>
      <rPr>
        <sz val="8"/>
        <color rgb="FFFF0000"/>
        <rFont val="Tahoma"/>
        <family val="2"/>
        <charset val="238"/>
      </rPr>
      <t xml:space="preserve"> </t>
    </r>
    <r>
      <rPr>
        <sz val="8"/>
        <color rgb="FF000000"/>
        <rFont val="Tahoma"/>
        <family val="2"/>
        <charset val="238"/>
      </rPr>
      <t xml:space="preserve"> (Slezská nemocnice v Opavě, příspěvková organizace) </t>
    </r>
  </si>
  <si>
    <t>PŘEHLED AKCÍ FINANCOVANÝCH Z ÚVĚROVÝCH ZDROJŮ V NÁVRHU ROZPOČTU KRAJE NA ROK 2024</t>
  </si>
  <si>
    <t>Návrh výdajů
na rok 2024 
celkem</t>
  </si>
  <si>
    <t>Návrh příjmů
na rok 2024</t>
  </si>
  <si>
    <t>UCB splátka úvěru</t>
  </si>
  <si>
    <t>ODVĚTVÍ KRIZOVÉ ŘÍZENÍ:</t>
  </si>
  <si>
    <t>ODVĚTVÍ KRIZOVÉ ŘÍZENÍ CELKEM</t>
  </si>
  <si>
    <t>x</t>
  </si>
  <si>
    <t>Těšínské divadelní a kulturní centrum</t>
  </si>
  <si>
    <t xml:space="preserve">Digitalizace kulturního dědictví Moravskoslezského kraje </t>
  </si>
  <si>
    <t>Výstavba výjezdového stanoviště v Novém Jičíně</t>
  </si>
  <si>
    <t xml:space="preserve">Zámek Bruntál - revitalizace objektu </t>
  </si>
  <si>
    <t>Výstavba sportovní haly pro Gymnázium a SPŠEI ve Frenštátě pod Radhoštěm</t>
  </si>
  <si>
    <t>Odvětví</t>
  </si>
  <si>
    <t>Číslo akce</t>
  </si>
  <si>
    <t>Moravskoslezské Investice a Development, a.s.</t>
  </si>
  <si>
    <t>doprava</t>
  </si>
  <si>
    <t>Ostatní výdaje v odvětví dopravy</t>
  </si>
  <si>
    <t xml:space="preserve">Poradenství související s koncepcí železniční infrastruktury v Moravskoslezském kraji. </t>
  </si>
  <si>
    <t>chytrý region</t>
  </si>
  <si>
    <t>EPCH</t>
  </si>
  <si>
    <t>Smart region</t>
  </si>
  <si>
    <t>prezentace kraje</t>
  </si>
  <si>
    <t>KH</t>
  </si>
  <si>
    <t xml:space="preserve">Realizace komunikační strategie </t>
  </si>
  <si>
    <t>Zajištění komunikačních kampaní Velký Mošnov a Transformace Pohornické krajiny.</t>
  </si>
  <si>
    <t>regionální rozvoj</t>
  </si>
  <si>
    <t>RRC</t>
  </si>
  <si>
    <t>Aktivity zajišťované MSID na základě rámcové smlouvy</t>
  </si>
  <si>
    <t>Aktivity na základě Rámcové smlouvy o spolupráci při realizaci některých činností regionálního rozvoje mezi Moravskoslezským krajem a společností Moravskoslezské Investice a Development, a.s.</t>
  </si>
  <si>
    <t>1890 (1142)</t>
  </si>
  <si>
    <t>ID - Podpora přípravy strategických projektů</t>
  </si>
  <si>
    <t>3. splátky dotací na předprojektovou přípravu spojenou s realizací projektů "Industriální park Jan-Karel" a "Industriální park Lazy".</t>
  </si>
  <si>
    <t>životní prostředí</t>
  </si>
  <si>
    <t>Dotace v rámci projektu spolufinancovaného z Komunitárního programu LIFE.</t>
  </si>
  <si>
    <t>Moravskoslezské inovační centrum Ostrava, a.s.</t>
  </si>
  <si>
    <t>1887 (1132)</t>
  </si>
  <si>
    <t>ID - Spolufinancování provozu Moravskoslezského inovačního centra Ostrava, a.s.</t>
  </si>
  <si>
    <t>Dotace dle Smlouvy o poskytnutí vyrovnávací platby za poskytování služeb v obecném hospodářském zájmu (SGEI).</t>
  </si>
  <si>
    <t xml:space="preserve">Letiště Ostrava, a. s. </t>
  </si>
  <si>
    <t>16</t>
  </si>
  <si>
    <t>1866 (1610)</t>
  </si>
  <si>
    <t>ID - Zajištění hasičské záchranné služby, bezpečnosti a ostrahy letiště</t>
  </si>
  <si>
    <t>Dotace na zajištění bezpečnosti v oblasti hasičské záchranné služby, bezpečnostní kontroly a ostrahy letiště.</t>
  </si>
  <si>
    <t>1620</t>
  </si>
  <si>
    <t>Rozvoj Letiště Leoše Janáčka Ostrava</t>
  </si>
  <si>
    <t>Financování pravidelné letecké linky Ostrava – Varšava, marketingové služby a poradenství s tím související, jakož i rozvoj dalších leteckých linek a jejich financování prostřednictvím testu soukromého investora.</t>
  </si>
  <si>
    <t>7</t>
  </si>
  <si>
    <t>4081</t>
  </si>
  <si>
    <t>Výstavba odbavovací plochy pro odbavení nákladových letadel.</t>
  </si>
  <si>
    <t>5954</t>
  </si>
  <si>
    <t xml:space="preserve">Rekonstrukce vzletové a přistávací dráhy a navazujících provozních ploch Letiště Leoše Janáčka Ostrava </t>
  </si>
  <si>
    <t>Rekonstrukce vzletové a přistávací dráhy a navazujících provozních ploch letiště dle parametrů stanovených leteckými předpisy.</t>
  </si>
  <si>
    <t>Letiště Leoše Janáčka Ostrava, ostatní reprodukce majetku kraje</t>
  </si>
  <si>
    <t>Financování nezbytných oprav velkého rozsahu nebo technického zhodnocení majetku či řešení havarijních stavů v areálu letiště souvisejících se zajištěním jeho provozu a rozvoje.</t>
  </si>
  <si>
    <t>krizové řízení</t>
  </si>
  <si>
    <t>1</t>
  </si>
  <si>
    <t>1877 (0155)</t>
  </si>
  <si>
    <t>ID - Příspěvek na zabezpečení úkolů jednotek požární ochrany v rámci veřejné služby</t>
  </si>
  <si>
    <t xml:space="preserve">Závazek vykonávat pro Moravskoslezský kraj v závazku veřejné služby veřejnou službu s dopadem na území obcí Mošnov, Albrechtičky, Skotnice, Sedlnice a Petřvald. </t>
  </si>
  <si>
    <t>cestovní ruch</t>
  </si>
  <si>
    <t>1127</t>
  </si>
  <si>
    <t>Propagace Moravskoslezského kraje na Letišti Leoše Janáčka Ostrava</t>
  </si>
  <si>
    <t>Úhrada nájemného za užívání ploch na Letišti Leoše Janáčka Ostrava a prostředky určené na grafiku, která je umisťována na propagační plochy za účelem prezentace a propagace nejvýznamnějších turistických zajímavostí Moravskoslezského kraje.</t>
  </si>
  <si>
    <t xml:space="preserve">Příspěvek na provoz v odvětví chytrého regionu - příspěvkové organizace kraje </t>
  </si>
  <si>
    <t>Neinvestiční příspěvek zřizovatele. Výdaj je přímou povinností kraje a zásadním příspěvkem na běžnou činnost.</t>
  </si>
  <si>
    <t>Centrum veřejných energetiků</t>
  </si>
  <si>
    <t>Prostředky na kofinancování strategického projektu Centrum veřejných energetiků realizovaného příspěvkovou organizací.</t>
  </si>
  <si>
    <t>Návratná finanční výpomoc příspěvkovým organizacím v odvětví chytrého regionu</t>
  </si>
  <si>
    <t>Prostředky na předfinancování evropského podílu u strategického projektu Centrum veřejných energetiků realizovaného příspěvkovou organizací.</t>
  </si>
  <si>
    <t>Reprodukce majetku kraje</t>
  </si>
  <si>
    <t xml:space="preserve">Pořízení notebooku pro práci s mapovými podklady při realizaci projektu Digitální technická mapa Moravskoslezského kraje. </t>
  </si>
  <si>
    <t>Vysokorychlostní datová síť</t>
  </si>
  <si>
    <t>Postupné vybudováním páteřní optické sítě s propojením sedmi krajských nemocnic s krajským úřadem v souvislosti se zajištěním kybernetické bezpečnosti nemocnic MSK.</t>
  </si>
  <si>
    <t>zdravotnictví</t>
  </si>
  <si>
    <t>EPCH
ZDR</t>
  </si>
  <si>
    <t xml:space="preserve">Kybernetická bezpečnost - příspěvkové organizace kraje </t>
  </si>
  <si>
    <t xml:space="preserve">Zajištění implementace systému řízení bezpečnosti informací a poskytování služeb dohledového centra. </t>
  </si>
  <si>
    <t>Moravskoslezské Investice a Development, a.s., celkem</t>
  </si>
  <si>
    <t>Moravskoslezské inovační centrum Ostrava, a.s., celkem</t>
  </si>
  <si>
    <t>Letiště Ostrava, a. s., celkem</t>
  </si>
  <si>
    <t>Moravskoslezské energetické centrum, příspěvková organizace, Ostrava</t>
  </si>
  <si>
    <t>Moravskoslezské datové centrum, příspěvková organizace, Ostrava</t>
  </si>
  <si>
    <t>Moravskoslezské energetické centrum, příspěvková organizace, Ostrava, celkem</t>
  </si>
  <si>
    <t>Moravskoslezské datové centrum, příspěvková organizace, Ostrava, celkem</t>
  </si>
  <si>
    <t>Výdaje na expertní služby na POHOPark, strojírenský veletrh.</t>
  </si>
  <si>
    <t>Schválený rozpočet - státní dotace</t>
  </si>
  <si>
    <t>Samosprávné činnosti</t>
  </si>
  <si>
    <t>Samosprávné činnosti - státní dotace</t>
  </si>
  <si>
    <t>Ostatní přijaté dotace - státní dotace</t>
  </si>
  <si>
    <t>Graf č. 3 - Struktura návrhu rozpočtu Moravskoslezského kraje na rok 2024 - VÝDAJE</t>
  </si>
  <si>
    <t>Graf č. 4 - Struktura návrhu rozpočtu Moravskoslezského kraje na rok 2024 - Objemy výdajů na akce spolufinancované z evropských finančních zdrojů pro rok 2024 v členění dle odvětví</t>
  </si>
  <si>
    <t>Přehled financování vybraných (tzv. průřezových) organizací</t>
  </si>
  <si>
    <t>PŘEHLED FINANCOVÁNÍ VYBRANÝCH (TZV. PRŮŘEZOVÝCH) ORGANIZACÍ KRAJE</t>
  </si>
  <si>
    <t>z toho financováno z nového úvěru 
UCB</t>
  </si>
  <si>
    <t>UCB splátka  nového úvěru</t>
  </si>
  <si>
    <t>Snížení energetické náročnosti budov Slezské nemocnice v Opavě využitím OZE a KVET u hlavních budov (Slezská nemocnice v Opavě, příspěvková organizace)</t>
  </si>
  <si>
    <t>Snížení energetické náročnosti budov Slezské nemocnice v Opavě využitím OZE u vedlejších budov (Slezská nemocnice v Opavě, příspěvková organizace)</t>
  </si>
  <si>
    <t>"NUTSHELL-Strengthening public transport to enhance accessibility in rural central Europe" – "NUTSHELL-Posílení veřejné dopravy pro zlepšení dostupnosti ve venkovských oblastech střední Evropy"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</si>
</sst>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"/>
    <numFmt numFmtId="166" formatCode="0.00000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8"/>
      <color indexed="51"/>
      <name val="Tahoma"/>
      <family val="2"/>
      <charset val="238"/>
    </font>
    <font>
      <b/>
      <sz val="8"/>
      <color indexed="10"/>
      <name val="Tahoma"/>
      <family val="2"/>
      <charset val="238"/>
    </font>
    <font>
      <b/>
      <sz val="10"/>
      <name val="Arial"/>
      <family val="2"/>
      <charset val="238"/>
    </font>
    <font>
      <sz val="8"/>
      <color indexed="10"/>
      <name val="Tahoma"/>
      <family val="2"/>
      <charset val="238"/>
    </font>
    <font>
      <sz val="9"/>
      <name val="Tahoma"/>
      <family val="2"/>
      <charset val="238"/>
    </font>
    <font>
      <sz val="12"/>
      <name val="Times New Roman"/>
      <family val="1"/>
    </font>
    <font>
      <b/>
      <sz val="16"/>
      <name val="Tahoma"/>
      <family val="2"/>
      <charset val="238"/>
    </font>
    <font>
      <b/>
      <sz val="14"/>
      <name val="Tahoma"/>
      <family val="2"/>
      <charset val="238"/>
    </font>
    <font>
      <sz val="14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Tahoma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2"/>
      <color indexed="12"/>
      <name val="Times New Roman CE"/>
      <family val="1"/>
      <charset val="238"/>
    </font>
    <font>
      <sz val="12"/>
      <color indexed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rgb="FFFF0000"/>
      <name val="Tahoma"/>
      <family val="2"/>
      <charset val="238"/>
    </font>
    <font>
      <sz val="8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8"/>
      <color indexed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12"/>
      <color rgb="FFFF0000"/>
      <name val="Times New Roman CE"/>
      <charset val="238"/>
    </font>
    <font>
      <sz val="12"/>
      <color rgb="FFFF0000"/>
      <name val="Tahoma"/>
      <family val="2"/>
      <charset val="238"/>
    </font>
    <font>
      <sz val="10"/>
      <color rgb="FF0070C0"/>
      <name val="Tahoma"/>
      <family val="2"/>
      <charset val="238"/>
    </font>
    <font>
      <sz val="12"/>
      <color rgb="FFFF0000"/>
      <name val="Times New Roman CE"/>
      <family val="1"/>
      <charset val="238"/>
    </font>
    <font>
      <b/>
      <sz val="8"/>
      <color theme="4"/>
      <name val="Tahoma"/>
      <family val="2"/>
      <charset val="238"/>
    </font>
    <font>
      <sz val="8"/>
      <color theme="4"/>
      <name val="Tahoma"/>
      <family val="2"/>
      <charset val="238"/>
    </font>
    <font>
      <sz val="9"/>
      <color theme="1"/>
      <name val="Tahoma"/>
      <family val="2"/>
      <charset val="238"/>
    </font>
    <font>
      <b/>
      <sz val="9"/>
      <color indexed="8"/>
      <name val="Tahoma"/>
      <family val="2"/>
      <charset val="238"/>
    </font>
    <font>
      <b/>
      <sz val="12"/>
      <color theme="4"/>
      <name val="Tahoma"/>
      <family val="2"/>
      <charset val="238"/>
    </font>
    <font>
      <sz val="10"/>
      <color theme="4"/>
      <name val="Tahoma"/>
      <family val="2"/>
      <charset val="238"/>
    </font>
    <font>
      <sz val="11"/>
      <color theme="4"/>
      <name val="Calibri"/>
      <family val="2"/>
      <charset val="238"/>
      <scheme val="minor"/>
    </font>
    <font>
      <b/>
      <sz val="10"/>
      <color theme="4"/>
      <name val="Arial CE"/>
      <charset val="238"/>
    </font>
    <font>
      <sz val="10"/>
      <color theme="4"/>
      <name val="Arial CE"/>
      <charset val="238"/>
    </font>
    <font>
      <sz val="10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Tahoma"/>
      <family val="2"/>
      <charset val="238"/>
    </font>
    <font>
      <b/>
      <sz val="12"/>
      <color theme="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4" fillId="0" borderId="0"/>
    <xf numFmtId="0" fontId="24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4" fillId="0" borderId="0"/>
    <xf numFmtId="0" fontId="37" fillId="0" borderId="0"/>
    <xf numFmtId="0" fontId="1" fillId="0" borderId="0">
      <alignment wrapText="1"/>
    </xf>
    <xf numFmtId="0" fontId="37" fillId="0" borderId="0"/>
    <xf numFmtId="0" fontId="37" fillId="0" borderId="0"/>
    <xf numFmtId="0" fontId="1" fillId="0" borderId="0">
      <alignment wrapText="1"/>
    </xf>
  </cellStyleXfs>
  <cellXfs count="634">
    <xf numFmtId="0" fontId="0" fillId="0" borderId="0" xfId="0"/>
    <xf numFmtId="0" fontId="4" fillId="0" borderId="0" xfId="1" applyFont="1"/>
    <xf numFmtId="0" fontId="5" fillId="2" borderId="1" xfId="1" applyFont="1" applyFill="1" applyBorder="1" applyAlignment="1">
      <alignment horizont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6" fillId="0" borderId="0" xfId="1" applyFont="1"/>
    <xf numFmtId="0" fontId="4" fillId="0" borderId="5" xfId="1" applyFont="1" applyBorder="1" applyAlignment="1">
      <alignment vertical="center" wrapText="1"/>
    </xf>
    <xf numFmtId="3" fontId="4" fillId="2" borderId="6" xfId="1" applyNumberFormat="1" applyFont="1" applyFill="1" applyBorder="1" applyAlignment="1">
      <alignment vertical="center" wrapText="1"/>
    </xf>
    <xf numFmtId="164" fontId="4" fillId="0" borderId="7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3" fontId="5" fillId="2" borderId="6" xfId="1" applyNumberFormat="1" applyFont="1" applyFill="1" applyBorder="1" applyAlignment="1">
      <alignment vertical="center" wrapText="1"/>
    </xf>
    <xf numFmtId="164" fontId="5" fillId="0" borderId="7" xfId="1" applyNumberFormat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 wrapText="1"/>
    </xf>
    <xf numFmtId="3" fontId="4" fillId="0" borderId="6" xfId="1" applyNumberFormat="1" applyFont="1" applyBorder="1" applyAlignment="1">
      <alignment vertical="center" wrapText="1"/>
    </xf>
    <xf numFmtId="0" fontId="4" fillId="0" borderId="6" xfId="1" applyFont="1" applyBorder="1" applyAlignment="1">
      <alignment vertical="center"/>
    </xf>
    <xf numFmtId="3" fontId="5" fillId="2" borderId="11" xfId="1" applyNumberFormat="1" applyFont="1" applyFill="1" applyBorder="1" applyAlignment="1">
      <alignment vertical="center" wrapText="1"/>
    </xf>
    <xf numFmtId="164" fontId="5" fillId="2" borderId="12" xfId="1" applyNumberFormat="1" applyFont="1" applyFill="1" applyBorder="1" applyAlignment="1">
      <alignment vertical="center"/>
    </xf>
    <xf numFmtId="0" fontId="4" fillId="3" borderId="0" xfId="1" applyFont="1" applyFill="1"/>
    <xf numFmtId="0" fontId="5" fillId="0" borderId="0" xfId="1" applyFont="1" applyAlignment="1">
      <alignment horizontal="left" vertical="center"/>
    </xf>
    <xf numFmtId="4" fontId="5" fillId="0" borderId="0" xfId="1" applyNumberFormat="1" applyFont="1" applyAlignment="1">
      <alignment vertical="center" wrapText="1"/>
    </xf>
    <xf numFmtId="4" fontId="7" fillId="0" borderId="0" xfId="1" applyNumberFormat="1" applyFont="1" applyAlignment="1">
      <alignment vertical="center" wrapText="1"/>
    </xf>
    <xf numFmtId="4" fontId="5" fillId="0" borderId="0" xfId="1" applyNumberFormat="1" applyFont="1" applyAlignment="1">
      <alignment vertical="center"/>
    </xf>
    <xf numFmtId="0" fontId="1" fillId="0" borderId="0" xfId="1"/>
    <xf numFmtId="0" fontId="9" fillId="0" borderId="0" xfId="1" applyFont="1" applyAlignment="1">
      <alignment vertical="center"/>
    </xf>
    <xf numFmtId="0" fontId="10" fillId="0" borderId="0" xfId="1" applyFont="1"/>
    <xf numFmtId="0" fontId="11" fillId="0" borderId="0" xfId="1" applyFont="1"/>
    <xf numFmtId="0" fontId="13" fillId="0" borderId="0" xfId="1" applyFont="1"/>
    <xf numFmtId="0" fontId="14" fillId="0" borderId="0" xfId="1" applyFont="1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right"/>
    </xf>
    <xf numFmtId="0" fontId="15" fillId="0" borderId="0" xfId="1" applyFont="1"/>
    <xf numFmtId="0" fontId="15" fillId="0" borderId="0" xfId="3" applyFont="1" applyAlignment="1">
      <alignment vertical="center"/>
    </xf>
    <xf numFmtId="4" fontId="5" fillId="0" borderId="0" xfId="3" applyNumberFormat="1" applyFont="1" applyAlignment="1">
      <alignment horizontal="right" vertical="center"/>
    </xf>
    <xf numFmtId="49" fontId="5" fillId="2" borderId="6" xfId="4" applyNumberFormat="1" applyFont="1" applyFill="1" applyBorder="1" applyAlignment="1">
      <alignment horizontal="center"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3" fontId="4" fillId="2" borderId="6" xfId="3" applyNumberFormat="1" applyFont="1" applyFill="1" applyBorder="1" applyAlignment="1">
      <alignment horizontal="right" vertical="center"/>
    </xf>
    <xf numFmtId="3" fontId="5" fillId="2" borderId="6" xfId="3" applyNumberFormat="1" applyFont="1" applyFill="1" applyBorder="1" applyAlignment="1">
      <alignment vertical="center" wrapText="1"/>
    </xf>
    <xf numFmtId="0" fontId="4" fillId="2" borderId="7" xfId="3" applyFont="1" applyFill="1" applyBorder="1" applyAlignment="1">
      <alignment horizontal="justify" vertical="center"/>
    </xf>
    <xf numFmtId="3" fontId="5" fillId="2" borderId="16" xfId="3" applyNumberFormat="1" applyFont="1" applyFill="1" applyBorder="1" applyAlignment="1">
      <alignment vertical="center" wrapText="1"/>
    </xf>
    <xf numFmtId="49" fontId="4" fillId="2" borderId="17" xfId="3" applyNumberFormat="1" applyFont="1" applyFill="1" applyBorder="1" applyAlignment="1">
      <alignment horizontal="justify" vertical="center"/>
    </xf>
    <xf numFmtId="0" fontId="17" fillId="0" borderId="0" xfId="0" applyFont="1"/>
    <xf numFmtId="3" fontId="4" fillId="4" borderId="6" xfId="0" applyNumberFormat="1" applyFont="1" applyFill="1" applyBorder="1" applyAlignment="1">
      <alignment vertical="center"/>
    </xf>
    <xf numFmtId="3" fontId="24" fillId="0" borderId="0" xfId="8" applyNumberFormat="1"/>
    <xf numFmtId="3" fontId="24" fillId="0" borderId="0" xfId="8" applyNumberFormat="1" applyAlignment="1">
      <alignment horizontal="center"/>
    </xf>
    <xf numFmtId="3" fontId="25" fillId="0" borderId="0" xfId="8" applyNumberFormat="1" applyFont="1" applyAlignment="1">
      <alignment horizontal="center"/>
    </xf>
    <xf numFmtId="3" fontId="26" fillId="0" borderId="0" xfId="8" applyNumberFormat="1" applyFont="1"/>
    <xf numFmtId="3" fontId="25" fillId="0" borderId="6" xfId="8" applyNumberFormat="1" applyFont="1" applyBorder="1" applyAlignment="1">
      <alignment horizontal="center"/>
    </xf>
    <xf numFmtId="3" fontId="26" fillId="0" borderId="6" xfId="8" applyNumberFormat="1" applyFont="1" applyBorder="1"/>
    <xf numFmtId="49" fontId="26" fillId="0" borderId="6" xfId="8" applyNumberFormat="1" applyFont="1" applyBorder="1" applyAlignment="1">
      <alignment horizontal="center"/>
    </xf>
    <xf numFmtId="3" fontId="25" fillId="0" borderId="0" xfId="8" applyNumberFormat="1" applyFont="1"/>
    <xf numFmtId="49" fontId="26" fillId="0" borderId="6" xfId="8" applyNumberFormat="1" applyFont="1" applyBorder="1"/>
    <xf numFmtId="3" fontId="24" fillId="0" borderId="0" xfId="8" applyNumberFormat="1" applyAlignment="1">
      <alignment horizontal="right"/>
    </xf>
    <xf numFmtId="3" fontId="27" fillId="0" borderId="0" xfId="8" applyNumberFormat="1" applyFont="1"/>
    <xf numFmtId="3" fontId="27" fillId="0" borderId="0" xfId="8" applyNumberFormat="1" applyFont="1" applyAlignment="1">
      <alignment horizontal="center"/>
    </xf>
    <xf numFmtId="3" fontId="28" fillId="0" borderId="0" xfId="8" applyNumberFormat="1" applyFont="1"/>
    <xf numFmtId="3" fontId="24" fillId="0" borderId="6" xfId="8" applyNumberFormat="1" applyBorder="1"/>
    <xf numFmtId="3" fontId="27" fillId="0" borderId="6" xfId="8" applyNumberFormat="1" applyFont="1" applyBorder="1" applyAlignment="1">
      <alignment horizontal="center"/>
    </xf>
    <xf numFmtId="3" fontId="24" fillId="0" borderId="6" xfId="8" applyNumberFormat="1" applyBorder="1" applyAlignment="1">
      <alignment horizontal="center"/>
    </xf>
    <xf numFmtId="3" fontId="28" fillId="5" borderId="6" xfId="8" applyNumberFormat="1" applyFont="1" applyFill="1" applyBorder="1"/>
    <xf numFmtId="3" fontId="28" fillId="0" borderId="6" xfId="8" applyNumberFormat="1" applyFont="1" applyBorder="1"/>
    <xf numFmtId="3" fontId="24" fillId="6" borderId="6" xfId="8" applyNumberFormat="1" applyFill="1" applyBorder="1"/>
    <xf numFmtId="49" fontId="28" fillId="0" borderId="6" xfId="8" applyNumberFormat="1" applyFont="1" applyBorder="1" applyAlignment="1">
      <alignment horizontal="center"/>
    </xf>
    <xf numFmtId="0" fontId="24" fillId="0" borderId="0" xfId="8"/>
    <xf numFmtId="3" fontId="29" fillId="6" borderId="6" xfId="8" applyNumberFormat="1" applyFont="1" applyFill="1" applyBorder="1"/>
    <xf numFmtId="3" fontId="29" fillId="0" borderId="6" xfId="8" applyNumberFormat="1" applyFont="1" applyBorder="1"/>
    <xf numFmtId="3" fontId="28" fillId="0" borderId="6" xfId="9" applyNumberFormat="1" applyFont="1" applyBorder="1" applyAlignment="1">
      <alignment horizontal="right" vertical="center"/>
    </xf>
    <xf numFmtId="0" fontId="28" fillId="0" borderId="6" xfId="9" applyFont="1" applyBorder="1" applyAlignment="1">
      <alignment vertical="center"/>
    </xf>
    <xf numFmtId="3" fontId="11" fillId="0" borderId="6" xfId="8" applyNumberFormat="1" applyFont="1" applyBorder="1" applyAlignment="1">
      <alignment horizontal="right"/>
    </xf>
    <xf numFmtId="3" fontId="30" fillId="0" borderId="6" xfId="9" applyNumberFormat="1" applyFont="1" applyBorder="1" applyAlignment="1">
      <alignment horizontal="right"/>
    </xf>
    <xf numFmtId="3" fontId="30" fillId="0" borderId="6" xfId="9" applyNumberFormat="1" applyFont="1" applyBorder="1"/>
    <xf numFmtId="0" fontId="30" fillId="0" borderId="6" xfId="9" applyFont="1" applyBorder="1"/>
    <xf numFmtId="0" fontId="30" fillId="0" borderId="6" xfId="9" applyFont="1" applyBorder="1" applyAlignment="1">
      <alignment horizontal="right"/>
    </xf>
    <xf numFmtId="0" fontId="29" fillId="6" borderId="6" xfId="8" applyFont="1" applyFill="1" applyBorder="1" applyAlignment="1">
      <alignment horizontal="center"/>
    </xf>
    <xf numFmtId="0" fontId="29" fillId="0" borderId="6" xfId="8" applyFont="1" applyBorder="1" applyAlignment="1">
      <alignment horizontal="center"/>
    </xf>
    <xf numFmtId="0" fontId="28" fillId="0" borderId="22" xfId="8" applyFont="1" applyBorder="1" applyAlignment="1">
      <alignment horizontal="center"/>
    </xf>
    <xf numFmtId="0" fontId="24" fillId="0" borderId="22" xfId="8" applyBorder="1"/>
    <xf numFmtId="3" fontId="31" fillId="0" borderId="6" xfId="8" applyNumberFormat="1" applyFont="1" applyBorder="1" applyAlignment="1">
      <alignment vertical="center"/>
    </xf>
    <xf numFmtId="0" fontId="31" fillId="0" borderId="6" xfId="8" applyFont="1" applyBorder="1" applyAlignment="1">
      <alignment vertical="center"/>
    </xf>
    <xf numFmtId="3" fontId="30" fillId="0" borderId="6" xfId="8" applyNumberFormat="1" applyFont="1" applyBorder="1" applyAlignment="1">
      <alignment horizontal="right"/>
    </xf>
    <xf numFmtId="3" fontId="30" fillId="0" borderId="6" xfId="8" applyNumberFormat="1" applyFont="1" applyBorder="1"/>
    <xf numFmtId="0" fontId="30" fillId="0" borderId="6" xfId="8" applyFont="1" applyBorder="1"/>
    <xf numFmtId="0" fontId="28" fillId="0" borderId="6" xfId="8" applyFont="1" applyBorder="1" applyAlignment="1">
      <alignment horizontal="center"/>
    </xf>
    <xf numFmtId="0" fontId="24" fillId="0" borderId="6" xfId="8" applyBorder="1"/>
    <xf numFmtId="4" fontId="28" fillId="6" borderId="6" xfId="8" applyNumberFormat="1" applyFont="1" applyFill="1" applyBorder="1" applyAlignment="1">
      <alignment horizontal="right"/>
    </xf>
    <xf numFmtId="3" fontId="32" fillId="6" borderId="6" xfId="8" applyNumberFormat="1" applyFont="1" applyFill="1" applyBorder="1" applyAlignment="1">
      <alignment wrapText="1"/>
    </xf>
    <xf numFmtId="4" fontId="28" fillId="0" borderId="6" xfId="8" applyNumberFormat="1" applyFont="1" applyBorder="1" applyAlignment="1">
      <alignment horizontal="right"/>
    </xf>
    <xf numFmtId="3" fontId="32" fillId="0" borderId="6" xfId="8" applyNumberFormat="1" applyFont="1" applyBorder="1" applyAlignment="1">
      <alignment wrapText="1"/>
    </xf>
    <xf numFmtId="0" fontId="28" fillId="0" borderId="6" xfId="8" applyFont="1" applyBorder="1" applyAlignment="1">
      <alignment wrapText="1"/>
    </xf>
    <xf numFmtId="3" fontId="33" fillId="0" borderId="0" xfId="8" applyNumberFormat="1" applyFont="1"/>
    <xf numFmtId="4" fontId="30" fillId="6" borderId="6" xfId="8" applyNumberFormat="1" applyFont="1" applyFill="1" applyBorder="1" applyAlignment="1">
      <alignment horizontal="right"/>
    </xf>
    <xf numFmtId="3" fontId="30" fillId="6" borderId="6" xfId="8" applyNumberFormat="1" applyFont="1" applyFill="1" applyBorder="1" applyAlignment="1">
      <alignment wrapText="1"/>
    </xf>
    <xf numFmtId="4" fontId="30" fillId="0" borderId="6" xfId="8" applyNumberFormat="1" applyFont="1" applyBorder="1" applyAlignment="1">
      <alignment horizontal="right"/>
    </xf>
    <xf numFmtId="3" fontId="30" fillId="0" borderId="6" xfId="8" applyNumberFormat="1" applyFont="1" applyBorder="1" applyAlignment="1">
      <alignment wrapText="1"/>
    </xf>
    <xf numFmtId="0" fontId="30" fillId="0" borderId="6" xfId="8" applyFont="1" applyBorder="1" applyAlignment="1">
      <alignment wrapText="1"/>
    </xf>
    <xf numFmtId="3" fontId="30" fillId="3" borderId="6" xfId="8" applyNumberFormat="1" applyFont="1" applyFill="1" applyBorder="1" applyAlignment="1">
      <alignment wrapText="1"/>
    </xf>
    <xf numFmtId="3" fontId="30" fillId="6" borderId="6" xfId="8" applyNumberFormat="1" applyFont="1" applyFill="1" applyBorder="1"/>
    <xf numFmtId="3" fontId="30" fillId="3" borderId="6" xfId="8" applyNumberFormat="1" applyFont="1" applyFill="1" applyBorder="1"/>
    <xf numFmtId="4" fontId="30" fillId="0" borderId="6" xfId="8" applyNumberFormat="1" applyFont="1" applyBorder="1" applyAlignment="1">
      <alignment wrapText="1"/>
    </xf>
    <xf numFmtId="4" fontId="28" fillId="6" borderId="6" xfId="8" applyNumberFormat="1" applyFont="1" applyFill="1" applyBorder="1" applyAlignment="1">
      <alignment horizontal="center" vertical="center" wrapText="1"/>
    </xf>
    <xf numFmtId="4" fontId="28" fillId="0" borderId="6" xfId="8" applyNumberFormat="1" applyFont="1" applyBorder="1" applyAlignment="1">
      <alignment horizontal="center" vertical="center" wrapText="1"/>
    </xf>
    <xf numFmtId="0" fontId="28" fillId="0" borderId="6" xfId="8" applyFont="1" applyBorder="1" applyAlignment="1">
      <alignment horizontal="center" vertical="center" wrapText="1"/>
    </xf>
    <xf numFmtId="4" fontId="34" fillId="0" borderId="0" xfId="8" applyNumberFormat="1" applyFont="1"/>
    <xf numFmtId="3" fontId="15" fillId="6" borderId="33" xfId="10" applyNumberFormat="1" applyFont="1" applyFill="1" applyBorder="1"/>
    <xf numFmtId="4" fontId="34" fillId="6" borderId="38" xfId="10" applyNumberFormat="1" applyFont="1" applyFill="1" applyBorder="1"/>
    <xf numFmtId="4" fontId="34" fillId="0" borderId="38" xfId="10" applyNumberFormat="1" applyFont="1" applyBorder="1"/>
    <xf numFmtId="4" fontId="11" fillId="0" borderId="6" xfId="11" applyNumberFormat="1" applyFont="1" applyBorder="1"/>
    <xf numFmtId="0" fontId="11" fillId="0" borderId="4" xfId="11" applyFont="1" applyBorder="1" applyAlignment="1">
      <alignment horizontal="left"/>
    </xf>
    <xf numFmtId="4" fontId="34" fillId="6" borderId="33" xfId="10" applyNumberFormat="1" applyFont="1" applyFill="1" applyBorder="1"/>
    <xf numFmtId="4" fontId="34" fillId="0" borderId="33" xfId="10" applyNumberFormat="1" applyFont="1" applyBorder="1"/>
    <xf numFmtId="3" fontId="15" fillId="6" borderId="39" xfId="10" applyNumberFormat="1" applyFont="1" applyFill="1" applyBorder="1"/>
    <xf numFmtId="4" fontId="34" fillId="6" borderId="6" xfId="11" applyNumberFormat="1" applyFont="1" applyFill="1" applyBorder="1"/>
    <xf numFmtId="4" fontId="34" fillId="0" borderId="6" xfId="11" applyNumberFormat="1" applyFont="1" applyBorder="1"/>
    <xf numFmtId="4" fontId="35" fillId="6" borderId="6" xfId="11" applyNumberFormat="1" applyFont="1" applyFill="1" applyBorder="1"/>
    <xf numFmtId="4" fontId="35" fillId="0" borderId="6" xfId="11" applyNumberFormat="1" applyFont="1" applyBorder="1"/>
    <xf numFmtId="4" fontId="36" fillId="0" borderId="6" xfId="11" applyNumberFormat="1" applyFont="1" applyBorder="1"/>
    <xf numFmtId="0" fontId="36" fillId="0" borderId="4" xfId="11" applyFont="1" applyBorder="1" applyAlignment="1">
      <alignment horizontal="left"/>
    </xf>
    <xf numFmtId="49" fontId="35" fillId="0" borderId="0" xfId="8" applyNumberFormat="1" applyFont="1" applyAlignment="1">
      <alignment horizontal="right"/>
    </xf>
    <xf numFmtId="0" fontId="29" fillId="0" borderId="0" xfId="8" applyFont="1"/>
    <xf numFmtId="3" fontId="35" fillId="6" borderId="6" xfId="8" applyNumberFormat="1" applyFont="1" applyFill="1" applyBorder="1" applyAlignment="1">
      <alignment wrapText="1"/>
    </xf>
    <xf numFmtId="3" fontId="35" fillId="0" borderId="6" xfId="8" applyNumberFormat="1" applyFont="1" applyBorder="1" applyAlignment="1">
      <alignment wrapText="1"/>
    </xf>
    <xf numFmtId="3" fontId="28" fillId="0" borderId="6" xfId="8" applyNumberFormat="1" applyFont="1" applyBorder="1" applyAlignment="1">
      <alignment wrapText="1"/>
    </xf>
    <xf numFmtId="3" fontId="34" fillId="0" borderId="0" xfId="8" applyNumberFormat="1" applyFont="1"/>
    <xf numFmtId="3" fontId="34" fillId="6" borderId="6" xfId="8" applyNumberFormat="1" applyFont="1" applyFill="1" applyBorder="1" applyAlignment="1">
      <alignment wrapText="1"/>
    </xf>
    <xf numFmtId="3" fontId="34" fillId="0" borderId="6" xfId="8" applyNumberFormat="1" applyFont="1" applyBorder="1" applyAlignment="1">
      <alignment wrapText="1"/>
    </xf>
    <xf numFmtId="3" fontId="34" fillId="6" borderId="6" xfId="8" applyNumberFormat="1" applyFont="1" applyFill="1" applyBorder="1"/>
    <xf numFmtId="3" fontId="34" fillId="0" borderId="6" xfId="8" applyNumberFormat="1" applyFont="1" applyBorder="1"/>
    <xf numFmtId="4" fontId="35" fillId="6" borderId="6" xfId="8" applyNumberFormat="1" applyFont="1" applyFill="1" applyBorder="1" applyAlignment="1">
      <alignment horizontal="center" vertical="center" wrapText="1"/>
    </xf>
    <xf numFmtId="4" fontId="35" fillId="0" borderId="6" xfId="8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vertical="center"/>
    </xf>
    <xf numFmtId="0" fontId="5" fillId="0" borderId="0" xfId="13" applyFont="1" applyAlignment="1">
      <alignment horizontal="left"/>
    </xf>
    <xf numFmtId="0" fontId="4" fillId="0" borderId="5" xfId="1" applyFont="1" applyBorder="1" applyAlignment="1">
      <alignment horizontal="left" vertical="center" wrapText="1"/>
    </xf>
    <xf numFmtId="3" fontId="24" fillId="8" borderId="6" xfId="8" applyNumberFormat="1" applyFill="1" applyBorder="1"/>
    <xf numFmtId="0" fontId="5" fillId="0" borderId="0" xfId="3" applyFont="1" applyAlignment="1">
      <alignment vertical="center" wrapText="1"/>
    </xf>
    <xf numFmtId="4" fontId="5" fillId="0" borderId="0" xfId="3" applyNumberFormat="1" applyFont="1" applyAlignment="1">
      <alignment vertical="center"/>
    </xf>
    <xf numFmtId="49" fontId="5" fillId="2" borderId="32" xfId="4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39" fillId="0" borderId="0" xfId="1" applyFont="1" applyAlignment="1">
      <alignment vertical="center"/>
    </xf>
    <xf numFmtId="0" fontId="2" fillId="0" borderId="0" xfId="13" applyFont="1" applyAlignment="1">
      <alignment horizontal="center"/>
    </xf>
    <xf numFmtId="0" fontId="4" fillId="0" borderId="7" xfId="3" applyFont="1" applyBorder="1" applyAlignment="1">
      <alignment horizontal="justify" vertical="center"/>
    </xf>
    <xf numFmtId="3" fontId="4" fillId="0" borderId="33" xfId="3" applyNumberFormat="1" applyFont="1" applyBorder="1" applyAlignment="1">
      <alignment horizontal="right" vertical="center"/>
    </xf>
    <xf numFmtId="3" fontId="4" fillId="0" borderId="6" xfId="3" applyNumberFormat="1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 wrapText="1"/>
    </xf>
    <xf numFmtId="49" fontId="4" fillId="0" borderId="6" xfId="3" applyNumberFormat="1" applyFont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0" fontId="5" fillId="0" borderId="21" xfId="3" applyFont="1" applyBorder="1" applyAlignment="1">
      <alignment vertical="center"/>
    </xf>
    <xf numFmtId="0" fontId="5" fillId="0" borderId="32" xfId="3" applyFont="1" applyBorder="1" applyAlignment="1">
      <alignment vertical="center"/>
    </xf>
    <xf numFmtId="0" fontId="5" fillId="0" borderId="8" xfId="3" applyFont="1" applyBorder="1" applyAlignment="1">
      <alignment vertical="center"/>
    </xf>
    <xf numFmtId="0" fontId="4" fillId="0" borderId="5" xfId="3" applyFont="1" applyBorder="1" applyAlignment="1">
      <alignment horizontal="center" vertical="center" wrapText="1"/>
    </xf>
    <xf numFmtId="49" fontId="4" fillId="0" borderId="7" xfId="3" applyNumberFormat="1" applyFont="1" applyBorder="1" applyAlignment="1">
      <alignment horizontal="justify" vertical="center"/>
    </xf>
    <xf numFmtId="4" fontId="17" fillId="0" borderId="0" xfId="0" applyNumberFormat="1" applyFont="1"/>
    <xf numFmtId="3" fontId="17" fillId="0" borderId="0" xfId="0" applyNumberFormat="1" applyFont="1"/>
    <xf numFmtId="0" fontId="4" fillId="0" borderId="0" xfId="16" applyFont="1" applyAlignment="1">
      <alignment vertical="center"/>
    </xf>
    <xf numFmtId="0" fontId="4" fillId="0" borderId="0" xfId="1" applyFont="1" applyAlignment="1">
      <alignment horizontal="justify" vertical="center"/>
    </xf>
    <xf numFmtId="0" fontId="4" fillId="0" borderId="7" xfId="1" applyFont="1" applyBorder="1" applyAlignment="1">
      <alignment horizontal="justify" vertical="center" wrapText="1"/>
    </xf>
    <xf numFmtId="0" fontId="5" fillId="0" borderId="0" xfId="13" applyFont="1"/>
    <xf numFmtId="0" fontId="4" fillId="0" borderId="45" xfId="14" applyFont="1" applyBorder="1" applyAlignment="1">
      <alignment horizontal="left" vertical="center" wrapText="1"/>
    </xf>
    <xf numFmtId="0" fontId="4" fillId="0" borderId="44" xfId="13" applyFont="1" applyBorder="1" applyAlignment="1">
      <alignment horizontal="center" vertical="center"/>
    </xf>
    <xf numFmtId="0" fontId="4" fillId="0" borderId="52" xfId="1" applyFont="1" applyBorder="1" applyAlignment="1">
      <alignment horizontal="justify" vertical="center" wrapText="1"/>
    </xf>
    <xf numFmtId="0" fontId="5" fillId="0" borderId="58" xfId="13" applyFont="1" applyBorder="1" applyAlignment="1">
      <alignment horizontal="left"/>
    </xf>
    <xf numFmtId="0" fontId="4" fillId="0" borderId="21" xfId="1" applyFont="1" applyBorder="1" applyAlignment="1">
      <alignment horizontal="justify" vertical="center" wrapText="1"/>
    </xf>
    <xf numFmtId="0" fontId="4" fillId="0" borderId="64" xfId="13" applyFont="1" applyBorder="1" applyAlignment="1">
      <alignment horizontal="center" vertical="center"/>
    </xf>
    <xf numFmtId="0" fontId="4" fillId="0" borderId="51" xfId="14" applyFont="1" applyBorder="1" applyAlignment="1">
      <alignment horizontal="left" vertical="center" wrapText="1"/>
    </xf>
    <xf numFmtId="3" fontId="43" fillId="0" borderId="62" xfId="16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/>
    </xf>
    <xf numFmtId="3" fontId="43" fillId="0" borderId="11" xfId="16" applyNumberFormat="1" applyFont="1" applyBorder="1" applyAlignment="1">
      <alignment horizontal="center" vertical="center" wrapText="1"/>
    </xf>
    <xf numFmtId="3" fontId="43" fillId="4" borderId="11" xfId="16" applyNumberFormat="1" applyFont="1" applyFill="1" applyBorder="1" applyAlignment="1">
      <alignment horizontal="center" vertical="center" wrapText="1"/>
    </xf>
    <xf numFmtId="3" fontId="43" fillId="4" borderId="6" xfId="16" applyNumberFormat="1" applyFont="1" applyFill="1" applyBorder="1" applyAlignment="1">
      <alignment horizontal="right" vertical="center" wrapText="1"/>
    </xf>
    <xf numFmtId="3" fontId="4" fillId="4" borderId="6" xfId="16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3" fontId="43" fillId="4" borderId="34" xfId="16" applyNumberFormat="1" applyFont="1" applyFill="1" applyBorder="1" applyAlignment="1">
      <alignment horizontal="left" vertical="center" wrapText="1"/>
    </xf>
    <xf numFmtId="3" fontId="43" fillId="4" borderId="16" xfId="16" applyNumberFormat="1" applyFont="1" applyFill="1" applyBorder="1" applyAlignment="1">
      <alignment horizontal="right" vertical="center" wrapText="1"/>
    </xf>
    <xf numFmtId="3" fontId="43" fillId="4" borderId="17" xfId="16" applyNumberFormat="1" applyFont="1" applyFill="1" applyBorder="1" applyAlignment="1">
      <alignment horizontal="right" vertical="center" wrapText="1"/>
    </xf>
    <xf numFmtId="3" fontId="4" fillId="4" borderId="7" xfId="0" applyNumberFormat="1" applyFont="1" applyFill="1" applyBorder="1" applyAlignment="1">
      <alignment vertical="center"/>
    </xf>
    <xf numFmtId="3" fontId="43" fillId="4" borderId="4" xfId="16" applyNumberFormat="1" applyFont="1" applyFill="1" applyBorder="1" applyAlignment="1">
      <alignment horizontal="left" vertical="center" wrapText="1"/>
    </xf>
    <xf numFmtId="3" fontId="43" fillId="4" borderId="7" xfId="16" applyNumberFormat="1" applyFont="1" applyFill="1" applyBorder="1" applyAlignment="1">
      <alignment horizontal="right" vertical="center" wrapText="1"/>
    </xf>
    <xf numFmtId="3" fontId="4" fillId="4" borderId="7" xfId="16" applyNumberFormat="1" applyFont="1" applyFill="1" applyBorder="1" applyAlignment="1">
      <alignment horizontal="right" vertical="center" wrapText="1"/>
    </xf>
    <xf numFmtId="3" fontId="43" fillId="0" borderId="65" xfId="16" applyNumberFormat="1" applyFont="1" applyBorder="1" applyAlignment="1">
      <alignment horizontal="left" vertical="center" wrapText="1"/>
    </xf>
    <xf numFmtId="3" fontId="47" fillId="7" borderId="0" xfId="8" applyNumberFormat="1" applyFont="1" applyFill="1"/>
    <xf numFmtId="3" fontId="24" fillId="7" borderId="0" xfId="8" applyNumberFormat="1" applyFill="1"/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3" fontId="4" fillId="0" borderId="6" xfId="3" applyNumberFormat="1" applyFont="1" applyBorder="1" applyAlignment="1">
      <alignment horizontal="center" vertical="center" wrapText="1"/>
    </xf>
    <xf numFmtId="0" fontId="5" fillId="2" borderId="16" xfId="3" applyFont="1" applyFill="1" applyBorder="1" applyAlignment="1">
      <alignment vertical="center" wrapText="1"/>
    </xf>
    <xf numFmtId="0" fontId="4" fillId="0" borderId="23" xfId="1" applyFont="1" applyBorder="1" applyAlignment="1">
      <alignment horizontal="justify" vertical="center" wrapText="1"/>
    </xf>
    <xf numFmtId="0" fontId="4" fillId="0" borderId="56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left" vertical="center" wrapText="1"/>
    </xf>
    <xf numFmtId="4" fontId="34" fillId="0" borderId="33" xfId="11" applyNumberFormat="1" applyFont="1" applyBorder="1"/>
    <xf numFmtId="4" fontId="34" fillId="6" borderId="33" xfId="11" applyNumberFormat="1" applyFont="1" applyFill="1" applyBorder="1"/>
    <xf numFmtId="3" fontId="4" fillId="0" borderId="6" xfId="16" applyNumberFormat="1" applyFont="1" applyBorder="1" applyAlignment="1">
      <alignment horizontal="right" vertical="center" wrapText="1"/>
    </xf>
    <xf numFmtId="0" fontId="34" fillId="0" borderId="0" xfId="1" applyFont="1"/>
    <xf numFmtId="0" fontId="48" fillId="0" borderId="0" xfId="1" applyFont="1"/>
    <xf numFmtId="164" fontId="4" fillId="0" borderId="7" xfId="1" applyNumberFormat="1" applyFont="1" applyBorder="1" applyAlignment="1">
      <alignment horizontal="right" vertical="center"/>
    </xf>
    <xf numFmtId="3" fontId="5" fillId="4" borderId="6" xfId="1" applyNumberFormat="1" applyFont="1" applyFill="1" applyBorder="1" applyAlignment="1">
      <alignment vertical="center" wrapText="1"/>
    </xf>
    <xf numFmtId="3" fontId="4" fillId="4" borderId="6" xfId="1" applyNumberFormat="1" applyFont="1" applyFill="1" applyBorder="1" applyAlignment="1">
      <alignment vertical="center" wrapText="1"/>
    </xf>
    <xf numFmtId="3" fontId="5" fillId="0" borderId="6" xfId="1" applyNumberFormat="1" applyFont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3" fontId="5" fillId="2" borderId="5" xfId="3" applyNumberFormat="1" applyFont="1" applyFill="1" applyBorder="1" applyAlignment="1">
      <alignment vertical="center" wrapText="1"/>
    </xf>
    <xf numFmtId="0" fontId="49" fillId="0" borderId="0" xfId="3" applyFont="1" applyAlignment="1">
      <alignment vertical="center"/>
    </xf>
    <xf numFmtId="3" fontId="47" fillId="0" borderId="6" xfId="8" applyNumberFormat="1" applyFont="1" applyBorder="1"/>
    <xf numFmtId="3" fontId="50" fillId="6" borderId="6" xfId="8" applyNumberFormat="1" applyFont="1" applyFill="1" applyBorder="1" applyAlignment="1">
      <alignment wrapText="1"/>
    </xf>
    <xf numFmtId="0" fontId="4" fillId="0" borderId="55" xfId="1" applyFont="1" applyBorder="1" applyAlignment="1">
      <alignment horizontal="center" vertical="center"/>
    </xf>
    <xf numFmtId="0" fontId="4" fillId="0" borderId="53" xfId="1" applyFont="1" applyBorder="1" applyAlignment="1">
      <alignment vertical="center" wrapText="1"/>
    </xf>
    <xf numFmtId="0" fontId="51" fillId="0" borderId="0" xfId="13" applyFont="1" applyAlignment="1">
      <alignment horizontal="left"/>
    </xf>
    <xf numFmtId="0" fontId="51" fillId="0" borderId="0" xfId="13" applyFont="1"/>
    <xf numFmtId="3" fontId="51" fillId="0" borderId="0" xfId="13" applyNumberFormat="1" applyFont="1"/>
    <xf numFmtId="0" fontId="51" fillId="0" borderId="0" xfId="1" applyFont="1" applyAlignment="1">
      <alignment wrapText="1"/>
    </xf>
    <xf numFmtId="0" fontId="5" fillId="0" borderId="0" xfId="1" applyFont="1" applyAlignment="1">
      <alignment horizontal="center" vertical="center" wrapText="1"/>
    </xf>
    <xf numFmtId="0" fontId="38" fillId="0" borderId="0" xfId="0" applyFont="1"/>
    <xf numFmtId="4" fontId="38" fillId="0" borderId="0" xfId="0" applyNumberFormat="1" applyFont="1"/>
    <xf numFmtId="4" fontId="23" fillId="0" borderId="0" xfId="0" applyNumberFormat="1" applyFont="1"/>
    <xf numFmtId="0" fontId="51" fillId="0" borderId="0" xfId="13" applyFont="1" applyAlignment="1">
      <alignment horizontal="center"/>
    </xf>
    <xf numFmtId="0" fontId="52" fillId="0" borderId="0" xfId="1" applyFont="1" applyAlignment="1">
      <alignment wrapText="1"/>
    </xf>
    <xf numFmtId="0" fontId="4" fillId="0" borderId="0" xfId="1" applyFont="1" applyAlignment="1">
      <alignment wrapText="1"/>
    </xf>
    <xf numFmtId="0" fontId="4" fillId="0" borderId="0" xfId="13" applyFont="1"/>
    <xf numFmtId="0" fontId="4" fillId="0" borderId="22" xfId="14" applyFont="1" applyBorder="1" applyAlignment="1">
      <alignment horizontal="left" vertical="center" wrapText="1"/>
    </xf>
    <xf numFmtId="0" fontId="4" fillId="0" borderId="19" xfId="14" applyFont="1" applyBorder="1" applyAlignment="1">
      <alignment horizontal="left" vertical="center" wrapText="1"/>
    </xf>
    <xf numFmtId="0" fontId="4" fillId="0" borderId="29" xfId="13" applyFont="1" applyBorder="1" applyAlignment="1">
      <alignment horizontal="center" vertical="center"/>
    </xf>
    <xf numFmtId="0" fontId="4" fillId="0" borderId="54" xfId="13" applyFont="1" applyBorder="1" applyAlignment="1">
      <alignment horizontal="center" vertical="center"/>
    </xf>
    <xf numFmtId="0" fontId="4" fillId="0" borderId="4" xfId="13" applyFont="1" applyBorder="1" applyAlignment="1">
      <alignment horizontal="center" vertical="center"/>
    </xf>
    <xf numFmtId="0" fontId="4" fillId="0" borderId="6" xfId="14" applyFont="1" applyBorder="1" applyAlignment="1">
      <alignment horizontal="left" vertical="center" wrapText="1"/>
    </xf>
    <xf numFmtId="3" fontId="53" fillId="0" borderId="0" xfId="0" applyNumberFormat="1" applyFont="1" applyAlignment="1">
      <alignment horizontal="center"/>
    </xf>
    <xf numFmtId="3" fontId="17" fillId="0" borderId="0" xfId="0" applyNumberFormat="1" applyFont="1" applyAlignment="1">
      <alignment horizontal="center"/>
    </xf>
    <xf numFmtId="3" fontId="54" fillId="0" borderId="57" xfId="16" applyNumberFormat="1" applyFont="1" applyBorder="1" applyAlignment="1">
      <alignment horizontal="center" vertical="center" wrapText="1"/>
    </xf>
    <xf numFmtId="3" fontId="43" fillId="0" borderId="57" xfId="16" applyNumberFormat="1" applyFont="1" applyBorder="1" applyAlignment="1">
      <alignment horizontal="center" vertical="center" wrapText="1"/>
    </xf>
    <xf numFmtId="3" fontId="53" fillId="0" borderId="58" xfId="0" applyNumberFormat="1" applyFont="1" applyBorder="1" applyAlignment="1">
      <alignment horizontal="center" vertical="center" wrapText="1"/>
    </xf>
    <xf numFmtId="3" fontId="18" fillId="0" borderId="58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3" fillId="4" borderId="5" xfId="16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54" fillId="4" borderId="68" xfId="16" applyNumberFormat="1" applyFont="1" applyFill="1" applyBorder="1" applyAlignment="1">
      <alignment horizontal="center" vertical="center" wrapText="1"/>
    </xf>
    <xf numFmtId="3" fontId="43" fillId="4" borderId="68" xfId="16" applyNumberFormat="1" applyFont="1" applyFill="1" applyBorder="1" applyAlignment="1">
      <alignment horizontal="center" vertical="center" wrapText="1"/>
    </xf>
    <xf numFmtId="3" fontId="22" fillId="0" borderId="5" xfId="16" applyNumberFormat="1" applyFont="1" applyBorder="1" applyAlignment="1">
      <alignment horizontal="center" vertical="center" wrapText="1"/>
    </xf>
    <xf numFmtId="3" fontId="4" fillId="0" borderId="5" xfId="16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6" xfId="16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69" xfId="16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18" fillId="0" borderId="8" xfId="0" applyNumberFormat="1" applyFont="1" applyBorder="1" applyAlignment="1">
      <alignment vertical="center" wrapText="1"/>
    </xf>
    <xf numFmtId="0" fontId="18" fillId="0" borderId="4" xfId="16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/>
    </xf>
    <xf numFmtId="0" fontId="18" fillId="0" borderId="8" xfId="16" applyFont="1" applyBorder="1" applyAlignment="1">
      <alignment horizontal="left" vertical="center" wrapText="1"/>
    </xf>
    <xf numFmtId="0" fontId="22" fillId="0" borderId="69" xfId="16" applyFont="1" applyBorder="1" applyAlignment="1">
      <alignment vertical="center" wrapText="1"/>
    </xf>
    <xf numFmtId="0" fontId="4" fillId="0" borderId="69" xfId="16" applyFont="1" applyBorder="1" applyAlignment="1">
      <alignment vertical="center" wrapText="1"/>
    </xf>
    <xf numFmtId="0" fontId="4" fillId="0" borderId="4" xfId="16" applyFont="1" applyBorder="1" applyAlignment="1">
      <alignment vertical="center" wrapText="1"/>
    </xf>
    <xf numFmtId="3" fontId="43" fillId="4" borderId="29" xfId="16" applyNumberFormat="1" applyFont="1" applyFill="1" applyBorder="1" applyAlignment="1">
      <alignment horizontal="left" vertical="center" wrapText="1"/>
    </xf>
    <xf numFmtId="3" fontId="43" fillId="4" borderId="70" xfId="16" applyNumberFormat="1" applyFont="1" applyFill="1" applyBorder="1" applyAlignment="1">
      <alignment horizontal="center" vertical="center" wrapText="1"/>
    </xf>
    <xf numFmtId="3" fontId="43" fillId="4" borderId="22" xfId="16" applyNumberFormat="1" applyFont="1" applyFill="1" applyBorder="1" applyAlignment="1">
      <alignment horizontal="right" vertical="center" wrapText="1"/>
    </xf>
    <xf numFmtId="3" fontId="43" fillId="4" borderId="23" xfId="16" applyNumberFormat="1" applyFont="1" applyFill="1" applyBorder="1" applyAlignment="1">
      <alignment horizontal="right" vertical="center" wrapText="1"/>
    </xf>
    <xf numFmtId="3" fontId="43" fillId="0" borderId="58" xfId="16" applyNumberFormat="1" applyFont="1" applyBorder="1" applyAlignment="1">
      <alignment horizontal="right" vertical="center" wrapText="1"/>
    </xf>
    <xf numFmtId="3" fontId="54" fillId="4" borderId="70" xfId="16" applyNumberFormat="1" applyFont="1" applyFill="1" applyBorder="1" applyAlignment="1">
      <alignment horizontal="center" vertical="center" wrapText="1"/>
    </xf>
    <xf numFmtId="0" fontId="4" fillId="0" borderId="29" xfId="16" applyFont="1" applyBorder="1" applyAlignment="1">
      <alignment vertical="center" wrapText="1"/>
    </xf>
    <xf numFmtId="3" fontId="4" fillId="0" borderId="70" xfId="16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vertical="center"/>
    </xf>
    <xf numFmtId="3" fontId="4" fillId="4" borderId="22" xfId="0" applyNumberFormat="1" applyFont="1" applyFill="1" applyBorder="1" applyAlignment="1">
      <alignment vertical="center"/>
    </xf>
    <xf numFmtId="3" fontId="24" fillId="7" borderId="6" xfId="8" applyNumberFormat="1" applyFill="1" applyBorder="1"/>
    <xf numFmtId="0" fontId="48" fillId="0" borderId="0" xfId="1" applyFont="1" applyAlignment="1">
      <alignment horizontal="left"/>
    </xf>
    <xf numFmtId="3" fontId="39" fillId="0" borderId="6" xfId="3" applyNumberFormat="1" applyFont="1" applyBorder="1" applyAlignment="1">
      <alignment horizontal="center" vertical="center" wrapText="1"/>
    </xf>
    <xf numFmtId="0" fontId="4" fillId="0" borderId="15" xfId="3" applyFont="1" applyBorder="1" applyAlignment="1">
      <alignment vertical="center"/>
    </xf>
    <xf numFmtId="0" fontId="4" fillId="0" borderId="30" xfId="3" applyFont="1" applyBorder="1" applyAlignment="1">
      <alignment vertical="center" wrapText="1"/>
    </xf>
    <xf numFmtId="3" fontId="4" fillId="0" borderId="30" xfId="3" applyNumberFormat="1" applyFont="1" applyBorder="1" applyAlignment="1">
      <alignment vertical="center" wrapText="1"/>
    </xf>
    <xf numFmtId="49" fontId="4" fillId="0" borderId="18" xfId="3" applyNumberFormat="1" applyFont="1" applyBorder="1" applyAlignment="1">
      <alignment horizontal="justify" vertical="center"/>
    </xf>
    <xf numFmtId="0" fontId="4" fillId="0" borderId="0" xfId="5" applyFont="1" applyAlignment="1">
      <alignment vertical="center"/>
    </xf>
    <xf numFmtId="0" fontId="55" fillId="0" borderId="0" xfId="13" applyFont="1" applyAlignment="1">
      <alignment horizontal="center"/>
    </xf>
    <xf numFmtId="0" fontId="15" fillId="0" borderId="0" xfId="13" applyFont="1"/>
    <xf numFmtId="0" fontId="56" fillId="0" borderId="0" xfId="13" applyFont="1"/>
    <xf numFmtId="3" fontId="4" fillId="0" borderId="0" xfId="13" applyNumberFormat="1" applyFont="1"/>
    <xf numFmtId="0" fontId="52" fillId="0" borderId="0" xfId="1" applyFont="1"/>
    <xf numFmtId="0" fontId="52" fillId="0" borderId="0" xfId="13" applyFont="1"/>
    <xf numFmtId="0" fontId="5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 wrapText="1"/>
    </xf>
    <xf numFmtId="0" fontId="57" fillId="0" borderId="0" xfId="0" applyFont="1"/>
    <xf numFmtId="0" fontId="58" fillId="0" borderId="0" xfId="0" applyFont="1"/>
    <xf numFmtId="4" fontId="57" fillId="0" borderId="0" xfId="0" applyNumberFormat="1" applyFont="1"/>
    <xf numFmtId="0" fontId="59" fillId="0" borderId="0" xfId="0" applyFont="1"/>
    <xf numFmtId="0" fontId="4" fillId="0" borderId="4" xfId="13" applyFont="1" applyBorder="1" applyAlignment="1">
      <alignment horizontal="center" vertical="center" wrapText="1"/>
    </xf>
    <xf numFmtId="0" fontId="4" fillId="0" borderId="44" xfId="13" applyFont="1" applyBorder="1" applyAlignment="1">
      <alignment horizontal="center" vertical="center" wrapText="1"/>
    </xf>
    <xf numFmtId="3" fontId="51" fillId="0" borderId="57" xfId="13" applyNumberFormat="1" applyFont="1" applyBorder="1"/>
    <xf numFmtId="0" fontId="51" fillId="0" borderId="57" xfId="1" applyFont="1" applyBorder="1" applyAlignment="1">
      <alignment wrapText="1"/>
    </xf>
    <xf numFmtId="0" fontId="51" fillId="0" borderId="58" xfId="13" applyFont="1" applyBorder="1"/>
    <xf numFmtId="3" fontId="51" fillId="0" borderId="58" xfId="13" applyNumberFormat="1" applyFont="1" applyBorder="1"/>
    <xf numFmtId="0" fontId="52" fillId="0" borderId="58" xfId="1" applyFont="1" applyBorder="1" applyAlignment="1">
      <alignment wrapText="1"/>
    </xf>
    <xf numFmtId="0" fontId="52" fillId="0" borderId="0" xfId="1" applyFont="1" applyAlignment="1">
      <alignment horizontal="justify" vertical="center"/>
    </xf>
    <xf numFmtId="0" fontId="51" fillId="0" borderId="0" xfId="1" applyFont="1"/>
    <xf numFmtId="0" fontId="4" fillId="0" borderId="19" xfId="14" applyFont="1" applyBorder="1" applyAlignment="1">
      <alignment vertical="center" wrapText="1"/>
    </xf>
    <xf numFmtId="0" fontId="4" fillId="0" borderId="22" xfId="14" applyFont="1" applyBorder="1" applyAlignment="1">
      <alignment vertical="center" wrapText="1"/>
    </xf>
    <xf numFmtId="0" fontId="4" fillId="0" borderId="6" xfId="14" applyFont="1" applyBorder="1" applyAlignment="1">
      <alignment vertical="center" wrapText="1"/>
    </xf>
    <xf numFmtId="0" fontId="52" fillId="0" borderId="0" xfId="1" applyFont="1" applyAlignment="1">
      <alignment horizontal="left" vertical="center"/>
    </xf>
    <xf numFmtId="0" fontId="15" fillId="0" borderId="0" xfId="1" applyFont="1" applyAlignment="1">
      <alignment horizontal="left"/>
    </xf>
    <xf numFmtId="3" fontId="52" fillId="0" borderId="0" xfId="13" applyNumberFormat="1" applyFont="1"/>
    <xf numFmtId="0" fontId="52" fillId="0" borderId="0" xfId="13" applyFont="1" applyAlignment="1">
      <alignment horizontal="center"/>
    </xf>
    <xf numFmtId="0" fontId="30" fillId="10" borderId="6" xfId="8" applyFont="1" applyFill="1" applyBorder="1"/>
    <xf numFmtId="0" fontId="30" fillId="10" borderId="6" xfId="8" applyFont="1" applyFill="1" applyBorder="1" applyAlignment="1">
      <alignment wrapText="1"/>
    </xf>
    <xf numFmtId="3" fontId="24" fillId="10" borderId="6" xfId="8" applyNumberFormat="1" applyFill="1" applyBorder="1"/>
    <xf numFmtId="3" fontId="34" fillId="10" borderId="6" xfId="8" applyNumberFormat="1" applyFont="1" applyFill="1" applyBorder="1" applyAlignment="1">
      <alignment wrapText="1"/>
    </xf>
    <xf numFmtId="0" fontId="17" fillId="0" borderId="0" xfId="18" applyFont="1" applyAlignment="1">
      <alignment vertical="center"/>
    </xf>
    <xf numFmtId="0" fontId="60" fillId="0" borderId="0" xfId="17" applyFont="1" applyAlignment="1">
      <alignment vertical="center"/>
    </xf>
    <xf numFmtId="0" fontId="60" fillId="0" borderId="0" xfId="17" applyFont="1" applyAlignment="1">
      <alignment horizontal="center" vertical="center"/>
    </xf>
    <xf numFmtId="165" fontId="60" fillId="0" borderId="0" xfId="17" applyNumberFormat="1" applyFont="1" applyAlignment="1">
      <alignment vertical="center"/>
    </xf>
    <xf numFmtId="165" fontId="60" fillId="11" borderId="0" xfId="17" applyNumberFormat="1" applyFont="1" applyFill="1" applyAlignment="1">
      <alignment vertical="center"/>
    </xf>
    <xf numFmtId="0" fontId="61" fillId="0" borderId="10" xfId="17" applyFont="1" applyBorder="1" applyAlignment="1">
      <alignment horizontal="center" vertical="center" wrapText="1"/>
    </xf>
    <xf numFmtId="49" fontId="61" fillId="0" borderId="10" xfId="17" applyNumberFormat="1" applyFont="1" applyBorder="1" applyAlignment="1">
      <alignment horizontal="center" vertical="center" wrapText="1"/>
    </xf>
    <xf numFmtId="49" fontId="61" fillId="9" borderId="10" xfId="17" applyNumberFormat="1" applyFont="1" applyFill="1" applyBorder="1" applyAlignment="1">
      <alignment horizontal="center" vertical="center" wrapText="1"/>
    </xf>
    <xf numFmtId="49" fontId="61" fillId="11" borderId="10" xfId="17" applyNumberFormat="1" applyFont="1" applyFill="1" applyBorder="1" applyAlignment="1">
      <alignment horizontal="center" vertical="center" wrapText="1"/>
    </xf>
    <xf numFmtId="165" fontId="61" fillId="0" borderId="21" xfId="17" applyNumberFormat="1" applyFont="1" applyBorder="1" applyAlignment="1">
      <alignment vertical="center" wrapText="1"/>
    </xf>
    <xf numFmtId="0" fontId="41" fillId="0" borderId="0" xfId="18" applyFont="1" applyAlignment="1">
      <alignment vertical="center"/>
    </xf>
    <xf numFmtId="0" fontId="4" fillId="0" borderId="54" xfId="17" applyFont="1" applyBorder="1" applyAlignment="1">
      <alignment vertical="center" wrapText="1"/>
    </xf>
    <xf numFmtId="0" fontId="4" fillId="9" borderId="73" xfId="17" applyFont="1" applyFill="1" applyBorder="1" applyAlignment="1">
      <alignment horizontal="center" vertical="center" wrapText="1"/>
    </xf>
    <xf numFmtId="0" fontId="4" fillId="0" borderId="73" xfId="17" applyFont="1" applyBorder="1" applyAlignment="1">
      <alignment horizontal="center" vertical="center" wrapText="1"/>
    </xf>
    <xf numFmtId="3" fontId="4" fillId="0" borderId="73" xfId="17" applyNumberFormat="1" applyFont="1" applyBorder="1" applyAlignment="1">
      <alignment vertical="center"/>
    </xf>
    <xf numFmtId="3" fontId="4" fillId="11" borderId="73" xfId="17" applyNumberFormat="1" applyFont="1" applyFill="1" applyBorder="1" applyAlignment="1">
      <alignment vertical="center"/>
    </xf>
    <xf numFmtId="3" fontId="4" fillId="9" borderId="39" xfId="17" applyNumberFormat="1" applyFont="1" applyFill="1" applyBorder="1" applyAlignment="1">
      <alignment vertical="center"/>
    </xf>
    <xf numFmtId="3" fontId="4" fillId="12" borderId="74" xfId="17" applyNumberFormat="1" applyFont="1" applyFill="1" applyBorder="1" applyAlignment="1">
      <alignment vertical="center"/>
    </xf>
    <xf numFmtId="3" fontId="61" fillId="12" borderId="73" xfId="17" applyNumberFormat="1" applyFont="1" applyFill="1" applyBorder="1" applyAlignment="1">
      <alignment vertical="center" wrapText="1"/>
    </xf>
    <xf numFmtId="3" fontId="5" fillId="12" borderId="74" xfId="17" applyNumberFormat="1" applyFont="1" applyFill="1" applyBorder="1" applyAlignment="1">
      <alignment vertical="center"/>
    </xf>
    <xf numFmtId="0" fontId="42" fillId="0" borderId="0" xfId="18" applyFont="1" applyAlignment="1">
      <alignment vertical="center"/>
    </xf>
    <xf numFmtId="0" fontId="61" fillId="0" borderId="8" xfId="17" applyFont="1" applyBorder="1" applyAlignment="1">
      <alignment vertical="center" wrapText="1"/>
    </xf>
    <xf numFmtId="0" fontId="61" fillId="0" borderId="32" xfId="17" applyFont="1" applyBorder="1" applyAlignment="1">
      <alignment horizontal="center" vertical="center" wrapText="1"/>
    </xf>
    <xf numFmtId="3" fontId="61" fillId="0" borderId="32" xfId="17" applyNumberFormat="1" applyFont="1" applyBorder="1" applyAlignment="1">
      <alignment vertical="center" wrapText="1"/>
    </xf>
    <xf numFmtId="3" fontId="61" fillId="0" borderId="21" xfId="17" applyNumberFormat="1" applyFont="1" applyBorder="1" applyAlignment="1">
      <alignment vertical="center" wrapText="1"/>
    </xf>
    <xf numFmtId="0" fontId="4" fillId="13" borderId="54" xfId="17" applyFont="1" applyFill="1" applyBorder="1" applyAlignment="1">
      <alignment vertical="center" wrapText="1"/>
    </xf>
    <xf numFmtId="3" fontId="4" fillId="13" borderId="73" xfId="17" applyNumberFormat="1" applyFont="1" applyFill="1" applyBorder="1" applyAlignment="1">
      <alignment vertical="center"/>
    </xf>
    <xf numFmtId="3" fontId="4" fillId="13" borderId="39" xfId="17" applyNumberFormat="1" applyFont="1" applyFill="1" applyBorder="1" applyAlignment="1">
      <alignment vertical="center"/>
    </xf>
    <xf numFmtId="3" fontId="61" fillId="12" borderId="22" xfId="17" applyNumberFormat="1" applyFont="1" applyFill="1" applyBorder="1" applyAlignment="1">
      <alignment vertical="center" wrapText="1"/>
    </xf>
    <xf numFmtId="3" fontId="5" fillId="12" borderId="23" xfId="17" applyNumberFormat="1" applyFont="1" applyFill="1" applyBorder="1" applyAlignment="1">
      <alignment vertical="center"/>
    </xf>
    <xf numFmtId="3" fontId="61" fillId="12" borderId="16" xfId="17" applyNumberFormat="1" applyFont="1" applyFill="1" applyBorder="1" applyAlignment="1">
      <alignment vertical="center" wrapText="1"/>
    </xf>
    <xf numFmtId="3" fontId="5" fillId="12" borderId="17" xfId="17" applyNumberFormat="1" applyFont="1" applyFill="1" applyBorder="1" applyAlignment="1">
      <alignment vertical="center"/>
    </xf>
    <xf numFmtId="0" fontId="61" fillId="0" borderId="65" xfId="17" applyFont="1" applyBorder="1" applyAlignment="1">
      <alignment vertical="center" wrapText="1"/>
    </xf>
    <xf numFmtId="0" fontId="61" fillId="0" borderId="0" xfId="17" applyFont="1" applyAlignment="1">
      <alignment horizontal="center" vertical="center" wrapText="1"/>
    </xf>
    <xf numFmtId="165" fontId="61" fillId="0" borderId="0" xfId="17" applyNumberFormat="1" applyFont="1" applyAlignment="1">
      <alignment vertical="center" wrapText="1"/>
    </xf>
    <xf numFmtId="165" fontId="61" fillId="11" borderId="0" xfId="17" applyNumberFormat="1" applyFont="1" applyFill="1" applyAlignment="1">
      <alignment vertical="center" wrapText="1"/>
    </xf>
    <xf numFmtId="165" fontId="61" fillId="0" borderId="71" xfId="17" applyNumberFormat="1" applyFont="1" applyBorder="1" applyAlignment="1">
      <alignment vertical="center" wrapText="1"/>
    </xf>
    <xf numFmtId="0" fontId="46" fillId="9" borderId="73" xfId="17" applyFont="1" applyFill="1" applyBorder="1" applyAlignment="1">
      <alignment horizontal="center" vertical="center" wrapText="1"/>
    </xf>
    <xf numFmtId="3" fontId="4" fillId="9" borderId="73" xfId="17" applyNumberFormat="1" applyFont="1" applyFill="1" applyBorder="1" applyAlignment="1">
      <alignment vertical="center" wrapText="1"/>
    </xf>
    <xf numFmtId="3" fontId="4" fillId="0" borderId="39" xfId="17" applyNumberFormat="1" applyFont="1" applyBorder="1" applyAlignment="1">
      <alignment vertical="center"/>
    </xf>
    <xf numFmtId="3" fontId="61" fillId="12" borderId="75" xfId="17" applyNumberFormat="1" applyFont="1" applyFill="1" applyBorder="1" applyAlignment="1">
      <alignment vertical="center" wrapText="1"/>
    </xf>
    <xf numFmtId="165" fontId="61" fillId="0" borderId="76" xfId="17" applyNumberFormat="1" applyFont="1" applyBorder="1" applyAlignment="1">
      <alignment vertical="center" wrapText="1"/>
    </xf>
    <xf numFmtId="0" fontId="4" fillId="9" borderId="54" xfId="17" applyFont="1" applyFill="1" applyBorder="1" applyAlignment="1">
      <alignment vertical="center" wrapText="1"/>
    </xf>
    <xf numFmtId="3" fontId="46" fillId="11" borderId="73" xfId="17" applyNumberFormat="1" applyFont="1" applyFill="1" applyBorder="1" applyAlignment="1">
      <alignment vertical="center" wrapText="1"/>
    </xf>
    <xf numFmtId="3" fontId="46" fillId="11" borderId="28" xfId="17" applyNumberFormat="1" applyFont="1" applyFill="1" applyBorder="1" applyAlignment="1">
      <alignment vertical="center" wrapText="1"/>
    </xf>
    <xf numFmtId="3" fontId="46" fillId="14" borderId="73" xfId="17" applyNumberFormat="1" applyFont="1" applyFill="1" applyBorder="1" applyAlignment="1">
      <alignment vertical="center" wrapText="1"/>
    </xf>
    <xf numFmtId="0" fontId="4" fillId="11" borderId="54" xfId="17" applyFont="1" applyFill="1" applyBorder="1" applyAlignment="1">
      <alignment vertical="center" wrapText="1"/>
    </xf>
    <xf numFmtId="3" fontId="4" fillId="0" borderId="75" xfId="17" applyNumberFormat="1" applyFont="1" applyBorder="1" applyAlignment="1">
      <alignment vertical="center"/>
    </xf>
    <xf numFmtId="0" fontId="41" fillId="9" borderId="0" xfId="18" applyFont="1" applyFill="1" applyAlignment="1">
      <alignment vertical="center"/>
    </xf>
    <xf numFmtId="3" fontId="61" fillId="12" borderId="6" xfId="17" applyNumberFormat="1" applyFont="1" applyFill="1" applyBorder="1" applyAlignment="1">
      <alignment vertical="center" wrapText="1"/>
    </xf>
    <xf numFmtId="3" fontId="61" fillId="12" borderId="20" xfId="17" applyNumberFormat="1" applyFont="1" applyFill="1" applyBorder="1" applyAlignment="1">
      <alignment vertical="center" wrapText="1"/>
    </xf>
    <xf numFmtId="0" fontId="46" fillId="0" borderId="54" xfId="17" applyFont="1" applyBorder="1" applyAlignment="1">
      <alignment vertical="center" wrapText="1"/>
    </xf>
    <xf numFmtId="0" fontId="46" fillId="0" borderId="73" xfId="17" applyFont="1" applyBorder="1" applyAlignment="1">
      <alignment horizontal="center" vertical="center" wrapText="1"/>
    </xf>
    <xf numFmtId="3" fontId="46" fillId="13" borderId="73" xfId="17" applyNumberFormat="1" applyFont="1" applyFill="1" applyBorder="1" applyAlignment="1">
      <alignment vertical="center" wrapText="1"/>
    </xf>
    <xf numFmtId="3" fontId="46" fillId="9" borderId="73" xfId="17" applyNumberFormat="1" applyFont="1" applyFill="1" applyBorder="1" applyAlignment="1">
      <alignment vertical="center" wrapText="1"/>
    </xf>
    <xf numFmtId="3" fontId="61" fillId="12" borderId="7" xfId="17" applyNumberFormat="1" applyFont="1" applyFill="1" applyBorder="1" applyAlignment="1">
      <alignment vertical="center" wrapText="1"/>
    </xf>
    <xf numFmtId="0" fontId="4" fillId="11" borderId="73" xfId="17" applyFont="1" applyFill="1" applyBorder="1" applyAlignment="1">
      <alignment horizontal="center" vertical="center" wrapText="1"/>
    </xf>
    <xf numFmtId="0" fontId="4" fillId="0" borderId="6" xfId="17" applyFont="1" applyBorder="1" applyAlignment="1">
      <alignment horizontal="center" vertical="center" wrapText="1"/>
    </xf>
    <xf numFmtId="3" fontId="46" fillId="11" borderId="6" xfId="17" applyNumberFormat="1" applyFont="1" applyFill="1" applyBorder="1" applyAlignment="1">
      <alignment vertical="center" wrapText="1"/>
    </xf>
    <xf numFmtId="3" fontId="4" fillId="9" borderId="6" xfId="17" applyNumberFormat="1" applyFont="1" applyFill="1" applyBorder="1" applyAlignment="1">
      <alignment vertical="center"/>
    </xf>
    <xf numFmtId="0" fontId="4" fillId="9" borderId="6" xfId="17" applyFont="1" applyFill="1" applyBorder="1" applyAlignment="1">
      <alignment horizontal="center" vertical="center" wrapText="1"/>
    </xf>
    <xf numFmtId="3" fontId="4" fillId="11" borderId="73" xfId="17" applyNumberFormat="1" applyFont="1" applyFill="1" applyBorder="1" applyAlignment="1">
      <alignment vertical="center" wrapText="1"/>
    </xf>
    <xf numFmtId="3" fontId="46" fillId="11" borderId="19" xfId="17" applyNumberFormat="1" applyFont="1" applyFill="1" applyBorder="1" applyAlignment="1">
      <alignment vertical="center" wrapText="1"/>
    </xf>
    <xf numFmtId="3" fontId="61" fillId="12" borderId="11" xfId="17" applyNumberFormat="1" applyFont="1" applyFill="1" applyBorder="1" applyAlignment="1">
      <alignment vertical="center" wrapText="1"/>
    </xf>
    <xf numFmtId="3" fontId="61" fillId="12" borderId="12" xfId="17" applyNumberFormat="1" applyFont="1" applyFill="1" applyBorder="1" applyAlignment="1">
      <alignment vertical="center" wrapText="1"/>
    </xf>
    <xf numFmtId="3" fontId="61" fillId="0" borderId="30" xfId="17" applyNumberFormat="1" applyFont="1" applyBorder="1" applyAlignment="1">
      <alignment vertical="center" wrapText="1"/>
    </xf>
    <xf numFmtId="3" fontId="61" fillId="11" borderId="30" xfId="17" applyNumberFormat="1" applyFont="1" applyFill="1" applyBorder="1" applyAlignment="1">
      <alignment vertical="center" wrapText="1"/>
    </xf>
    <xf numFmtId="3" fontId="61" fillId="13" borderId="18" xfId="17" applyNumberFormat="1" applyFont="1" applyFill="1" applyBorder="1" applyAlignment="1">
      <alignment vertical="center" wrapText="1"/>
    </xf>
    <xf numFmtId="49" fontId="17" fillId="0" borderId="0" xfId="18" applyNumberFormat="1" applyFont="1" applyAlignment="1">
      <alignment horizontal="center" vertical="center"/>
    </xf>
    <xf numFmtId="165" fontId="17" fillId="0" borderId="0" xfId="18" applyNumberFormat="1" applyFont="1" applyAlignment="1">
      <alignment horizontal="center" vertical="center"/>
    </xf>
    <xf numFmtId="165" fontId="17" fillId="9" borderId="0" xfId="18" applyNumberFormat="1" applyFont="1" applyFill="1" applyAlignment="1">
      <alignment horizontal="center" vertical="center"/>
    </xf>
    <xf numFmtId="165" fontId="17" fillId="0" borderId="0" xfId="18" applyNumberFormat="1" applyFont="1" applyAlignment="1">
      <alignment vertical="center"/>
    </xf>
    <xf numFmtId="4" fontId="17" fillId="0" borderId="0" xfId="18" applyNumberFormat="1" applyFont="1" applyAlignment="1">
      <alignment horizontal="center" vertical="center"/>
    </xf>
    <xf numFmtId="166" fontId="17" fillId="0" borderId="0" xfId="18" applyNumberFormat="1" applyFont="1" applyAlignment="1">
      <alignment vertical="center"/>
    </xf>
    <xf numFmtId="0" fontId="61" fillId="0" borderId="31" xfId="17" applyFont="1" applyBorder="1" applyAlignment="1">
      <alignment vertical="center" wrapText="1"/>
    </xf>
    <xf numFmtId="0" fontId="61" fillId="0" borderId="25" xfId="17" applyFont="1" applyBorder="1" applyAlignment="1">
      <alignment vertical="center" wrapText="1"/>
    </xf>
    <xf numFmtId="3" fontId="19" fillId="0" borderId="0" xfId="18" applyNumberFormat="1" applyFont="1" applyAlignment="1">
      <alignment horizontal="right"/>
    </xf>
    <xf numFmtId="0" fontId="61" fillId="0" borderId="32" xfId="17" applyFont="1" applyBorder="1" applyAlignment="1">
      <alignment vertical="center" wrapText="1"/>
    </xf>
    <xf numFmtId="0" fontId="61" fillId="0" borderId="21" xfId="17" applyFont="1" applyBorder="1" applyAlignment="1">
      <alignment vertical="center" wrapText="1"/>
    </xf>
    <xf numFmtId="0" fontId="61" fillId="0" borderId="28" xfId="17" applyFont="1" applyBorder="1" applyAlignment="1">
      <alignment vertical="center" wrapText="1"/>
    </xf>
    <xf numFmtId="0" fontId="4" fillId="0" borderId="4" xfId="17" applyFont="1" applyBorder="1" applyAlignment="1">
      <alignment vertical="center" wrapText="1"/>
    </xf>
    <xf numFmtId="0" fontId="4" fillId="9" borderId="5" xfId="17" applyFont="1" applyFill="1" applyBorder="1" applyAlignment="1">
      <alignment horizontal="center" vertical="center" wrapText="1"/>
    </xf>
    <xf numFmtId="0" fontId="4" fillId="0" borderId="5" xfId="17" applyFont="1" applyBorder="1" applyAlignment="1">
      <alignment horizontal="center" vertical="center" wrapText="1"/>
    </xf>
    <xf numFmtId="3" fontId="4" fillId="0" borderId="5" xfId="17" applyNumberFormat="1" applyFont="1" applyBorder="1" applyAlignment="1">
      <alignment vertical="center"/>
    </xf>
    <xf numFmtId="3" fontId="46" fillId="13" borderId="5" xfId="17" applyNumberFormat="1" applyFont="1" applyFill="1" applyBorder="1" applyAlignment="1">
      <alignment vertical="center" wrapText="1"/>
    </xf>
    <xf numFmtId="3" fontId="46" fillId="9" borderId="5" xfId="17" applyNumberFormat="1" applyFont="1" applyFill="1" applyBorder="1" applyAlignment="1">
      <alignment vertical="center" wrapText="1"/>
    </xf>
    <xf numFmtId="3" fontId="4" fillId="9" borderId="33" xfId="17" applyNumberFormat="1" applyFont="1" applyFill="1" applyBorder="1" applyAlignment="1">
      <alignment vertical="center"/>
    </xf>
    <xf numFmtId="3" fontId="4" fillId="12" borderId="7" xfId="17" applyNumberFormat="1" applyFont="1" applyFill="1" applyBorder="1" applyAlignment="1">
      <alignment vertical="center"/>
    </xf>
    <xf numFmtId="49" fontId="5" fillId="0" borderId="8" xfId="0" applyNumberFormat="1" applyFont="1" applyBorder="1" applyAlignment="1">
      <alignment vertical="center" wrapText="1"/>
    </xf>
    <xf numFmtId="49" fontId="5" fillId="0" borderId="32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3" fontId="19" fillId="0" borderId="65" xfId="0" applyNumberFormat="1" applyFont="1" applyBorder="1" applyAlignment="1">
      <alignment vertical="center" wrapText="1"/>
    </xf>
    <xf numFmtId="3" fontId="62" fillId="0" borderId="21" xfId="0" applyNumberFormat="1" applyFont="1" applyBorder="1" applyAlignment="1">
      <alignment vertical="center" wrapText="1"/>
    </xf>
    <xf numFmtId="0" fontId="18" fillId="0" borderId="8" xfId="16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3" fontId="19" fillId="0" borderId="27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3" fontId="62" fillId="0" borderId="28" xfId="0" applyNumberFormat="1" applyFont="1" applyBorder="1" applyAlignment="1">
      <alignment vertical="center" wrapText="1"/>
    </xf>
    <xf numFmtId="3" fontId="62" fillId="0" borderId="20" xfId="0" applyNumberFormat="1" applyFont="1" applyBorder="1" applyAlignment="1">
      <alignment vertical="center" wrapText="1"/>
    </xf>
    <xf numFmtId="0" fontId="22" fillId="0" borderId="5" xfId="16" applyFont="1" applyBorder="1" applyAlignment="1">
      <alignment horizontal="center" vertical="center" wrapText="1"/>
    </xf>
    <xf numFmtId="3" fontId="19" fillId="0" borderId="8" xfId="0" applyNumberFormat="1" applyFont="1" applyBorder="1" applyAlignment="1">
      <alignment vertical="center" wrapText="1"/>
    </xf>
    <xf numFmtId="3" fontId="19" fillId="0" borderId="32" xfId="0" applyNumberFormat="1" applyFont="1" applyBorder="1" applyAlignment="1">
      <alignment vertical="center" wrapText="1"/>
    </xf>
    <xf numFmtId="3" fontId="5" fillId="0" borderId="32" xfId="0" applyNumberFormat="1" applyFont="1" applyBorder="1" applyAlignment="1">
      <alignment vertical="center" wrapText="1"/>
    </xf>
    <xf numFmtId="1" fontId="22" fillId="0" borderId="6" xfId="16" applyNumberFormat="1" applyFont="1" applyBorder="1" applyAlignment="1">
      <alignment horizontal="center" vertical="center" wrapText="1"/>
    </xf>
    <xf numFmtId="3" fontId="22" fillId="0" borderId="6" xfId="16" applyNumberFormat="1" applyFont="1" applyBorder="1" applyAlignment="1">
      <alignment horizontal="center" vertical="center" wrapText="1"/>
    </xf>
    <xf numFmtId="1" fontId="4" fillId="0" borderId="6" xfId="16" applyNumberFormat="1" applyFont="1" applyBorder="1" applyAlignment="1">
      <alignment horizontal="center" vertical="center" wrapText="1"/>
    </xf>
    <xf numFmtId="3" fontId="4" fillId="0" borderId="6" xfId="16" applyNumberFormat="1" applyFont="1" applyBorder="1" applyAlignment="1">
      <alignment horizontal="center" vertical="center" wrapText="1"/>
    </xf>
    <xf numFmtId="4" fontId="41" fillId="0" borderId="0" xfId="0" applyNumberFormat="1" applyFont="1"/>
    <xf numFmtId="1" fontId="43" fillId="4" borderId="5" xfId="16" applyNumberFormat="1" applyFont="1" applyFill="1" applyBorder="1" applyAlignment="1">
      <alignment horizontal="center" vertical="center" wrapText="1"/>
    </xf>
    <xf numFmtId="3" fontId="5" fillId="4" borderId="6" xfId="16" applyNumberFormat="1" applyFont="1" applyFill="1" applyBorder="1" applyAlignment="1">
      <alignment horizontal="right" vertical="center" wrapText="1"/>
    </xf>
    <xf numFmtId="3" fontId="5" fillId="4" borderId="33" xfId="16" applyNumberFormat="1" applyFont="1" applyFill="1" applyBorder="1" applyAlignment="1">
      <alignment horizontal="right" vertical="center" wrapText="1"/>
    </xf>
    <xf numFmtId="3" fontId="5" fillId="4" borderId="7" xfId="16" applyNumberFormat="1" applyFont="1" applyFill="1" applyBorder="1" applyAlignment="1">
      <alignment horizontal="right" vertical="center" wrapText="1"/>
    </xf>
    <xf numFmtId="3" fontId="4" fillId="4" borderId="33" xfId="0" applyNumberFormat="1" applyFont="1" applyFill="1" applyBorder="1" applyAlignment="1">
      <alignment vertical="center"/>
    </xf>
    <xf numFmtId="3" fontId="43" fillId="4" borderId="78" xfId="16" applyNumberFormat="1" applyFont="1" applyFill="1" applyBorder="1" applyAlignment="1">
      <alignment horizontal="center" vertical="center" wrapText="1"/>
    </xf>
    <xf numFmtId="3" fontId="5" fillId="4" borderId="32" xfId="16" applyNumberFormat="1" applyFont="1" applyFill="1" applyBorder="1" applyAlignment="1">
      <alignment horizontal="right" vertical="center" wrapText="1"/>
    </xf>
    <xf numFmtId="3" fontId="43" fillId="4" borderId="8" xfId="16" applyNumberFormat="1" applyFont="1" applyFill="1" applyBorder="1" applyAlignment="1">
      <alignment horizontal="left" vertical="center" wrapText="1"/>
    </xf>
    <xf numFmtId="1" fontId="43" fillId="4" borderId="6" xfId="16" applyNumberFormat="1" applyFont="1" applyFill="1" applyBorder="1" applyAlignment="1">
      <alignment horizontal="center" vertical="center" wrapText="1"/>
    </xf>
    <xf numFmtId="3" fontId="43" fillId="4" borderId="6" xfId="16" applyNumberFormat="1" applyFont="1" applyFill="1" applyBorder="1" applyAlignment="1">
      <alignment horizontal="center" vertical="center" wrapText="1"/>
    </xf>
    <xf numFmtId="3" fontId="43" fillId="4" borderId="33" xfId="16" applyNumberFormat="1" applyFont="1" applyFill="1" applyBorder="1" applyAlignment="1">
      <alignment horizontal="right" vertical="center" wrapText="1"/>
    </xf>
    <xf numFmtId="3" fontId="43" fillId="4" borderId="38" xfId="16" applyNumberFormat="1" applyFont="1" applyFill="1" applyBorder="1" applyAlignment="1">
      <alignment horizontal="right" vertical="center" wrapText="1"/>
    </xf>
    <xf numFmtId="3" fontId="43" fillId="4" borderId="79" xfId="16" applyNumberFormat="1" applyFont="1" applyFill="1" applyBorder="1" applyAlignment="1">
      <alignment horizontal="right" vertical="center" wrapText="1"/>
    </xf>
    <xf numFmtId="3" fontId="4" fillId="4" borderId="38" xfId="0" applyNumberFormat="1" applyFont="1" applyFill="1" applyBorder="1" applyAlignment="1">
      <alignment vertical="center"/>
    </xf>
    <xf numFmtId="3" fontId="4" fillId="4" borderId="33" xfId="16" applyNumberFormat="1" applyFont="1" applyFill="1" applyBorder="1" applyAlignment="1">
      <alignment horizontal="right" vertical="center" wrapText="1"/>
    </xf>
    <xf numFmtId="3" fontId="19" fillId="0" borderId="0" xfId="0" applyNumberFormat="1" applyFont="1" applyAlignment="1">
      <alignment vertical="center" wrapText="1"/>
    </xf>
    <xf numFmtId="3" fontId="45" fillId="0" borderId="0" xfId="0" applyNumberFormat="1" applyFont="1" applyAlignment="1">
      <alignment vertical="center" wrapText="1"/>
    </xf>
    <xf numFmtId="3" fontId="43" fillId="0" borderId="0" xfId="16" applyNumberFormat="1" applyFont="1" applyAlignment="1">
      <alignment horizontal="center" vertical="center" wrapText="1"/>
    </xf>
    <xf numFmtId="3" fontId="43" fillId="0" borderId="0" xfId="16" applyNumberFormat="1" applyFont="1" applyAlignment="1">
      <alignment horizontal="right" vertical="center" wrapText="1"/>
    </xf>
    <xf numFmtId="3" fontId="54" fillId="0" borderId="0" xfId="16" applyNumberFormat="1" applyFont="1" applyAlignment="1">
      <alignment horizontal="center" vertical="center" wrapText="1"/>
    </xf>
    <xf numFmtId="49" fontId="53" fillId="0" borderId="0" xfId="0" applyNumberFormat="1" applyFont="1"/>
    <xf numFmtId="0" fontId="53" fillId="0" borderId="0" xfId="0" applyFont="1"/>
    <xf numFmtId="3" fontId="64" fillId="0" borderId="0" xfId="0" applyNumberFormat="1" applyFont="1" applyAlignment="1">
      <alignment horizontal="right" vertical="center" wrapText="1"/>
    </xf>
    <xf numFmtId="0" fontId="53" fillId="0" borderId="0" xfId="0" applyFont="1" applyAlignment="1">
      <alignment vertical="center" wrapText="1"/>
    </xf>
    <xf numFmtId="49" fontId="18" fillId="0" borderId="0" xfId="0" applyNumberFormat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8" fillId="0" borderId="6" xfId="0" applyFont="1" applyBorder="1" applyAlignment="1">
      <alignment horizontal="center" vertical="center" wrapText="1"/>
    </xf>
    <xf numFmtId="0" fontId="46" fillId="15" borderId="6" xfId="0" applyFont="1" applyFill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right"/>
    </xf>
    <xf numFmtId="3" fontId="4" fillId="12" borderId="19" xfId="17" applyNumberFormat="1" applyFont="1" applyFill="1" applyBorder="1" applyAlignment="1">
      <alignment vertical="center"/>
    </xf>
    <xf numFmtId="0" fontId="18" fillId="0" borderId="19" xfId="0" applyFont="1" applyBorder="1" applyAlignment="1">
      <alignment horizontal="center" vertical="center" wrapText="1"/>
    </xf>
    <xf numFmtId="0" fontId="46" fillId="15" borderId="19" xfId="0" applyFont="1" applyFill="1" applyBorder="1" applyAlignment="1">
      <alignment vertical="center" wrapText="1"/>
    </xf>
    <xf numFmtId="3" fontId="61" fillId="0" borderId="28" xfId="0" applyNumberFormat="1" applyFont="1" applyBorder="1" applyAlignment="1">
      <alignment vertical="center" wrapText="1"/>
    </xf>
    <xf numFmtId="0" fontId="61" fillId="0" borderId="32" xfId="0" applyFont="1" applyBorder="1" applyAlignment="1">
      <alignment vertical="center"/>
    </xf>
    <xf numFmtId="0" fontId="61" fillId="0" borderId="28" xfId="0" applyFont="1" applyBorder="1" applyAlignment="1">
      <alignment vertical="center"/>
    </xf>
    <xf numFmtId="3" fontId="5" fillId="12" borderId="53" xfId="17" applyNumberFormat="1" applyFont="1" applyFill="1" applyBorder="1" applyAlignment="1">
      <alignment vertical="center"/>
    </xf>
    <xf numFmtId="0" fontId="46" fillId="0" borderId="19" xfId="0" applyFont="1" applyBorder="1" applyAlignment="1">
      <alignment vertical="center" wrapText="1"/>
    </xf>
    <xf numFmtId="3" fontId="5" fillId="12" borderId="6" xfId="17" applyNumberFormat="1" applyFont="1" applyFill="1" applyBorder="1" applyAlignment="1">
      <alignment vertical="center"/>
    </xf>
    <xf numFmtId="3" fontId="61" fillId="0" borderId="32" xfId="0" applyNumberFormat="1" applyFont="1" applyBorder="1" applyAlignment="1">
      <alignment horizontal="right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1" fillId="0" borderId="27" xfId="0" applyFont="1" applyBorder="1" applyAlignment="1">
      <alignment vertical="center"/>
    </xf>
    <xf numFmtId="0" fontId="18" fillId="0" borderId="20" xfId="0" applyFont="1" applyBorder="1" applyAlignment="1">
      <alignment vertical="center"/>
    </xf>
    <xf numFmtId="49" fontId="18" fillId="0" borderId="54" xfId="0" applyNumberFormat="1" applyFont="1" applyBorder="1" applyAlignment="1">
      <alignment horizontal="center" vertical="center" wrapText="1"/>
    </xf>
    <xf numFmtId="0" fontId="18" fillId="9" borderId="20" xfId="0" applyFont="1" applyFill="1" applyBorder="1" applyAlignment="1">
      <alignment horizontal="justify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0" fontId="18" fillId="9" borderId="21" xfId="0" applyFont="1" applyFill="1" applyBorder="1" applyAlignment="1">
      <alignment horizontal="justify" vertical="center"/>
    </xf>
    <xf numFmtId="0" fontId="18" fillId="9" borderId="21" xfId="0" applyFont="1" applyFill="1" applyBorder="1" applyAlignment="1">
      <alignment horizontal="justify" vertical="center" wrapText="1"/>
    </xf>
    <xf numFmtId="0" fontId="46" fillId="9" borderId="21" xfId="0" applyFont="1" applyFill="1" applyBorder="1" applyAlignment="1">
      <alignment horizontal="justify" vertical="center" wrapText="1"/>
    </xf>
    <xf numFmtId="0" fontId="61" fillId="0" borderId="8" xfId="0" applyFont="1" applyBorder="1" applyAlignment="1">
      <alignment vertical="center"/>
    </xf>
    <xf numFmtId="0" fontId="18" fillId="0" borderId="21" xfId="0" applyFont="1" applyBorder="1" applyAlignment="1">
      <alignment horizontal="left" vertical="center"/>
    </xf>
    <xf numFmtId="3" fontId="4" fillId="12" borderId="82" xfId="17" applyNumberFormat="1" applyFont="1" applyFill="1" applyBorder="1" applyAlignment="1">
      <alignment vertical="center"/>
    </xf>
    <xf numFmtId="49" fontId="18" fillId="0" borderId="4" xfId="0" applyNumberFormat="1" applyFont="1" applyBorder="1" applyAlignment="1">
      <alignment horizontal="center" vertical="center"/>
    </xf>
    <xf numFmtId="3" fontId="5" fillId="12" borderId="36" xfId="17" applyNumberFormat="1" applyFont="1" applyFill="1" applyBorder="1" applyAlignment="1">
      <alignment vertical="center"/>
    </xf>
    <xf numFmtId="3" fontId="4" fillId="12" borderId="59" xfId="17" applyNumberFormat="1" applyFont="1" applyFill="1" applyBorder="1" applyAlignment="1">
      <alignment vertical="center"/>
    </xf>
    <xf numFmtId="0" fontId="30" fillId="10" borderId="0" xfId="8" applyFont="1" applyFill="1" applyAlignment="1">
      <alignment wrapText="1"/>
    </xf>
    <xf numFmtId="3" fontId="30" fillId="0" borderId="0" xfId="8" applyNumberFormat="1" applyFont="1" applyAlignment="1">
      <alignment wrapText="1"/>
    </xf>
    <xf numFmtId="4" fontId="30" fillId="0" borderId="0" xfId="8" applyNumberFormat="1" applyFont="1" applyAlignment="1">
      <alignment horizontal="right"/>
    </xf>
    <xf numFmtId="3" fontId="30" fillId="6" borderId="0" xfId="8" applyNumberFormat="1" applyFont="1" applyFill="1" applyAlignment="1">
      <alignment wrapText="1"/>
    </xf>
    <xf numFmtId="4" fontId="30" fillId="6" borderId="0" xfId="8" applyNumberFormat="1" applyFont="1" applyFill="1" applyAlignment="1">
      <alignment horizontal="right"/>
    </xf>
    <xf numFmtId="3" fontId="50" fillId="6" borderId="0" xfId="8" applyNumberFormat="1" applyFont="1" applyFill="1" applyAlignment="1">
      <alignment wrapText="1"/>
    </xf>
    <xf numFmtId="0" fontId="3" fillId="0" borderId="0" xfId="1" applyFont="1" applyAlignment="1">
      <alignment horizontal="left"/>
    </xf>
    <xf numFmtId="0" fontId="0" fillId="0" borderId="0" xfId="0" applyAlignment="1">
      <alignment horizontal="left" vertical="center" indent="5"/>
    </xf>
    <xf numFmtId="0" fontId="63" fillId="0" borderId="0" xfId="0" applyFont="1" applyAlignment="1">
      <alignment horizontal="left" vertical="center" indent="1"/>
    </xf>
    <xf numFmtId="3" fontId="43" fillId="4" borderId="12" xfId="16" applyNumberFormat="1" applyFont="1" applyFill="1" applyBorder="1" applyAlignment="1">
      <alignment horizontal="center" vertical="center" wrapText="1"/>
    </xf>
    <xf numFmtId="1" fontId="19" fillId="0" borderId="0" xfId="0" applyNumberFormat="1" applyFont="1" applyAlignment="1">
      <alignment vertical="center" wrapText="1"/>
    </xf>
    <xf numFmtId="3" fontId="62" fillId="0" borderId="0" xfId="0" applyNumberFormat="1" applyFont="1" applyAlignment="1">
      <alignment vertical="center" wrapText="1"/>
    </xf>
    <xf numFmtId="0" fontId="5" fillId="4" borderId="40" xfId="13" applyFont="1" applyFill="1" applyBorder="1" applyAlignment="1">
      <alignment horizontal="center" vertical="center" wrapText="1"/>
    </xf>
    <xf numFmtId="0" fontId="5" fillId="4" borderId="41" xfId="13" applyFont="1" applyFill="1" applyBorder="1" applyAlignment="1">
      <alignment horizontal="center" vertical="center" wrapText="1"/>
    </xf>
    <xf numFmtId="3" fontId="5" fillId="4" borderId="42" xfId="13" applyNumberFormat="1" applyFont="1" applyFill="1" applyBorder="1" applyAlignment="1">
      <alignment horizontal="center" vertical="center" wrapText="1"/>
    </xf>
    <xf numFmtId="0" fontId="5" fillId="4" borderId="43" xfId="1" applyFont="1" applyFill="1" applyBorder="1" applyAlignment="1">
      <alignment horizontal="center" vertical="center" wrapText="1"/>
    </xf>
    <xf numFmtId="3" fontId="4" fillId="4" borderId="6" xfId="13" applyNumberFormat="1" applyFont="1" applyFill="1" applyBorder="1" applyAlignment="1">
      <alignment vertical="center"/>
    </xf>
    <xf numFmtId="3" fontId="4" fillId="4" borderId="22" xfId="13" applyNumberFormat="1" applyFont="1" applyFill="1" applyBorder="1" applyAlignment="1">
      <alignment vertical="center"/>
    </xf>
    <xf numFmtId="3" fontId="5" fillId="4" borderId="48" xfId="13" applyNumberFormat="1" applyFont="1" applyFill="1" applyBorder="1"/>
    <xf numFmtId="3" fontId="5" fillId="4" borderId="41" xfId="13" applyNumberFormat="1" applyFont="1" applyFill="1" applyBorder="1" applyAlignment="1">
      <alignment horizontal="center" vertical="center" wrapText="1"/>
    </xf>
    <xf numFmtId="3" fontId="4" fillId="4" borderId="51" xfId="13" applyNumberFormat="1" applyFont="1" applyFill="1" applyBorder="1" applyAlignment="1">
      <alignment vertical="center"/>
    </xf>
    <xf numFmtId="3" fontId="4" fillId="4" borderId="19" xfId="13" applyNumberFormat="1" applyFont="1" applyFill="1" applyBorder="1" applyAlignment="1">
      <alignment vertical="center"/>
    </xf>
    <xf numFmtId="3" fontId="4" fillId="4" borderId="45" xfId="13" applyNumberFormat="1" applyFont="1" applyFill="1" applyBorder="1" applyAlignment="1">
      <alignment vertical="center"/>
    </xf>
    <xf numFmtId="3" fontId="5" fillId="4" borderId="36" xfId="13" applyNumberFormat="1" applyFont="1" applyFill="1" applyBorder="1"/>
    <xf numFmtId="0" fontId="5" fillId="4" borderId="60" xfId="13" applyFont="1" applyFill="1" applyBorder="1" applyAlignment="1">
      <alignment horizontal="center" vertical="center" wrapText="1"/>
    </xf>
    <xf numFmtId="0" fontId="5" fillId="4" borderId="61" xfId="13" applyFont="1" applyFill="1" applyBorder="1" applyAlignment="1">
      <alignment horizontal="center" vertical="center" wrapText="1"/>
    </xf>
    <xf numFmtId="3" fontId="5" fillId="4" borderId="61" xfId="13" applyNumberFormat="1" applyFont="1" applyFill="1" applyBorder="1" applyAlignment="1">
      <alignment horizontal="center" vertical="center" wrapText="1"/>
    </xf>
    <xf numFmtId="3" fontId="4" fillId="4" borderId="6" xfId="13" applyNumberFormat="1" applyFont="1" applyFill="1" applyBorder="1" applyAlignment="1">
      <alignment horizontal="right" vertical="center"/>
    </xf>
    <xf numFmtId="3" fontId="5" fillId="4" borderId="16" xfId="1" applyNumberFormat="1" applyFont="1" applyFill="1" applyBorder="1" applyAlignment="1">
      <alignment wrapText="1"/>
    </xf>
    <xf numFmtId="0" fontId="5" fillId="4" borderId="17" xfId="1" applyFont="1" applyFill="1" applyBorder="1" applyAlignment="1">
      <alignment wrapText="1"/>
    </xf>
    <xf numFmtId="0" fontId="51" fillId="4" borderId="48" xfId="13" applyFont="1" applyFill="1" applyBorder="1"/>
    <xf numFmtId="0" fontId="51" fillId="4" borderId="67" xfId="1" applyFont="1" applyFill="1" applyBorder="1" applyAlignment="1">
      <alignment wrapText="1"/>
    </xf>
    <xf numFmtId="0" fontId="5" fillId="4" borderId="66" xfId="13" applyFont="1" applyFill="1" applyBorder="1" applyAlignment="1">
      <alignment horizontal="left"/>
    </xf>
    <xf numFmtId="0" fontId="5" fillId="4" borderId="35" xfId="13" applyFont="1" applyFill="1" applyBorder="1" applyAlignment="1">
      <alignment horizontal="left"/>
    </xf>
    <xf numFmtId="0" fontId="5" fillId="4" borderId="36" xfId="13" applyFont="1" applyFill="1" applyBorder="1"/>
    <xf numFmtId="3" fontId="51" fillId="4" borderId="59" xfId="13" applyNumberFormat="1" applyFont="1" applyFill="1" applyBorder="1"/>
    <xf numFmtId="0" fontId="51" fillId="4" borderId="59" xfId="1" applyFont="1" applyFill="1" applyBorder="1" applyAlignment="1">
      <alignment wrapText="1"/>
    </xf>
    <xf numFmtId="0" fontId="5" fillId="4" borderId="48" xfId="13" applyFont="1" applyFill="1" applyBorder="1"/>
    <xf numFmtId="0" fontId="51" fillId="4" borderId="83" xfId="13" applyFont="1" applyFill="1" applyBorder="1"/>
    <xf numFmtId="0" fontId="12" fillId="0" borderId="0" xfId="1" applyFont="1" applyAlignment="1">
      <alignment horizontal="center" wrapText="1"/>
    </xf>
    <xf numFmtId="0" fontId="12" fillId="0" borderId="0" xfId="1" applyFont="1" applyAlignment="1">
      <alignment horizontal="center"/>
    </xf>
    <xf numFmtId="0" fontId="3" fillId="0" borderId="0" xfId="1" applyFont="1" applyAlignment="1">
      <alignment horizontal="left" wrapText="1"/>
    </xf>
    <xf numFmtId="0" fontId="5" fillId="2" borderId="9" xfId="1" applyFont="1" applyFill="1" applyBorder="1" applyAlignment="1">
      <alignment vertical="center" wrapText="1"/>
    </xf>
    <xf numFmtId="0" fontId="5" fillId="2" borderId="10" xfId="1" applyFont="1" applyFill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1" fillId="0" borderId="5" xfId="1" applyBorder="1" applyAlignment="1">
      <alignment wrapText="1"/>
    </xf>
    <xf numFmtId="0" fontId="5" fillId="3" borderId="8" xfId="1" applyFont="1" applyFill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2" borderId="13" xfId="1" applyFont="1" applyFill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wrapText="1"/>
    </xf>
    <xf numFmtId="0" fontId="5" fillId="2" borderId="34" xfId="3" applyFont="1" applyFill="1" applyBorder="1" applyAlignment="1">
      <alignment horizontal="left" vertical="center" wrapText="1"/>
    </xf>
    <xf numFmtId="0" fontId="4" fillId="0" borderId="16" xfId="3" applyFont="1" applyBorder="1" applyAlignment="1">
      <alignment vertical="center"/>
    </xf>
    <xf numFmtId="0" fontId="5" fillId="2" borderId="4" xfId="3" applyFont="1" applyFill="1" applyBorder="1" applyAlignment="1">
      <alignment vertical="center" wrapText="1"/>
    </xf>
    <xf numFmtId="0" fontId="4" fillId="0" borderId="6" xfId="3" applyFont="1" applyBorder="1" applyAlignment="1">
      <alignment vertical="center"/>
    </xf>
    <xf numFmtId="0" fontId="5" fillId="2" borderId="8" xfId="3" applyFont="1" applyFill="1" applyBorder="1" applyAlignment="1">
      <alignment vertical="center" wrapText="1"/>
    </xf>
    <xf numFmtId="0" fontId="5" fillId="2" borderId="5" xfId="3" applyFont="1" applyFill="1" applyBorder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24" xfId="3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2" borderId="24" xfId="3" applyNumberFormat="1" applyFont="1" applyFill="1" applyBorder="1" applyAlignment="1">
      <alignment horizontal="center" vertical="center" wrapText="1"/>
    </xf>
    <xf numFmtId="4" fontId="5" fillId="2" borderId="19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/>
    </xf>
    <xf numFmtId="4" fontId="5" fillId="2" borderId="31" xfId="1" applyNumberFormat="1" applyFont="1" applyFill="1" applyBorder="1" applyAlignment="1">
      <alignment horizontal="center" vertical="center" wrapText="1"/>
    </xf>
    <xf numFmtId="0" fontId="16" fillId="0" borderId="25" xfId="1" applyFont="1" applyBorder="1" applyAlignment="1">
      <alignment vertical="center"/>
    </xf>
    <xf numFmtId="0" fontId="1" fillId="0" borderId="25" xfId="1" applyBorder="1" applyAlignment="1">
      <alignment vertical="center"/>
    </xf>
    <xf numFmtId="0" fontId="38" fillId="0" borderId="25" xfId="15" applyFont="1" applyBorder="1" applyAlignment="1">
      <alignment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3" fontId="5" fillId="4" borderId="13" xfId="16" applyNumberFormat="1" applyFont="1" applyFill="1" applyBorder="1" applyAlignment="1">
      <alignment horizontal="center" vertical="center" wrapText="1"/>
    </xf>
    <xf numFmtId="3" fontId="5" fillId="4" borderId="25" xfId="16" applyNumberFormat="1" applyFont="1" applyFill="1" applyBorder="1" applyAlignment="1">
      <alignment horizontal="center" vertical="center" wrapText="1"/>
    </xf>
    <xf numFmtId="3" fontId="5" fillId="4" borderId="26" xfId="16" applyNumberFormat="1" applyFont="1" applyFill="1" applyBorder="1" applyAlignment="1">
      <alignment horizontal="center" vertical="center" wrapText="1"/>
    </xf>
    <xf numFmtId="3" fontId="5" fillId="4" borderId="13" xfId="16" applyNumberFormat="1" applyFont="1" applyFill="1" applyBorder="1" applyAlignment="1">
      <alignment horizontal="center" vertical="center"/>
    </xf>
    <xf numFmtId="3" fontId="5" fillId="4" borderId="25" xfId="16" applyNumberFormat="1" applyFont="1" applyFill="1" applyBorder="1" applyAlignment="1">
      <alignment horizontal="center" vertical="center"/>
    </xf>
    <xf numFmtId="3" fontId="5" fillId="4" borderId="26" xfId="16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3" fontId="43" fillId="0" borderId="63" xfId="16" applyNumberFormat="1" applyFont="1" applyBorder="1" applyAlignment="1">
      <alignment horizontal="center" vertical="center" wrapText="1"/>
    </xf>
    <xf numFmtId="3" fontId="18" fillId="0" borderId="47" xfId="0" applyNumberFormat="1" applyFont="1" applyBorder="1" applyAlignment="1">
      <alignment horizontal="center" vertical="center" wrapText="1"/>
    </xf>
    <xf numFmtId="3" fontId="43" fillId="0" borderId="24" xfId="16" applyNumberFormat="1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3" fontId="19" fillId="4" borderId="31" xfId="0" applyNumberFormat="1" applyFont="1" applyFill="1" applyBorder="1" applyAlignment="1">
      <alignment horizontal="center" vertical="center" wrapText="1"/>
    </xf>
    <xf numFmtId="3" fontId="44" fillId="4" borderId="14" xfId="0" applyNumberFormat="1" applyFont="1" applyFill="1" applyBorder="1" applyAlignment="1">
      <alignment horizontal="center" vertical="center" wrapText="1"/>
    </xf>
    <xf numFmtId="3" fontId="19" fillId="4" borderId="14" xfId="0" applyNumberFormat="1" applyFont="1" applyFill="1" applyBorder="1" applyAlignment="1">
      <alignment horizontal="center" vertical="center" wrapText="1"/>
    </xf>
    <xf numFmtId="3" fontId="44" fillId="4" borderId="2" xfId="0" applyNumberFormat="1" applyFont="1" applyFill="1" applyBorder="1" applyAlignment="1">
      <alignment horizontal="center" vertical="center" wrapText="1"/>
    </xf>
    <xf numFmtId="3" fontId="19" fillId="4" borderId="25" xfId="0" applyNumberFormat="1" applyFont="1" applyFill="1" applyBorder="1" applyAlignment="1">
      <alignment horizontal="center" vertical="center" wrapText="1"/>
    </xf>
    <xf numFmtId="3" fontId="19" fillId="4" borderId="26" xfId="0" applyNumberFormat="1" applyFont="1" applyFill="1" applyBorder="1" applyAlignment="1">
      <alignment horizontal="center" vertical="center" wrapText="1"/>
    </xf>
    <xf numFmtId="0" fontId="61" fillId="12" borderId="8" xfId="17" applyFont="1" applyFill="1" applyBorder="1" applyAlignment="1">
      <alignment horizontal="left" vertical="center" wrapText="1"/>
    </xf>
    <xf numFmtId="0" fontId="61" fillId="12" borderId="32" xfId="17" applyFont="1" applyFill="1" applyBorder="1" applyAlignment="1">
      <alignment horizontal="left" vertical="center" wrapText="1"/>
    </xf>
    <xf numFmtId="0" fontId="61" fillId="12" borderId="5" xfId="17" applyFont="1" applyFill="1" applyBorder="1" applyAlignment="1">
      <alignment horizontal="left" vertical="center" wrapText="1"/>
    </xf>
    <xf numFmtId="0" fontId="61" fillId="12" borderId="9" xfId="17" applyFont="1" applyFill="1" applyBorder="1" applyAlignment="1">
      <alignment horizontal="left" vertical="center" wrapText="1"/>
    </xf>
    <xf numFmtId="0" fontId="61" fillId="12" borderId="62" xfId="17" applyFont="1" applyFill="1" applyBorder="1" applyAlignment="1">
      <alignment horizontal="left" vertical="center" wrapText="1"/>
    </xf>
    <xf numFmtId="0" fontId="61" fillId="12" borderId="10" xfId="17" applyFont="1" applyFill="1" applyBorder="1" applyAlignment="1">
      <alignment horizontal="left" vertical="center" wrapText="1"/>
    </xf>
    <xf numFmtId="0" fontId="61" fillId="12" borderId="15" xfId="17" applyFont="1" applyFill="1" applyBorder="1" applyAlignment="1">
      <alignment horizontal="left" vertical="center" wrapText="1"/>
    </xf>
    <xf numFmtId="0" fontId="61" fillId="12" borderId="30" xfId="17" applyFont="1" applyFill="1" applyBorder="1" applyAlignment="1">
      <alignment horizontal="left" vertical="center" wrapText="1"/>
    </xf>
    <xf numFmtId="0" fontId="61" fillId="12" borderId="68" xfId="17" applyFont="1" applyFill="1" applyBorder="1" applyAlignment="1">
      <alignment horizontal="left" vertical="center" wrapText="1"/>
    </xf>
    <xf numFmtId="0" fontId="2" fillId="0" borderId="0" xfId="17" applyFont="1" applyAlignment="1">
      <alignment horizontal="center" vertical="center" wrapText="1"/>
    </xf>
    <xf numFmtId="0" fontId="61" fillId="0" borderId="72" xfId="17" applyFont="1" applyBorder="1" applyAlignment="1">
      <alignment horizontal="center" vertical="center" wrapText="1"/>
    </xf>
    <xf numFmtId="0" fontId="61" fillId="0" borderId="35" xfId="17" applyFont="1" applyBorder="1" applyAlignment="1">
      <alignment horizontal="center" vertical="center" wrapText="1"/>
    </xf>
    <xf numFmtId="165" fontId="61" fillId="12" borderId="77" xfId="17" applyNumberFormat="1" applyFont="1" applyFill="1" applyBorder="1" applyAlignment="1">
      <alignment horizontal="center" vertical="center" wrapText="1"/>
    </xf>
    <xf numFmtId="165" fontId="61" fillId="12" borderId="71" xfId="17" applyNumberFormat="1" applyFont="1" applyFill="1" applyBorder="1" applyAlignment="1">
      <alignment horizontal="center" vertical="center" wrapText="1"/>
    </xf>
    <xf numFmtId="3" fontId="19" fillId="0" borderId="31" xfId="18" applyNumberFormat="1" applyFont="1" applyBorder="1" applyAlignment="1">
      <alignment horizontal="center" vertical="center" wrapText="1"/>
    </xf>
    <xf numFmtId="3" fontId="19" fillId="0" borderId="25" xfId="18" applyNumberFormat="1" applyFont="1" applyBorder="1" applyAlignment="1">
      <alignment horizontal="center" vertical="center" wrapText="1"/>
    </xf>
    <xf numFmtId="3" fontId="19" fillId="0" borderId="14" xfId="18" applyNumberFormat="1" applyFont="1" applyBorder="1" applyAlignment="1">
      <alignment horizontal="center" vertical="center" wrapText="1"/>
    </xf>
    <xf numFmtId="0" fontId="5" fillId="12" borderId="13" xfId="17" applyFont="1" applyFill="1" applyBorder="1" applyAlignment="1">
      <alignment horizontal="center" vertical="center" wrapText="1"/>
    </xf>
    <xf numFmtId="0" fontId="5" fillId="12" borderId="25" xfId="17" applyFont="1" applyFill="1" applyBorder="1" applyAlignment="1">
      <alignment horizontal="center" vertical="center" wrapText="1"/>
    </xf>
    <xf numFmtId="0" fontId="5" fillId="12" borderId="26" xfId="17" applyFont="1" applyFill="1" applyBorder="1" applyAlignment="1">
      <alignment horizontal="center" vertical="center" wrapText="1"/>
    </xf>
    <xf numFmtId="0" fontId="61" fillId="0" borderId="8" xfId="17" applyFont="1" applyBorder="1" applyAlignment="1">
      <alignment horizontal="left" vertical="center" wrapText="1"/>
    </xf>
    <xf numFmtId="0" fontId="61" fillId="0" borderId="32" xfId="17" applyFont="1" applyBorder="1" applyAlignment="1">
      <alignment horizontal="left" vertical="center" wrapText="1"/>
    </xf>
    <xf numFmtId="0" fontId="61" fillId="0" borderId="21" xfId="17" applyFont="1" applyBorder="1" applyAlignment="1">
      <alignment horizontal="left" vertical="center" wrapText="1"/>
    </xf>
    <xf numFmtId="0" fontId="61" fillId="12" borderId="27" xfId="17" applyFont="1" applyFill="1" applyBorder="1" applyAlignment="1">
      <alignment horizontal="left" vertical="center" wrapText="1"/>
    </xf>
    <xf numFmtId="0" fontId="61" fillId="12" borderId="28" xfId="17" applyFont="1" applyFill="1" applyBorder="1" applyAlignment="1">
      <alignment horizontal="left" vertical="center" wrapText="1"/>
    </xf>
    <xf numFmtId="0" fontId="61" fillId="12" borderId="73" xfId="17" applyFont="1" applyFill="1" applyBorder="1" applyAlignment="1">
      <alignment horizontal="left" vertical="center" wrapText="1"/>
    </xf>
    <xf numFmtId="3" fontId="5" fillId="12" borderId="9" xfId="17" applyNumberFormat="1" applyFont="1" applyFill="1" applyBorder="1" applyAlignment="1">
      <alignment horizontal="left" vertical="center" wrapText="1"/>
    </xf>
    <xf numFmtId="3" fontId="5" fillId="12" borderId="62" xfId="17" applyNumberFormat="1" applyFont="1" applyFill="1" applyBorder="1" applyAlignment="1">
      <alignment horizontal="left" vertical="center" wrapText="1"/>
    </xf>
    <xf numFmtId="3" fontId="5" fillId="12" borderId="10" xfId="17" applyNumberFormat="1" applyFont="1" applyFill="1" applyBorder="1" applyAlignment="1">
      <alignment horizontal="left" vertical="center" wrapText="1"/>
    </xf>
    <xf numFmtId="49" fontId="65" fillId="9" borderId="0" xfId="0" applyNumberFormat="1" applyFont="1" applyFill="1" applyAlignment="1">
      <alignment horizontal="center" vertical="center"/>
    </xf>
    <xf numFmtId="3" fontId="5" fillId="12" borderId="8" xfId="17" applyNumberFormat="1" applyFont="1" applyFill="1" applyBorder="1" applyAlignment="1">
      <alignment horizontal="left" vertical="center"/>
    </xf>
    <xf numFmtId="3" fontId="5" fillId="12" borderId="32" xfId="17" applyNumberFormat="1" applyFont="1" applyFill="1" applyBorder="1" applyAlignment="1">
      <alignment horizontal="left" vertical="center"/>
    </xf>
    <xf numFmtId="3" fontId="5" fillId="12" borderId="5" xfId="17" applyNumberFormat="1" applyFont="1" applyFill="1" applyBorder="1" applyAlignment="1">
      <alignment horizontal="left" vertical="center"/>
    </xf>
    <xf numFmtId="3" fontId="5" fillId="12" borderId="81" xfId="17" applyNumberFormat="1" applyFont="1" applyFill="1" applyBorder="1" applyAlignment="1">
      <alignment horizontal="left" vertical="center"/>
    </xf>
    <xf numFmtId="3" fontId="5" fillId="12" borderId="80" xfId="17" applyNumberFormat="1" applyFont="1" applyFill="1" applyBorder="1" applyAlignment="1">
      <alignment horizontal="left" vertical="center"/>
    </xf>
    <xf numFmtId="3" fontId="5" fillId="12" borderId="70" xfId="17" applyNumberFormat="1" applyFont="1" applyFill="1" applyBorder="1" applyAlignment="1">
      <alignment horizontal="left" vertical="center"/>
    </xf>
    <xf numFmtId="0" fontId="4" fillId="0" borderId="29" xfId="13" applyFont="1" applyBorder="1" applyAlignment="1">
      <alignment horizontal="center" vertical="center" wrapText="1"/>
    </xf>
    <xf numFmtId="0" fontId="4" fillId="0" borderId="55" xfId="13" applyFont="1" applyBorder="1" applyAlignment="1">
      <alignment horizontal="center" vertical="center" wrapText="1"/>
    </xf>
    <xf numFmtId="0" fontId="4" fillId="0" borderId="22" xfId="14" applyFont="1" applyBorder="1" applyAlignment="1">
      <alignment vertical="center" wrapText="1"/>
    </xf>
    <xf numFmtId="0" fontId="4" fillId="0" borderId="46" xfId="14" applyFont="1" applyBorder="1" applyAlignment="1">
      <alignment vertical="center" wrapText="1"/>
    </xf>
    <xf numFmtId="0" fontId="5" fillId="4" borderId="34" xfId="13" applyFont="1" applyFill="1" applyBorder="1" applyAlignment="1">
      <alignment horizontal="left"/>
    </xf>
    <xf numFmtId="0" fontId="5" fillId="4" borderId="16" xfId="13" applyFont="1" applyFill="1" applyBorder="1" applyAlignment="1">
      <alignment horizontal="left"/>
    </xf>
    <xf numFmtId="0" fontId="4" fillId="0" borderId="4" xfId="13" applyFont="1" applyBorder="1" applyAlignment="1">
      <alignment horizontal="center" vertical="center" wrapText="1"/>
    </xf>
    <xf numFmtId="0" fontId="4" fillId="0" borderId="6" xfId="14" applyFont="1" applyBorder="1" applyAlignment="1">
      <alignment vertical="center" wrapText="1"/>
    </xf>
    <xf numFmtId="0" fontId="4" fillId="0" borderId="37" xfId="13" applyFont="1" applyBorder="1" applyAlignment="1">
      <alignment horizontal="center" vertical="center" wrapText="1"/>
    </xf>
    <xf numFmtId="0" fontId="4" fillId="0" borderId="53" xfId="14" applyFont="1" applyBorder="1" applyAlignment="1">
      <alignment vertical="center" wrapText="1"/>
    </xf>
    <xf numFmtId="0" fontId="4" fillId="0" borderId="29" xfId="13" applyFont="1" applyBorder="1" applyAlignment="1">
      <alignment horizontal="center" vertical="center"/>
    </xf>
    <xf numFmtId="0" fontId="4" fillId="0" borderId="37" xfId="13" applyFont="1" applyBorder="1" applyAlignment="1">
      <alignment horizontal="center" vertical="center"/>
    </xf>
    <xf numFmtId="0" fontId="4" fillId="0" borderId="54" xfId="13" applyFont="1" applyBorder="1" applyAlignment="1">
      <alignment horizontal="center" vertical="center"/>
    </xf>
    <xf numFmtId="0" fontId="4" fillId="0" borderId="19" xfId="14" applyFont="1" applyBorder="1" applyAlignment="1">
      <alignment vertical="center" wrapText="1"/>
    </xf>
    <xf numFmtId="0" fontId="4" fillId="0" borderId="54" xfId="13" applyFont="1" applyBorder="1" applyAlignment="1">
      <alignment horizontal="center" vertical="center" wrapText="1"/>
    </xf>
    <xf numFmtId="0" fontId="4" fillId="0" borderId="4" xfId="13" applyFont="1" applyBorder="1" applyAlignment="1">
      <alignment horizontal="center" vertical="center"/>
    </xf>
    <xf numFmtId="0" fontId="4" fillId="0" borderId="6" xfId="14" applyFont="1" applyBorder="1" applyAlignment="1">
      <alignment horizontal="left" vertical="center" wrapText="1"/>
    </xf>
    <xf numFmtId="0" fontId="4" fillId="0" borderId="22" xfId="14" applyFont="1" applyBorder="1" applyAlignment="1">
      <alignment horizontal="left" vertical="center" wrapText="1"/>
    </xf>
    <xf numFmtId="0" fontId="4" fillId="0" borderId="53" xfId="14" applyFont="1" applyBorder="1" applyAlignment="1">
      <alignment horizontal="left" vertical="center" wrapText="1"/>
    </xf>
    <xf numFmtId="0" fontId="4" fillId="0" borderId="19" xfId="14" applyFont="1" applyBorder="1" applyAlignment="1">
      <alignment horizontal="left" vertical="center" wrapText="1"/>
    </xf>
    <xf numFmtId="0" fontId="2" fillId="0" borderId="0" xfId="13" applyFont="1" applyAlignment="1">
      <alignment horizontal="center" vertical="center"/>
    </xf>
    <xf numFmtId="0" fontId="4" fillId="0" borderId="49" xfId="13" applyFont="1" applyBorder="1" applyAlignment="1">
      <alignment horizontal="center" vertical="center" wrapText="1"/>
    </xf>
    <xf numFmtId="0" fontId="4" fillId="0" borderId="50" xfId="14" applyFont="1" applyBorder="1" applyAlignment="1">
      <alignment horizontal="left" vertical="center" wrapText="1"/>
    </xf>
    <xf numFmtId="0" fontId="28" fillId="0" borderId="28" xfId="8" applyFont="1" applyBorder="1" applyAlignment="1">
      <alignment horizontal="center"/>
    </xf>
    <xf numFmtId="3" fontId="5" fillId="12" borderId="8" xfId="17" applyNumberFormat="1" applyFont="1" applyFill="1" applyBorder="1" applyAlignment="1">
      <alignment horizontal="left" vertical="center" wrapText="1"/>
    </xf>
    <xf numFmtId="3" fontId="5" fillId="12" borderId="32" xfId="17" applyNumberFormat="1" applyFont="1" applyFill="1" applyBorder="1" applyAlignment="1">
      <alignment horizontal="left" vertical="center" wrapText="1"/>
    </xf>
    <xf numFmtId="3" fontId="5" fillId="12" borderId="5" xfId="17" applyNumberFormat="1" applyFont="1" applyFill="1" applyBorder="1" applyAlignment="1">
      <alignment horizontal="left" vertical="center" wrapText="1"/>
    </xf>
  </cellXfs>
  <cellStyles count="20">
    <cellStyle name="Normální" xfId="0" builtinId="0"/>
    <cellStyle name="Normální 11 2 2" xfId="18" xr:uid="{88E29D3B-8364-4C97-904C-4C9FDB47970A}"/>
    <cellStyle name="Normální 12" xfId="17" xr:uid="{9B34A9AD-DF13-4EF1-9977-2247FFD022BA}"/>
    <cellStyle name="Normální 2" xfId="1" xr:uid="{00000000-0005-0000-0000-000001000000}"/>
    <cellStyle name="Normální 2 2" xfId="16" xr:uid="{BDA3D37D-CB00-4239-AFEC-DFC7951A1F86}"/>
    <cellStyle name="Normální 2 3" xfId="19" xr:uid="{3966CAE2-0A5D-4ABC-847C-3129476A482B}"/>
    <cellStyle name="Normální 3" xfId="2" xr:uid="{00000000-0005-0000-0000-000002000000}"/>
    <cellStyle name="Normální 3 2" xfId="6" xr:uid="{00000000-0005-0000-0000-000003000000}"/>
    <cellStyle name="Normální 3 2 2" xfId="15" xr:uid="{00000000-0005-0000-0000-000004000000}"/>
    <cellStyle name="Normální 4" xfId="7" xr:uid="{00000000-0005-0000-0000-000005000000}"/>
    <cellStyle name="Normální 4 2" xfId="11" xr:uid="{00000000-0005-0000-0000-000006000000}"/>
    <cellStyle name="Normální 4 3" xfId="12" xr:uid="{00000000-0005-0000-0000-000007000000}"/>
    <cellStyle name="normální_10_BILANCEE" xfId="10" xr:uid="{00000000-0005-0000-0000-000008000000}"/>
    <cellStyle name="normální_Akce EU - tabulka" xfId="5" xr:uid="{00000000-0005-0000-0000-000009000000}"/>
    <cellStyle name="normální_EU akce-upr 2" xfId="3" xr:uid="{00000000-0005-0000-0000-00000B000000}"/>
    <cellStyle name="normální_Metodika k RS od 1.5.2005" xfId="14" xr:uid="{00000000-0005-0000-0000-00000C000000}"/>
    <cellStyle name="normální_Rozborová tab. příjmů" xfId="13" xr:uid="{00000000-0005-0000-0000-00000D000000}"/>
    <cellStyle name="normální_Rozpočet 12-2005 - Grafy" xfId="8" xr:uid="{00000000-0005-0000-0000-00000E000000}"/>
    <cellStyle name="normální_Výroční zpráva 2002" xfId="9" xr:uid="{00000000-0005-0000-0000-00000F000000}"/>
    <cellStyle name="Procenta 2" xfId="4" xr:uid="{00000000-0005-0000-0000-000010000000}"/>
  </cellStyles>
  <dxfs count="0"/>
  <tableStyles count="0" defaultTableStyle="TableStyleMedium2" defaultPivotStyle="PivotStyleLight16"/>
  <colors>
    <mruColors>
      <color rgb="FFFFCC99"/>
      <color rgb="FFE2AA00"/>
      <color rgb="FF5089BC"/>
      <color rgb="FFF1A78A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23" Type="http://schemas.openxmlformats.org/officeDocument/2006/relationships/calcChain" Target="calcChain.xml"/><Relationship Id="rId10" Type="http://schemas.openxmlformats.org/officeDocument/2006/relationships/chartsheet" Target="chartsheets/sheet2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0416666666666666E-2"/>
          <c:y val="1.6835016835016835E-2"/>
          <c:w val="0.97916666666666663"/>
          <c:h val="0.9663299663299663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006128"/>
        <c:axId val="449009656"/>
      </c:barChart>
      <c:catAx>
        <c:axId val="449006128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9656"/>
        <c:crosses val="autoZero"/>
        <c:auto val="1"/>
        <c:lblAlgn val="ctr"/>
        <c:lblOffset val="100"/>
        <c:tickMarkSkip val="1"/>
        <c:noMultiLvlLbl val="0"/>
      </c:catAx>
      <c:valAx>
        <c:axId val="4490096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4490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/>
              <a:t>Graf č. 1 - Rozpočet Moravskoslezského kraje v letech 2020 až 2023, 
návrh rozpočtu Moravskoslezského kraje na rok 2024</a:t>
            </a:r>
          </a:p>
        </c:rich>
      </c:tx>
      <c:layout>
        <c:manualLayout>
          <c:xMode val="edge"/>
          <c:yMode val="edge"/>
          <c:x val="0.24957556693041849"/>
          <c:y val="8.8183279883101984E-3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5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228155339805825"/>
          <c:y val="9.3474587802076098E-2"/>
          <c:w val="0.86286407766990292"/>
          <c:h val="0.8183435611351568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'Zdrojová data I.s'!$A$9</c:f>
              <c:strCache>
                <c:ptCount val="1"/>
                <c:pt idx="0">
                  <c:v>Schválený rozpočet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4597339478434378E-2"/>
                  <c:y val="-2.6679205659912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9-45D2-8A5A-1F72D2BEC06E}"/>
                </c:ext>
              </c:extLst>
            </c:dLbl>
            <c:dLbl>
              <c:idx val="1"/>
              <c:layout>
                <c:manualLayout>
                  <c:x val="1.460043663353019E-2"/>
                  <c:y val="-6.67098442193818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9-45D2-8A5A-1F72D2BEC06E}"/>
                </c:ext>
              </c:extLst>
            </c:dLbl>
            <c:dLbl>
              <c:idx val="2"/>
              <c:layout>
                <c:manualLayout>
                  <c:x val="1.62227073705891E-2"/>
                  <c:y val="-3.5578583583670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9-45D2-8A5A-1F72D2BEC06E}"/>
                </c:ext>
              </c:extLst>
            </c:dLbl>
            <c:dLbl>
              <c:idx val="3"/>
              <c:layout>
                <c:manualLayout>
                  <c:x val="1.6232357376692558E-2"/>
                  <c:y val="-3.77947275392271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9-45D2-8A5A-1F72D2BEC06E}"/>
                </c:ext>
              </c:extLst>
            </c:dLbl>
            <c:dLbl>
              <c:idx val="4"/>
              <c:layout>
                <c:manualLayout>
                  <c:x val="1.6216956833142455E-2"/>
                  <c:y val="-4.887547913363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AF-4A42-AB96-670C864D6B7F}"/>
                </c:ext>
              </c:extLst>
            </c:dLbl>
            <c:dLbl>
              <c:idx val="5"/>
              <c:layout>
                <c:manualLayout>
                  <c:x val="1.6095927793840434E-2"/>
                  <c:y val="-3.78855726861143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9-45D2-8A5A-1F72D2BEC06E}"/>
                </c:ext>
              </c:extLst>
            </c:dLbl>
            <c:dLbl>
              <c:idx val="6"/>
              <c:layout>
                <c:manualLayout>
                  <c:x val="1.241153876459118E-2"/>
                  <c:y val="-1.9987790910149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9-45D2-8A5A-1F72D2BEC06E}"/>
                </c:ext>
              </c:extLst>
            </c:dLbl>
            <c:dLbl>
              <c:idx val="7"/>
              <c:layout>
                <c:manualLayout>
                  <c:x val="1.4566491517525698E-2"/>
                  <c:y val="-7.07496630658942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I.s'!$U$8:$Y$8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'Zdrojová data I.s'!$U$9:$Y$9</c:f>
              <c:numCache>
                <c:formatCode>#,##0</c:formatCode>
                <c:ptCount val="5"/>
                <c:pt idx="0">
                  <c:v>10787896</c:v>
                </c:pt>
                <c:pt idx="1">
                  <c:v>9863084</c:v>
                </c:pt>
                <c:pt idx="2">
                  <c:v>11993157</c:v>
                </c:pt>
                <c:pt idx="3">
                  <c:v>14892238</c:v>
                </c:pt>
                <c:pt idx="4">
                  <c:v>15502013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9-45D2-8A5A-1F72D2BEC06E}"/>
            </c:ext>
          </c:extLst>
        </c:ser>
        <c:ser>
          <c:idx val="1"/>
          <c:order val="1"/>
          <c:tx>
            <c:strRef>
              <c:f>'Zdrojová data I.s'!$A$10</c:f>
              <c:strCache>
                <c:ptCount val="1"/>
                <c:pt idx="0">
                  <c:v>Schválený rozpočet - státní dotace</c:v>
                </c:pt>
              </c:strCache>
            </c:strRef>
          </c:tx>
          <c:spPr>
            <a:pattFill prst="dkUpDiag">
              <a:fgClr>
                <a:srgbClr val="9999FF"/>
              </a:fgClr>
              <a:bgClr>
                <a:schemeClr val="bg1"/>
              </a:bgClr>
            </a:pattFill>
            <a:ln w="12700">
              <a:solidFill>
                <a:sysClr val="windowText" lastClr="000000"/>
              </a:solidFill>
              <a:extLst>
                <a:ext uri="{C807C97D-BFC1-408E-A445-0C87EB9F89A2}">
                  <ask:lineSketchStyleProps xmlns:ask="http://schemas.microsoft.com/office/drawing/2018/sketchyshapes">
                    <ask:type>
                      <ask:lineSketchNone/>
                    </ask:type>
                  </ask:lineSketchStyleProps>
                </a:ext>
              </a:extLst>
            </a:ln>
          </c:spPr>
          <c:invertIfNegative val="0"/>
          <c:dLbls>
            <c:dLbl>
              <c:idx val="4"/>
              <c:layout>
                <c:manualLayout>
                  <c:x val="1.4595261149828209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AF-4A42-AB96-670C864D6B7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I.s'!$U$8:$Y$8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'Zdrojová data I.s'!$U$10:$Y$10</c:f>
              <c:numCache>
                <c:formatCode>#,##0</c:formatCode>
                <c:ptCount val="5"/>
                <c:pt idx="4">
                  <c:v>23978940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89-45D2-8A5A-1F72D2BEC06E}"/>
            </c:ext>
          </c:extLst>
        </c:ser>
        <c:ser>
          <c:idx val="2"/>
          <c:order val="2"/>
          <c:tx>
            <c:strRef>
              <c:f>'Zdrojová data I.s'!$A$11</c:f>
              <c:strCache>
                <c:ptCount val="1"/>
                <c:pt idx="0">
                  <c:v>Úprava rozpočtu</c:v>
                </c:pt>
              </c:strCache>
            </c:strRef>
          </c:tx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216956833142455E-2"/>
                  <c:y val="-8.145819087741792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D9-468F-B22A-244A55F59BC7}"/>
                </c:ext>
              </c:extLst>
            </c:dLbl>
            <c:dLbl>
              <c:idx val="1"/>
              <c:layout>
                <c:manualLayout>
                  <c:x val="1.2978165896471281E-2"/>
                  <c:y val="-8.8946458959175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45-4809-9B3C-7F1DB82D7CC1}"/>
                </c:ext>
              </c:extLst>
            </c:dLbl>
            <c:dLbl>
              <c:idx val="2"/>
              <c:layout>
                <c:manualLayout>
                  <c:x val="9.7394144260154157E-3"/>
                  <c:y val="-8.151709809801652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89-45D2-8A5A-1F72D2BEC06E}"/>
                </c:ext>
              </c:extLst>
            </c:dLbl>
            <c:dLbl>
              <c:idx val="3"/>
              <c:layout>
                <c:manualLayout>
                  <c:x val="1.1351869783199717E-2"/>
                  <c:y val="-4.44322537578491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9-45D2-8A5A-1F72D2BEC06E}"/>
                </c:ext>
              </c:extLst>
            </c:dLbl>
            <c:dLbl>
              <c:idx val="5"/>
              <c:layout>
                <c:manualLayout>
                  <c:x val="2.2733093153023451E-2"/>
                  <c:y val="-3.85987347576876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9-45D2-8A5A-1F72D2BEC06E}"/>
                </c:ext>
              </c:extLst>
            </c:dLbl>
            <c:dLbl>
              <c:idx val="6"/>
              <c:layout>
                <c:manualLayout>
                  <c:x val="1.6192234204475534E-2"/>
                  <c:y val="-3.300054994729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9-45D2-8A5A-1F72D2BEC06E}"/>
                </c:ext>
              </c:extLst>
            </c:dLbl>
            <c:dLbl>
              <c:idx val="7"/>
              <c:layout>
                <c:manualLayout>
                  <c:x val="1.6182565570526341E-2"/>
                  <c:y val="-2.0089777294819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9-45D2-8A5A-1F72D2BEC06E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'Zdrojová data I.s'!$U$8:$Y$8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'Zdrojová data I.s'!$U$11:$Y$11</c:f>
              <c:numCache>
                <c:formatCode>#,##0</c:formatCode>
                <c:ptCount val="5"/>
                <c:pt idx="0">
                  <c:v>21851874</c:v>
                </c:pt>
                <c:pt idx="1">
                  <c:v>25796612</c:v>
                </c:pt>
                <c:pt idx="2">
                  <c:v>27157982</c:v>
                </c:pt>
                <c:pt idx="3">
                  <c:v>28958484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89-45D2-8A5A-1F72D2BEC06E}"/>
            </c:ext>
          </c:extLst>
        </c:ser>
        <c:ser>
          <c:idx val="3"/>
          <c:order val="3"/>
          <c:tx>
            <c:strRef>
              <c:f>'Zdrojová data I.s'!$A$12</c:f>
              <c:strCache>
                <c:ptCount val="1"/>
                <c:pt idx="0">
                  <c:v>Očekávané účelové dotace a převody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78411926958642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23-40D5-88D4-08C8F1B364D5}"/>
                </c:ext>
              </c:extLst>
            </c:dLbl>
            <c:dLbl>
              <c:idx val="1"/>
              <c:layout>
                <c:manualLayout>
                  <c:x val="1.7844978107648009E-2"/>
                  <c:y val="-4.44732294795879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23-40D5-88D4-08C8F1B364D5}"/>
                </c:ext>
              </c:extLst>
            </c:dLbl>
            <c:dLbl>
              <c:idx val="2"/>
              <c:layout>
                <c:manualLayout>
                  <c:x val="1.784497810764800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23-40D5-88D4-08C8F1B364D5}"/>
                </c:ext>
              </c:extLst>
            </c:dLbl>
            <c:dLbl>
              <c:idx val="3"/>
              <c:layout>
                <c:manualLayout>
                  <c:x val="1.9478828852031071E-2"/>
                  <c:y val="-1.7785754136106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23-40D5-88D4-08C8F1B364D5}"/>
                </c:ext>
              </c:extLst>
            </c:dLbl>
            <c:dLbl>
              <c:idx val="4"/>
              <c:layout>
                <c:manualLayout>
                  <c:x val="1.1351869783199599E-2"/>
                  <c:y val="0"/>
                </c:manualLayout>
              </c:layout>
              <c:spPr>
                <a:solidFill>
                  <a:srgbClr val="FFFFFF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500"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AF-4A42-AB96-670C864D6B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'Zdrojová data I.s'!$U$8:$Y$8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'Zdrojová data I.s'!$U$12:$Y$12</c:f>
              <c:numCache>
                <c:formatCode>#,##0</c:formatCode>
                <c:ptCount val="5"/>
                <c:pt idx="4">
                  <c:v>4537430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F-4A42-AB96-670C864D6B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449007696"/>
        <c:axId val="449008088"/>
        <c:axId val="0"/>
      </c:bar3DChart>
      <c:catAx>
        <c:axId val="449007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rok</a:t>
                </a:r>
              </a:p>
            </c:rich>
          </c:tx>
          <c:layout>
            <c:manualLayout>
              <c:xMode val="edge"/>
              <c:yMode val="edge"/>
              <c:x val="0.51699029126213591"/>
              <c:y val="0.932982206552797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8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08088"/>
        <c:scaling>
          <c:orientation val="minMax"/>
          <c:max val="50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8.4951069418405627E-3"/>
              <c:y val="0.5016262980914900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7696"/>
        <c:crosses val="autoZero"/>
        <c:crossBetween val="between"/>
        <c:minorUnit val="59343.89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568806696300708"/>
          <c:y val="0.96296462150818019"/>
          <c:w val="0.84735948996521537"/>
          <c:h val="3.70353330879646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2 - Schválený rozpočet příjmů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příjmů Moravskoslezského kraje na rok 2023</a:t>
            </a:r>
            <a:endParaRPr lang="cs-CZ" sz="16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přijaté dotace, daňové, nedaňové a kapitálové příjmy</a:t>
            </a:r>
          </a:p>
        </c:rich>
      </c:tx>
      <c:layout>
        <c:manualLayout>
          <c:xMode val="edge"/>
          <c:yMode val="edge"/>
          <c:x val="0.15659722222222222"/>
          <c:y val="0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0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436126311786189E-2"/>
          <c:y val="8.1159130600326396E-2"/>
          <c:w val="0.89828570414572961"/>
          <c:h val="0.8599504823871100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9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C-47BD-9D51-7B7374AF2AA1}"/>
                </c:ext>
              </c:extLst>
            </c:dLbl>
            <c:dLbl>
              <c:idx val="1"/>
              <c:layout>
                <c:manualLayout>
                  <c:x val="1.1146838532777733E-2"/>
                  <c:y val="-2.1241830885254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C-47BD-9D51-7B7374AF2AA1}"/>
                </c:ext>
              </c:extLst>
            </c:dLbl>
            <c:dLbl>
              <c:idx val="2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C-47BD-9D51-7B7374AF2AA1}"/>
                </c:ext>
              </c:extLst>
            </c:dLbl>
            <c:dLbl>
              <c:idx val="3"/>
              <c:layout>
                <c:manualLayout>
                  <c:x val="8.36012889958332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C-47BD-9D51-7B7374AF2AA1}"/>
                </c:ext>
              </c:extLst>
            </c:dLbl>
            <c:dLbl>
              <c:idx val="4"/>
              <c:layout>
                <c:manualLayout>
                  <c:x val="1.11468385327775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EB-4957-8B63-E3CB59512482}"/>
                </c:ext>
              </c:extLst>
            </c:dLbl>
            <c:dLbl>
              <c:idx val="5"/>
              <c:layout>
                <c:manualLayout>
                  <c:x val="1.8356736657917719E-2"/>
                  <c:y val="-8.94815140199064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FC-47BD-9D51-7B7374AF2AA1}"/>
                </c:ext>
              </c:extLst>
            </c:dLbl>
            <c:dLbl>
              <c:idx val="6"/>
              <c:layout>
                <c:manualLayout>
                  <c:x val="9.737827879455988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s'!$T$10:$X$10</c:f>
              <c:numCache>
                <c:formatCode>#,##0</c:formatCode>
                <c:ptCount val="5"/>
                <c:pt idx="0">
                  <c:v>7030550</c:v>
                </c:pt>
                <c:pt idx="1">
                  <c:v>7340300</c:v>
                </c:pt>
                <c:pt idx="2">
                  <c:v>6307200</c:v>
                </c:pt>
                <c:pt idx="3">
                  <c:v>7283700</c:v>
                </c:pt>
                <c:pt idx="4">
                  <c:v>8580950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9FC-47BD-9D51-7B7374AF2AA1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1975E-3"/>
                  <c:y val="-8.4967323541016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FC-47BD-9D51-7B7374AF2AA1}"/>
                </c:ext>
              </c:extLst>
            </c:dLbl>
            <c:dLbl>
              <c:idx val="1"/>
              <c:layout>
                <c:manualLayout>
                  <c:x val="5.573419266388789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FC-47BD-9D51-7B7374AF2AA1}"/>
                </c:ext>
              </c:extLst>
            </c:dLbl>
            <c:dLbl>
              <c:idx val="2"/>
              <c:layout>
                <c:manualLayout>
                  <c:x val="6.9667740829860185E-3"/>
                  <c:y val="-6.37254926557624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FC-47BD-9D51-7B7374AF2AA1}"/>
                </c:ext>
              </c:extLst>
            </c:dLbl>
            <c:dLbl>
              <c:idx val="3"/>
              <c:layout>
                <c:manualLayout>
                  <c:x val="2.7867096331944076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FC-47BD-9D51-7B7374AF2AA1}"/>
                </c:ext>
              </c:extLst>
            </c:dLbl>
            <c:dLbl>
              <c:idx val="4"/>
              <c:layout>
                <c:manualLayout>
                  <c:x val="5.5734192663888151E-3"/>
                  <c:y val="-6.37254926557628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EB-4957-8B63-E3CB59512482}"/>
                </c:ext>
              </c:extLst>
            </c:dLbl>
            <c:dLbl>
              <c:idx val="5"/>
              <c:layout>
                <c:manualLayout>
                  <c:x val="5.1468527975607456E-2"/>
                  <c:y val="-7.01952790583945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FC-47BD-9D51-7B7374AF2AA1}"/>
                </c:ext>
              </c:extLst>
            </c:dLbl>
            <c:dLbl>
              <c:idx val="6"/>
              <c:layout>
                <c:manualLayout>
                  <c:x val="3.8942439031229618E-2"/>
                  <c:y val="-4.51378118981419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FC-47BD-9D51-7B7374AF2AA1}"/>
                </c:ext>
              </c:extLst>
            </c:dLbl>
            <c:dLbl>
              <c:idx val="7"/>
              <c:layout>
                <c:manualLayout>
                  <c:x val="2.0853410529078426E-2"/>
                  <c:y val="-4.4962619858468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s'!$T$11:$X$11</c:f>
              <c:numCache>
                <c:formatCode>#,##0</c:formatCode>
                <c:ptCount val="5"/>
                <c:pt idx="0">
                  <c:v>563161</c:v>
                </c:pt>
                <c:pt idx="1">
                  <c:v>585252</c:v>
                </c:pt>
                <c:pt idx="2">
                  <c:v>581497</c:v>
                </c:pt>
                <c:pt idx="3">
                  <c:v>597999</c:v>
                </c:pt>
                <c:pt idx="4">
                  <c:v>755536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9FC-47BD-9D51-7B7374AF2AA1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8.3601288995832218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FC-47BD-9D51-7B7374AF2AA1}"/>
                </c:ext>
              </c:extLst>
            </c:dLbl>
            <c:dLbl>
              <c:idx val="1"/>
              <c:layout>
                <c:manualLayout>
                  <c:x val="8.3601288995832218E-3"/>
                  <c:y val="-5.3104577213136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25342995682136E-2"/>
                      <c:h val="2.47574375260191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39FC-47BD-9D51-7B7374AF2AA1}"/>
                </c:ext>
              </c:extLst>
            </c:dLbl>
            <c:dLbl>
              <c:idx val="2"/>
              <c:layout>
                <c:manualLayout>
                  <c:x val="9.7534837161804E-3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FC-47BD-9D51-7B7374AF2AA1}"/>
                </c:ext>
              </c:extLst>
            </c:dLbl>
            <c:dLbl>
              <c:idx val="3"/>
              <c:layout>
                <c:manualLayout>
                  <c:x val="1.5326902982569241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FC-47BD-9D51-7B7374AF2AA1}"/>
                </c:ext>
              </c:extLst>
            </c:dLbl>
            <c:dLbl>
              <c:idx val="4"/>
              <c:layout>
                <c:manualLayout>
                  <c:x val="1.3933548165972037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EB-4957-8B63-E3CB59512482}"/>
                </c:ext>
              </c:extLst>
            </c:dLbl>
            <c:dLbl>
              <c:idx val="5"/>
              <c:layout>
                <c:manualLayout>
                  <c:x val="2.1869365012564975E-2"/>
                  <c:y val="-2.033896155836155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FC-47BD-9D51-7B7374AF2AA1}"/>
                </c:ext>
              </c:extLst>
            </c:dLbl>
            <c:dLbl>
              <c:idx val="6"/>
              <c:layout>
                <c:manualLayout>
                  <c:x val="1.808453749041826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FC-47BD-9D51-7B7374AF2AA1}"/>
                </c:ext>
              </c:extLst>
            </c:dLbl>
            <c:dLbl>
              <c:idx val="7"/>
              <c:layout>
                <c:manualLayout>
                  <c:x val="8.346709610962274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s'!$T$12:$X$12</c:f>
              <c:numCache>
                <c:formatCode>#,##0</c:formatCode>
                <c:ptCount val="5"/>
                <c:pt idx="0">
                  <c:v>41450</c:v>
                </c:pt>
                <c:pt idx="1">
                  <c:v>36450</c:v>
                </c:pt>
                <c:pt idx="2">
                  <c:v>65658</c:v>
                </c:pt>
                <c:pt idx="3">
                  <c:v>74079</c:v>
                </c:pt>
                <c:pt idx="4">
                  <c:v>52476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9FC-47BD-9D51-7B7374AF2AA1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5080386698749617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FC-47BD-9D51-7B7374AF2AA1}"/>
                </c:ext>
              </c:extLst>
            </c:dLbl>
            <c:dLbl>
              <c:idx val="1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FC-47BD-9D51-7B7374AF2AA1}"/>
                </c:ext>
              </c:extLst>
            </c:dLbl>
            <c:dLbl>
              <c:idx val="2"/>
              <c:layout>
                <c:manualLayout>
                  <c:x val="4.7374063764304926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FC-47BD-9D51-7B7374AF2AA1}"/>
                </c:ext>
              </c:extLst>
            </c:dLbl>
            <c:dLbl>
              <c:idx val="3"/>
              <c:layout>
                <c:manualLayout>
                  <c:x val="8.3601288995832218E-3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FC-47BD-9D51-7B7374AF2AA1}"/>
                </c:ext>
              </c:extLst>
            </c:dLbl>
            <c:dLbl>
              <c:idx val="4"/>
              <c:layout>
                <c:manualLayout>
                  <c:x val="1.811361261576365E-2"/>
                  <c:y val="-2.1241830885254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EB-4957-8B63-E3CB59512482}"/>
                </c:ext>
              </c:extLst>
            </c:dLbl>
            <c:dLbl>
              <c:idx val="5"/>
              <c:layout>
                <c:manualLayout>
                  <c:x val="3.5475706584020368E-3"/>
                  <c:y val="-8.29652967731817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FC-47BD-9D51-7B7374AF2A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s'!$T$9:$X$9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s'!$T$13:$X$13</c:f>
              <c:numCache>
                <c:formatCode>#,##0</c:formatCode>
                <c:ptCount val="5"/>
                <c:pt idx="0">
                  <c:v>1809816</c:v>
                </c:pt>
                <c:pt idx="1">
                  <c:v>2233393</c:v>
                </c:pt>
                <c:pt idx="2">
                  <c:v>1615456</c:v>
                </c:pt>
                <c:pt idx="3">
                  <c:v>1342985</c:v>
                </c:pt>
                <c:pt idx="4">
                  <c:v>2454033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9FC-47BD-9D51-7B7374AF2A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0"/>
        <c:shape val="box"/>
        <c:axId val="449009264"/>
        <c:axId val="449010048"/>
        <c:axId val="0"/>
      </c:bar3DChart>
      <c:catAx>
        <c:axId val="44900926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6666666666666665"/>
              <c:y val="0.9006734006734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0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010048"/>
        <c:scaling>
          <c:orientation val="minMax"/>
          <c:max val="1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092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729166666666664"/>
          <c:y val="0.95117845117845112"/>
          <c:w val="0.5166666666666667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Graf č. 3 - Schválený rozpočet výdajů Moravskoslezského kraje v letech 2019 až 2022,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200" b="1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návrh rozpočtu výdajů Moravskoslezského kraje na rok 2023</a:t>
            </a:r>
            <a:endParaRPr lang="cs-CZ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 sz="1100" b="0" i="0" u="none" strike="noStrike" baseline="0">
                <a:solidFill>
                  <a:srgbClr val="000000"/>
                </a:solidFill>
                <a:latin typeface="Tahoma"/>
                <a:cs typeface="Tahoma"/>
              </a:rPr>
              <a:t>v členění na běžné a kapitálové výdaje</a:t>
            </a:r>
          </a:p>
        </c:rich>
      </c:tx>
      <c:layout>
        <c:manualLayout>
          <c:xMode val="edge"/>
          <c:yMode val="edge"/>
          <c:x val="0.16284722222222223"/>
          <c:y val="3.37119923357133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12"/>
      <c:rotY val="2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354166666666667"/>
          <c:y val="0.16835016835016836"/>
          <c:w val="0.87604166666666672"/>
          <c:h val="0.7087542087542088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833E-2"/>
                  <c:y val="-3.894290675118400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0-4421-ADBC-F7020094C01E}"/>
                </c:ext>
              </c:extLst>
            </c:dLbl>
            <c:dLbl>
              <c:idx val="1"/>
              <c:layout>
                <c:manualLayout>
                  <c:x val="8.3601288995832218E-3"/>
                  <c:y val="-4.2483661770509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00-4421-ADBC-F7020094C01E}"/>
                </c:ext>
              </c:extLst>
            </c:dLbl>
            <c:dLbl>
              <c:idx val="2"/>
              <c:layout>
                <c:manualLayout>
                  <c:x val="1.254019334937463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00-4421-ADBC-F7020094C01E}"/>
                </c:ext>
              </c:extLst>
            </c:dLbl>
            <c:dLbl>
              <c:idx val="3"/>
              <c:layout>
                <c:manualLayout>
                  <c:x val="2.6473741515346871E-2"/>
                  <c:y val="-2.1241830885254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00-4421-ADBC-F7020094C01E}"/>
                </c:ext>
              </c:extLst>
            </c:dLbl>
            <c:dLbl>
              <c:idx val="4"/>
              <c:layout>
                <c:manualLayout>
                  <c:x val="1.3933548165971935E-2"/>
                  <c:y val="-4.2483661770508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B2-4E56-A06C-9D7A4684994F}"/>
                </c:ext>
              </c:extLst>
            </c:dLbl>
            <c:dLbl>
              <c:idx val="5"/>
              <c:layout>
                <c:manualLayout>
                  <c:x val="6.3973695377522108E-2"/>
                  <c:y val="-1.3432831582541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00-4421-ADBC-F7020094C01E}"/>
                </c:ext>
              </c:extLst>
            </c:dLbl>
            <c:dLbl>
              <c:idx val="6"/>
              <c:layout>
                <c:manualLayout>
                  <c:x val="3.3694746589733808E-2"/>
                  <c:y val="-7.77917238451484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00-4421-ADBC-F7020094C01E}"/>
                </c:ext>
              </c:extLst>
            </c:dLbl>
            <c:dLbl>
              <c:idx val="7"/>
              <c:layout>
                <c:manualLayout>
                  <c:x val="3.3333333333333333E-2"/>
                  <c:y val="-2.2481624369939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s'!$T$3:$X$3</c:f>
              <c:numCache>
                <c:formatCode>#,##0</c:formatCode>
                <c:ptCount val="5"/>
                <c:pt idx="0">
                  <c:v>6996283</c:v>
                </c:pt>
                <c:pt idx="1">
                  <c:v>7490726</c:v>
                </c:pt>
                <c:pt idx="2">
                  <c:v>7002032</c:v>
                </c:pt>
                <c:pt idx="3">
                  <c:v>7846903</c:v>
                </c:pt>
                <c:pt idx="4">
                  <c:v>9973858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900-4421-ADBC-F7020094C01E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540193349374782E-2"/>
                  <c:y val="-1.0620915442627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00-4421-ADBC-F7020094C01E}"/>
                </c:ext>
              </c:extLst>
            </c:dLbl>
            <c:dLbl>
              <c:idx val="1"/>
              <c:layout>
                <c:manualLayout>
                  <c:x val="1.2540193349374833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900-4421-ADBC-F7020094C01E}"/>
                </c:ext>
              </c:extLst>
            </c:dLbl>
            <c:dLbl>
              <c:idx val="2"/>
              <c:layout>
                <c:manualLayout>
                  <c:x val="2.7867096331944022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900-4421-ADBC-F7020094C01E}"/>
                </c:ext>
              </c:extLst>
            </c:dLbl>
            <c:dLbl>
              <c:idx val="3"/>
              <c:layout>
                <c:manualLayout>
                  <c:x val="2.229367706555526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900-4421-ADBC-F7020094C01E}"/>
                </c:ext>
              </c:extLst>
            </c:dLbl>
            <c:dLbl>
              <c:idx val="4"/>
              <c:layout>
                <c:manualLayout>
                  <c:x val="1.8113612615763598E-2"/>
                  <c:y val="-8.49673235410165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2-4E56-A06C-9D7A4684994F}"/>
                </c:ext>
              </c:extLst>
            </c:dLbl>
            <c:dLbl>
              <c:idx val="5"/>
              <c:layout>
                <c:manualLayout>
                  <c:x val="8.3952563524265597E-2"/>
                  <c:y val="-1.5133455109005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900-4421-ADBC-F7020094C01E}"/>
                </c:ext>
              </c:extLst>
            </c:dLbl>
            <c:dLbl>
              <c:idx val="6"/>
              <c:layout>
                <c:manualLayout>
                  <c:x val="2.1185804899387577E-2"/>
                  <c:y val="-1.2570237374089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900-4421-ADBC-F7020094C01E}"/>
                </c:ext>
              </c:extLst>
            </c:dLbl>
            <c:dLbl>
              <c:idx val="7"/>
              <c:layout>
                <c:manualLayout>
                  <c:x val="7.3611111111111169E-2"/>
                  <c:y val="-1.124081218496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900-4421-ADBC-F7020094C0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'Zdrojová data II. a III. s'!$T$2:$X$2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'Zdrojová data II. a III. s'!$T$4:$X$4</c:f>
              <c:numCache>
                <c:formatCode>#,##0</c:formatCode>
                <c:ptCount val="5"/>
                <c:pt idx="0">
                  <c:v>3288287</c:v>
                </c:pt>
                <c:pt idx="1">
                  <c:v>3297170</c:v>
                </c:pt>
                <c:pt idx="2">
                  <c:v>2861052</c:v>
                </c:pt>
                <c:pt idx="3">
                  <c:v>4146254</c:v>
                </c:pt>
                <c:pt idx="4">
                  <c:v>4918380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900-4421-ADBC-F7020094C0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9011224"/>
        <c:axId val="503495384"/>
        <c:axId val="0"/>
      </c:bar3DChart>
      <c:catAx>
        <c:axId val="44901122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0.50624999999999998"/>
              <c:y val="0.9040404040404040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503495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5384"/>
        <c:scaling>
          <c:orientation val="minMax"/>
          <c:max val="12000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cs-CZ"/>
          </a:p>
        </c:txPr>
        <c:crossAx val="449011224"/>
        <c:crosses val="autoZero"/>
        <c:crossBetween val="between"/>
        <c:min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875000000000002"/>
          <c:y val="0.95117845117845112"/>
          <c:w val="0.25937500000000002"/>
          <c:h val="4.377104377104377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cs-CZ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hfhfhgjgj</a:t>
            </a:r>
          </a:p>
        </c:rich>
      </c:tx>
      <c:layout>
        <c:manualLayout>
          <c:xMode val="edge"/>
          <c:yMode val="edge"/>
          <c:x val="0.45499410871158097"/>
          <c:y val="3.2500039672899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410662840690776E-2"/>
          <c:y val="0.15000018310569227"/>
          <c:w val="0.84833589916956009"/>
          <c:h val="0.667500814820330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'Zdrojová data II. a III. s'!$A$10</c:f>
              <c:strCache>
                <c:ptCount val="1"/>
                <c:pt idx="0">
                  <c:v>Daňové příjmy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s'!$B$10:$K$10</c:f>
            </c:numRef>
          </c:val>
          <c:extLst>
            <c:ext xmlns:c16="http://schemas.microsoft.com/office/drawing/2014/chart" uri="{C3380CC4-5D6E-409C-BE32-E72D297353CC}">
              <c16:uniqueId val="{00000000-9BFB-4925-BCC8-69706B3C93AE}"/>
            </c:ext>
          </c:extLst>
        </c:ser>
        <c:ser>
          <c:idx val="1"/>
          <c:order val="1"/>
          <c:tx>
            <c:strRef>
              <c:f>'Zdrojová data II. a III. s'!$A$11</c:f>
              <c:strCache>
                <c:ptCount val="1"/>
                <c:pt idx="0">
                  <c:v>Nedaňové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s'!$B$11:$K$11</c:f>
            </c:numRef>
          </c:val>
          <c:extLst>
            <c:ext xmlns:c16="http://schemas.microsoft.com/office/drawing/2014/chart" uri="{C3380CC4-5D6E-409C-BE32-E72D297353CC}">
              <c16:uniqueId val="{00000001-9BFB-4925-BCC8-69706B3C93AE}"/>
            </c:ext>
          </c:extLst>
        </c:ser>
        <c:ser>
          <c:idx val="2"/>
          <c:order val="2"/>
          <c:tx>
            <c:strRef>
              <c:f>'Zdrojová data II. a III. s'!$A$12</c:f>
              <c:strCache>
                <c:ptCount val="1"/>
                <c:pt idx="0">
                  <c:v>Kapitálové příjmy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s'!$B$12:$K$12</c:f>
            </c:numRef>
          </c:val>
          <c:extLst>
            <c:ext xmlns:c16="http://schemas.microsoft.com/office/drawing/2014/chart" uri="{C3380CC4-5D6E-409C-BE32-E72D297353CC}">
              <c16:uniqueId val="{00000002-9BFB-4925-BCC8-69706B3C93AE}"/>
            </c:ext>
          </c:extLst>
        </c:ser>
        <c:ser>
          <c:idx val="3"/>
          <c:order val="3"/>
          <c:tx>
            <c:strRef>
              <c:f>'Zdrojová data II. a III. s'!$A$13</c:f>
              <c:strCache>
                <c:ptCount val="1"/>
                <c:pt idx="0">
                  <c:v>Přijaté dotace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s'!$B$9:$K$9</c:f>
            </c:multiLvlStrRef>
          </c:cat>
          <c:val>
            <c:numRef>
              <c:f>'Zdrojová data II. a III. s'!$B$13:$K$13</c:f>
            </c:numRef>
          </c:val>
          <c:extLst>
            <c:ext xmlns:c16="http://schemas.microsoft.com/office/drawing/2014/chart" uri="{C3380CC4-5D6E-409C-BE32-E72D297353CC}">
              <c16:uniqueId val="{00000003-9BFB-4925-BCC8-69706B3C9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3496168"/>
        <c:axId val="503494600"/>
      </c:barChart>
      <c:catAx>
        <c:axId val="503496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tis. Kč</a:t>
                </a:r>
              </a:p>
            </c:rich>
          </c:tx>
          <c:layout>
            <c:manualLayout>
              <c:xMode val="edge"/>
              <c:yMode val="edge"/>
              <c:x val="1.9728741841152562E-2"/>
              <c:y val="0.430000524902984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4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46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524059756991124"/>
          <c:y val="0.92250112610000745"/>
          <c:w val="0.53144298334604712"/>
          <c:h val="6.000007324227690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Schválený rozpočet Moravskoslezského kraje v letech 2001 až 2008,</a:t>
            </a:r>
          </a:p>
        </c:rich>
      </c:tx>
      <c:layout>
        <c:manualLayout>
          <c:xMode val="edge"/>
          <c:yMode val="edge"/>
          <c:x val="0.12890649586962866"/>
          <c:y val="2.75000335693769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7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968784272736116"/>
          <c:y val="0.1125001373292692"/>
          <c:w val="0.74609517306360829"/>
          <c:h val="0.7750009460460767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'Zdrojová data II. a III. s'!$A$3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s'!$B$3:$K$3</c:f>
            </c:numRef>
          </c:val>
          <c:extLst>
            <c:ext xmlns:c16="http://schemas.microsoft.com/office/drawing/2014/chart" uri="{C3380CC4-5D6E-409C-BE32-E72D297353CC}">
              <c16:uniqueId val="{00000000-A48B-40E8-9C80-396C87BAC7AC}"/>
            </c:ext>
          </c:extLst>
        </c:ser>
        <c:ser>
          <c:idx val="1"/>
          <c:order val="1"/>
          <c:tx>
            <c:strRef>
              <c:f>'Zdrojová data II. a III. s'!$A$4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4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'Zdrojová data II. a III. s'!$B$2:$K$2</c:f>
            </c:multiLvlStrRef>
          </c:cat>
          <c:val>
            <c:numRef>
              <c:f>'Zdrojová data II. a III. s'!$B$4:$K$4</c:f>
            </c:numRef>
          </c:val>
          <c:extLst>
            <c:ext xmlns:c16="http://schemas.microsoft.com/office/drawing/2014/chart" uri="{C3380CC4-5D6E-409C-BE32-E72D297353CC}">
              <c16:uniqueId val="{00000001-A48B-40E8-9C80-396C87BAC7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3496952"/>
        <c:axId val="503497344"/>
        <c:axId val="0"/>
      </c:bar3DChart>
      <c:catAx>
        <c:axId val="503496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hhfg</a:t>
                </a:r>
              </a:p>
            </c:rich>
          </c:tx>
          <c:layout>
            <c:manualLayout>
              <c:xMode val="edge"/>
              <c:yMode val="edge"/>
              <c:x val="7.4218891561301348E-2"/>
              <c:y val="0.4950006042487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34973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5034969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859433859698981"/>
          <c:y val="0.9475011566176228"/>
          <c:w val="0.38281323015829116"/>
          <c:h val="3.500004272466152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2 - Struktura návrhu rozpočtu Moravskoslezského kraje na rok 2024
PŘÍJMY</a:t>
            </a:r>
          </a:p>
        </c:rich>
      </c:tx>
      <c:layout>
        <c:manualLayout>
          <c:xMode val="edge"/>
          <c:yMode val="edge"/>
          <c:x val="0.1468375302238423"/>
          <c:y val="2.020205558396725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3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58333333333334E-2"/>
          <c:y val="0.19360269360269361"/>
          <c:w val="0.86354166666666665"/>
          <c:h val="0.55387205387205385"/>
        </c:manualLayout>
      </c:layout>
      <c:pie3DChart>
        <c:varyColors val="1"/>
        <c:ser>
          <c:idx val="0"/>
          <c:order val="0"/>
          <c:explosion val="13"/>
          <c:dPt>
            <c:idx val="1"/>
            <c:bubble3D val="0"/>
            <c:explosion val="18"/>
            <c:extLst>
              <c:ext xmlns:c16="http://schemas.microsoft.com/office/drawing/2014/chart" uri="{C3380CC4-5D6E-409C-BE32-E72D297353CC}">
                <c16:uniqueId val="{00000001-AE1A-42EA-A743-A3FC159C72BB}"/>
              </c:ext>
            </c:extLst>
          </c:dPt>
          <c:dPt>
            <c:idx val="6"/>
            <c:bubble3D val="0"/>
            <c:spPr>
              <a:solidFill>
                <a:srgbClr val="F1A78A"/>
              </a:solidFill>
            </c:spPr>
            <c:extLst>
              <c:ext xmlns:c16="http://schemas.microsoft.com/office/drawing/2014/chart" uri="{C3380CC4-5D6E-409C-BE32-E72D297353CC}">
                <c16:uniqueId val="{00000000-1AC0-4B1D-8DE1-DC4C9AF41C6F}"/>
              </c:ext>
            </c:extLst>
          </c:dPt>
          <c:dPt>
            <c:idx val="7"/>
            <c:bubble3D val="0"/>
            <c:spPr>
              <a:pattFill prst="dkUpDiag">
                <a:fgClr>
                  <a:srgbClr val="F1A78A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1AC0-4B1D-8DE1-DC4C9AF41C6F}"/>
              </c:ext>
            </c:extLst>
          </c:dPt>
          <c:dLbls>
            <c:dLbl>
              <c:idx val="1"/>
              <c:layout>
                <c:manualLayout>
                  <c:x val="-3.9823068075147246E-2"/>
                  <c:y val="-3.0854177507108903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2EA-A743-A3FC159C72BB}"/>
                </c:ext>
              </c:extLst>
            </c:dLbl>
            <c:dLbl>
              <c:idx val="2"/>
              <c:layout>
                <c:manualLayout>
                  <c:x val="-1.5569829955880663E-2"/>
                  <c:y val="-0.1824583473862845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C0-4B1D-8DE1-DC4C9AF41C6F}"/>
                </c:ext>
              </c:extLst>
            </c:dLbl>
            <c:dLbl>
              <c:idx val="4"/>
              <c:layout>
                <c:manualLayout>
                  <c:x val="4.1870828053069346E-2"/>
                  <c:y val="6.6203161138394129E-3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C0-4B1D-8DE1-DC4C9AF41C6F}"/>
                </c:ext>
              </c:extLst>
            </c:dLbl>
            <c:dLbl>
              <c:idx val="6"/>
              <c:layout>
                <c:manualLayout>
                  <c:x val="-1.1233402072170951E-2"/>
                  <c:y val="0.13722691075704721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C0-4B1D-8DE1-DC4C9AF41C6F}"/>
                </c:ext>
              </c:extLst>
            </c:dLbl>
            <c:dLbl>
              <c:idx val="7"/>
              <c:layout>
                <c:manualLayout>
                  <c:x val="-8.0939871583153883E-2"/>
                  <c:y val="-3.0275128542347172E-2"/>
                </c:manualLayout>
              </c:layout>
              <c:tx>
                <c:rich>
                  <a:bodyPr/>
                  <a:lstStyle/>
                  <a:p>
                    <a:fld id="{DFA8F1BC-C9C6-4E80-9C5A-C1E67288824F}" type="CATEGORYNAME">
                      <a:rPr lang="en-US"/>
                      <a:pPr/>
                      <a:t>[NÁZEV KATEGORIE]</a:t>
                    </a:fld>
                    <a:r>
                      <a:rPr lang="en-US" baseline="0"/>
                      <a:t>
</a:t>
                    </a:r>
                    <a:fld id="{FFEB2369-47DE-4865-B484-1550C0774AB4}" type="PERCENTAGE">
                      <a:rPr lang="en-US" baseline="0"/>
                      <a:pPr/>
                      <a:t>[PROCENTO]</a:t>
                    </a:fld>
                    <a:endParaRPr lang="en-US" baseline="0"/>
                  </a:p>
                </c:rich>
              </c:tx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AC0-4B1D-8DE1-DC4C9AF41C6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IV.'!$AJ$2:$AJ$9</c:f>
              <c:numCache>
                <c:formatCode>#,##0</c:formatCode>
                <c:ptCount val="8"/>
                <c:pt idx="0">
                  <c:v>628872</c:v>
                </c:pt>
                <c:pt idx="1">
                  <c:v>10100900</c:v>
                </c:pt>
                <c:pt idx="2">
                  <c:v>53993</c:v>
                </c:pt>
                <c:pt idx="3">
                  <c:v>714227</c:v>
                </c:pt>
                <c:pt idx="4">
                  <c:v>396047</c:v>
                </c:pt>
                <c:pt idx="5">
                  <c:v>200411</c:v>
                </c:pt>
                <c:pt idx="6">
                  <c:v>168505</c:v>
                </c:pt>
                <c:pt idx="7">
                  <c:v>23978940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2EA-A743-A3FC159C72BB}"/>
            </c:ext>
          </c:extLst>
        </c:ser>
        <c:ser>
          <c:idx val="1"/>
          <c:order val="1"/>
          <c:explosion val="37"/>
          <c:dLbls>
            <c:delete val="1"/>
          </c:dLbls>
          <c:cat>
            <c:strRef>
              <c:f>'Zdrojová data IV.'!$A$2:$A$9</c:f>
              <c:strCache>
                <c:ptCount val="8"/>
                <c:pt idx="0">
                  <c:v>Nedaňové příjmy</c:v>
                </c:pt>
                <c:pt idx="1">
                  <c:v>Daňové příjmy</c:v>
                </c:pt>
                <c:pt idx="2">
                  <c:v>Kapitálové příjmy</c:v>
                </c:pt>
                <c:pt idx="3">
                  <c:v>Přijaté dotace na akce spolufinancované z evropských finančních zdrojů</c:v>
                </c:pt>
                <c:pt idx="4">
                  <c:v>Přijatá dotace na drážní obslužnost</c:v>
                </c:pt>
                <c:pt idx="5">
                  <c:v>Přijatá dotace v rámci souhrnného finančního vztahu</c:v>
                </c:pt>
                <c:pt idx="6">
                  <c:v>Ostatní přijaté dotace</c:v>
                </c:pt>
                <c:pt idx="7">
                  <c:v>Ostatní přijaté dotace - státní dotace</c:v>
                </c:pt>
              </c:strCache>
            </c:strRef>
          </c:cat>
          <c:val>
            <c:numRef>
              <c:f>'Zdrojová data IV.'!$AK$2:$AK$9</c:f>
              <c:numCache>
                <c:formatCode>#,##0.00</c:formatCode>
                <c:ptCount val="8"/>
                <c:pt idx="0">
                  <c:v>1.7352072787584647</c:v>
                </c:pt>
                <c:pt idx="1">
                  <c:v>27.870783246847331</c:v>
                </c:pt>
                <c:pt idx="2">
                  <c:v>0.14897951666158737</c:v>
                </c:pt>
                <c:pt idx="3">
                  <c:v>1.9707220055684174</c:v>
                </c:pt>
                <c:pt idx="4">
                  <c:v>1.0927877805506583</c:v>
                </c:pt>
                <c:pt idx="5">
                  <c:v>0.55298157008622206</c:v>
                </c:pt>
                <c:pt idx="6">
                  <c:v>0.46494533467413884</c:v>
                </c:pt>
                <c:pt idx="7">
                  <c:v>66.163593266853184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E1A-42EA-A743-A3FC159C72BB}"/>
            </c:ext>
          </c:extLst>
        </c:ser>
        <c:dLbls>
          <c:showLegendKey val="1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3 - Struktura návrhu rozpočtu Moravskoslezského kraje na rok 2024
VÝDAJE</a:t>
            </a:r>
          </a:p>
        </c:rich>
      </c:tx>
      <c:layout>
        <c:manualLayout>
          <c:xMode val="edge"/>
          <c:yMode val="edge"/>
          <c:x val="0.14409722222222221"/>
          <c:y val="2.0201971446104968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1875"/>
          <c:y val="0.2356902356902357"/>
          <c:w val="0.62943794480383974"/>
          <c:h val="0.63275901778443033"/>
        </c:manualLayout>
      </c:layout>
      <c:pie3DChart>
        <c:varyColors val="1"/>
        <c:ser>
          <c:idx val="0"/>
          <c:order val="0"/>
          <c:explosion val="12"/>
          <c:dPt>
            <c:idx val="2"/>
            <c:bubble3D val="0"/>
            <c:spPr>
              <a:solidFill>
                <a:srgbClr val="E2AA00"/>
              </a:solidFill>
            </c:spPr>
            <c:extLst>
              <c:ext xmlns:c16="http://schemas.microsoft.com/office/drawing/2014/chart" uri="{C3380CC4-5D6E-409C-BE32-E72D297353CC}">
                <c16:uniqueId val="{00000004-4270-485B-8630-2CE9BE8B13B7}"/>
              </c:ext>
            </c:extLst>
          </c:dPt>
          <c:dPt>
            <c:idx val="3"/>
            <c:bubble3D val="0"/>
            <c:spPr>
              <a:pattFill prst="dkUpDiag">
                <a:fgClr>
                  <a:srgbClr val="E2AA0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BBEE-41FA-BE2C-ED817C8FEE2B}"/>
              </c:ext>
            </c:extLst>
          </c:dPt>
          <c:dLbls>
            <c:dLbl>
              <c:idx val="0"/>
              <c:layout>
                <c:manualLayout>
                  <c:x val="-2.3041132019977054E-2"/>
                  <c:y val="-7.42366119994355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70-485B-8630-2CE9BE8B13B7}"/>
                </c:ext>
              </c:extLst>
            </c:dLbl>
            <c:dLbl>
              <c:idx val="1"/>
              <c:layout>
                <c:manualLayout>
                  <c:x val="7.6914662137383696E-2"/>
                  <c:y val="-5.23622135241265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EE-41FA-BE2C-ED817C8FEE2B}"/>
                </c:ext>
              </c:extLst>
            </c:dLbl>
            <c:dLbl>
              <c:idx val="2"/>
              <c:layout>
                <c:manualLayout>
                  <c:x val="8.8840961384103814E-2"/>
                  <c:y val="-7.935580050006949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70-485B-8630-2CE9BE8B13B7}"/>
                </c:ext>
              </c:extLst>
            </c:dLbl>
            <c:dLbl>
              <c:idx val="3"/>
              <c:layout>
                <c:manualLayout>
                  <c:x val="0.15233900592371433"/>
                  <c:y val="-6.1223662601068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EE-41FA-BE2C-ED817C8FEE2B}"/>
                </c:ext>
              </c:extLst>
            </c:dLbl>
            <c:dLbl>
              <c:idx val="4"/>
              <c:layout>
                <c:manualLayout>
                  <c:x val="5.5383111135296728E-4"/>
                  <c:y val="2.07452403663697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EE-41FA-BE2C-ED817C8FEE2B}"/>
                </c:ext>
              </c:extLst>
            </c:dLbl>
            <c:dLbl>
              <c:idx val="7"/>
              <c:layout>
                <c:manualLayout>
                  <c:x val="-6.7639209804959341E-3"/>
                  <c:y val="-4.33536463113213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B-4B33-95A1-17928141FE9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VI.'!$A$3:$A$10</c:f>
              <c:strCache>
                <c:ptCount val="8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</c:v>
                </c:pt>
                <c:pt idx="5">
                  <c:v>Návratné finanční výpomoci příspěvkovým organizacím</c:v>
                </c:pt>
                <c:pt idx="6">
                  <c:v>Reprodukce majetku kraje vyjma akcí EU</c:v>
                </c:pt>
                <c:pt idx="7">
                  <c:v>Akce spolufinancované z evropských finančních zdrojů</c:v>
                </c:pt>
              </c:strCache>
            </c:strRef>
          </c:cat>
          <c:val>
            <c:numRef>
              <c:f>'Zdrojová data V.a VI.'!$AJ$3:$AJ$10</c:f>
              <c:numCache>
                <c:formatCode>#,##0</c:formatCode>
                <c:ptCount val="8"/>
                <c:pt idx="0">
                  <c:v>820884</c:v>
                </c:pt>
                <c:pt idx="1">
                  <c:v>609156</c:v>
                </c:pt>
                <c:pt idx="2">
                  <c:v>4100267</c:v>
                </c:pt>
                <c:pt idx="3">
                  <c:v>23976740</c:v>
                </c:pt>
                <c:pt idx="4">
                  <c:v>3520624</c:v>
                </c:pt>
                <c:pt idx="5">
                  <c:v>321927</c:v>
                </c:pt>
                <c:pt idx="6">
                  <c:v>2983578</c:v>
                </c:pt>
                <c:pt idx="7">
                  <c:v>2542295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F0-4929-BDBF-E914DE64D395}"/>
            </c:ext>
          </c:extLst>
        </c:ser>
        <c:ser>
          <c:idx val="1"/>
          <c:order val="1"/>
          <c:explosion val="12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VI.'!$A$3:$A$10</c:f>
              <c:strCache>
                <c:ptCount val="8"/>
                <c:pt idx="0">
                  <c:v>Běžné výdaje na zastupitelstvo kraje a krajský úřad</c:v>
                </c:pt>
                <c:pt idx="1">
                  <c:v>Finance a správa majetku</c:v>
                </c:pt>
                <c:pt idx="2">
                  <c:v>Samosprávné činnosti</c:v>
                </c:pt>
                <c:pt idx="3">
                  <c:v>Samosprávné činnosti - státní dotace</c:v>
                </c:pt>
                <c:pt idx="4">
                  <c:v>Příspěvek na provoz příspěvkovým organizacím</c:v>
                </c:pt>
                <c:pt idx="5">
                  <c:v>Návratné finanční výpomoci příspěvkovým organizacím</c:v>
                </c:pt>
                <c:pt idx="6">
                  <c:v>Reprodukce majetku kraje vyjma akcí EU</c:v>
                </c:pt>
                <c:pt idx="7">
                  <c:v>Akce spolufinancované z evropských finančních zdrojů</c:v>
                </c:pt>
              </c:strCache>
            </c:strRef>
          </c:cat>
          <c:val>
            <c:numRef>
              <c:f>'Zdrojová data V.a VI.'!$AK$3:$AK$10</c:f>
              <c:numCache>
                <c:formatCode>#,##0.00</c:formatCode>
                <c:ptCount val="8"/>
                <c:pt idx="0">
                  <c:v>2.1115731305223284</c:v>
                </c:pt>
                <c:pt idx="1">
                  <c:v>1.5669417870204065</c:v>
                </c:pt>
                <c:pt idx="2">
                  <c:v>10.54718282384283</c:v>
                </c:pt>
                <c:pt idx="3">
                  <c:v>61.675754359349114</c:v>
                </c:pt>
                <c:pt idx="4">
                  <c:v>9.056157801920909</c:v>
                </c:pt>
                <c:pt idx="5">
                  <c:v>0.82809800555213842</c:v>
                </c:pt>
                <c:pt idx="6">
                  <c:v>7.6747057289672442</c:v>
                </c:pt>
                <c:pt idx="7">
                  <c:v>6.5395863628250313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4F0-4929-BDBF-E914DE64D3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Graf č. 4 - Struktura návrhu rozpočtu Moravskoslezského kraje na rok 2024
Objemy výdajů na akce spolufinancované z evropských finančních zdrojů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cs-CZ"/>
              <a:t>pro rok 2024 v členění dle odvětví</a:t>
            </a:r>
          </a:p>
        </c:rich>
      </c:tx>
      <c:layout>
        <c:manualLayout>
          <c:xMode val="edge"/>
          <c:yMode val="edge"/>
          <c:x val="0.11597222222222223"/>
          <c:y val="2.0201952254694497E-2"/>
        </c:manualLayout>
      </c:layout>
      <c:overlay val="0"/>
      <c:spPr>
        <a:noFill/>
        <a:ln w="25400">
          <a:noFill/>
        </a:ln>
      </c:spPr>
    </c:title>
    <c:autoTitleDeleted val="0"/>
    <c:view3D>
      <c:rotX val="3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194439119735413"/>
          <c:y val="0.28077148887442221"/>
          <c:w val="0.69791666666666663"/>
          <c:h val="0.53703703703703709"/>
        </c:manualLayout>
      </c:layout>
      <c:pie3DChart>
        <c:varyColors val="1"/>
        <c:ser>
          <c:idx val="0"/>
          <c:order val="0"/>
          <c:explosion val="12"/>
          <c:dLbls>
            <c:dLbl>
              <c:idx val="0"/>
              <c:layout>
                <c:manualLayout>
                  <c:x val="1.7886177613023121E-2"/>
                  <c:y val="-0.1040819606845489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ED-4596-A388-CC11271D2A0C}"/>
                </c:ext>
              </c:extLst>
            </c:dLbl>
            <c:dLbl>
              <c:idx val="1"/>
              <c:layout>
                <c:manualLayout>
                  <c:x val="6.5156617469904629E-2"/>
                  <c:y val="-1.884351109735131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04-42F6-A875-3D5D3D36E4EE}"/>
                </c:ext>
              </c:extLst>
            </c:dLbl>
            <c:dLbl>
              <c:idx val="2"/>
              <c:layout>
                <c:manualLayout>
                  <c:x val="-3.0990076241742453E-3"/>
                  <c:y val="7.61203518650745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04-42F6-A875-3D5D3D36E4EE}"/>
                </c:ext>
              </c:extLst>
            </c:dLbl>
            <c:dLbl>
              <c:idx val="3"/>
              <c:layout>
                <c:manualLayout>
                  <c:x val="5.2443242185254313E-2"/>
                  <c:y val="5.421550824258304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04-42F6-A875-3D5D3D36E4EE}"/>
                </c:ext>
              </c:extLst>
            </c:dLbl>
            <c:dLbl>
              <c:idx val="4"/>
              <c:layout>
                <c:manualLayout>
                  <c:x val="5.7875789988295822E-3"/>
                  <c:y val="4.0146224080575783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04-42F6-A875-3D5D3D36E4EE}"/>
                </c:ext>
              </c:extLst>
            </c:dLbl>
            <c:dLbl>
              <c:idx val="5"/>
              <c:layout>
                <c:manualLayout>
                  <c:x val="-2.1049586755098253E-2"/>
                  <c:y val="-3.469677453669810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ED-4596-A388-CC11271D2A0C}"/>
                </c:ext>
              </c:extLst>
            </c:dLbl>
            <c:dLbl>
              <c:idx val="6"/>
              <c:layout>
                <c:manualLayout>
                  <c:x val="8.3359810731947939E-2"/>
                  <c:y val="-0.12263394019738846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ED-4596-A388-CC11271D2A0C}"/>
                </c:ext>
              </c:extLst>
            </c:dLbl>
            <c:dLbl>
              <c:idx val="7"/>
              <c:layout>
                <c:manualLayout>
                  <c:x val="-2.6250640175224792E-2"/>
                  <c:y val="-6.366059635353030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04-42F6-A875-3D5D3D36E4EE}"/>
                </c:ext>
              </c:extLst>
            </c:dLbl>
            <c:dLbl>
              <c:idx val="8"/>
              <c:layout>
                <c:manualLayout>
                  <c:x val="-4.6239357292599682E-2"/>
                  <c:y val="-8.2193006620593631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ED-4596-A388-CC11271D2A0C}"/>
                </c:ext>
              </c:extLst>
            </c:dLbl>
            <c:dLbl>
              <c:idx val="9"/>
              <c:layout>
                <c:manualLayout>
                  <c:x val="-1.0979855380741334E-2"/>
                  <c:y val="-4.0828638805078435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04-42F6-A875-3D5D3D36E4EE}"/>
                </c:ext>
              </c:extLst>
            </c:dLbl>
            <c:dLbl>
              <c:idx val="10"/>
              <c:layout>
                <c:manualLayout>
                  <c:x val="5.1016534623440923E-5"/>
                  <c:y val="-2.557449535180235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04-42F6-A875-3D5D3D36E4E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VI.'!$A$21:$A$34</c:f>
              <c:strCache>
                <c:ptCount val="12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Cestovní ruch</c:v>
                </c:pt>
                <c:pt idx="6">
                  <c:v>Sociální věci</c:v>
                </c:pt>
                <c:pt idx="7">
                  <c:v>Školství</c:v>
                </c:pt>
                <c:pt idx="8">
                  <c:v>Územní plánování a stavební řád</c:v>
                </c:pt>
                <c:pt idx="9">
                  <c:v>Zdravotnictví</c:v>
                </c:pt>
                <c:pt idx="10">
                  <c:v>Životní prostředí</c:v>
                </c:pt>
                <c:pt idx="11">
                  <c:v>Krajský úřad</c:v>
                </c:pt>
              </c:strCache>
            </c:strRef>
          </c:cat>
          <c:val>
            <c:numRef>
              <c:f>'Zdrojová data V.a VI.'!$AJ$21:$AJ$34</c:f>
              <c:numCache>
                <c:formatCode>#,##0</c:formatCode>
                <c:ptCount val="12"/>
                <c:pt idx="0">
                  <c:v>429770</c:v>
                </c:pt>
                <c:pt idx="1">
                  <c:v>25241</c:v>
                </c:pt>
                <c:pt idx="2">
                  <c:v>20000</c:v>
                </c:pt>
                <c:pt idx="3">
                  <c:v>777606</c:v>
                </c:pt>
                <c:pt idx="4">
                  <c:v>64141</c:v>
                </c:pt>
                <c:pt idx="5">
                  <c:v>5600</c:v>
                </c:pt>
                <c:pt idx="6">
                  <c:v>564322</c:v>
                </c:pt>
                <c:pt idx="7">
                  <c:v>351877</c:v>
                </c:pt>
                <c:pt idx="8">
                  <c:v>44250</c:v>
                </c:pt>
                <c:pt idx="9">
                  <c:v>117035</c:v>
                </c:pt>
                <c:pt idx="10">
                  <c:v>131963</c:v>
                </c:pt>
                <c:pt idx="11">
                  <c:v>10490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ED-4596-A388-CC11271D2A0C}"/>
            </c:ext>
          </c:extLst>
        </c:ser>
        <c:ser>
          <c:idx val="1"/>
          <c:order val="1"/>
          <c:explosion val="23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s-CZ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'Zdrojová data V.a VI.'!$A$21:$A$34</c:f>
              <c:strCache>
                <c:ptCount val="12"/>
                <c:pt idx="0">
                  <c:v>Doprava</c:v>
                </c:pt>
                <c:pt idx="1">
                  <c:v>Chytrý region</c:v>
                </c:pt>
                <c:pt idx="2">
                  <c:v>Krizové řízení</c:v>
                </c:pt>
                <c:pt idx="3">
                  <c:v>Kultura</c:v>
                </c:pt>
                <c:pt idx="4">
                  <c:v>Regionální rozvoj </c:v>
                </c:pt>
                <c:pt idx="5">
                  <c:v>Cestovní ruch</c:v>
                </c:pt>
                <c:pt idx="6">
                  <c:v>Sociální věci</c:v>
                </c:pt>
                <c:pt idx="7">
                  <c:v>Školství</c:v>
                </c:pt>
                <c:pt idx="8">
                  <c:v>Územní plánování a stavební řád</c:v>
                </c:pt>
                <c:pt idx="9">
                  <c:v>Zdravotnictví</c:v>
                </c:pt>
                <c:pt idx="10">
                  <c:v>Životní prostředí</c:v>
                </c:pt>
                <c:pt idx="11">
                  <c:v>Krajský úřad</c:v>
                </c:pt>
              </c:strCache>
            </c:strRef>
          </c:cat>
          <c:val>
            <c:numRef>
              <c:f>'Zdrojová data V.a VI.'!$AK$21:$AK$34</c:f>
              <c:numCache>
                <c:formatCode>#,##0.00</c:formatCode>
                <c:ptCount val="12"/>
                <c:pt idx="0">
                  <c:v>16.904804517178377</c:v>
                </c:pt>
                <c:pt idx="1">
                  <c:v>0.99284308075970729</c:v>
                </c:pt>
                <c:pt idx="2">
                  <c:v>0.78669076562712037</c:v>
                </c:pt>
                <c:pt idx="3">
                  <c:v>30.586772974812128</c:v>
                </c:pt>
                <c:pt idx="4">
                  <c:v>2.5229566199044564</c:v>
                </c:pt>
                <c:pt idx="5">
                  <c:v>0.2202734143755937</c:v>
                </c:pt>
                <c:pt idx="6">
                  <c:v>22.197345312011389</c:v>
                </c:pt>
                <c:pt idx="7">
                  <c:v>13.840919326828713</c:v>
                </c:pt>
                <c:pt idx="8">
                  <c:v>1.7405533189500038</c:v>
                </c:pt>
                <c:pt idx="9">
                  <c:v>4.6035176877585018</c:v>
                </c:pt>
                <c:pt idx="10">
                  <c:v>5.1907036752225837</c:v>
                </c:pt>
                <c:pt idx="11">
                  <c:v>0.41261930657142465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DED-4596-A388-CC11271D2A0C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eparator>
</c:separator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22" workbookViewId="0" zoomToFit="1"/>
  </sheetViews>
  <pageMargins left="0.78740157480314965" right="0.78740157480314965" top="0.98425196850393704" bottom="0.59055118110236227" header="0.51181102362204722" footer="0.31496062992125984"/>
  <pageSetup paperSize="9" firstPageNumber="22" orientation="landscape" useFirstPageNumber="1" r:id="rId1"/>
  <headerFooter alignWithMargins="0">
    <oddHeader>&amp;L&amp;"Tahoma,Kurzíva"&amp;9Návrh rozpočtu na rok 2024
Příloha č. 10&amp;R&amp;"Tahoma,Kurzíva"&amp;9Graf č. 1</oddHeader>
    <oddFooter>&amp;C&amp;"Tahoma,Obyčejné"&amp;P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19" orientation="landscape" useFirstPageNumber="1" r:id="rId1"/>
  <headerFooter alignWithMargins="0">
    <oddHeader>&amp;L&amp;"Tahoma,Kurzíva"&amp;9Návrh rozpočtu na rok 2023
Příloha č. 10&amp;R&amp;"Tahoma,Kurzíva"&amp;9Graf č. 2</oddHeader>
    <oddFooter>&amp;C&amp;"Tahoma,Obyčejné"&amp;P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rgb="FFFF0000"/>
  </sheetPr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0" orientation="landscape" useFirstPageNumber="1" r:id="rId1"/>
  <headerFooter alignWithMargins="0">
    <oddHeader>&amp;L&amp;"Tahoma,Kurzíva"&amp;9Návrh rozpočtu na rok 2023
Příloha č. 10&amp;R&amp;"Tahoma,Kurzíva"&amp;9Graf č. 3</oddHeader>
    <oddFooter>&amp;C&amp;"Tahoma,Obyčejné"&amp;P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3" orientation="landscape" useFirstPageNumber="1" r:id="rId1"/>
  <headerFooter alignWithMargins="0">
    <oddHeader>&amp;L&amp;"Tahoma,Kurzíva"&amp;9Návrh rozpočtu na rok 2024
Příloha č. 10&amp;R&amp;"Tahoma,Kurzíva"&amp;9Graf č. 2</oddHeader>
    <oddFooter>&amp;C&amp;"Tahoma,Obyčejné"&amp;P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4" orientation="landscape" useFirstPageNumber="1" r:id="rId1"/>
  <headerFooter alignWithMargins="0">
    <oddHeader>&amp;L&amp;"Tahoma,Kurzíva"&amp;9Návrh rozpočtu na rok 2024
Příloha č. 10&amp;R&amp;"Tahoma,Kurzíva"&amp;9Graf č. 3</oddHeader>
    <oddFooter>&amp;C&amp;"Tahoma,Obyčejné"&amp;P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130" workbookViewId="0"/>
  </sheetViews>
  <pageMargins left="0.78740157480314965" right="0.78740157480314965" top="0.98425196850393704" bottom="0.59055118110236227" header="0.51181102362204722" footer="0.31496062992125984"/>
  <pageSetup paperSize="9" firstPageNumber="25" orientation="landscape" useFirstPageNumber="1" r:id="rId1"/>
  <headerFooter alignWithMargins="0">
    <oddHeader>&amp;L&amp;"Tahoma,Kurzíva"&amp;9Návrh rozpočtu na rok 2024
Příloha č. 10&amp;R&amp;"Tahoma,Kurzíva"&amp;9Graf č. 4</oddHeader>
    <oddFooter>&amp;C&amp;"Tahoma,Obyčejné"&amp;P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2439" cy="6003873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0.0105</cdr:x>
      <cdr:y>0.02075</cdr:y>
    </cdr:from>
    <cdr:to>
      <cdr:x>0.86825</cdr:x>
      <cdr:y>0.9745</cdr:y>
    </cdr:to>
    <cdr:graphicFrame macro="">
      <cdr:nvGraphicFramePr>
        <cdr:cNvPr id="11265" name="Chart 1">
          <a:extLst xmlns:a="http://schemas.openxmlformats.org/drawingml/2006/main">
            <a:ext uri="{FF2B5EF4-FFF2-40B4-BE49-F238E27FC236}">
              <a16:creationId xmlns:a16="http://schemas.microsoft.com/office/drawing/2014/main" id="{2374578E-B50D-4C3A-83B2-F2CB0760CB2B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14692" cy="5978769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14</xdr:row>
      <xdr:rowOff>104775</xdr:rowOff>
    </xdr:from>
    <xdr:to>
      <xdr:col>14</xdr:col>
      <xdr:colOff>180975</xdr:colOff>
      <xdr:row>33</xdr:row>
      <xdr:rowOff>114300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15</xdr:row>
      <xdr:rowOff>19050</xdr:rowOff>
    </xdr:from>
    <xdr:to>
      <xdr:col>5</xdr:col>
      <xdr:colOff>857250</xdr:colOff>
      <xdr:row>34</xdr:row>
      <xdr:rowOff>28575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4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132277" cy="5995182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skraj.sharepoint.com/Users/stankova2598/AppData/Local/Microsoft/Windows/INetCache/Content.Outlook/P53HJRV8/ORJ14_P&#345;ehled%20projekt&#367;%202014-2020_n&#225;vrh%202020_nov&#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ku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>
        <row r="31">
          <cell r="N31">
            <v>25.54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00" workbookViewId="0">
      <selection activeCell="H5" sqref="H5"/>
    </sheetView>
  </sheetViews>
  <sheetFormatPr defaultRowHeight="15.75" x14ac:dyDescent="0.25"/>
  <cols>
    <col min="1" max="4" width="9.140625" style="26"/>
    <col min="5" max="5" width="38.5703125" style="26" customWidth="1"/>
    <col min="6" max="16384" width="9.140625" style="26"/>
  </cols>
  <sheetData>
    <row r="1" spans="1:10" s="25" customFormat="1" ht="15.75" customHeight="1" x14ac:dyDescent="0.2">
      <c r="A1" s="32" t="s">
        <v>134</v>
      </c>
    </row>
    <row r="2" spans="1:10" ht="18" customHeight="1" x14ac:dyDescent="0.25"/>
    <row r="3" spans="1:10" s="28" customFormat="1" ht="42" customHeight="1" x14ac:dyDescent="0.25">
      <c r="A3" s="514" t="s">
        <v>382</v>
      </c>
      <c r="B3" s="515"/>
      <c r="C3" s="515"/>
      <c r="D3" s="515"/>
      <c r="E3" s="515"/>
      <c r="F3" s="515"/>
      <c r="G3" s="27"/>
      <c r="H3" s="27"/>
      <c r="I3" s="27"/>
      <c r="J3" s="27"/>
    </row>
    <row r="4" spans="1:10" s="29" customFormat="1" ht="36" customHeight="1" x14ac:dyDescent="0.2"/>
    <row r="5" spans="1:10" s="29" customFormat="1" ht="15.75" customHeight="1" x14ac:dyDescent="0.2">
      <c r="A5" s="30" t="s">
        <v>28</v>
      </c>
      <c r="F5" s="31" t="s">
        <v>29</v>
      </c>
    </row>
    <row r="6" spans="1:10" s="29" customFormat="1" ht="15" x14ac:dyDescent="0.2"/>
    <row r="7" spans="1:10" s="29" customFormat="1" ht="16.5" customHeight="1" x14ac:dyDescent="0.2">
      <c r="A7" s="516" t="s">
        <v>351</v>
      </c>
      <c r="B7" s="516"/>
      <c r="C7" s="516"/>
      <c r="D7" s="516"/>
      <c r="E7" s="516"/>
      <c r="F7" s="29">
        <v>2</v>
      </c>
    </row>
    <row r="8" spans="1:10" s="29" customFormat="1" ht="15" x14ac:dyDescent="0.2">
      <c r="A8" s="268"/>
      <c r="B8" s="268"/>
      <c r="C8" s="268"/>
      <c r="D8" s="268"/>
      <c r="E8" s="268"/>
      <c r="F8" s="197"/>
    </row>
    <row r="9" spans="1:10" s="29" customFormat="1" ht="48" customHeight="1" x14ac:dyDescent="0.2">
      <c r="A9" s="516" t="s">
        <v>352</v>
      </c>
      <c r="B9" s="516"/>
      <c r="C9" s="516"/>
      <c r="D9" s="516"/>
      <c r="E9" s="516"/>
      <c r="F9" s="29">
        <v>4</v>
      </c>
    </row>
    <row r="10" spans="1:10" s="29" customFormat="1" ht="15" x14ac:dyDescent="0.2">
      <c r="A10" s="268"/>
      <c r="B10" s="268"/>
      <c r="C10" s="268"/>
      <c r="D10" s="268"/>
      <c r="E10" s="268"/>
      <c r="F10" s="197"/>
    </row>
    <row r="11" spans="1:10" s="29" customFormat="1" ht="31.5" customHeight="1" x14ac:dyDescent="0.2">
      <c r="A11" s="516" t="s">
        <v>353</v>
      </c>
      <c r="B11" s="516"/>
      <c r="C11" s="516"/>
      <c r="D11" s="516"/>
      <c r="E11" s="516"/>
      <c r="F11" s="29">
        <v>9</v>
      </c>
    </row>
    <row r="12" spans="1:10" s="29" customFormat="1" ht="15" x14ac:dyDescent="0.2">
      <c r="A12" s="268"/>
      <c r="B12" s="268"/>
      <c r="C12" s="268"/>
      <c r="D12" s="268"/>
      <c r="E12" s="268"/>
      <c r="F12" s="197"/>
    </row>
    <row r="13" spans="1:10" s="29" customFormat="1" ht="16.5" customHeight="1" x14ac:dyDescent="0.2">
      <c r="A13" s="516" t="s">
        <v>357</v>
      </c>
      <c r="B13" s="516"/>
      <c r="C13" s="516"/>
      <c r="D13" s="516"/>
      <c r="E13" s="516"/>
      <c r="F13" s="29">
        <v>13</v>
      </c>
    </row>
    <row r="14" spans="1:10" s="29" customFormat="1" ht="15" x14ac:dyDescent="0.2">
      <c r="A14" s="268"/>
      <c r="B14" s="268"/>
      <c r="C14" s="268"/>
      <c r="D14" s="268"/>
      <c r="E14" s="268"/>
      <c r="F14" s="197"/>
    </row>
    <row r="15" spans="1:10" s="29" customFormat="1" ht="16.5" customHeight="1" x14ac:dyDescent="0.2">
      <c r="A15" s="516" t="s">
        <v>620</v>
      </c>
      <c r="B15" s="516"/>
      <c r="C15" s="516"/>
      <c r="D15" s="516"/>
      <c r="E15" s="516"/>
      <c r="F15" s="29">
        <v>16</v>
      </c>
    </row>
    <row r="16" spans="1:10" s="29" customFormat="1" ht="15" x14ac:dyDescent="0.2">
      <c r="A16" s="268"/>
      <c r="B16" s="268"/>
      <c r="C16" s="268"/>
      <c r="D16" s="268"/>
      <c r="E16" s="268"/>
    </row>
    <row r="17" spans="1:7" s="29" customFormat="1" ht="16.5" customHeight="1" x14ac:dyDescent="0.2">
      <c r="A17" s="516" t="s">
        <v>354</v>
      </c>
      <c r="B17" s="516"/>
      <c r="C17" s="516"/>
      <c r="D17" s="516"/>
      <c r="E17" s="516"/>
      <c r="F17" s="29">
        <v>18</v>
      </c>
    </row>
    <row r="18" spans="1:7" s="29" customFormat="1" ht="24" customHeight="1" x14ac:dyDescent="0.2">
      <c r="A18" s="197"/>
      <c r="B18" s="197"/>
      <c r="C18" s="197"/>
      <c r="D18" s="197"/>
      <c r="E18" s="197"/>
      <c r="F18" s="197"/>
    </row>
    <row r="19" spans="1:7" ht="31.5" customHeight="1" x14ac:dyDescent="0.25">
      <c r="A19" s="516" t="s">
        <v>355</v>
      </c>
      <c r="B19" s="516"/>
      <c r="C19" s="516"/>
      <c r="D19" s="516"/>
      <c r="E19" s="516"/>
      <c r="F19" s="29">
        <v>22</v>
      </c>
      <c r="G19" s="196"/>
    </row>
    <row r="20" spans="1:7" ht="15" customHeight="1" x14ac:dyDescent="0.25">
      <c r="A20" s="29"/>
      <c r="B20" s="29"/>
      <c r="C20" s="481"/>
      <c r="D20" s="29"/>
      <c r="E20" s="29"/>
      <c r="F20" s="196"/>
      <c r="G20" s="196"/>
    </row>
    <row r="21" spans="1:7" ht="46.5" customHeight="1" x14ac:dyDescent="0.25">
      <c r="A21" s="516" t="s">
        <v>356</v>
      </c>
      <c r="B21" s="516"/>
      <c r="C21" s="516"/>
      <c r="D21" s="516"/>
      <c r="E21" s="516"/>
      <c r="F21" s="29">
        <v>23</v>
      </c>
      <c r="G21" s="196"/>
    </row>
    <row r="22" spans="1:7" ht="15" customHeight="1" x14ac:dyDescent="0.25">
      <c r="A22" s="197"/>
      <c r="B22" s="197"/>
      <c r="C22" s="197"/>
      <c r="D22" s="197"/>
      <c r="E22" s="197"/>
      <c r="F22" s="196"/>
      <c r="G22" s="196"/>
    </row>
    <row r="23" spans="1:7" ht="31.5" customHeight="1" x14ac:dyDescent="0.25">
      <c r="A23" s="516" t="s">
        <v>618</v>
      </c>
      <c r="B23" s="516"/>
      <c r="C23" s="516"/>
      <c r="D23" s="516"/>
      <c r="E23" s="516"/>
      <c r="F23" s="29">
        <v>24</v>
      </c>
      <c r="G23" s="196"/>
    </row>
    <row r="24" spans="1:7" ht="15" customHeight="1" x14ac:dyDescent="0.25">
      <c r="A24" s="197"/>
      <c r="B24" s="197"/>
      <c r="C24" s="197"/>
      <c r="D24" s="197"/>
      <c r="E24" s="197"/>
      <c r="F24" s="196"/>
      <c r="G24" s="196"/>
    </row>
    <row r="25" spans="1:7" ht="46.5" customHeight="1" x14ac:dyDescent="0.25">
      <c r="A25" s="516" t="s">
        <v>619</v>
      </c>
      <c r="B25" s="516"/>
      <c r="C25" s="516"/>
      <c r="D25" s="516"/>
      <c r="E25" s="516"/>
      <c r="F25" s="29">
        <v>25</v>
      </c>
      <c r="G25" s="196"/>
    </row>
    <row r="26" spans="1:7" x14ac:dyDescent="0.25">
      <c r="A26" s="196"/>
      <c r="B26" s="196"/>
      <c r="C26" s="196"/>
      <c r="D26" s="196"/>
      <c r="E26" s="196"/>
      <c r="F26" s="196"/>
      <c r="G26" s="196"/>
    </row>
  </sheetData>
  <mergeCells count="11">
    <mergeCell ref="A3:F3"/>
    <mergeCell ref="A7:E7"/>
    <mergeCell ref="A9:E9"/>
    <mergeCell ref="A23:E23"/>
    <mergeCell ref="A25:E25"/>
    <mergeCell ref="A11:E11"/>
    <mergeCell ref="A17:E17"/>
    <mergeCell ref="A19:E19"/>
    <mergeCell ref="A21:E21"/>
    <mergeCell ref="A15:E15"/>
    <mergeCell ref="A13:E13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35"/>
  </sheetPr>
  <dimension ref="A1:AK14"/>
  <sheetViews>
    <sheetView workbookViewId="0">
      <selection activeCell="AJ9" sqref="AJ9"/>
    </sheetView>
  </sheetViews>
  <sheetFormatPr defaultColWidth="10.28515625" defaultRowHeight="15.75" x14ac:dyDescent="0.25"/>
  <cols>
    <col min="1" max="1" width="39.5703125" style="65" customWidth="1"/>
    <col min="2" max="2" width="21.7109375" style="65" hidden="1" customWidth="1"/>
    <col min="3" max="3" width="10.28515625" style="65" hidden="1" customWidth="1"/>
    <col min="4" max="4" width="22.28515625" style="65" hidden="1" customWidth="1"/>
    <col min="5" max="5" width="10.28515625" style="65" hidden="1" customWidth="1"/>
    <col min="6" max="6" width="17.7109375" style="65" hidden="1" customWidth="1"/>
    <col min="7" max="7" width="10.28515625" style="65" hidden="1" customWidth="1"/>
    <col min="8" max="8" width="17.7109375" style="65" hidden="1" customWidth="1"/>
    <col min="9" max="9" width="10.28515625" style="65" hidden="1" customWidth="1"/>
    <col min="10" max="10" width="17.7109375" style="65" hidden="1" customWidth="1"/>
    <col min="11" max="11" width="10.28515625" style="65" hidden="1" customWidth="1"/>
    <col min="12" max="12" width="17.7109375" style="65" hidden="1" customWidth="1"/>
    <col min="13" max="13" width="10.28515625" style="65" hidden="1" customWidth="1"/>
    <col min="14" max="14" width="17.7109375" style="65" hidden="1" customWidth="1"/>
    <col min="15" max="15" width="10.28515625" style="65" hidden="1" customWidth="1"/>
    <col min="16" max="16" width="17.7109375" style="65" hidden="1" customWidth="1"/>
    <col min="17" max="17" width="0" style="65" hidden="1" customWidth="1"/>
    <col min="18" max="18" width="17.7109375" style="65" hidden="1" customWidth="1"/>
    <col min="19" max="19" width="10.28515625" style="65" hidden="1" customWidth="1"/>
    <col min="20" max="20" width="16.42578125" style="65" hidden="1" customWidth="1"/>
    <col min="21" max="21" width="10.28515625" style="65" hidden="1" customWidth="1"/>
    <col min="22" max="22" width="16.42578125" style="65" hidden="1" customWidth="1"/>
    <col min="23" max="23" width="10.28515625" style="65" hidden="1" customWidth="1"/>
    <col min="24" max="24" width="16.42578125" style="65" hidden="1" customWidth="1"/>
    <col min="25" max="25" width="10.28515625" style="65" hidden="1" customWidth="1"/>
    <col min="26" max="26" width="16.42578125" style="65" hidden="1" customWidth="1"/>
    <col min="27" max="27" width="10.28515625" style="65" hidden="1" customWidth="1"/>
    <col min="28" max="28" width="16.42578125" style="65" customWidth="1"/>
    <col min="29" max="29" width="10.28515625" style="65" customWidth="1"/>
    <col min="30" max="30" width="16.42578125" style="65" customWidth="1"/>
    <col min="31" max="31" width="10.28515625" style="65" customWidth="1"/>
    <col min="32" max="32" width="16.42578125" style="65" customWidth="1"/>
    <col min="33" max="33" width="10.28515625" style="65" customWidth="1"/>
    <col min="34" max="34" width="16.42578125" style="65" customWidth="1"/>
    <col min="35" max="35" width="10.28515625" style="65"/>
    <col min="36" max="36" width="16.42578125" style="65" customWidth="1"/>
    <col min="37" max="37" width="10.7109375" style="65" customWidth="1"/>
    <col min="38" max="16384" width="10.28515625" style="65"/>
  </cols>
  <sheetData>
    <row r="1" spans="1:37" ht="35.25" customHeight="1" x14ac:dyDescent="0.25">
      <c r="A1" s="103" t="s">
        <v>118</v>
      </c>
      <c r="B1" s="102" t="s">
        <v>117</v>
      </c>
      <c r="C1" s="102"/>
      <c r="D1" s="102" t="s">
        <v>116</v>
      </c>
      <c r="E1" s="102"/>
      <c r="F1" s="102" t="s">
        <v>115</v>
      </c>
      <c r="G1" s="102"/>
      <c r="H1" s="102" t="s">
        <v>114</v>
      </c>
      <c r="I1" s="102"/>
      <c r="J1" s="101" t="s">
        <v>113</v>
      </c>
      <c r="K1" s="101"/>
      <c r="L1" s="101" t="s">
        <v>112</v>
      </c>
      <c r="M1" s="101"/>
      <c r="N1" s="101" t="s">
        <v>111</v>
      </c>
      <c r="O1" s="101"/>
      <c r="P1" s="101" t="s">
        <v>110</v>
      </c>
      <c r="Q1" s="101"/>
      <c r="R1" s="101" t="s">
        <v>109</v>
      </c>
      <c r="S1" s="101"/>
      <c r="T1" s="101" t="s">
        <v>108</v>
      </c>
      <c r="U1" s="101"/>
      <c r="V1" s="101" t="s">
        <v>107</v>
      </c>
      <c r="W1" s="101"/>
      <c r="X1" s="101" t="s">
        <v>106</v>
      </c>
      <c r="Y1" s="101"/>
      <c r="Z1" s="101" t="s">
        <v>140</v>
      </c>
      <c r="AA1" s="101"/>
      <c r="AB1" s="101" t="s">
        <v>182</v>
      </c>
      <c r="AC1" s="101"/>
      <c r="AD1" s="101" t="s">
        <v>219</v>
      </c>
      <c r="AE1" s="101"/>
      <c r="AF1" s="101" t="s">
        <v>252</v>
      </c>
      <c r="AG1" s="101"/>
      <c r="AH1" s="101" t="s">
        <v>331</v>
      </c>
      <c r="AI1" s="101"/>
      <c r="AJ1" s="101" t="s">
        <v>469</v>
      </c>
      <c r="AK1" s="101"/>
    </row>
    <row r="2" spans="1:37" x14ac:dyDescent="0.25">
      <c r="A2" s="96" t="s">
        <v>66</v>
      </c>
      <c r="B2" s="95">
        <v>208296</v>
      </c>
      <c r="C2" s="94">
        <f>(B2/$B$11)*100</f>
        <v>4.1100690931075796</v>
      </c>
      <c r="D2" s="95">
        <v>97807</v>
      </c>
      <c r="E2" s="94">
        <f t="shared" ref="E2:E8" si="0">(D2/$D$11)*100</f>
        <v>1.5300091856553601</v>
      </c>
      <c r="F2" s="95">
        <v>183697</v>
      </c>
      <c r="G2" s="94">
        <f t="shared" ref="G2:G8" si="1">(F2/$D$11)*100</f>
        <v>2.8735989998398144</v>
      </c>
      <c r="H2" s="95">
        <v>169579</v>
      </c>
      <c r="I2" s="94">
        <f t="shared" ref="I2:I8" si="2">(H2/$H$11)*100</f>
        <v>2.8140941178813357</v>
      </c>
      <c r="J2" s="93">
        <v>291031</v>
      </c>
      <c r="K2" s="92">
        <f t="shared" ref="K2:K7" si="3">(J2/$J$11)*100</f>
        <v>4.1097563696556616</v>
      </c>
      <c r="L2" s="93">
        <v>169400</v>
      </c>
      <c r="M2" s="92">
        <f t="shared" ref="M2:M7" si="4">(L2/$L$11)*100</f>
        <v>2.4437042806226512</v>
      </c>
      <c r="N2" s="93">
        <v>184620</v>
      </c>
      <c r="O2" s="92">
        <f t="shared" ref="O2:O8" si="5">(N2/$N$11)*100</f>
        <v>2.9397185723432386</v>
      </c>
      <c r="P2" s="93">
        <v>191852</v>
      </c>
      <c r="Q2" s="92">
        <f t="shared" ref="Q2:Q8" si="6">P2/$P$11*100</f>
        <v>2.7619737548285448</v>
      </c>
      <c r="R2" s="93">
        <v>162937</v>
      </c>
      <c r="S2" s="92">
        <f t="shared" ref="S2:S8" si="7">R2/$R$11*100</f>
        <v>1.9032426155712034</v>
      </c>
      <c r="T2" s="93">
        <v>140391</v>
      </c>
      <c r="U2" s="92">
        <f t="shared" ref="U2:U8" si="8">T2/$T$11*100</f>
        <v>1.7432660170970227</v>
      </c>
      <c r="V2" s="93">
        <v>164820</v>
      </c>
      <c r="W2" s="92">
        <f t="shared" ref="W2:W8" si="9">V2/$V$11*100</f>
        <v>2.3662451299022922</v>
      </c>
      <c r="X2" s="93">
        <v>613120</v>
      </c>
      <c r="Y2" s="92">
        <f t="shared" ref="Y2:Y8" si="10">X2/$X$11*100</f>
        <v>7.4433719426688461</v>
      </c>
      <c r="Z2" s="93">
        <v>563161</v>
      </c>
      <c r="AA2" s="92">
        <f t="shared" ref="AA2:AA8" si="11">Z2/$Z$11*100</f>
        <v>5.9625449590824839</v>
      </c>
      <c r="AB2" s="93">
        <v>585252</v>
      </c>
      <c r="AC2" s="92">
        <f t="shared" ref="AC2:AC8" si="12">AB2/$AB$11*100</f>
        <v>5.7403563079213704</v>
      </c>
      <c r="AD2" s="93">
        <v>581497</v>
      </c>
      <c r="AE2" s="92">
        <f t="shared" ref="AE2:AE8" si="13">AD2/$AD$11*100</f>
        <v>6.7854121870365631</v>
      </c>
      <c r="AF2" s="93">
        <v>597999</v>
      </c>
      <c r="AG2" s="92">
        <f t="shared" ref="AG2:AG8" si="14">AF2/$AF$11*100</f>
        <v>6.4309521599808486</v>
      </c>
      <c r="AH2" s="93">
        <v>755536</v>
      </c>
      <c r="AI2" s="92">
        <f t="shared" ref="AI2:AI8" si="15">AH2/$AH$11*100</f>
        <v>6.3796024569798435</v>
      </c>
      <c r="AJ2" s="93">
        <v>628872</v>
      </c>
      <c r="AK2" s="92">
        <f t="shared" ref="AK2:AK9" si="16">AJ2/$AJ$11*100</f>
        <v>1.7352072787584647</v>
      </c>
    </row>
    <row r="3" spans="1:37" x14ac:dyDescent="0.25">
      <c r="A3" s="96" t="s">
        <v>65</v>
      </c>
      <c r="B3" s="95">
        <v>4045313</v>
      </c>
      <c r="C3" s="94">
        <f>(B3/$B$11)*100</f>
        <v>79.82158050680907</v>
      </c>
      <c r="D3" s="95">
        <v>4328690</v>
      </c>
      <c r="E3" s="94">
        <f t="shared" si="0"/>
        <v>67.714329872652286</v>
      </c>
      <c r="F3" s="95">
        <v>4532498</v>
      </c>
      <c r="G3" s="94">
        <f t="shared" si="1"/>
        <v>70.902528182691924</v>
      </c>
      <c r="H3" s="95">
        <v>4121475</v>
      </c>
      <c r="I3" s="94">
        <f t="shared" si="2"/>
        <v>68.394191229426866</v>
      </c>
      <c r="J3" s="93">
        <v>4416300</v>
      </c>
      <c r="K3" s="92">
        <f t="shared" si="3"/>
        <v>62.364205377813008</v>
      </c>
      <c r="L3" s="93">
        <v>4543700</v>
      </c>
      <c r="M3" s="92">
        <f t="shared" si="4"/>
        <v>65.545803659180294</v>
      </c>
      <c r="N3" s="93">
        <v>4302600</v>
      </c>
      <c r="O3" s="92">
        <f t="shared" si="5"/>
        <v>68.510633351554645</v>
      </c>
      <c r="P3" s="93">
        <v>4498900</v>
      </c>
      <c r="Q3" s="92">
        <f t="shared" si="6"/>
        <v>64.767861297240273</v>
      </c>
      <c r="R3" s="93">
        <v>4776650</v>
      </c>
      <c r="S3" s="92">
        <f t="shared" si="7"/>
        <v>55.795330954099988</v>
      </c>
      <c r="T3" s="93">
        <v>5330950</v>
      </c>
      <c r="U3" s="92">
        <f t="shared" si="8"/>
        <v>66.19558215158645</v>
      </c>
      <c r="V3" s="93">
        <v>5771300</v>
      </c>
      <c r="W3" s="92">
        <f t="shared" si="9"/>
        <v>82.85590655384722</v>
      </c>
      <c r="X3" s="93">
        <v>6427050</v>
      </c>
      <c r="Y3" s="92">
        <f t="shared" si="10"/>
        <v>78.02538433606766</v>
      </c>
      <c r="Z3" s="93">
        <v>7030550</v>
      </c>
      <c r="AA3" s="92">
        <f t="shared" si="11"/>
        <v>74.436920280483477</v>
      </c>
      <c r="AB3" s="93">
        <v>7340300</v>
      </c>
      <c r="AC3" s="92">
        <f t="shared" si="12"/>
        <v>71.996229670356087</v>
      </c>
      <c r="AD3" s="93">
        <v>6307200</v>
      </c>
      <c r="AE3" s="92">
        <f t="shared" si="13"/>
        <v>73.597889148313783</v>
      </c>
      <c r="AF3" s="93">
        <v>7283700</v>
      </c>
      <c r="AG3" s="92">
        <f t="shared" si="14"/>
        <v>78.329773540846233</v>
      </c>
      <c r="AH3" s="93">
        <v>8580950</v>
      </c>
      <c r="AI3" s="92">
        <f t="shared" si="15"/>
        <v>72.455911701389724</v>
      </c>
      <c r="AJ3" s="93">
        <v>10100900</v>
      </c>
      <c r="AK3" s="92">
        <f t="shared" si="16"/>
        <v>27.870783246847331</v>
      </c>
    </row>
    <row r="4" spans="1:37" x14ac:dyDescent="0.25">
      <c r="A4" s="100" t="s">
        <v>67</v>
      </c>
      <c r="B4" s="97">
        <v>40000</v>
      </c>
      <c r="C4" s="94">
        <f>(B4/$B$11)*100</f>
        <v>0.78927470390359489</v>
      </c>
      <c r="D4" s="95">
        <v>40500</v>
      </c>
      <c r="E4" s="94">
        <f t="shared" si="0"/>
        <v>0.63354741500140166</v>
      </c>
      <c r="F4" s="95">
        <v>58500</v>
      </c>
      <c r="G4" s="94">
        <f t="shared" si="1"/>
        <v>0.9151240438909134</v>
      </c>
      <c r="H4" s="95">
        <v>45730</v>
      </c>
      <c r="I4" s="94">
        <f t="shared" si="2"/>
        <v>0.75887063852666581</v>
      </c>
      <c r="J4" s="93">
        <v>60230</v>
      </c>
      <c r="K4" s="92">
        <f t="shared" si="3"/>
        <v>0.85053010210032787</v>
      </c>
      <c r="L4" s="93">
        <v>79409</v>
      </c>
      <c r="M4" s="92">
        <f t="shared" si="4"/>
        <v>1.1455260520659039</v>
      </c>
      <c r="N4" s="93">
        <v>85980</v>
      </c>
      <c r="O4" s="92">
        <f t="shared" si="5"/>
        <v>1.3690662054494185</v>
      </c>
      <c r="P4" s="93">
        <v>85980</v>
      </c>
      <c r="Q4" s="92">
        <f t="shared" si="6"/>
        <v>1.2378005099772653</v>
      </c>
      <c r="R4" s="93">
        <v>55980</v>
      </c>
      <c r="S4" s="92">
        <f t="shared" si="7"/>
        <v>0.65389396895533836</v>
      </c>
      <c r="T4" s="93">
        <v>40980</v>
      </c>
      <c r="U4" s="92">
        <f t="shared" si="8"/>
        <v>0.50885770014200338</v>
      </c>
      <c r="V4" s="93">
        <v>55000</v>
      </c>
      <c r="W4" s="92">
        <f t="shared" si="9"/>
        <v>0.78960976910948966</v>
      </c>
      <c r="X4" s="93">
        <v>66000</v>
      </c>
      <c r="Y4" s="92">
        <f t="shared" si="10"/>
        <v>0.80125024174083992</v>
      </c>
      <c r="Z4" s="93">
        <v>41450</v>
      </c>
      <c r="AA4" s="92">
        <f t="shared" si="11"/>
        <v>0.43885760653519856</v>
      </c>
      <c r="AB4" s="93">
        <v>36450</v>
      </c>
      <c r="AC4" s="92">
        <f t="shared" si="12"/>
        <v>0.35751434838964063</v>
      </c>
      <c r="AD4" s="93">
        <v>65658</v>
      </c>
      <c r="AE4" s="92">
        <f t="shared" si="13"/>
        <v>0.7661545861396476</v>
      </c>
      <c r="AF4" s="93">
        <v>74079</v>
      </c>
      <c r="AG4" s="92">
        <f t="shared" si="14"/>
        <v>0.79665435069159207</v>
      </c>
      <c r="AH4" s="93">
        <v>52476</v>
      </c>
      <c r="AI4" s="92">
        <f t="shared" si="15"/>
        <v>0.44309737528387033</v>
      </c>
      <c r="AJ4" s="93">
        <v>53993</v>
      </c>
      <c r="AK4" s="92">
        <f t="shared" si="16"/>
        <v>0.14897951666158737</v>
      </c>
    </row>
    <row r="5" spans="1:37" x14ac:dyDescent="0.25">
      <c r="A5" s="303" t="s">
        <v>105</v>
      </c>
      <c r="B5" s="99">
        <v>176006</v>
      </c>
      <c r="C5" s="94">
        <f>(B5/$B$11)*100</f>
        <v>3.472927088381403</v>
      </c>
      <c r="D5" s="82">
        <v>1640569</v>
      </c>
      <c r="E5" s="94">
        <f t="shared" si="0"/>
        <v>25.663660471146532</v>
      </c>
      <c r="F5" s="82">
        <v>1647849</v>
      </c>
      <c r="G5" s="94">
        <f t="shared" si="1"/>
        <v>25.777542574386285</v>
      </c>
      <c r="H5" s="82">
        <v>1296585</v>
      </c>
      <c r="I5" s="94">
        <f t="shared" si="2"/>
        <v>21.516297547651366</v>
      </c>
      <c r="J5" s="98">
        <f>1995546+1880</f>
        <v>1997426</v>
      </c>
      <c r="K5" s="92">
        <f t="shared" si="3"/>
        <v>28.206391162507877</v>
      </c>
      <c r="L5" s="98">
        <f>1872536+925</f>
        <v>1873461</v>
      </c>
      <c r="M5" s="92">
        <f t="shared" si="4"/>
        <v>27.025883502240806</v>
      </c>
      <c r="N5" s="98">
        <f>1507801+605</f>
        <v>1508406</v>
      </c>
      <c r="O5" s="92">
        <f t="shared" si="5"/>
        <v>24.018465674542167</v>
      </c>
      <c r="P5" s="98">
        <f>1857309+435</f>
        <v>1857744</v>
      </c>
      <c r="Q5" s="92">
        <f t="shared" si="6"/>
        <v>26.744783328764882</v>
      </c>
      <c r="R5" s="93">
        <v>3199577</v>
      </c>
      <c r="S5" s="92">
        <f t="shared" si="7"/>
        <v>37.373778197717307</v>
      </c>
      <c r="T5" s="93">
        <v>2170452</v>
      </c>
      <c r="U5" s="92">
        <f t="shared" si="8"/>
        <v>26.950981283275048</v>
      </c>
      <c r="V5" s="93">
        <v>591823</v>
      </c>
      <c r="W5" s="92">
        <f t="shared" si="9"/>
        <v>8.4965313160670082</v>
      </c>
      <c r="X5" s="93">
        <v>701761</v>
      </c>
      <c r="Y5" s="92">
        <f t="shared" si="10"/>
        <v>8.5194874377923284</v>
      </c>
      <c r="Z5" s="93">
        <v>1327707</v>
      </c>
      <c r="AA5" s="92">
        <f t="shared" si="11"/>
        <v>14.057281452352926</v>
      </c>
      <c r="AB5" s="93">
        <v>1635206</v>
      </c>
      <c r="AC5" s="92">
        <f t="shared" si="12"/>
        <v>16.038672361394532</v>
      </c>
      <c r="AD5" s="93">
        <v>792933</v>
      </c>
      <c r="AE5" s="92">
        <f t="shared" si="13"/>
        <v>9.2526311257039389</v>
      </c>
      <c r="AF5" s="93">
        <v>606358</v>
      </c>
      <c r="AG5" s="92">
        <f t="shared" si="14"/>
        <v>6.5208458372366298</v>
      </c>
      <c r="AH5" s="208">
        <v>1713522</v>
      </c>
      <c r="AI5" s="92">
        <f t="shared" si="15"/>
        <v>14.4686542551103</v>
      </c>
      <c r="AJ5" s="208">
        <v>714227</v>
      </c>
      <c r="AK5" s="92">
        <f t="shared" si="16"/>
        <v>1.9707220055684174</v>
      </c>
    </row>
    <row r="6" spans="1:37" x14ac:dyDescent="0.25">
      <c r="A6" s="303" t="s">
        <v>104</v>
      </c>
      <c r="B6" s="99"/>
      <c r="C6" s="94"/>
      <c r="D6" s="82">
        <v>0</v>
      </c>
      <c r="E6" s="94">
        <f t="shared" si="0"/>
        <v>0</v>
      </c>
      <c r="F6" s="82">
        <v>0</v>
      </c>
      <c r="G6" s="94">
        <f t="shared" si="1"/>
        <v>0</v>
      </c>
      <c r="H6" s="82">
        <v>198587</v>
      </c>
      <c r="I6" s="94">
        <f t="shared" si="2"/>
        <v>3.295470008595998</v>
      </c>
      <c r="J6" s="98">
        <v>198587</v>
      </c>
      <c r="K6" s="92">
        <f t="shared" si="3"/>
        <v>2.8043204613282051</v>
      </c>
      <c r="L6" s="98">
        <v>153000</v>
      </c>
      <c r="M6" s="92">
        <f t="shared" si="4"/>
        <v>2.2071237009165623</v>
      </c>
      <c r="N6" s="98">
        <v>198587</v>
      </c>
      <c r="O6" s="92">
        <f t="shared" si="5"/>
        <v>3.1621161961105337</v>
      </c>
      <c r="P6" s="98">
        <v>198587</v>
      </c>
      <c r="Q6" s="92">
        <f t="shared" si="6"/>
        <v>2.8589333551390461</v>
      </c>
      <c r="R6" s="93">
        <v>207979</v>
      </c>
      <c r="S6" s="92">
        <f t="shared" si="7"/>
        <v>2.4293714499707453</v>
      </c>
      <c r="T6" s="93">
        <v>208810</v>
      </c>
      <c r="U6" s="92">
        <f t="shared" si="8"/>
        <v>2.5928398332516278</v>
      </c>
      <c r="V6" s="93">
        <v>209438</v>
      </c>
      <c r="W6" s="92">
        <f t="shared" si="9"/>
        <v>3.0068052876864231</v>
      </c>
      <c r="X6" s="93">
        <v>210904</v>
      </c>
      <c r="Y6" s="92">
        <f t="shared" si="10"/>
        <v>2.5604072876380322</v>
      </c>
      <c r="Z6" s="93">
        <v>216176</v>
      </c>
      <c r="AA6" s="92">
        <f t="shared" si="11"/>
        <v>2.2887932919264919</v>
      </c>
      <c r="AB6" s="93">
        <v>312465</v>
      </c>
      <c r="AC6" s="92">
        <f t="shared" si="12"/>
        <v>3.0647660046521001</v>
      </c>
      <c r="AD6" s="93">
        <v>321214</v>
      </c>
      <c r="AE6" s="92">
        <f t="shared" si="13"/>
        <v>3.7482040152344083</v>
      </c>
      <c r="AF6" s="93">
        <v>331493</v>
      </c>
      <c r="AG6" s="92">
        <f t="shared" si="14"/>
        <v>3.5649150322467618</v>
      </c>
      <c r="AH6" s="208">
        <v>344090</v>
      </c>
      <c r="AI6" s="92">
        <f t="shared" si="15"/>
        <v>2.9054305942035779</v>
      </c>
      <c r="AJ6" s="208">
        <v>396047</v>
      </c>
      <c r="AK6" s="92">
        <f t="shared" si="16"/>
        <v>1.0927877805506583</v>
      </c>
    </row>
    <row r="7" spans="1:37" ht="31.5" x14ac:dyDescent="0.25">
      <c r="A7" s="304" t="s">
        <v>103</v>
      </c>
      <c r="B7" s="97">
        <v>124479</v>
      </c>
      <c r="C7" s="94">
        <f>(B7/$B$11)*100</f>
        <v>2.4562031466803895</v>
      </c>
      <c r="D7" s="95">
        <v>122010</v>
      </c>
      <c r="E7" s="94">
        <f t="shared" si="0"/>
        <v>1.9086202494894078</v>
      </c>
      <c r="F7" s="95">
        <v>129223</v>
      </c>
      <c r="G7" s="94">
        <f t="shared" si="1"/>
        <v>2.0214542619438549</v>
      </c>
      <c r="H7" s="95">
        <v>128864</v>
      </c>
      <c r="I7" s="94">
        <f t="shared" si="2"/>
        <v>2.1384453523529472</v>
      </c>
      <c r="J7" s="93">
        <v>117892</v>
      </c>
      <c r="K7" s="92">
        <f t="shared" si="3"/>
        <v>1.6647965265949169</v>
      </c>
      <c r="L7" s="93">
        <v>113129</v>
      </c>
      <c r="M7" s="92">
        <f t="shared" si="4"/>
        <v>1.6319588049737894</v>
      </c>
      <c r="N7" s="93">
        <v>0</v>
      </c>
      <c r="O7" s="92">
        <f t="shared" si="5"/>
        <v>0</v>
      </c>
      <c r="P7" s="93">
        <v>113129</v>
      </c>
      <c r="Q7" s="92">
        <f t="shared" si="6"/>
        <v>1.6286477540499888</v>
      </c>
      <c r="R7" s="93">
        <v>114252</v>
      </c>
      <c r="S7" s="92">
        <f t="shared" si="7"/>
        <v>1.3345604455356435</v>
      </c>
      <c r="T7" s="93">
        <v>116831</v>
      </c>
      <c r="U7" s="92">
        <f t="shared" si="8"/>
        <v>1.450716299787467</v>
      </c>
      <c r="V7" s="93">
        <v>123989</v>
      </c>
      <c r="W7" s="92">
        <f t="shared" si="9"/>
        <v>1.7800531938566635</v>
      </c>
      <c r="X7" s="93">
        <v>130188</v>
      </c>
      <c r="Y7" s="92">
        <f t="shared" si="10"/>
        <v>1.5805025222993405</v>
      </c>
      <c r="Z7" s="93">
        <v>143207</v>
      </c>
      <c r="AA7" s="92">
        <f t="shared" si="11"/>
        <v>1.5162239145738523</v>
      </c>
      <c r="AB7" s="93">
        <v>156273</v>
      </c>
      <c r="AC7" s="92">
        <f t="shared" si="12"/>
        <v>1.5327802404909276</v>
      </c>
      <c r="AD7" s="93">
        <v>171417</v>
      </c>
      <c r="AE7" s="92">
        <f t="shared" si="13"/>
        <v>2.0002424790931799</v>
      </c>
      <c r="AF7" s="93">
        <v>171417</v>
      </c>
      <c r="AG7" s="92">
        <f t="shared" si="14"/>
        <v>1.8434387455621786</v>
      </c>
      <c r="AH7" s="208">
        <v>195368</v>
      </c>
      <c r="AI7" s="92">
        <f t="shared" si="15"/>
        <v>1.6496502784979643</v>
      </c>
      <c r="AJ7" s="208">
        <v>200411</v>
      </c>
      <c r="AK7" s="92">
        <f t="shared" si="16"/>
        <v>0.55298157008622206</v>
      </c>
    </row>
    <row r="8" spans="1:37" x14ac:dyDescent="0.25">
      <c r="A8" s="304" t="s">
        <v>102</v>
      </c>
      <c r="B8" s="95">
        <v>473850</v>
      </c>
      <c r="C8" s="94">
        <f>(B8/$B$11)*100</f>
        <v>9.3499454611179598</v>
      </c>
      <c r="D8" s="95">
        <v>163000</v>
      </c>
      <c r="E8" s="94">
        <f t="shared" si="0"/>
        <v>2.5498328060550239</v>
      </c>
      <c r="F8" s="95">
        <v>321316</v>
      </c>
      <c r="G8" s="94">
        <f t="shared" si="1"/>
        <v>5.0263931160145772</v>
      </c>
      <c r="H8" s="95">
        <v>65240</v>
      </c>
      <c r="I8" s="94">
        <f t="shared" si="2"/>
        <v>1.0826311055648301</v>
      </c>
      <c r="J8" s="93">
        <v>0</v>
      </c>
      <c r="K8" s="92">
        <f>(J8/$H$11)*100</f>
        <v>0</v>
      </c>
      <c r="L8" s="93"/>
      <c r="M8" s="92">
        <f>(L8/$H$11)*100</f>
        <v>0</v>
      </c>
      <c r="N8" s="93"/>
      <c r="O8" s="92">
        <f t="shared" si="5"/>
        <v>0</v>
      </c>
      <c r="P8" s="93"/>
      <c r="Q8" s="92">
        <f t="shared" si="6"/>
        <v>0</v>
      </c>
      <c r="R8" s="93">
        <v>43646</v>
      </c>
      <c r="S8" s="92">
        <f t="shared" si="7"/>
        <v>0.50982236814978021</v>
      </c>
      <c r="T8" s="93">
        <v>44918</v>
      </c>
      <c r="U8" s="92">
        <f t="shared" si="8"/>
        <v>0.55775671486038325</v>
      </c>
      <c r="V8" s="93">
        <v>49096</v>
      </c>
      <c r="W8" s="92">
        <f t="shared" si="9"/>
        <v>0.70484874953090004</v>
      </c>
      <c r="X8" s="93">
        <v>88104</v>
      </c>
      <c r="Y8" s="92">
        <f t="shared" si="10"/>
        <v>1.0695962317929539</v>
      </c>
      <c r="Z8" s="93">
        <v>122726</v>
      </c>
      <c r="AA8" s="92">
        <f t="shared" si="11"/>
        <v>1.2993784950455676</v>
      </c>
      <c r="AB8" s="93">
        <v>129449</v>
      </c>
      <c r="AC8" s="92">
        <f t="shared" si="12"/>
        <v>1.2696810667953522</v>
      </c>
      <c r="AD8" s="93">
        <v>329892</v>
      </c>
      <c r="AE8" s="92">
        <f t="shared" si="13"/>
        <v>3.849466458478489</v>
      </c>
      <c r="AF8" s="93">
        <v>233717</v>
      </c>
      <c r="AG8" s="92">
        <f t="shared" si="14"/>
        <v>2.5134203334357483</v>
      </c>
      <c r="AH8" s="208">
        <v>201053</v>
      </c>
      <c r="AI8" s="92">
        <f t="shared" si="15"/>
        <v>1.6976533385347203</v>
      </c>
      <c r="AJ8" s="208">
        <f>24147445-23978940</f>
        <v>168505</v>
      </c>
      <c r="AK8" s="92">
        <f t="shared" si="16"/>
        <v>0.46494533467413884</v>
      </c>
    </row>
    <row r="9" spans="1:37" x14ac:dyDescent="0.25">
      <c r="A9" s="475" t="s">
        <v>617</v>
      </c>
      <c r="B9" s="476"/>
      <c r="C9" s="477"/>
      <c r="D9" s="476"/>
      <c r="E9" s="477"/>
      <c r="F9" s="476"/>
      <c r="G9" s="477"/>
      <c r="H9" s="476"/>
      <c r="I9" s="477"/>
      <c r="J9" s="478"/>
      <c r="K9" s="479"/>
      <c r="L9" s="478"/>
      <c r="M9" s="479"/>
      <c r="N9" s="478"/>
      <c r="O9" s="479"/>
      <c r="P9" s="478"/>
      <c r="Q9" s="479"/>
      <c r="R9" s="478"/>
      <c r="S9" s="479"/>
      <c r="T9" s="478"/>
      <c r="U9" s="479"/>
      <c r="V9" s="478"/>
      <c r="W9" s="479"/>
      <c r="X9" s="478"/>
      <c r="Y9" s="479"/>
      <c r="Z9" s="478"/>
      <c r="AA9" s="479"/>
      <c r="AB9" s="478"/>
      <c r="AC9" s="479"/>
      <c r="AD9" s="478"/>
      <c r="AE9" s="479"/>
      <c r="AF9" s="478"/>
      <c r="AG9" s="479"/>
      <c r="AH9" s="480"/>
      <c r="AI9" s="479"/>
      <c r="AJ9" s="480">
        <v>23978940</v>
      </c>
      <c r="AK9" s="479">
        <f t="shared" si="16"/>
        <v>66.163593266853184</v>
      </c>
    </row>
    <row r="10" spans="1:37" x14ac:dyDescent="0.25">
      <c r="B10" s="91"/>
      <c r="D10" s="91"/>
      <c r="F10" s="91"/>
      <c r="H10" s="91"/>
      <c r="J10" s="91"/>
      <c r="L10" s="91"/>
      <c r="N10" s="91"/>
      <c r="P10" s="91"/>
      <c r="R10" s="91"/>
      <c r="T10" s="91"/>
      <c r="V10" s="91"/>
      <c r="X10" s="91"/>
      <c r="Z10" s="91"/>
      <c r="AB10" s="91"/>
      <c r="AD10" s="91"/>
      <c r="AF10" s="91"/>
      <c r="AH10" s="91"/>
      <c r="AJ10" s="91"/>
    </row>
    <row r="11" spans="1:37" x14ac:dyDescent="0.25">
      <c r="A11" s="90" t="s">
        <v>101</v>
      </c>
      <c r="B11" s="89">
        <f t="shared" ref="B11:Y11" si="17">SUM(B2:B10)</f>
        <v>5067944</v>
      </c>
      <c r="C11" s="88">
        <f t="shared" si="17"/>
        <v>100</v>
      </c>
      <c r="D11" s="89">
        <f t="shared" si="17"/>
        <v>6392576</v>
      </c>
      <c r="E11" s="88">
        <f t="shared" si="17"/>
        <v>100</v>
      </c>
      <c r="F11" s="89">
        <f t="shared" si="17"/>
        <v>6873083</v>
      </c>
      <c r="G11" s="88">
        <f t="shared" si="17"/>
        <v>107.51664117876737</v>
      </c>
      <c r="H11" s="89">
        <f t="shared" si="17"/>
        <v>6026060</v>
      </c>
      <c r="I11" s="88">
        <f t="shared" si="17"/>
        <v>100</v>
      </c>
      <c r="J11" s="87">
        <f t="shared" si="17"/>
        <v>7081466</v>
      </c>
      <c r="K11" s="86">
        <f t="shared" si="17"/>
        <v>99.999999999999972</v>
      </c>
      <c r="L11" s="87">
        <f t="shared" si="17"/>
        <v>6932099</v>
      </c>
      <c r="M11" s="86">
        <f t="shared" si="17"/>
        <v>100.00000000000001</v>
      </c>
      <c r="N11" s="87">
        <f t="shared" si="17"/>
        <v>6280193</v>
      </c>
      <c r="O11" s="86">
        <f t="shared" si="17"/>
        <v>100</v>
      </c>
      <c r="P11" s="87">
        <f t="shared" si="17"/>
        <v>6946192</v>
      </c>
      <c r="Q11" s="86">
        <f t="shared" si="17"/>
        <v>100</v>
      </c>
      <c r="R11" s="87">
        <f t="shared" si="17"/>
        <v>8561021</v>
      </c>
      <c r="S11" s="86">
        <f t="shared" si="17"/>
        <v>100</v>
      </c>
      <c r="T11" s="87">
        <f t="shared" si="17"/>
        <v>8053332</v>
      </c>
      <c r="U11" s="86">
        <f t="shared" si="17"/>
        <v>100.00000000000003</v>
      </c>
      <c r="V11" s="87">
        <f t="shared" si="17"/>
        <v>6965466</v>
      </c>
      <c r="W11" s="86">
        <f t="shared" si="17"/>
        <v>99.999999999999986</v>
      </c>
      <c r="X11" s="87">
        <f t="shared" si="17"/>
        <v>8237127</v>
      </c>
      <c r="Y11" s="86">
        <f t="shared" si="17"/>
        <v>100</v>
      </c>
      <c r="Z11" s="87">
        <f t="shared" ref="Z11:AE11" si="18">SUM(Z2:Z10)</f>
        <v>9444977</v>
      </c>
      <c r="AA11" s="86">
        <f t="shared" si="18"/>
        <v>100</v>
      </c>
      <c r="AB11" s="87">
        <f t="shared" si="18"/>
        <v>10195395</v>
      </c>
      <c r="AC11" s="86">
        <f t="shared" si="18"/>
        <v>100.00000000000001</v>
      </c>
      <c r="AD11" s="87">
        <f t="shared" si="18"/>
        <v>8569811</v>
      </c>
      <c r="AE11" s="86">
        <f t="shared" si="18"/>
        <v>100.00000000000001</v>
      </c>
      <c r="AF11" s="87">
        <f t="shared" ref="AF11:AG11" si="19">SUM(AF2:AF10)</f>
        <v>9298763</v>
      </c>
      <c r="AG11" s="86">
        <f t="shared" si="19"/>
        <v>100</v>
      </c>
      <c r="AH11" s="87">
        <f t="shared" ref="AH11:AI11" si="20">SUM(AH2:AH10)</f>
        <v>11842995</v>
      </c>
      <c r="AI11" s="86">
        <f t="shared" si="20"/>
        <v>99.999999999999986</v>
      </c>
      <c r="AJ11" s="87">
        <f t="shared" ref="AJ11:AK11" si="21">SUM(AJ2:AJ10)</f>
        <v>36241895</v>
      </c>
      <c r="AK11" s="86">
        <f t="shared" si="21"/>
        <v>100</v>
      </c>
    </row>
    <row r="12" spans="1:37" x14ac:dyDescent="0.25">
      <c r="B12" s="65">
        <v>4697998</v>
      </c>
    </row>
    <row r="13" spans="1:37" x14ac:dyDescent="0.25">
      <c r="B13" s="45">
        <f>B12-B11</f>
        <v>-369946</v>
      </c>
    </row>
    <row r="14" spans="1:37" x14ac:dyDescent="0.25">
      <c r="D14" s="45">
        <f>D7+D5+D8</f>
        <v>1925579</v>
      </c>
      <c r="E14" s="45"/>
      <c r="F14" s="45"/>
      <c r="G14" s="45"/>
      <c r="H14" s="45">
        <f>H7+H5+H8</f>
        <v>1490689</v>
      </c>
      <c r="J14" s="45">
        <f>J7+J5+J8</f>
        <v>2115318</v>
      </c>
      <c r="L14" s="45">
        <f>L7+L5+L8</f>
        <v>1986590</v>
      </c>
      <c r="N14" s="45">
        <f>N7+N5+N8</f>
        <v>1508406</v>
      </c>
      <c r="P14" s="45">
        <f>P5+P6+P7+P8</f>
        <v>2169460</v>
      </c>
      <c r="R14" s="45">
        <f>R5+R6+R7+R8</f>
        <v>3565454</v>
      </c>
      <c r="T14" s="45">
        <f>T5+T6+T7+T8</f>
        <v>2541011</v>
      </c>
      <c r="V14" s="45">
        <f>V5+V6+V7+V8</f>
        <v>974346</v>
      </c>
      <c r="X14" s="45">
        <f>X5+X6+X7+X8</f>
        <v>1130957</v>
      </c>
      <c r="Z14" s="45">
        <f>Z5+Z6+Z7+Z8</f>
        <v>1809816</v>
      </c>
      <c r="AB14" s="45">
        <f>AB5+AB6+AB7+AB8</f>
        <v>2233393</v>
      </c>
      <c r="AD14" s="45">
        <f>AD5+AD6+AD7+AD8</f>
        <v>1615456</v>
      </c>
      <c r="AF14" s="45">
        <f>AF5+AF6+AF7+AF8</f>
        <v>1342985</v>
      </c>
      <c r="AH14" s="45">
        <f>AH5+AH6+AH7+AH8</f>
        <v>2454033</v>
      </c>
      <c r="AJ14" s="45">
        <f>AJ5+AJ6+AJ7+AJ8</f>
        <v>1479190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AK35"/>
  <sheetViews>
    <sheetView workbookViewId="0">
      <selection activeCell="AL13" sqref="AL13"/>
    </sheetView>
  </sheetViews>
  <sheetFormatPr defaultColWidth="10.28515625" defaultRowHeight="15.75" x14ac:dyDescent="0.25"/>
  <cols>
    <col min="1" max="1" width="48.85546875" style="65" customWidth="1"/>
    <col min="2" max="2" width="18.42578125" style="65" hidden="1" customWidth="1"/>
    <col min="3" max="3" width="10.28515625" style="65" hidden="1" customWidth="1"/>
    <col min="4" max="4" width="17.7109375" style="65" hidden="1" customWidth="1"/>
    <col min="5" max="5" width="15" style="65" hidden="1" customWidth="1"/>
    <col min="6" max="6" width="17.140625" style="65" hidden="1" customWidth="1"/>
    <col min="7" max="7" width="10.28515625" style="65" hidden="1" customWidth="1"/>
    <col min="8" max="8" width="17.140625" style="104" hidden="1" customWidth="1"/>
    <col min="9" max="9" width="10.28515625" style="65" hidden="1" customWidth="1"/>
    <col min="10" max="10" width="17.140625" style="104" hidden="1" customWidth="1"/>
    <col min="11" max="11" width="10.28515625" style="65" hidden="1" customWidth="1"/>
    <col min="12" max="12" width="17.140625" style="104" hidden="1" customWidth="1"/>
    <col min="13" max="13" width="10.28515625" style="65" hidden="1" customWidth="1"/>
    <col min="14" max="14" width="17.140625" style="104" hidden="1" customWidth="1"/>
    <col min="15" max="15" width="10.28515625" style="65" hidden="1" customWidth="1"/>
    <col min="16" max="16" width="17.140625" style="104" hidden="1" customWidth="1"/>
    <col min="17" max="17" width="0" style="65" hidden="1" customWidth="1"/>
    <col min="18" max="18" width="17.140625" style="104" hidden="1" customWidth="1"/>
    <col min="19" max="19" width="11.5703125" style="65" hidden="1" customWidth="1"/>
    <col min="20" max="20" width="17.140625" style="104" hidden="1" customWidth="1"/>
    <col min="21" max="21" width="11.5703125" style="65" hidden="1" customWidth="1"/>
    <col min="22" max="22" width="17.140625" style="104" hidden="1" customWidth="1"/>
    <col min="23" max="23" width="11.5703125" style="65" hidden="1" customWidth="1"/>
    <col min="24" max="24" width="17.140625" style="104" hidden="1" customWidth="1"/>
    <col min="25" max="25" width="11.5703125" style="65" hidden="1" customWidth="1"/>
    <col min="26" max="26" width="17.140625" style="104" hidden="1" customWidth="1"/>
    <col min="27" max="27" width="11.5703125" style="65" hidden="1" customWidth="1"/>
    <col min="28" max="28" width="17.140625" style="104" customWidth="1"/>
    <col min="29" max="29" width="11.5703125" style="65" customWidth="1"/>
    <col min="30" max="30" width="17.140625" style="104" customWidth="1"/>
    <col min="31" max="31" width="11.5703125" style="65" customWidth="1"/>
    <col min="32" max="32" width="17.140625" style="104" customWidth="1"/>
    <col min="33" max="33" width="11.5703125" style="65" customWidth="1"/>
    <col min="34" max="34" width="17.140625" style="104" customWidth="1"/>
    <col min="35" max="35" width="11.5703125" style="65" customWidth="1"/>
    <col min="36" max="36" width="17.140625" style="104" customWidth="1"/>
    <col min="37" max="37" width="11.5703125" style="65" customWidth="1"/>
    <col min="38" max="16384" width="10.28515625" style="65"/>
  </cols>
  <sheetData>
    <row r="1" spans="1:37" ht="35.25" customHeight="1" x14ac:dyDescent="0.25">
      <c r="A1" s="103" t="s">
        <v>132</v>
      </c>
      <c r="B1" s="102" t="s">
        <v>117</v>
      </c>
      <c r="C1" s="102"/>
      <c r="D1" s="102" t="s">
        <v>116</v>
      </c>
      <c r="E1" s="102"/>
      <c r="F1" s="102" t="s">
        <v>115</v>
      </c>
      <c r="G1" s="102"/>
      <c r="H1" s="130" t="s">
        <v>114</v>
      </c>
      <c r="I1" s="102"/>
      <c r="J1" s="129" t="s">
        <v>113</v>
      </c>
      <c r="K1" s="101"/>
      <c r="L1" s="129" t="s">
        <v>112</v>
      </c>
      <c r="M1" s="101"/>
      <c r="N1" s="129" t="s">
        <v>111</v>
      </c>
      <c r="O1" s="101"/>
      <c r="P1" s="129" t="s">
        <v>110</v>
      </c>
      <c r="Q1" s="101"/>
      <c r="R1" s="129" t="s">
        <v>109</v>
      </c>
      <c r="S1" s="101"/>
      <c r="T1" s="129" t="s">
        <v>108</v>
      </c>
      <c r="U1" s="101"/>
      <c r="V1" s="129" t="s">
        <v>107</v>
      </c>
      <c r="W1" s="101"/>
      <c r="X1" s="129" t="s">
        <v>106</v>
      </c>
      <c r="Y1" s="101"/>
      <c r="Z1" s="129" t="s">
        <v>140</v>
      </c>
      <c r="AA1" s="101"/>
      <c r="AB1" s="129" t="s">
        <v>182</v>
      </c>
      <c r="AC1" s="101"/>
      <c r="AD1" s="129" t="s">
        <v>219</v>
      </c>
      <c r="AE1" s="101"/>
      <c r="AF1" s="129" t="s">
        <v>252</v>
      </c>
      <c r="AG1" s="101"/>
      <c r="AH1" s="129" t="s">
        <v>331</v>
      </c>
      <c r="AI1" s="101"/>
      <c r="AJ1" s="129" t="s">
        <v>469</v>
      </c>
      <c r="AK1" s="101"/>
    </row>
    <row r="2" spans="1:37" x14ac:dyDescent="0.25">
      <c r="A2" s="96" t="s">
        <v>131</v>
      </c>
      <c r="B2" s="95">
        <v>33878</v>
      </c>
      <c r="C2" s="94">
        <f>(B2/$B$14)*100</f>
        <v>0.63705070982319489</v>
      </c>
      <c r="D2" s="95">
        <v>39564</v>
      </c>
      <c r="E2" s="94">
        <f>(D2/$D$14)*100</f>
        <v>0.52307207405401746</v>
      </c>
      <c r="F2" s="95">
        <v>42663</v>
      </c>
      <c r="G2" s="94">
        <f>(F2/$D$14)*100</f>
        <v>0.56404367342449069</v>
      </c>
      <c r="H2" s="126">
        <v>40336</v>
      </c>
      <c r="I2" s="94">
        <f>(H2/$H$14)*100</f>
        <v>0.54301439763580883</v>
      </c>
      <c r="J2" s="125">
        <v>40321</v>
      </c>
      <c r="K2" s="92">
        <f>(J2/$J$14)*100</f>
        <v>0.4855577254448698</v>
      </c>
      <c r="L2" s="125">
        <v>40362</v>
      </c>
      <c r="M2" s="92">
        <f>(L2/$L$14)*100</f>
        <v>0.44750190228776782</v>
      </c>
      <c r="N2" s="125">
        <v>40362</v>
      </c>
      <c r="O2" s="92">
        <f>(N2/$N$14)*100</f>
        <v>0.53042833513945131</v>
      </c>
      <c r="P2" s="125">
        <v>0</v>
      </c>
      <c r="Q2" s="92">
        <f>(P2/$P$14)*100</f>
        <v>0</v>
      </c>
      <c r="R2" s="125"/>
      <c r="S2" s="92">
        <f>(R2/$R$14)*100</f>
        <v>0</v>
      </c>
      <c r="T2" s="125"/>
      <c r="U2" s="92">
        <f>(T2/$T$14)*100</f>
        <v>0</v>
      </c>
      <c r="V2" s="125"/>
      <c r="W2" s="92">
        <f>(V2/$V$14)*100</f>
        <v>0</v>
      </c>
      <c r="X2" s="125"/>
      <c r="Y2" s="92">
        <f>(X2/$X$14)*100</f>
        <v>0</v>
      </c>
      <c r="Z2" s="125"/>
      <c r="AA2" s="92">
        <f>(Z2/$Z$14)*100</f>
        <v>0</v>
      </c>
      <c r="AB2" s="125"/>
      <c r="AC2" s="92">
        <f>(AB2/$AB$14)*100</f>
        <v>0</v>
      </c>
      <c r="AD2" s="125"/>
      <c r="AE2" s="92">
        <f>(AD2/$AD$14)*100</f>
        <v>0</v>
      </c>
      <c r="AF2" s="125"/>
      <c r="AG2" s="92">
        <f>(AF2/$AF$14)*100</f>
        <v>0</v>
      </c>
      <c r="AH2" s="125"/>
      <c r="AI2" s="92">
        <f>(AH2/$AH$14)*100</f>
        <v>0</v>
      </c>
      <c r="AJ2" s="125"/>
      <c r="AK2" s="92">
        <f t="shared" ref="AK2:AK12" si="0">(AJ2/$AJ$14)*100</f>
        <v>0</v>
      </c>
    </row>
    <row r="3" spans="1:37" x14ac:dyDescent="0.25">
      <c r="A3" s="96" t="s">
        <v>130</v>
      </c>
      <c r="B3" s="95">
        <v>325186</v>
      </c>
      <c r="C3" s="94">
        <f>(B3/$B$14)*100</f>
        <v>6.1148819919878816</v>
      </c>
      <c r="D3" s="95">
        <v>345169</v>
      </c>
      <c r="E3" s="94">
        <f>(D3/$D$14)*100</f>
        <v>4.563448203648548</v>
      </c>
      <c r="F3" s="95">
        <v>390214</v>
      </c>
      <c r="G3" s="94">
        <f>(F3/$D$14)*100</f>
        <v>5.158984084139985</v>
      </c>
      <c r="H3" s="126">
        <v>376007</v>
      </c>
      <c r="I3" s="94">
        <f>(H3/$H$14)*100</f>
        <v>5.0619103186197822</v>
      </c>
      <c r="J3" s="125">
        <v>368162</v>
      </c>
      <c r="K3" s="92">
        <f>(J3/$J$14)*100</f>
        <v>4.4335185961467758</v>
      </c>
      <c r="L3" s="125">
        <v>380226</v>
      </c>
      <c r="M3" s="92">
        <f>(L3/$L$14)*100</f>
        <v>4.2156448713955896</v>
      </c>
      <c r="N3" s="125">
        <v>371351</v>
      </c>
      <c r="O3" s="92">
        <f>(N3/$N$14)*100</f>
        <v>4.8802114038543776</v>
      </c>
      <c r="P3" s="125">
        <v>454831</v>
      </c>
      <c r="Q3" s="92">
        <f>(P3/$P$14)*100</f>
        <v>5.4940981124928099</v>
      </c>
      <c r="R3" s="125">
        <v>462728</v>
      </c>
      <c r="S3" s="92">
        <f>(R3/$R$14)*100</f>
        <v>4.7720570528993882</v>
      </c>
      <c r="T3" s="125">
        <f>487135+729</f>
        <v>487864</v>
      </c>
      <c r="U3" s="92">
        <f>(T3/$T$14)*100</f>
        <v>7.1607955748037648</v>
      </c>
      <c r="V3" s="125">
        <v>552029</v>
      </c>
      <c r="W3" s="92">
        <f>(V3/$V$14)*100</f>
        <v>6.9997324518191375</v>
      </c>
      <c r="X3" s="125">
        <v>611017</v>
      </c>
      <c r="Y3" s="92">
        <f>(X3/$X$14)*100</f>
        <v>6.5331957301674919</v>
      </c>
      <c r="Z3" s="125">
        <v>630528</v>
      </c>
      <c r="AA3" s="92">
        <f>(Z3/$Z$14)*100</f>
        <v>6.1308153865450867</v>
      </c>
      <c r="AB3" s="125">
        <v>675342</v>
      </c>
      <c r="AC3" s="92">
        <f>(AB3/$AB$14)*100</f>
        <v>6.2601827084725326</v>
      </c>
      <c r="AD3" s="125">
        <v>666171</v>
      </c>
      <c r="AE3" s="92">
        <f>(AD3/$AD$14)*100</f>
        <v>6.7545389801114686</v>
      </c>
      <c r="AF3" s="125">
        <v>696724</v>
      </c>
      <c r="AG3" s="92">
        <f>(AF3/$AF$14)*100</f>
        <v>5.8093461129542456</v>
      </c>
      <c r="AH3" s="125">
        <v>771435</v>
      </c>
      <c r="AI3" s="92">
        <f>(AH3/$AH$14)*100</f>
        <v>5.1801146342141458</v>
      </c>
      <c r="AJ3" s="306">
        <f>820884</f>
        <v>820884</v>
      </c>
      <c r="AK3" s="92">
        <f t="shared" si="0"/>
        <v>2.1115731305223284</v>
      </c>
    </row>
    <row r="4" spans="1:37" x14ac:dyDescent="0.25">
      <c r="A4" s="96" t="s">
        <v>119</v>
      </c>
      <c r="B4" s="95"/>
      <c r="C4" s="94"/>
      <c r="D4" s="95">
        <v>125289</v>
      </c>
      <c r="E4" s="94">
        <f>(D4/$D$14)*100</f>
        <v>1.6564345639003588</v>
      </c>
      <c r="F4" s="95">
        <v>118503</v>
      </c>
      <c r="G4" s="94">
        <f>(F4/$D$14)*100</f>
        <v>1.5667174702159343</v>
      </c>
      <c r="H4" s="126">
        <v>174848</v>
      </c>
      <c r="I4" s="94">
        <f>(H4/$H$14)*100</f>
        <v>2.3538521766616891</v>
      </c>
      <c r="J4" s="125">
        <v>292666</v>
      </c>
      <c r="K4" s="92">
        <f>(J4/$J$14)*100</f>
        <v>3.5243728398365182</v>
      </c>
      <c r="L4" s="125">
        <v>224176</v>
      </c>
      <c r="M4" s="92">
        <f>(L4/$L$14)*100</f>
        <v>2.4854860127660334</v>
      </c>
      <c r="N4" s="125">
        <v>190510</v>
      </c>
      <c r="O4" s="92">
        <f>(N4/$N$14)*100</f>
        <v>2.5036396146726347</v>
      </c>
      <c r="P4" s="125">
        <f>208012-6000-3000</f>
        <v>199012</v>
      </c>
      <c r="Q4" s="92">
        <f>(P4/$P$14)*100</f>
        <v>2.403951035798833</v>
      </c>
      <c r="R4" s="125">
        <v>224902</v>
      </c>
      <c r="S4" s="92">
        <f>(R4/$R$14)*100</f>
        <v>2.3193867138171411</v>
      </c>
      <c r="T4" s="125">
        <v>284745</v>
      </c>
      <c r="U4" s="92">
        <f>(T4/$T$14)*100</f>
        <v>4.1794449599632228</v>
      </c>
      <c r="V4" s="125">
        <v>215385</v>
      </c>
      <c r="W4" s="92">
        <f>(V4/$V$14)*100</f>
        <v>2.7310836462125447</v>
      </c>
      <c r="X4" s="125">
        <v>230412</v>
      </c>
      <c r="Y4" s="92">
        <f>(X4/$X$14)*100</f>
        <v>2.4636412646118719</v>
      </c>
      <c r="Z4" s="125">
        <v>261042</v>
      </c>
      <c r="AA4" s="92">
        <f>(Z4/$Z$14)*100</f>
        <v>2.5381907070494925</v>
      </c>
      <c r="AB4" s="125">
        <v>287965</v>
      </c>
      <c r="AC4" s="92">
        <f>(AB4/$AB$14)*100</f>
        <v>2.6693342242083165</v>
      </c>
      <c r="AD4" s="125">
        <v>265371</v>
      </c>
      <c r="AE4" s="92">
        <f>(AD4/$AD$14)*100</f>
        <v>2.6906886725647925</v>
      </c>
      <c r="AF4" s="125">
        <v>488995</v>
      </c>
      <c r="AG4" s="92">
        <f>(AF4/$AF$14)*100</f>
        <v>4.0772834041945751</v>
      </c>
      <c r="AH4" s="125">
        <v>510742</v>
      </c>
      <c r="AI4" s="92">
        <f>(AH4/$AH$14)*100</f>
        <v>3.4295852644847606</v>
      </c>
      <c r="AJ4" s="125">
        <v>609156</v>
      </c>
      <c r="AK4" s="92">
        <f t="shared" si="0"/>
        <v>1.5669417870204065</v>
      </c>
    </row>
    <row r="5" spans="1:37" x14ac:dyDescent="0.25">
      <c r="A5" s="96" t="s">
        <v>615</v>
      </c>
      <c r="B5" s="95">
        <v>1394294</v>
      </c>
      <c r="C5" s="94">
        <f>(B5/$B$14)*100</f>
        <v>26.218666462076325</v>
      </c>
      <c r="D5" s="95">
        <f>1495788+150887</f>
        <v>1646675</v>
      </c>
      <c r="E5" s="94">
        <f>(D5/$D$14)*100</f>
        <v>21.770541591924456</v>
      </c>
      <c r="F5" s="95">
        <f>1712209+262884</f>
        <v>1975093</v>
      </c>
      <c r="G5" s="94">
        <f>(F5/$D$14)*100</f>
        <v>26.112526336052255</v>
      </c>
      <c r="H5" s="126">
        <v>1885784</v>
      </c>
      <c r="I5" s="94">
        <f>(H5/$H$14)*100</f>
        <v>25.386946222512051</v>
      </c>
      <c r="J5" s="125">
        <v>1869609</v>
      </c>
      <c r="K5" s="92">
        <f>(J5/$J$14)*100</f>
        <v>22.514399283531102</v>
      </c>
      <c r="L5" s="125">
        <v>2074408</v>
      </c>
      <c r="M5" s="92">
        <f>(L5/$L$14)*100</f>
        <v>22.999393640576876</v>
      </c>
      <c r="N5" s="125">
        <v>1874367</v>
      </c>
      <c r="O5" s="92">
        <f>(N5/$N$14)*100</f>
        <v>24.632509966065307</v>
      </c>
      <c r="P5" s="125">
        <f>1820014+113000+6000+3000</f>
        <v>1942014</v>
      </c>
      <c r="Q5" s="92">
        <f>(P5/$P$14)*100</f>
        <v>23.45841741621528</v>
      </c>
      <c r="R5" s="125">
        <f>1861624+230600+242000</f>
        <v>2334224</v>
      </c>
      <c r="S5" s="92">
        <f>(R5/$R$14)*100</f>
        <v>24.072565529311003</v>
      </c>
      <c r="T5" s="125">
        <f>1987183+273550+20000</f>
        <v>2280733</v>
      </c>
      <c r="U5" s="92">
        <f>(T5/$T$14)*100</f>
        <v>33.476261363226051</v>
      </c>
      <c r="V5" s="125">
        <v>2620033</v>
      </c>
      <c r="W5" s="92">
        <f>(V5/$V$14)*100</f>
        <v>33.22204089809965</v>
      </c>
      <c r="X5" s="125">
        <v>2943633</v>
      </c>
      <c r="Y5" s="92">
        <f>(X5/$X$14)*100</f>
        <v>31.47429702738242</v>
      </c>
      <c r="Z5" s="125">
        <v>3169508</v>
      </c>
      <c r="AA5" s="92">
        <f>(Z5/$Z$14)*100</f>
        <v>30.818089623581734</v>
      </c>
      <c r="AB5" s="125">
        <v>3473523</v>
      </c>
      <c r="AC5" s="92">
        <f>(AB5/$AB$14)*100</f>
        <v>32.198335986924604</v>
      </c>
      <c r="AD5" s="125">
        <v>3368260</v>
      </c>
      <c r="AE5" s="92">
        <f>(AD5/$AD$14)*100</f>
        <v>34.151957177887141</v>
      </c>
      <c r="AF5" s="125">
        <v>3982397</v>
      </c>
      <c r="AG5" s="92">
        <f>(AF5/$AF$14)*100</f>
        <v>33.205577147034766</v>
      </c>
      <c r="AH5" s="125">
        <v>4672832</v>
      </c>
      <c r="AI5" s="92">
        <f>(AH5/$AH$14)*100</f>
        <v>31.377634442855403</v>
      </c>
      <c r="AJ5" s="306">
        <f>28077007-23976740</f>
        <v>4100267</v>
      </c>
      <c r="AK5" s="92">
        <f t="shared" si="0"/>
        <v>10.54718282384283</v>
      </c>
    </row>
    <row r="6" spans="1:37" x14ac:dyDescent="0.25">
      <c r="A6" s="96" t="s">
        <v>616</v>
      </c>
      <c r="B6" s="95"/>
      <c r="C6" s="94"/>
      <c r="D6" s="95"/>
      <c r="E6" s="94"/>
      <c r="F6" s="95"/>
      <c r="G6" s="94"/>
      <c r="H6" s="126"/>
      <c r="I6" s="94"/>
      <c r="J6" s="125"/>
      <c r="K6" s="92"/>
      <c r="L6" s="125"/>
      <c r="M6" s="92"/>
      <c r="N6" s="125"/>
      <c r="O6" s="92"/>
      <c r="P6" s="125"/>
      <c r="Q6" s="92"/>
      <c r="R6" s="125"/>
      <c r="S6" s="92"/>
      <c r="T6" s="125"/>
      <c r="U6" s="92"/>
      <c r="V6" s="125"/>
      <c r="W6" s="92"/>
      <c r="X6" s="125"/>
      <c r="Y6" s="92"/>
      <c r="Z6" s="125"/>
      <c r="AA6" s="92"/>
      <c r="AB6" s="125"/>
      <c r="AC6" s="92"/>
      <c r="AD6" s="125"/>
      <c r="AE6" s="92"/>
      <c r="AF6" s="125"/>
      <c r="AG6" s="92"/>
      <c r="AH6" s="125"/>
      <c r="AI6" s="92"/>
      <c r="AJ6" s="306">
        <v>23976740</v>
      </c>
      <c r="AK6" s="92">
        <f t="shared" si="0"/>
        <v>61.675754359349114</v>
      </c>
    </row>
    <row r="7" spans="1:37" x14ac:dyDescent="0.25">
      <c r="A7" s="100" t="s">
        <v>141</v>
      </c>
      <c r="B7" s="95">
        <v>1799286</v>
      </c>
      <c r="C7" s="94">
        <f>(B7/$B$14)*100</f>
        <v>33.834241202991237</v>
      </c>
      <c r="D7" s="95">
        <f>1694248+56311</f>
        <v>1750559</v>
      </c>
      <c r="E7" s="94">
        <f>(D7/$D$14)*100</f>
        <v>23.143982582244636</v>
      </c>
      <c r="F7" s="95">
        <f>1777470+153597</f>
        <v>1931067</v>
      </c>
      <c r="G7" s="94">
        <f>(F7/$D$14)*100</f>
        <v>25.530462562614233</v>
      </c>
      <c r="H7" s="126">
        <v>1988860</v>
      </c>
      <c r="I7" s="94">
        <f t="shared" ref="I7:I12" si="1">(H7/$H$14)*100</f>
        <v>26.774583867561354</v>
      </c>
      <c r="J7" s="125">
        <v>1979289</v>
      </c>
      <c r="K7" s="92">
        <f t="shared" ref="K7:K12" si="2">(J7/$J$14)*100</f>
        <v>23.835199147790256</v>
      </c>
      <c r="L7" s="125">
        <v>2074003</v>
      </c>
      <c r="M7" s="92">
        <f t="shared" ref="M7:M12" si="3">(L7/$L$14)*100</f>
        <v>22.994903321206515</v>
      </c>
      <c r="N7" s="125">
        <v>2033921</v>
      </c>
      <c r="O7" s="92">
        <f t="shared" ref="O7:O12" si="4">(N7/$N$14)*100</f>
        <v>26.729332784182347</v>
      </c>
      <c r="P7" s="125">
        <v>1941642</v>
      </c>
      <c r="Q7" s="92">
        <f t="shared" ref="Q7:Q12" si="5">(P7/$P$14)*100</f>
        <v>23.453923869166271</v>
      </c>
      <c r="R7" s="125">
        <v>1959543</v>
      </c>
      <c r="S7" s="92">
        <f t="shared" ref="S7:S12" si="6">(R7/$R$14)*100</f>
        <v>20.208526377503901</v>
      </c>
      <c r="T7" s="125">
        <v>2082143</v>
      </c>
      <c r="U7" s="92">
        <f t="shared" ref="U7:U12" si="7">(T7/$T$14)*100</f>
        <v>30.561386739969816</v>
      </c>
      <c r="V7" s="125">
        <v>2161804</v>
      </c>
      <c r="W7" s="92">
        <f t="shared" ref="W7:W12" si="8">(V7/$V$14)*100</f>
        <v>27.411693250304637</v>
      </c>
      <c r="X7" s="125">
        <v>2478254</v>
      </c>
      <c r="Y7" s="92">
        <f t="shared" ref="Y7:Y12" si="9">(X7/$X$14)*100</f>
        <v>26.498310932544438</v>
      </c>
      <c r="Z7" s="125">
        <v>2746121</v>
      </c>
      <c r="AA7" s="92">
        <f t="shared" ref="AA7:AA12" si="10">(Z7/$Z$14)*100</f>
        <v>26.701369138427761</v>
      </c>
      <c r="AB7" s="125">
        <v>2862200</v>
      </c>
      <c r="AC7" s="92">
        <f t="shared" ref="AC7:AC12" si="11">(AB7/$AB$14)*100</f>
        <v>26.53158688218722</v>
      </c>
      <c r="AD7" s="125">
        <v>2521387</v>
      </c>
      <c r="AE7" s="92">
        <f t="shared" ref="AE7:AE12" si="12">(AD7/$AD$14)*100</f>
        <v>25.565217902680114</v>
      </c>
      <c r="AF7" s="125">
        <v>2841721</v>
      </c>
      <c r="AG7" s="92">
        <f t="shared" ref="AG7:AG12" si="13">(AF7/$AF$14)*100</f>
        <v>23.694520133439429</v>
      </c>
      <c r="AH7" s="125">
        <v>3634192</v>
      </c>
      <c r="AI7" s="92">
        <f t="shared" ref="AI7:AI12" si="14">(AH7/$AH$14)*100</f>
        <v>24.403262961550844</v>
      </c>
      <c r="AJ7" s="125">
        <v>3520624</v>
      </c>
      <c r="AK7" s="92">
        <f t="shared" si="0"/>
        <v>9.056157801920909</v>
      </c>
    </row>
    <row r="8" spans="1:37" ht="31.5" x14ac:dyDescent="0.25">
      <c r="A8" s="100" t="s">
        <v>129</v>
      </c>
      <c r="B8" s="95"/>
      <c r="C8" s="94"/>
      <c r="D8" s="95"/>
      <c r="E8" s="94"/>
      <c r="F8" s="95"/>
      <c r="G8" s="94"/>
      <c r="H8" s="126">
        <v>40000</v>
      </c>
      <c r="I8" s="94">
        <f t="shared" si="1"/>
        <v>0.53849107262575246</v>
      </c>
      <c r="J8" s="125">
        <v>70000</v>
      </c>
      <c r="K8" s="92">
        <f t="shared" si="2"/>
        <v>0.84296125545350775</v>
      </c>
      <c r="L8" s="125">
        <v>50000</v>
      </c>
      <c r="M8" s="92">
        <f t="shared" si="3"/>
        <v>0.55436041609405851</v>
      </c>
      <c r="N8" s="125">
        <v>50000</v>
      </c>
      <c r="O8" s="92">
        <f t="shared" si="4"/>
        <v>0.65708876559567331</v>
      </c>
      <c r="P8" s="125">
        <v>90000</v>
      </c>
      <c r="Q8" s="92">
        <f t="shared" si="5"/>
        <v>1.0871484795986925</v>
      </c>
      <c r="R8" s="125">
        <v>70000</v>
      </c>
      <c r="S8" s="92">
        <f t="shared" si="6"/>
        <v>0.72190140579985906</v>
      </c>
      <c r="T8" s="125">
        <v>70000</v>
      </c>
      <c r="U8" s="92">
        <f t="shared" si="7"/>
        <v>1.0274496380882039</v>
      </c>
      <c r="V8" s="125">
        <v>165800</v>
      </c>
      <c r="W8" s="92">
        <f t="shared" si="8"/>
        <v>2.1023454211855048</v>
      </c>
      <c r="X8" s="125">
        <v>236950</v>
      </c>
      <c r="Y8" s="92">
        <f t="shared" si="9"/>
        <v>2.5335477216889006</v>
      </c>
      <c r="Z8" s="125">
        <v>223958</v>
      </c>
      <c r="AA8" s="92">
        <f t="shared" si="10"/>
        <v>2.1776117037464862</v>
      </c>
      <c r="AB8" s="125">
        <v>267428</v>
      </c>
      <c r="AC8" s="92">
        <f t="shared" si="11"/>
        <v>2.4789634605302089</v>
      </c>
      <c r="AD8" s="125">
        <v>150994</v>
      </c>
      <c r="AE8" s="92">
        <f t="shared" si="12"/>
        <v>1.5309805721998571</v>
      </c>
      <c r="AF8" s="125">
        <v>179892</v>
      </c>
      <c r="AG8" s="92">
        <f t="shared" si="13"/>
        <v>1.499955349538074</v>
      </c>
      <c r="AH8" s="125">
        <v>232505</v>
      </c>
      <c r="AI8" s="92">
        <f t="shared" si="14"/>
        <v>1.5612495583269621</v>
      </c>
      <c r="AJ8" s="125">
        <v>321927</v>
      </c>
      <c r="AK8" s="92">
        <f t="shared" si="0"/>
        <v>0.82809800555213842</v>
      </c>
    </row>
    <row r="9" spans="1:37" x14ac:dyDescent="0.25">
      <c r="A9" s="96" t="s">
        <v>128</v>
      </c>
      <c r="B9" s="95">
        <v>625731</v>
      </c>
      <c r="C9" s="94">
        <f>(B9/$B$14)*100</f>
        <v>11.76640822092147</v>
      </c>
      <c r="D9" s="95">
        <v>630375</v>
      </c>
      <c r="E9" s="94">
        <f>(D9/$D$14)*100</f>
        <v>8.3341309948893265</v>
      </c>
      <c r="F9" s="95">
        <v>716272</v>
      </c>
      <c r="G9" s="94">
        <f>(F9/$D$14)*100</f>
        <v>9.4697674812157313</v>
      </c>
      <c r="H9" s="126">
        <v>579775</v>
      </c>
      <c r="I9" s="94">
        <f t="shared" si="1"/>
        <v>7.8050915407898911</v>
      </c>
      <c r="J9" s="125">
        <v>756498</v>
      </c>
      <c r="K9" s="92">
        <f t="shared" si="2"/>
        <v>9.1099786261152538</v>
      </c>
      <c r="L9" s="125">
        <v>587036</v>
      </c>
      <c r="M9" s="92">
        <f t="shared" si="3"/>
        <v>6.5085904244438346</v>
      </c>
      <c r="N9" s="125">
        <v>506722</v>
      </c>
      <c r="O9" s="92">
        <f t="shared" si="4"/>
        <v>6.6592266696034157</v>
      </c>
      <c r="P9" s="125">
        <v>183261</v>
      </c>
      <c r="Q9" s="92">
        <f t="shared" si="5"/>
        <v>2.2136879724415111</v>
      </c>
      <c r="R9" s="125">
        <v>156739</v>
      </c>
      <c r="S9" s="92">
        <f t="shared" si="6"/>
        <v>1.6164300634809157</v>
      </c>
      <c r="T9" s="125">
        <v>441415</v>
      </c>
      <c r="U9" s="92">
        <f t="shared" si="7"/>
        <v>6.4790240285243508</v>
      </c>
      <c r="V9" s="125">
        <v>623094</v>
      </c>
      <c r="W9" s="92">
        <f t="shared" si="8"/>
        <v>7.9008372609659885</v>
      </c>
      <c r="X9" s="125">
        <v>759267</v>
      </c>
      <c r="Y9" s="92">
        <f t="shared" si="9"/>
        <v>8.1183337328700844</v>
      </c>
      <c r="Z9" s="125">
        <v>1148153</v>
      </c>
      <c r="AA9" s="92">
        <f t="shared" si="10"/>
        <v>11.163840588376567</v>
      </c>
      <c r="AB9" s="125">
        <v>1212471</v>
      </c>
      <c r="AC9" s="92">
        <f t="shared" si="11"/>
        <v>11.239179539736014</v>
      </c>
      <c r="AD9" s="125">
        <v>1501472</v>
      </c>
      <c r="AE9" s="92">
        <f t="shared" si="12"/>
        <v>15.223945730969865</v>
      </c>
      <c r="AF9" s="125">
        <v>2293028</v>
      </c>
      <c r="AG9" s="92">
        <f t="shared" si="13"/>
        <v>19.11946954417423</v>
      </c>
      <c r="AH9" s="125">
        <v>2775440</v>
      </c>
      <c r="AI9" s="92">
        <f t="shared" si="14"/>
        <v>18.636822752899867</v>
      </c>
      <c r="AJ9" s="125">
        <v>2983578</v>
      </c>
      <c r="AK9" s="92">
        <f t="shared" si="0"/>
        <v>7.6747057289672442</v>
      </c>
    </row>
    <row r="10" spans="1:37" x14ac:dyDescent="0.25">
      <c r="A10" s="83" t="s">
        <v>127</v>
      </c>
      <c r="B10" s="82">
        <v>385294</v>
      </c>
      <c r="C10" s="94">
        <f>(B10/$B$14)*100</f>
        <v>7.245168433514908</v>
      </c>
      <c r="D10" s="82">
        <v>2490523</v>
      </c>
      <c r="E10" s="94">
        <f>(D10/$D$14)*100</f>
        <v>32.926979857679548</v>
      </c>
      <c r="F10" s="82">
        <v>2137285</v>
      </c>
      <c r="G10" s="94">
        <f>(F10/$D$14)*100</f>
        <v>28.256852133114464</v>
      </c>
      <c r="H10" s="128">
        <v>2314492</v>
      </c>
      <c r="I10" s="94">
        <f t="shared" si="1"/>
        <v>31.15833199159308</v>
      </c>
      <c r="J10" s="127">
        <v>2908422</v>
      </c>
      <c r="K10" s="92">
        <f t="shared" si="2"/>
        <v>35.024100864408595</v>
      </c>
      <c r="L10" s="127">
        <v>3580869</v>
      </c>
      <c r="M10" s="92">
        <f t="shared" si="3"/>
        <v>39.701840576366308</v>
      </c>
      <c r="N10" s="127">
        <v>2533958</v>
      </c>
      <c r="O10" s="92">
        <f t="shared" si="4"/>
        <v>33.300706685825624</v>
      </c>
      <c r="P10" s="127">
        <v>3467778</v>
      </c>
      <c r="Q10" s="92">
        <f t="shared" si="5"/>
        <v>41.888773114286607</v>
      </c>
      <c r="R10" s="127">
        <v>4488479</v>
      </c>
      <c r="S10" s="92">
        <f t="shared" si="6"/>
        <v>46.289132857187795</v>
      </c>
      <c r="T10" s="125">
        <v>1166086</v>
      </c>
      <c r="U10" s="92">
        <f t="shared" si="7"/>
        <v>17.115637695424589</v>
      </c>
      <c r="V10" s="125">
        <v>1548285</v>
      </c>
      <c r="W10" s="92">
        <f t="shared" si="8"/>
        <v>19.632267071412539</v>
      </c>
      <c r="X10" s="125">
        <v>2092965</v>
      </c>
      <c r="Y10" s="92">
        <f t="shared" si="9"/>
        <v>22.378673590734795</v>
      </c>
      <c r="Z10" s="125">
        <v>2105260</v>
      </c>
      <c r="AA10" s="92">
        <f t="shared" si="10"/>
        <v>20.470082852272871</v>
      </c>
      <c r="AB10" s="125">
        <v>2008967</v>
      </c>
      <c r="AC10" s="92">
        <f t="shared" si="11"/>
        <v>18.6224171979411</v>
      </c>
      <c r="AD10" s="125">
        <v>1388913</v>
      </c>
      <c r="AE10" s="92">
        <f t="shared" si="12"/>
        <v>14.082670963586766</v>
      </c>
      <c r="AF10" s="125">
        <v>1510400</v>
      </c>
      <c r="AG10" s="92">
        <f t="shared" si="13"/>
        <v>12.593848308664683</v>
      </c>
      <c r="AH10" s="125">
        <v>2295092</v>
      </c>
      <c r="AI10" s="92">
        <f t="shared" si="14"/>
        <v>15.411330385668023</v>
      </c>
      <c r="AJ10" s="125">
        <v>2542295</v>
      </c>
      <c r="AK10" s="92">
        <f t="shared" si="0"/>
        <v>6.5395863628250313</v>
      </c>
    </row>
    <row r="11" spans="1:37" hidden="1" x14ac:dyDescent="0.25">
      <c r="A11" s="83" t="s">
        <v>126</v>
      </c>
      <c r="B11" s="82">
        <v>646760</v>
      </c>
      <c r="C11" s="94">
        <f>(B11/$B$14)*100</f>
        <v>12.161842997970645</v>
      </c>
      <c r="D11" s="82">
        <v>485340</v>
      </c>
      <c r="E11" s="94">
        <f>(D11/$D$14)*100</f>
        <v>6.4166363467135987</v>
      </c>
      <c r="F11" s="82">
        <v>221336</v>
      </c>
      <c r="G11" s="94">
        <f>(F11/$D$14)*100</f>
        <v>2.9262632843701351</v>
      </c>
      <c r="H11" s="128">
        <v>20036</v>
      </c>
      <c r="I11" s="94">
        <f t="shared" si="1"/>
        <v>0.26973017827823942</v>
      </c>
      <c r="J11" s="127">
        <v>11067</v>
      </c>
      <c r="K11" s="92">
        <f t="shared" si="2"/>
        <v>0.13327217448719958</v>
      </c>
      <c r="L11" s="127"/>
      <c r="M11" s="92">
        <f t="shared" si="3"/>
        <v>0</v>
      </c>
      <c r="N11" s="127"/>
      <c r="O11" s="92">
        <f t="shared" si="4"/>
        <v>0</v>
      </c>
      <c r="P11" s="127"/>
      <c r="Q11" s="92">
        <f t="shared" si="5"/>
        <v>0</v>
      </c>
      <c r="R11" s="127"/>
      <c r="S11" s="92">
        <f t="shared" si="6"/>
        <v>0</v>
      </c>
      <c r="T11" s="127"/>
      <c r="U11" s="92">
        <f t="shared" si="7"/>
        <v>0</v>
      </c>
      <c r="V11" s="127"/>
      <c r="W11" s="92">
        <f t="shared" si="8"/>
        <v>0</v>
      </c>
      <c r="X11" s="127"/>
      <c r="Y11" s="92">
        <f t="shared" si="9"/>
        <v>0</v>
      </c>
      <c r="Z11" s="127"/>
      <c r="AA11" s="92">
        <f t="shared" si="10"/>
        <v>0</v>
      </c>
      <c r="AB11" s="127"/>
      <c r="AC11" s="92">
        <f t="shared" si="11"/>
        <v>0</v>
      </c>
      <c r="AD11" s="127"/>
      <c r="AE11" s="92">
        <f t="shared" si="12"/>
        <v>0</v>
      </c>
      <c r="AF11" s="127"/>
      <c r="AG11" s="92">
        <f t="shared" si="13"/>
        <v>0</v>
      </c>
      <c r="AH11" s="127"/>
      <c r="AI11" s="92">
        <f t="shared" si="14"/>
        <v>0</v>
      </c>
      <c r="AJ11" s="127"/>
      <c r="AK11" s="92">
        <f t="shared" si="0"/>
        <v>0</v>
      </c>
    </row>
    <row r="12" spans="1:37" x14ac:dyDescent="0.25">
      <c r="A12" s="96" t="s">
        <v>125</v>
      </c>
      <c r="B12" s="95">
        <v>107515</v>
      </c>
      <c r="C12" s="94">
        <f>(B12/$B$14)*100</f>
        <v>2.0217399807143512</v>
      </c>
      <c r="D12" s="95">
        <v>50282</v>
      </c>
      <c r="E12" s="94">
        <f>(D12/$D$14)*100</f>
        <v>0.66477378494550865</v>
      </c>
      <c r="F12" s="95">
        <v>8316</v>
      </c>
      <c r="G12" s="94">
        <f>(F12/$D$14)*100</f>
        <v>0.10994508562918838</v>
      </c>
      <c r="H12" s="126">
        <v>8026</v>
      </c>
      <c r="I12" s="94">
        <f t="shared" si="1"/>
        <v>0.10804823372235724</v>
      </c>
      <c r="J12" s="125">
        <v>8025</v>
      </c>
      <c r="K12" s="92">
        <f t="shared" si="2"/>
        <v>9.6639486785919992E-2</v>
      </c>
      <c r="L12" s="125">
        <v>8323</v>
      </c>
      <c r="M12" s="92">
        <f t="shared" si="3"/>
        <v>9.2278834863016995E-2</v>
      </c>
      <c r="N12" s="125">
        <v>8131</v>
      </c>
      <c r="O12" s="92">
        <f t="shared" si="4"/>
        <v>0.10685577506116839</v>
      </c>
      <c r="P12" s="125">
        <v>0</v>
      </c>
      <c r="Q12" s="92">
        <f t="shared" si="5"/>
        <v>0</v>
      </c>
      <c r="R12" s="125"/>
      <c r="S12" s="92">
        <f t="shared" si="6"/>
        <v>0</v>
      </c>
      <c r="T12" s="125"/>
      <c r="U12" s="92">
        <f t="shared" si="7"/>
        <v>0</v>
      </c>
      <c r="V12" s="125"/>
      <c r="W12" s="92">
        <f t="shared" si="8"/>
        <v>0</v>
      </c>
      <c r="X12" s="125"/>
      <c r="Y12" s="92">
        <f t="shared" si="9"/>
        <v>0</v>
      </c>
      <c r="Z12" s="125"/>
      <c r="AA12" s="92">
        <f t="shared" si="10"/>
        <v>0</v>
      </c>
      <c r="AB12" s="125"/>
      <c r="AC12" s="92">
        <f t="shared" si="11"/>
        <v>0</v>
      </c>
      <c r="AD12" s="125"/>
      <c r="AE12" s="92">
        <f t="shared" si="12"/>
        <v>0</v>
      </c>
      <c r="AF12" s="125"/>
      <c r="AG12" s="92">
        <f t="shared" si="13"/>
        <v>0</v>
      </c>
      <c r="AH12" s="125"/>
      <c r="AI12" s="92">
        <f t="shared" si="14"/>
        <v>0</v>
      </c>
      <c r="AJ12" s="125"/>
      <c r="AK12" s="92">
        <f t="shared" si="0"/>
        <v>0</v>
      </c>
    </row>
    <row r="13" spans="1:37" x14ac:dyDescent="0.25">
      <c r="B13" s="45"/>
      <c r="D13" s="45"/>
      <c r="F13" s="45"/>
      <c r="H13" s="124"/>
      <c r="J13" s="124"/>
      <c r="L13" s="124"/>
      <c r="N13" s="124"/>
      <c r="P13" s="124"/>
      <c r="R13" s="124"/>
      <c r="T13" s="124"/>
      <c r="V13" s="124"/>
      <c r="X13" s="124"/>
      <c r="Z13" s="124"/>
      <c r="AB13" s="124"/>
      <c r="AD13" s="124"/>
      <c r="AF13" s="124"/>
      <c r="AH13" s="124"/>
      <c r="AJ13" s="124"/>
    </row>
    <row r="14" spans="1:37" x14ac:dyDescent="0.25">
      <c r="A14" s="90" t="s">
        <v>101</v>
      </c>
      <c r="B14" s="123">
        <f>SUM(B2:B13)</f>
        <v>5317944</v>
      </c>
      <c r="C14" s="88">
        <f>SUM(C2:C12)</f>
        <v>100.00000000000003</v>
      </c>
      <c r="D14" s="123">
        <f>SUM(D2:D13)</f>
        <v>7563776</v>
      </c>
      <c r="E14" s="88">
        <f>SUM(E2:E12)</f>
        <v>100</v>
      </c>
      <c r="F14" s="123">
        <f>SUM(F2:F13)</f>
        <v>7540749</v>
      </c>
      <c r="G14" s="88">
        <f>SUM(G2:G12)</f>
        <v>99.695562110776422</v>
      </c>
      <c r="H14" s="122">
        <f>SUM(H2:H13)</f>
        <v>7428164</v>
      </c>
      <c r="I14" s="88">
        <f>SUM(I2:I12)</f>
        <v>100</v>
      </c>
      <c r="J14" s="121">
        <f>SUM(J2:J13)</f>
        <v>8304059</v>
      </c>
      <c r="K14" s="86">
        <f>SUM(K2:K12)</f>
        <v>100</v>
      </c>
      <c r="L14" s="121">
        <f>SUM(L2:L13)</f>
        <v>9019403</v>
      </c>
      <c r="M14" s="86">
        <f>SUM(M2:M12)</f>
        <v>100</v>
      </c>
      <c r="N14" s="121">
        <f>SUM(N2:N13)</f>
        <v>7609322</v>
      </c>
      <c r="O14" s="86">
        <f>SUM(O2:O12)</f>
        <v>99.999999999999986</v>
      </c>
      <c r="P14" s="121">
        <f>SUM(P2:P13)</f>
        <v>8278538</v>
      </c>
      <c r="Q14" s="86">
        <f>SUM(Q2:Q12)</f>
        <v>100</v>
      </c>
      <c r="R14" s="121">
        <f>SUM(R2:R13)</f>
        <v>9696615</v>
      </c>
      <c r="S14" s="86">
        <f>SUM(S2:S12)</f>
        <v>100</v>
      </c>
      <c r="T14" s="121">
        <f>SUM(T2:T13)</f>
        <v>6812986</v>
      </c>
      <c r="U14" s="86">
        <f>SUM(U2:U12)</f>
        <v>100</v>
      </c>
      <c r="V14" s="121">
        <f>SUM(V2:V13)</f>
        <v>7886430</v>
      </c>
      <c r="W14" s="86">
        <f>SUM(W2:W12)</f>
        <v>100</v>
      </c>
      <c r="X14" s="121">
        <f>SUM(X2:X13)</f>
        <v>9352498</v>
      </c>
      <c r="Y14" s="86">
        <f>SUM(Y2:Y12)</f>
        <v>100</v>
      </c>
      <c r="Z14" s="121">
        <f>SUM(Z2:Z13)</f>
        <v>10284570</v>
      </c>
      <c r="AA14" s="86">
        <f>SUM(AA2:AA12)</f>
        <v>100.00000000000001</v>
      </c>
      <c r="AB14" s="121">
        <f>SUM(AB2:AB13)</f>
        <v>10787896</v>
      </c>
      <c r="AC14" s="86">
        <f>SUM(AC2:AC12)</f>
        <v>100</v>
      </c>
      <c r="AD14" s="121">
        <f>SUM(AD2:AD13)</f>
        <v>9862568</v>
      </c>
      <c r="AE14" s="86">
        <f>SUM(AE2:AE12)</f>
        <v>99.999999999999986</v>
      </c>
      <c r="AF14" s="121">
        <f>SUM(AF2:AF13)</f>
        <v>11993157</v>
      </c>
      <c r="AG14" s="86">
        <f>SUM(AG2:AG12)</f>
        <v>100</v>
      </c>
      <c r="AH14" s="121">
        <f>SUM(AH2:AH13)</f>
        <v>14892238</v>
      </c>
      <c r="AI14" s="86">
        <f>SUM(AI2:AI12)</f>
        <v>100.00000000000001</v>
      </c>
      <c r="AJ14" s="121">
        <f>SUM(AJ2:AJ13)</f>
        <v>38875471</v>
      </c>
      <c r="AK14" s="86">
        <f>SUM(AK2:AK12)</f>
        <v>99.999999999999986</v>
      </c>
    </row>
    <row r="19" spans="1:37" x14ac:dyDescent="0.25">
      <c r="A19" s="120" t="s">
        <v>124</v>
      </c>
      <c r="B19" s="120">
        <v>2008</v>
      </c>
      <c r="F19" s="120">
        <v>2009</v>
      </c>
      <c r="H19" s="119" t="s">
        <v>89</v>
      </c>
      <c r="J19" s="119" t="s">
        <v>88</v>
      </c>
      <c r="L19" s="119" t="s">
        <v>87</v>
      </c>
      <c r="N19" s="119" t="s">
        <v>86</v>
      </c>
      <c r="P19" s="119" t="s">
        <v>85</v>
      </c>
      <c r="R19" s="119" t="s">
        <v>84</v>
      </c>
      <c r="T19" s="119" t="s">
        <v>83</v>
      </c>
      <c r="V19" s="119" t="s">
        <v>82</v>
      </c>
      <c r="X19" s="119" t="s">
        <v>81</v>
      </c>
      <c r="Z19" s="119" t="s">
        <v>37</v>
      </c>
      <c r="AB19" s="119" t="s">
        <v>49</v>
      </c>
      <c r="AD19" s="119" t="s">
        <v>218</v>
      </c>
      <c r="AF19" s="119" t="s">
        <v>253</v>
      </c>
      <c r="AH19" s="119" t="s">
        <v>186</v>
      </c>
      <c r="AJ19" s="119" t="s">
        <v>199</v>
      </c>
    </row>
    <row r="20" spans="1:37" x14ac:dyDescent="0.25">
      <c r="A20" s="118" t="s">
        <v>123</v>
      </c>
      <c r="B20" s="117">
        <f>SUM(B21:B34)</f>
        <v>2490523</v>
      </c>
      <c r="C20" s="94">
        <f>SUM(C21:C34)</f>
        <v>100</v>
      </c>
      <c r="D20" s="65">
        <f>SUM(D21:D34)</f>
        <v>99.99</v>
      </c>
      <c r="F20" s="117">
        <f t="shared" ref="F20:W20" si="15">SUM(F21:F34)</f>
        <v>2137285</v>
      </c>
      <c r="G20" s="94">
        <f t="shared" si="15"/>
        <v>100.00000000000001</v>
      </c>
      <c r="H20" s="116">
        <f t="shared" si="15"/>
        <v>2314492</v>
      </c>
      <c r="I20" s="94">
        <f t="shared" si="15"/>
        <v>100</v>
      </c>
      <c r="J20" s="115">
        <f t="shared" si="15"/>
        <v>2908422</v>
      </c>
      <c r="K20" s="92">
        <f t="shared" si="15"/>
        <v>100.00000000000003</v>
      </c>
      <c r="L20" s="115">
        <f t="shared" si="15"/>
        <v>3580869</v>
      </c>
      <c r="M20" s="92">
        <f t="shared" si="15"/>
        <v>100</v>
      </c>
      <c r="N20" s="115">
        <f t="shared" si="15"/>
        <v>2533958</v>
      </c>
      <c r="O20" s="92">
        <f t="shared" si="15"/>
        <v>100</v>
      </c>
      <c r="P20" s="115">
        <f t="shared" si="15"/>
        <v>3467778</v>
      </c>
      <c r="Q20" s="92">
        <f t="shared" si="15"/>
        <v>100</v>
      </c>
      <c r="R20" s="115">
        <f t="shared" si="15"/>
        <v>4488479</v>
      </c>
      <c r="S20" s="92">
        <f t="shared" si="15"/>
        <v>100</v>
      </c>
      <c r="T20" s="115">
        <f t="shared" si="15"/>
        <v>1166086</v>
      </c>
      <c r="U20" s="92">
        <f t="shared" si="15"/>
        <v>99.999999999999986</v>
      </c>
      <c r="V20" s="115">
        <f t="shared" si="15"/>
        <v>1548285</v>
      </c>
      <c r="W20" s="92">
        <f t="shared" si="15"/>
        <v>100.00000000000001</v>
      </c>
      <c r="X20" s="115">
        <f t="shared" ref="X20:AC20" si="16">SUM(X21:X35)</f>
        <v>2092965</v>
      </c>
      <c r="Y20" s="92">
        <f t="shared" si="16"/>
        <v>100</v>
      </c>
      <c r="Z20" s="115">
        <f t="shared" si="16"/>
        <v>2105260</v>
      </c>
      <c r="AA20" s="92">
        <f t="shared" si="16"/>
        <v>100</v>
      </c>
      <c r="AB20" s="115">
        <f t="shared" si="16"/>
        <v>2008967</v>
      </c>
      <c r="AC20" s="92">
        <f t="shared" si="16"/>
        <v>99.999999999999986</v>
      </c>
      <c r="AD20" s="115">
        <f t="shared" ref="AD20:AE20" si="17">SUM(AD21:AD35)</f>
        <v>1388913</v>
      </c>
      <c r="AE20" s="92">
        <f t="shared" si="17"/>
        <v>99.999999999999986</v>
      </c>
      <c r="AF20" s="115">
        <f t="shared" ref="AF20:AG20" si="18">SUM(AF21:AF35)</f>
        <v>1510400</v>
      </c>
      <c r="AG20" s="92">
        <f t="shared" si="18"/>
        <v>100</v>
      </c>
      <c r="AH20" s="115">
        <f t="shared" ref="AH20:AI20" si="19">SUM(AH21:AH35)</f>
        <v>2295092</v>
      </c>
      <c r="AI20" s="92">
        <f t="shared" si="19"/>
        <v>100</v>
      </c>
      <c r="AJ20" s="115">
        <f t="shared" ref="AJ20:AK20" si="20">SUM(AJ21:AJ35)</f>
        <v>2542295</v>
      </c>
      <c r="AK20" s="92">
        <f t="shared" si="20"/>
        <v>100</v>
      </c>
    </row>
    <row r="21" spans="1:37" x14ac:dyDescent="0.25">
      <c r="A21" s="109" t="s">
        <v>192</v>
      </c>
      <c r="B21" s="108">
        <v>1279000</v>
      </c>
      <c r="C21" s="94">
        <f>B21/$B$20*100</f>
        <v>51.354675303139139</v>
      </c>
      <c r="D21" s="65">
        <v>51.35</v>
      </c>
      <c r="F21" s="108">
        <v>796441</v>
      </c>
      <c r="G21" s="94">
        <f>F21/$F$20*100</f>
        <v>37.264145867303611</v>
      </c>
      <c r="H21" s="114">
        <v>1450100</v>
      </c>
      <c r="I21" s="94">
        <f t="shared" ref="I21:I34" si="21">H21/$H$20*100</f>
        <v>62.653057344765074</v>
      </c>
      <c r="J21" s="113">
        <v>1863488</v>
      </c>
      <c r="K21" s="92">
        <f t="shared" ref="K21:K34" si="22">J21/$J$20*100</f>
        <v>64.072132585986481</v>
      </c>
      <c r="L21" s="113">
        <v>2103220</v>
      </c>
      <c r="M21" s="92">
        <f t="shared" ref="M21:M34" si="23">L21/$L$20*100</f>
        <v>58.734904851308443</v>
      </c>
      <c r="N21" s="113">
        <v>1458090</v>
      </c>
      <c r="O21" s="92">
        <f t="shared" ref="O21:O34" si="24">N21/$N$20*100</f>
        <v>57.54199556583022</v>
      </c>
      <c r="P21" s="112">
        <v>1962744</v>
      </c>
      <c r="Q21" s="92">
        <f t="shared" ref="Q21:Q34" si="25">P21/$P$20*100</f>
        <v>56.599470900386365</v>
      </c>
      <c r="R21" s="112">
        <v>2009867</v>
      </c>
      <c r="S21" s="92">
        <f t="shared" ref="S21:S34" si="26">R21/$R$20*100</f>
        <v>44.778353647193178</v>
      </c>
      <c r="T21" s="112">
        <v>386450</v>
      </c>
      <c r="U21" s="92">
        <f t="shared" ref="U21:U34" si="27">T21/$T$20*100</f>
        <v>33.140780354107676</v>
      </c>
      <c r="V21" s="112">
        <v>556055</v>
      </c>
      <c r="W21" s="92">
        <f t="shared" ref="W21:W34" si="28">V21/$V$20*100</f>
        <v>35.914253512757668</v>
      </c>
      <c r="X21" s="112">
        <v>866210</v>
      </c>
      <c r="Y21" s="92">
        <f t="shared" ref="Y21:Y35" si="29">X21/$X$20*100</f>
        <v>41.386740819841705</v>
      </c>
      <c r="Z21" s="112">
        <v>706903</v>
      </c>
      <c r="AA21" s="92">
        <f>Z21/$Z$20*100</f>
        <v>33.577942866914299</v>
      </c>
      <c r="AB21" s="112">
        <v>332328</v>
      </c>
      <c r="AC21" s="92">
        <f>AB21/$AB$20*100</f>
        <v>16.542232898798236</v>
      </c>
      <c r="AD21" s="112">
        <v>627941</v>
      </c>
      <c r="AE21" s="92">
        <f>AD21/$AD$20*100</f>
        <v>45.210967137610488</v>
      </c>
      <c r="AF21" s="112">
        <v>589851</v>
      </c>
      <c r="AG21" s="92">
        <f>AF21/$AF$20*100</f>
        <v>39.052635063559322</v>
      </c>
      <c r="AH21" s="112">
        <v>520700</v>
      </c>
      <c r="AI21" s="92">
        <f>AH21/$AH$20*100</f>
        <v>22.687543680166197</v>
      </c>
      <c r="AJ21" s="112">
        <v>429770</v>
      </c>
      <c r="AK21" s="92">
        <f>AJ21/$AJ$20*100</f>
        <v>16.904804517178377</v>
      </c>
    </row>
    <row r="22" spans="1:37" x14ac:dyDescent="0.25">
      <c r="A22" s="109" t="s">
        <v>254</v>
      </c>
      <c r="B22" s="108"/>
      <c r="C22" s="94"/>
      <c r="F22" s="108"/>
      <c r="G22" s="94"/>
      <c r="H22" s="193"/>
      <c r="I22" s="94"/>
      <c r="J22" s="194"/>
      <c r="K22" s="92"/>
      <c r="L22" s="194"/>
      <c r="M22" s="92"/>
      <c r="N22" s="194"/>
      <c r="O22" s="92"/>
      <c r="P22" s="112"/>
      <c r="Q22" s="92"/>
      <c r="R22" s="112"/>
      <c r="S22" s="92"/>
      <c r="T22" s="112"/>
      <c r="U22" s="92"/>
      <c r="V22" s="112"/>
      <c r="W22" s="92"/>
      <c r="X22" s="112"/>
      <c r="Y22" s="92"/>
      <c r="Z22" s="112"/>
      <c r="AA22" s="92"/>
      <c r="AB22" s="112"/>
      <c r="AC22" s="92"/>
      <c r="AD22" s="112"/>
      <c r="AE22" s="92"/>
      <c r="AF22" s="112">
        <v>4407</v>
      </c>
      <c r="AG22" s="92">
        <f>AF22/$AF$20*100</f>
        <v>0.2917770127118644</v>
      </c>
      <c r="AH22" s="112">
        <v>18575</v>
      </c>
      <c r="AI22" s="92">
        <f t="shared" ref="AI22:AI35" si="30">AH22/$AH$20*100</f>
        <v>0.80933574776087414</v>
      </c>
      <c r="AJ22" s="112">
        <v>25241</v>
      </c>
      <c r="AK22" s="92">
        <f t="shared" ref="AK22:AK35" si="31">AJ22/$AJ$20*100</f>
        <v>0.99284308075970729</v>
      </c>
    </row>
    <row r="23" spans="1:37" x14ac:dyDescent="0.25">
      <c r="A23" s="109" t="s">
        <v>20</v>
      </c>
      <c r="B23" s="108">
        <v>60000</v>
      </c>
      <c r="C23" s="94">
        <f>B23/$B$20*100</f>
        <v>2.409132539631234</v>
      </c>
      <c r="D23" s="65">
        <v>2.41</v>
      </c>
      <c r="F23" s="108">
        <v>391001</v>
      </c>
      <c r="G23" s="94">
        <f>F23/$F$20*100</f>
        <v>18.294284571313607</v>
      </c>
      <c r="H23" s="111">
        <v>264859</v>
      </c>
      <c r="I23" s="94">
        <f t="shared" si="21"/>
        <v>11.443504665386616</v>
      </c>
      <c r="J23" s="110">
        <v>22717</v>
      </c>
      <c r="K23" s="92">
        <f t="shared" si="22"/>
        <v>0.78107647377168787</v>
      </c>
      <c r="L23" s="110"/>
      <c r="M23" s="92">
        <f t="shared" si="23"/>
        <v>0</v>
      </c>
      <c r="N23" s="110">
        <v>9330</v>
      </c>
      <c r="O23" s="92">
        <f t="shared" si="24"/>
        <v>0.36819868364037606</v>
      </c>
      <c r="P23" s="112">
        <v>188525</v>
      </c>
      <c r="Q23" s="92">
        <f t="shared" si="25"/>
        <v>5.4364783443461491</v>
      </c>
      <c r="R23" s="112">
        <v>828700</v>
      </c>
      <c r="S23" s="92">
        <f t="shared" si="26"/>
        <v>18.462824489097532</v>
      </c>
      <c r="T23" s="112">
        <v>7000</v>
      </c>
      <c r="U23" s="92">
        <f t="shared" si="27"/>
        <v>0.60029877727714764</v>
      </c>
      <c r="V23" s="112">
        <v>7154</v>
      </c>
      <c r="W23" s="92">
        <f t="shared" si="28"/>
        <v>0.4620596337237653</v>
      </c>
      <c r="X23" s="112">
        <v>5032</v>
      </c>
      <c r="Y23" s="92">
        <f t="shared" si="29"/>
        <v>0.24042446959218144</v>
      </c>
      <c r="Z23" s="112">
        <v>7532</v>
      </c>
      <c r="AA23" s="92">
        <f t="shared" ref="AA23:AA35" si="32">Z23/$Z$20*100</f>
        <v>0.35777053665580499</v>
      </c>
      <c r="AB23" s="112">
        <v>4700</v>
      </c>
      <c r="AC23" s="92">
        <f t="shared" ref="AC23:AC35" si="33">AB23/$AB$20*100</f>
        <v>0.23395108033133447</v>
      </c>
      <c r="AD23" s="112">
        <v>1500</v>
      </c>
      <c r="AE23" s="92">
        <f t="shared" ref="AE23:AE35" si="34">AD23/$AD$20*100</f>
        <v>0.10799812515254735</v>
      </c>
      <c r="AF23" s="112">
        <v>1700</v>
      </c>
      <c r="AG23" s="92">
        <f t="shared" ref="AG23:AG35" si="35">AF23/$AF$20*100</f>
        <v>0.11255296610169492</v>
      </c>
      <c r="AH23" s="112">
        <v>1000</v>
      </c>
      <c r="AI23" s="92">
        <f t="shared" si="30"/>
        <v>4.3571238102873437E-2</v>
      </c>
      <c r="AJ23" s="112">
        <v>20000</v>
      </c>
      <c r="AK23" s="92">
        <f t="shared" si="31"/>
        <v>0.78669076562712037</v>
      </c>
    </row>
    <row r="24" spans="1:37" x14ac:dyDescent="0.25">
      <c r="A24" s="109" t="s">
        <v>21</v>
      </c>
      <c r="B24" s="108">
        <v>308150</v>
      </c>
      <c r="C24" s="94">
        <f>B24/$B$20*100</f>
        <v>12.372903201456079</v>
      </c>
      <c r="D24" s="65">
        <v>12.37</v>
      </c>
      <c r="F24" s="108">
        <v>420602</v>
      </c>
      <c r="G24" s="94">
        <f>F24/$F$20*100</f>
        <v>19.679265984648747</v>
      </c>
      <c r="H24" s="111">
        <v>17222</v>
      </c>
      <c r="I24" s="94">
        <f t="shared" si="21"/>
        <v>0.7440941683963479</v>
      </c>
      <c r="J24" s="110">
        <v>17200</v>
      </c>
      <c r="K24" s="92">
        <f t="shared" si="22"/>
        <v>0.59138598181419344</v>
      </c>
      <c r="L24" s="110"/>
      <c r="M24" s="92">
        <f t="shared" si="23"/>
        <v>0</v>
      </c>
      <c r="N24" s="110">
        <v>1260</v>
      </c>
      <c r="O24" s="92">
        <f t="shared" si="24"/>
        <v>4.9724581070404478E-2</v>
      </c>
      <c r="P24" s="112">
        <v>24496</v>
      </c>
      <c r="Q24" s="92">
        <f t="shared" si="25"/>
        <v>0.70638893262486813</v>
      </c>
      <c r="R24" s="112">
        <v>44177</v>
      </c>
      <c r="S24" s="92">
        <f t="shared" si="26"/>
        <v>0.98423096108949149</v>
      </c>
      <c r="T24" s="112">
        <v>60000</v>
      </c>
      <c r="U24" s="92">
        <f t="shared" si="27"/>
        <v>5.14541809094698</v>
      </c>
      <c r="V24" s="112">
        <v>150630</v>
      </c>
      <c r="W24" s="92">
        <f t="shared" si="28"/>
        <v>9.7288289946618356</v>
      </c>
      <c r="X24" s="112">
        <v>295049</v>
      </c>
      <c r="Y24" s="92">
        <f t="shared" si="29"/>
        <v>14.097177927007856</v>
      </c>
      <c r="Z24" s="112">
        <v>309059</v>
      </c>
      <c r="AA24" s="92">
        <f t="shared" si="32"/>
        <v>14.680324520486781</v>
      </c>
      <c r="AB24" s="112">
        <v>223383</v>
      </c>
      <c r="AC24" s="92">
        <f t="shared" si="33"/>
        <v>11.119296633543508</v>
      </c>
      <c r="AD24" s="112">
        <v>74044</v>
      </c>
      <c r="AE24" s="92">
        <f t="shared" si="34"/>
        <v>5.3310754525301443</v>
      </c>
      <c r="AF24" s="112">
        <v>93952</v>
      </c>
      <c r="AG24" s="92">
        <f t="shared" si="35"/>
        <v>6.2203389830508469</v>
      </c>
      <c r="AH24" s="112">
        <v>101565</v>
      </c>
      <c r="AI24" s="92">
        <f t="shared" si="30"/>
        <v>4.4253127979183402</v>
      </c>
      <c r="AJ24" s="112">
        <v>777606</v>
      </c>
      <c r="AK24" s="92">
        <f t="shared" si="31"/>
        <v>30.586772974812128</v>
      </c>
    </row>
    <row r="25" spans="1:37" x14ac:dyDescent="0.25">
      <c r="A25" s="109" t="s">
        <v>122</v>
      </c>
      <c r="B25" s="108">
        <f>372042+500+5000-5648+1+2</f>
        <v>371897</v>
      </c>
      <c r="C25" s="94">
        <f>B25/$B$20*100</f>
        <v>14.932486068187284</v>
      </c>
      <c r="D25" s="65">
        <v>14.93</v>
      </c>
      <c r="F25" s="108">
        <v>43630</v>
      </c>
      <c r="G25" s="94">
        <f>F25/$F$20*100</f>
        <v>2.041374921921971</v>
      </c>
      <c r="H25" s="111">
        <v>19316</v>
      </c>
      <c r="I25" s="94">
        <f t="shared" si="21"/>
        <v>0.83456758545719756</v>
      </c>
      <c r="J25" s="110">
        <v>15030</v>
      </c>
      <c r="K25" s="92">
        <f t="shared" si="22"/>
        <v>0.51677507596903061</v>
      </c>
      <c r="L25" s="110">
        <v>34567</v>
      </c>
      <c r="M25" s="92">
        <f t="shared" si="23"/>
        <v>0.96532433886858182</v>
      </c>
      <c r="N25" s="110">
        <v>24746</v>
      </c>
      <c r="O25" s="92">
        <f t="shared" si="24"/>
        <v>0.97657498664145193</v>
      </c>
      <c r="P25" s="105">
        <v>44823</v>
      </c>
      <c r="Q25" s="92">
        <f t="shared" si="25"/>
        <v>1.2925567899675239</v>
      </c>
      <c r="R25" s="105">
        <v>41540</v>
      </c>
      <c r="S25" s="92">
        <f t="shared" si="26"/>
        <v>0.92548054697370752</v>
      </c>
      <c r="T25" s="105">
        <v>65098</v>
      </c>
      <c r="U25" s="92">
        <f t="shared" si="27"/>
        <v>5.5826071147411085</v>
      </c>
      <c r="V25" s="105">
        <v>107573</v>
      </c>
      <c r="W25" s="92">
        <f t="shared" si="28"/>
        <v>6.9478810425729103</v>
      </c>
      <c r="X25" s="105">
        <v>61321</v>
      </c>
      <c r="Y25" s="92">
        <f t="shared" si="29"/>
        <v>2.9298626589551189</v>
      </c>
      <c r="Z25" s="105">
        <v>20720</v>
      </c>
      <c r="AA25" s="92">
        <f t="shared" si="32"/>
        <v>0.98420147630221455</v>
      </c>
      <c r="AB25" s="105">
        <v>57819</v>
      </c>
      <c r="AC25" s="92">
        <f t="shared" si="33"/>
        <v>2.8780462795058357</v>
      </c>
      <c r="AD25" s="105">
        <v>40035</v>
      </c>
      <c r="AE25" s="92">
        <f t="shared" si="34"/>
        <v>2.8824699603214885</v>
      </c>
      <c r="AF25" s="105">
        <v>57899</v>
      </c>
      <c r="AG25" s="92">
        <f t="shared" si="35"/>
        <v>3.8333554025423733</v>
      </c>
      <c r="AH25" s="105">
        <v>59948</v>
      </c>
      <c r="AI25" s="92">
        <f t="shared" si="30"/>
        <v>2.6120085817910565</v>
      </c>
      <c r="AJ25" s="105">
        <v>64141</v>
      </c>
      <c r="AK25" s="92">
        <f t="shared" si="31"/>
        <v>2.5229566199044564</v>
      </c>
    </row>
    <row r="26" spans="1:37" x14ac:dyDescent="0.25">
      <c r="A26" s="109" t="s">
        <v>23</v>
      </c>
      <c r="B26" s="108"/>
      <c r="C26" s="94"/>
      <c r="F26" s="108"/>
      <c r="G26" s="94"/>
      <c r="H26" s="111">
        <v>55523</v>
      </c>
      <c r="I26" s="94">
        <f t="shared" si="21"/>
        <v>2.3989281449233784</v>
      </c>
      <c r="J26" s="110">
        <v>39289</v>
      </c>
      <c r="K26" s="92">
        <f t="shared" si="22"/>
        <v>1.3508699906684793</v>
      </c>
      <c r="L26" s="110">
        <v>38437</v>
      </c>
      <c r="M26" s="92">
        <f t="shared" si="23"/>
        <v>1.0733986638438882</v>
      </c>
      <c r="N26" s="110">
        <v>41699</v>
      </c>
      <c r="O26" s="92">
        <f t="shared" si="24"/>
        <v>1.6456073857577751</v>
      </c>
      <c r="P26" s="105">
        <v>20590</v>
      </c>
      <c r="Q26" s="92">
        <f t="shared" si="25"/>
        <v>0.59375196451445278</v>
      </c>
      <c r="R26" s="105">
        <v>16078</v>
      </c>
      <c r="S26" s="92">
        <f t="shared" si="26"/>
        <v>0.35820597578823477</v>
      </c>
      <c r="T26" s="105">
        <v>7150</v>
      </c>
      <c r="U26" s="92">
        <f t="shared" si="27"/>
        <v>0.61316232250451508</v>
      </c>
      <c r="V26" s="105">
        <v>12100</v>
      </c>
      <c r="W26" s="92">
        <f t="shared" si="28"/>
        <v>0.78150986414000001</v>
      </c>
      <c r="X26" s="105">
        <v>7220</v>
      </c>
      <c r="Y26" s="92">
        <f t="shared" si="29"/>
        <v>0.34496515708576109</v>
      </c>
      <c r="Z26" s="105">
        <v>2620</v>
      </c>
      <c r="AA26" s="92">
        <f t="shared" si="32"/>
        <v>0.12445018667528</v>
      </c>
      <c r="AB26" s="105">
        <v>3620</v>
      </c>
      <c r="AC26" s="92">
        <f t="shared" si="33"/>
        <v>0.18019210868072996</v>
      </c>
      <c r="AD26" s="105">
        <v>0</v>
      </c>
      <c r="AE26" s="92">
        <f t="shared" si="34"/>
        <v>0</v>
      </c>
      <c r="AF26" s="105"/>
      <c r="AG26" s="92">
        <f t="shared" si="35"/>
        <v>0</v>
      </c>
      <c r="AH26" s="105"/>
      <c r="AI26" s="92">
        <f t="shared" si="30"/>
        <v>0</v>
      </c>
      <c r="AJ26" s="105">
        <v>5600</v>
      </c>
      <c r="AK26" s="92">
        <f t="shared" si="31"/>
        <v>0.2202734143755937</v>
      </c>
    </row>
    <row r="27" spans="1:37" x14ac:dyDescent="0.25">
      <c r="A27" s="109" t="s">
        <v>24</v>
      </c>
      <c r="B27" s="108">
        <v>104688</v>
      </c>
      <c r="C27" s="94">
        <f t="shared" ref="C27:C34" si="36">B27/$B$20*100</f>
        <v>4.2034544551485773</v>
      </c>
      <c r="D27" s="65">
        <v>4.2</v>
      </c>
      <c r="F27" s="108">
        <v>31820</v>
      </c>
      <c r="G27" s="94">
        <f t="shared" ref="G27:G34" si="37">F27/$F$20*100</f>
        <v>1.4888047218784579</v>
      </c>
      <c r="H27" s="111">
        <f>57028+1170</f>
        <v>58198</v>
      </c>
      <c r="I27" s="94">
        <f t="shared" si="21"/>
        <v>2.5145042627064602</v>
      </c>
      <c r="J27" s="110">
        <v>208227</v>
      </c>
      <c r="K27" s="92">
        <f t="shared" si="22"/>
        <v>7.1594493508851196</v>
      </c>
      <c r="L27" s="110">
        <v>304068</v>
      </c>
      <c r="M27" s="92">
        <f t="shared" si="23"/>
        <v>8.4914583582923591</v>
      </c>
      <c r="N27" s="110">
        <v>176970</v>
      </c>
      <c r="O27" s="92">
        <f t="shared" si="24"/>
        <v>6.9839358031980003</v>
      </c>
      <c r="P27" s="105">
        <v>228943</v>
      </c>
      <c r="Q27" s="92">
        <f t="shared" si="25"/>
        <v>6.6020085484134228</v>
      </c>
      <c r="R27" s="105">
        <v>237960</v>
      </c>
      <c r="S27" s="92">
        <f t="shared" si="26"/>
        <v>5.3015732055335452</v>
      </c>
      <c r="T27" s="105">
        <v>13535</v>
      </c>
      <c r="U27" s="92">
        <f t="shared" si="27"/>
        <v>1.1607205643494563</v>
      </c>
      <c r="V27" s="105">
        <v>62827</v>
      </c>
      <c r="W27" s="92">
        <f t="shared" si="28"/>
        <v>4.0578446474647754</v>
      </c>
      <c r="X27" s="105">
        <v>64071</v>
      </c>
      <c r="Y27" s="92">
        <f t="shared" si="29"/>
        <v>3.0612552049365376</v>
      </c>
      <c r="Z27" s="105">
        <v>202028</v>
      </c>
      <c r="AA27" s="92">
        <f t="shared" si="32"/>
        <v>9.596344394516592</v>
      </c>
      <c r="AB27" s="105">
        <v>433119</v>
      </c>
      <c r="AC27" s="92">
        <f t="shared" si="33"/>
        <v>21.559288928090904</v>
      </c>
      <c r="AD27" s="105">
        <v>499557</v>
      </c>
      <c r="AE27" s="92">
        <f t="shared" si="34"/>
        <v>35.967479604554065</v>
      </c>
      <c r="AF27" s="105">
        <v>182774</v>
      </c>
      <c r="AG27" s="92">
        <f t="shared" si="35"/>
        <v>12.10103283898305</v>
      </c>
      <c r="AH27" s="105">
        <v>535969</v>
      </c>
      <c r="AI27" s="92">
        <f t="shared" si="30"/>
        <v>23.352832914758974</v>
      </c>
      <c r="AJ27" s="105">
        <v>564322</v>
      </c>
      <c r="AK27" s="92">
        <f t="shared" si="31"/>
        <v>22.197345312011389</v>
      </c>
    </row>
    <row r="28" spans="1:37" x14ac:dyDescent="0.25">
      <c r="A28" s="109" t="s">
        <v>25</v>
      </c>
      <c r="B28" s="108">
        <f>301250+7000</f>
        <v>308250</v>
      </c>
      <c r="C28" s="94">
        <f t="shared" si="36"/>
        <v>12.376918422355466</v>
      </c>
      <c r="D28" s="65">
        <v>12.38</v>
      </c>
      <c r="F28" s="108">
        <v>418475</v>
      </c>
      <c r="G28" s="94">
        <f t="shared" si="37"/>
        <v>19.579747202642604</v>
      </c>
      <c r="H28" s="111">
        <f>255388-258+23964</f>
        <v>279094</v>
      </c>
      <c r="I28" s="94">
        <f t="shared" si="21"/>
        <v>12.058542436093967</v>
      </c>
      <c r="J28" s="110">
        <v>399843</v>
      </c>
      <c r="K28" s="92">
        <f t="shared" si="22"/>
        <v>13.747764251542588</v>
      </c>
      <c r="L28" s="110">
        <v>431871</v>
      </c>
      <c r="M28" s="92">
        <f t="shared" si="23"/>
        <v>12.060508217418734</v>
      </c>
      <c r="N28" s="110">
        <v>405753</v>
      </c>
      <c r="O28" s="92">
        <f t="shared" si="24"/>
        <v>16.012617415126847</v>
      </c>
      <c r="P28" s="105">
        <v>454070</v>
      </c>
      <c r="Q28" s="92">
        <f t="shared" si="25"/>
        <v>13.09397545056229</v>
      </c>
      <c r="R28" s="105">
        <v>605840</v>
      </c>
      <c r="S28" s="92">
        <f t="shared" si="26"/>
        <v>13.497668141033966</v>
      </c>
      <c r="T28" s="105">
        <v>76028</v>
      </c>
      <c r="U28" s="92">
        <f t="shared" si="27"/>
        <v>6.5199307769752828</v>
      </c>
      <c r="V28" s="105">
        <v>90966</v>
      </c>
      <c r="W28" s="92">
        <f t="shared" si="28"/>
        <v>5.8752749009387806</v>
      </c>
      <c r="X28" s="105">
        <v>435288</v>
      </c>
      <c r="Y28" s="92">
        <f t="shared" si="29"/>
        <v>20.797672201876285</v>
      </c>
      <c r="Z28" s="105">
        <v>202853</v>
      </c>
      <c r="AA28" s="92">
        <f t="shared" si="32"/>
        <v>9.6355319532979298</v>
      </c>
      <c r="AB28" s="105">
        <v>145534</v>
      </c>
      <c r="AC28" s="92">
        <f t="shared" si="33"/>
        <v>7.2442205372213682</v>
      </c>
      <c r="AD28" s="105">
        <v>80794</v>
      </c>
      <c r="AE28" s="92">
        <f t="shared" si="34"/>
        <v>5.8170670157166073</v>
      </c>
      <c r="AF28" s="105">
        <v>294965</v>
      </c>
      <c r="AG28" s="92">
        <f t="shared" si="35"/>
        <v>19.528932733050848</v>
      </c>
      <c r="AH28" s="105">
        <v>344705</v>
      </c>
      <c r="AI28" s="92">
        <f t="shared" si="30"/>
        <v>15.019223630250988</v>
      </c>
      <c r="AJ28" s="105">
        <v>351877</v>
      </c>
      <c r="AK28" s="92">
        <f t="shared" si="31"/>
        <v>13.840919326828713</v>
      </c>
    </row>
    <row r="29" spans="1:37" ht="15.75" hidden="1" customHeight="1" x14ac:dyDescent="0.25">
      <c r="A29" s="109" t="s">
        <v>121</v>
      </c>
      <c r="B29" s="108">
        <v>1800</v>
      </c>
      <c r="C29" s="94">
        <f t="shared" si="36"/>
        <v>7.2273976188937022E-2</v>
      </c>
      <c r="D29" s="65">
        <v>7.0000000000000007E-2</v>
      </c>
      <c r="F29" s="108">
        <v>3386</v>
      </c>
      <c r="G29" s="94">
        <f t="shared" si="37"/>
        <v>0.15842529190070578</v>
      </c>
      <c r="H29" s="111">
        <v>18000</v>
      </c>
      <c r="I29" s="94">
        <f t="shared" si="21"/>
        <v>0.77770845611045536</v>
      </c>
      <c r="J29" s="110">
        <v>0</v>
      </c>
      <c r="K29" s="92">
        <f t="shared" si="22"/>
        <v>0</v>
      </c>
      <c r="L29" s="110"/>
      <c r="M29" s="92">
        <f t="shared" si="23"/>
        <v>0</v>
      </c>
      <c r="N29" s="110"/>
      <c r="O29" s="92">
        <f t="shared" si="24"/>
        <v>0</v>
      </c>
      <c r="P29" s="104">
        <v>0</v>
      </c>
      <c r="Q29" s="92">
        <f t="shared" si="25"/>
        <v>0</v>
      </c>
      <c r="S29" s="92">
        <f t="shared" si="26"/>
        <v>0</v>
      </c>
      <c r="U29" s="92">
        <f t="shared" si="27"/>
        <v>0</v>
      </c>
      <c r="W29" s="92">
        <f t="shared" si="28"/>
        <v>0</v>
      </c>
      <c r="Y29" s="92">
        <f t="shared" si="29"/>
        <v>0</v>
      </c>
      <c r="AA29" s="92">
        <f t="shared" si="32"/>
        <v>0</v>
      </c>
      <c r="AC29" s="92">
        <f t="shared" si="33"/>
        <v>0</v>
      </c>
      <c r="AE29" s="92">
        <f t="shared" si="34"/>
        <v>0</v>
      </c>
      <c r="AG29" s="92">
        <f t="shared" si="35"/>
        <v>0</v>
      </c>
      <c r="AI29" s="92">
        <f t="shared" si="30"/>
        <v>0</v>
      </c>
      <c r="AK29" s="92">
        <f t="shared" si="31"/>
        <v>0</v>
      </c>
    </row>
    <row r="30" spans="1:37" ht="15.75" hidden="1" customHeight="1" x14ac:dyDescent="0.25">
      <c r="A30" s="109"/>
      <c r="B30" s="108"/>
      <c r="C30" s="94"/>
      <c r="F30" s="108"/>
      <c r="G30" s="94"/>
      <c r="H30" s="111"/>
      <c r="I30" s="94"/>
      <c r="J30" s="110"/>
      <c r="K30" s="92"/>
      <c r="L30" s="110"/>
      <c r="M30" s="92"/>
      <c r="N30" s="110"/>
      <c r="O30" s="92"/>
      <c r="Q30" s="92"/>
      <c r="S30" s="92"/>
      <c r="U30" s="92"/>
      <c r="W30" s="92"/>
      <c r="Y30" s="92"/>
      <c r="AA30" s="92"/>
      <c r="AC30" s="92">
        <f t="shared" si="33"/>
        <v>0</v>
      </c>
      <c r="AE30" s="92">
        <f t="shared" si="34"/>
        <v>0</v>
      </c>
      <c r="AG30" s="92">
        <f t="shared" si="35"/>
        <v>0</v>
      </c>
      <c r="AI30" s="92">
        <f t="shared" si="30"/>
        <v>0</v>
      </c>
      <c r="AK30" s="92">
        <f t="shared" si="31"/>
        <v>0</v>
      </c>
    </row>
    <row r="31" spans="1:37" ht="15.75" customHeight="1" x14ac:dyDescent="0.25">
      <c r="A31" s="109" t="s">
        <v>121</v>
      </c>
      <c r="B31" s="108"/>
      <c r="C31" s="94"/>
      <c r="F31" s="108"/>
      <c r="G31" s="94"/>
      <c r="H31" s="111"/>
      <c r="I31" s="94"/>
      <c r="J31" s="110"/>
      <c r="K31" s="92"/>
      <c r="L31" s="110"/>
      <c r="M31" s="92"/>
      <c r="N31" s="110"/>
      <c r="O31" s="92"/>
      <c r="Q31" s="92"/>
      <c r="S31" s="92"/>
      <c r="U31" s="92"/>
      <c r="W31" s="92"/>
      <c r="Y31" s="92"/>
      <c r="AA31" s="92"/>
      <c r="AB31" s="105">
        <v>500</v>
      </c>
      <c r="AC31" s="92">
        <f t="shared" si="33"/>
        <v>2.4888412801205791E-2</v>
      </c>
      <c r="AD31" s="105">
        <v>500</v>
      </c>
      <c r="AE31" s="92">
        <f t="shared" si="34"/>
        <v>3.5999375050849117E-2</v>
      </c>
      <c r="AF31" s="105">
        <v>56000</v>
      </c>
      <c r="AG31" s="92">
        <f t="shared" si="35"/>
        <v>3.7076271186440675</v>
      </c>
      <c r="AH31" s="105">
        <v>167095</v>
      </c>
      <c r="AI31" s="92">
        <f t="shared" si="30"/>
        <v>7.2805360307996363</v>
      </c>
      <c r="AJ31" s="105">
        <v>44250</v>
      </c>
      <c r="AK31" s="92">
        <f t="shared" si="31"/>
        <v>1.7405533189500038</v>
      </c>
    </row>
    <row r="32" spans="1:37" x14ac:dyDescent="0.25">
      <c r="A32" s="109" t="s">
        <v>26</v>
      </c>
      <c r="B32" s="108">
        <v>33000</v>
      </c>
      <c r="C32" s="94">
        <f t="shared" si="36"/>
        <v>1.3250228967971787</v>
      </c>
      <c r="D32" s="65">
        <v>1.33</v>
      </c>
      <c r="F32" s="108">
        <v>10700</v>
      </c>
      <c r="G32" s="94">
        <f t="shared" si="37"/>
        <v>0.50063515160589256</v>
      </c>
      <c r="H32" s="111">
        <v>114431</v>
      </c>
      <c r="I32" s="94">
        <f t="shared" si="21"/>
        <v>4.9441086856208623</v>
      </c>
      <c r="J32" s="110">
        <v>324149</v>
      </c>
      <c r="K32" s="92">
        <f t="shared" si="22"/>
        <v>11.145184570877266</v>
      </c>
      <c r="L32" s="110">
        <v>591057</v>
      </c>
      <c r="M32" s="92">
        <f t="shared" si="23"/>
        <v>16.505965451403</v>
      </c>
      <c r="N32" s="110">
        <v>312314</v>
      </c>
      <c r="O32" s="92">
        <f t="shared" si="24"/>
        <v>12.325145089224051</v>
      </c>
      <c r="P32" s="105">
        <v>418203</v>
      </c>
      <c r="Q32" s="92">
        <f t="shared" si="25"/>
        <v>12.059682021167445</v>
      </c>
      <c r="R32" s="105">
        <v>651384</v>
      </c>
      <c r="S32" s="92">
        <f t="shared" si="26"/>
        <v>14.512354853392429</v>
      </c>
      <c r="T32" s="105">
        <v>36800</v>
      </c>
      <c r="U32" s="92">
        <f t="shared" si="27"/>
        <v>3.1558564291141478</v>
      </c>
      <c r="V32" s="105">
        <v>111988</v>
      </c>
      <c r="W32" s="92">
        <f t="shared" si="28"/>
        <v>7.2330352615958953</v>
      </c>
      <c r="X32" s="105">
        <v>96590</v>
      </c>
      <c r="Y32" s="92">
        <f t="shared" si="29"/>
        <v>4.6149840059437208</v>
      </c>
      <c r="Z32" s="105">
        <v>162298</v>
      </c>
      <c r="AA32" s="92">
        <f t="shared" si="32"/>
        <v>7.7091665637498457</v>
      </c>
      <c r="AB32" s="105">
        <v>74063</v>
      </c>
      <c r="AC32" s="92">
        <f t="shared" si="33"/>
        <v>3.6866210345914094</v>
      </c>
      <c r="AD32" s="105">
        <v>5755</v>
      </c>
      <c r="AE32" s="92">
        <f t="shared" si="34"/>
        <v>0.41435280683527337</v>
      </c>
      <c r="AF32" s="105">
        <v>152537</v>
      </c>
      <c r="AG32" s="92">
        <f t="shared" si="35"/>
        <v>10.099112817796611</v>
      </c>
      <c r="AH32" s="105">
        <v>82389</v>
      </c>
      <c r="AI32" s="92">
        <f t="shared" si="30"/>
        <v>3.5897907360576395</v>
      </c>
      <c r="AJ32" s="105">
        <v>117035</v>
      </c>
      <c r="AK32" s="92">
        <f t="shared" si="31"/>
        <v>4.6035176877585018</v>
      </c>
    </row>
    <row r="33" spans="1:37" x14ac:dyDescent="0.25">
      <c r="A33" s="109" t="s">
        <v>27</v>
      </c>
      <c r="B33" s="108">
        <v>16738</v>
      </c>
      <c r="C33" s="94">
        <f t="shared" si="36"/>
        <v>0.6720676741391266</v>
      </c>
      <c r="D33" s="65">
        <v>0.67</v>
      </c>
      <c r="F33" s="108">
        <v>20230</v>
      </c>
      <c r="G33" s="94">
        <f t="shared" si="37"/>
        <v>0.94652795485861729</v>
      </c>
      <c r="H33" s="111">
        <v>19305</v>
      </c>
      <c r="I33" s="94">
        <f t="shared" si="21"/>
        <v>0.83409231917846338</v>
      </c>
      <c r="J33" s="110">
        <v>8863</v>
      </c>
      <c r="K33" s="92">
        <f t="shared" si="22"/>
        <v>0.30473569516390675</v>
      </c>
      <c r="L33" s="110">
        <v>10636</v>
      </c>
      <c r="M33" s="92">
        <f t="shared" si="23"/>
        <v>0.2970228734980252</v>
      </c>
      <c r="N33" s="110">
        <v>23446</v>
      </c>
      <c r="O33" s="92">
        <f t="shared" si="24"/>
        <v>0.92527184744182811</v>
      </c>
      <c r="P33" s="105">
        <v>19042</v>
      </c>
      <c r="Q33" s="92">
        <f t="shared" si="25"/>
        <v>0.54911242876562449</v>
      </c>
      <c r="R33" s="105">
        <v>3306</v>
      </c>
      <c r="S33" s="92">
        <f t="shared" si="26"/>
        <v>7.3655240450050008E-2</v>
      </c>
      <c r="T33" s="105">
        <v>511200</v>
      </c>
      <c r="U33" s="92">
        <f t="shared" si="27"/>
        <v>43.838962134868268</v>
      </c>
      <c r="V33" s="105">
        <v>441740</v>
      </c>
      <c r="W33" s="92">
        <f t="shared" si="28"/>
        <v>28.530922924396997</v>
      </c>
      <c r="X33" s="105">
        <v>141727</v>
      </c>
      <c r="Y33" s="92">
        <f t="shared" si="29"/>
        <v>6.7715895870212828</v>
      </c>
      <c r="Z33" s="105">
        <v>406667</v>
      </c>
      <c r="AA33" s="92">
        <f t="shared" si="32"/>
        <v>19.316711475067212</v>
      </c>
      <c r="AB33" s="105">
        <v>730401</v>
      </c>
      <c r="AC33" s="92">
        <f t="shared" si="33"/>
        <v>36.357043196827028</v>
      </c>
      <c r="AD33" s="105">
        <v>57873</v>
      </c>
      <c r="AE33" s="92">
        <f t="shared" si="34"/>
        <v>4.1667836646355818</v>
      </c>
      <c r="AF33" s="105">
        <v>76027</v>
      </c>
      <c r="AG33" s="92">
        <f t="shared" si="35"/>
        <v>5.0335672669491522</v>
      </c>
      <c r="AH33" s="105">
        <v>446505</v>
      </c>
      <c r="AI33" s="92">
        <f t="shared" si="30"/>
        <v>19.454775669123503</v>
      </c>
      <c r="AJ33" s="105">
        <v>131963</v>
      </c>
      <c r="AK33" s="92">
        <f t="shared" si="31"/>
        <v>5.1907036752225837</v>
      </c>
    </row>
    <row r="34" spans="1:37" x14ac:dyDescent="0.25">
      <c r="A34" s="109" t="s">
        <v>120</v>
      </c>
      <c r="B34" s="108">
        <f>5000+2000</f>
        <v>7000</v>
      </c>
      <c r="C34" s="94">
        <f t="shared" si="36"/>
        <v>0.28106546295697732</v>
      </c>
      <c r="D34" s="65">
        <v>0.28000000000000003</v>
      </c>
      <c r="F34" s="108">
        <v>1000</v>
      </c>
      <c r="G34" s="94">
        <f t="shared" si="37"/>
        <v>4.6788331925784347E-2</v>
      </c>
      <c r="H34" s="107">
        <v>18444</v>
      </c>
      <c r="I34" s="94">
        <f t="shared" si="21"/>
        <v>0.79689193136117997</v>
      </c>
      <c r="J34" s="106">
        <v>9616</v>
      </c>
      <c r="K34" s="92">
        <f t="shared" si="22"/>
        <v>0.33062602332123742</v>
      </c>
      <c r="L34" s="106">
        <v>67013</v>
      </c>
      <c r="M34" s="92">
        <f t="shared" si="23"/>
        <v>1.8714172453669766</v>
      </c>
      <c r="N34" s="106">
        <v>80350</v>
      </c>
      <c r="O34" s="92">
        <f t="shared" si="24"/>
        <v>3.1709286420690477</v>
      </c>
      <c r="P34" s="105">
        <v>106342</v>
      </c>
      <c r="Q34" s="92">
        <f t="shared" si="25"/>
        <v>3.0665746192518668</v>
      </c>
      <c r="R34" s="105">
        <v>49627</v>
      </c>
      <c r="S34" s="92">
        <f t="shared" si="26"/>
        <v>1.1056529394478618</v>
      </c>
      <c r="T34" s="105">
        <v>2825</v>
      </c>
      <c r="U34" s="92">
        <f t="shared" si="27"/>
        <v>0.24226343511542028</v>
      </c>
      <c r="V34" s="105">
        <v>7252</v>
      </c>
      <c r="W34" s="92">
        <f t="shared" si="28"/>
        <v>0.46838921774737857</v>
      </c>
      <c r="X34" s="105">
        <v>67857</v>
      </c>
      <c r="Y34" s="92">
        <f t="shared" si="29"/>
        <v>3.2421469064222288</v>
      </c>
      <c r="Z34" s="105">
        <v>32580</v>
      </c>
      <c r="AA34" s="92">
        <f t="shared" si="32"/>
        <v>1.5475523213284821</v>
      </c>
      <c r="AB34" s="105">
        <v>3500</v>
      </c>
      <c r="AC34" s="92">
        <f t="shared" si="33"/>
        <v>0.17421888960844056</v>
      </c>
      <c r="AD34" s="105">
        <v>914</v>
      </c>
      <c r="AE34" s="92">
        <f t="shared" si="34"/>
        <v>6.5806857592952184E-2</v>
      </c>
      <c r="AF34" s="105">
        <v>288</v>
      </c>
      <c r="AG34" s="92">
        <f t="shared" si="35"/>
        <v>1.9067796610169493E-2</v>
      </c>
      <c r="AH34" s="105">
        <v>16641</v>
      </c>
      <c r="AI34" s="92">
        <f t="shared" si="30"/>
        <v>0.72506897326991682</v>
      </c>
      <c r="AJ34" s="105">
        <v>10490</v>
      </c>
      <c r="AK34" s="92">
        <f t="shared" si="31"/>
        <v>0.41261930657142465</v>
      </c>
    </row>
    <row r="35" spans="1:37" hidden="1" x14ac:dyDescent="0.25">
      <c r="A35" s="65" t="s">
        <v>119</v>
      </c>
      <c r="X35" s="105">
        <v>52600</v>
      </c>
      <c r="Y35" s="92">
        <f t="shared" si="29"/>
        <v>2.5131810613173178</v>
      </c>
      <c r="Z35" s="105">
        <v>52000</v>
      </c>
      <c r="AA35" s="92">
        <f t="shared" si="32"/>
        <v>2.4700037050055577</v>
      </c>
      <c r="AB35" s="105">
        <v>0</v>
      </c>
      <c r="AC35" s="92">
        <f t="shared" si="33"/>
        <v>0</v>
      </c>
      <c r="AD35" s="105"/>
      <c r="AE35" s="92">
        <f t="shared" si="34"/>
        <v>0</v>
      </c>
      <c r="AF35" s="105"/>
      <c r="AG35" s="92">
        <f t="shared" si="35"/>
        <v>0</v>
      </c>
      <c r="AH35" s="105"/>
      <c r="AI35" s="92">
        <f t="shared" si="30"/>
        <v>0</v>
      </c>
      <c r="AJ35" s="105"/>
      <c r="AK35" s="92">
        <f t="shared" si="31"/>
        <v>0</v>
      </c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0"/>
  <sheetViews>
    <sheetView zoomScaleNormal="100" zoomScaleSheetLayoutView="100" workbookViewId="0">
      <pane ySplit="2" topLeftCell="A3" activePane="bottomLeft" state="frozen"/>
      <selection activeCell="H3" sqref="H3"/>
      <selection pane="bottomLeft" activeCell="A65" sqref="A65:B65"/>
    </sheetView>
  </sheetViews>
  <sheetFormatPr defaultColWidth="9.140625" defaultRowHeight="10.5" x14ac:dyDescent="0.15"/>
  <cols>
    <col min="1" max="1" width="6.42578125" style="18" customWidth="1"/>
    <col min="2" max="2" width="55.7109375" style="9" customWidth="1"/>
    <col min="3" max="3" width="10.7109375" style="9" customWidth="1"/>
    <col min="4" max="5" width="10.7109375" style="24" customWidth="1"/>
    <col min="6" max="6" width="10.7109375" style="9" customWidth="1"/>
    <col min="7" max="7" width="8" style="9" customWidth="1"/>
    <col min="8" max="16384" width="9.140625" style="1"/>
  </cols>
  <sheetData>
    <row r="1" spans="1:8" ht="36" customHeight="1" thickBot="1" x14ac:dyDescent="0.25">
      <c r="A1" s="528" t="s">
        <v>358</v>
      </c>
      <c r="B1" s="529"/>
      <c r="C1" s="529"/>
      <c r="D1" s="529"/>
      <c r="E1" s="529"/>
      <c r="F1" s="529"/>
      <c r="G1" s="529"/>
    </row>
    <row r="2" spans="1:8" ht="36" customHeight="1" x14ac:dyDescent="0.15">
      <c r="A2" s="2" t="s">
        <v>0</v>
      </c>
      <c r="B2" s="3" t="s">
        <v>1</v>
      </c>
      <c r="C2" s="3" t="s">
        <v>359</v>
      </c>
      <c r="D2" s="3" t="s">
        <v>360</v>
      </c>
      <c r="E2" s="3" t="s">
        <v>361</v>
      </c>
      <c r="F2" s="3" t="s">
        <v>362</v>
      </c>
      <c r="G2" s="4" t="s">
        <v>363</v>
      </c>
      <c r="H2" s="5"/>
    </row>
    <row r="3" spans="1:8" s="9" customFormat="1" ht="15" customHeight="1" x14ac:dyDescent="0.25">
      <c r="A3" s="138">
        <v>188</v>
      </c>
      <c r="B3" s="6" t="s">
        <v>135</v>
      </c>
      <c r="C3" s="7">
        <v>4000</v>
      </c>
      <c r="D3" s="14">
        <v>9408.9999999999982</v>
      </c>
      <c r="E3" s="14">
        <v>8763.9999999999982</v>
      </c>
      <c r="F3" s="7">
        <v>8000</v>
      </c>
      <c r="G3" s="8">
        <f t="shared" ref="G3:G39" si="0">F3/C3*100</f>
        <v>200</v>
      </c>
    </row>
    <row r="4" spans="1:8" s="9" customFormat="1" ht="15.75" customHeight="1" x14ac:dyDescent="0.25">
      <c r="A4" s="521" t="s">
        <v>2</v>
      </c>
      <c r="B4" s="522"/>
      <c r="C4" s="199">
        <f>SUM(C3)</f>
        <v>4000</v>
      </c>
      <c r="D4" s="201">
        <f>SUM(D3)</f>
        <v>9408.9999999999982</v>
      </c>
      <c r="E4" s="201">
        <f>SUM(E3)</f>
        <v>8763.9999999999982</v>
      </c>
      <c r="F4" s="199">
        <f>SUM(F3)</f>
        <v>8000</v>
      </c>
      <c r="G4" s="11">
        <f t="shared" si="0"/>
        <v>200</v>
      </c>
    </row>
    <row r="5" spans="1:8" s="9" customFormat="1" ht="24" customHeight="1" x14ac:dyDescent="0.25">
      <c r="A5" s="139">
        <v>224</v>
      </c>
      <c r="B5" s="6" t="s">
        <v>3</v>
      </c>
      <c r="C5" s="200">
        <v>12000</v>
      </c>
      <c r="D5" s="14">
        <v>14450.7</v>
      </c>
      <c r="E5" s="14">
        <v>2338</v>
      </c>
      <c r="F5" s="200">
        <v>12000</v>
      </c>
      <c r="G5" s="8">
        <f>F5/C5*100</f>
        <v>100</v>
      </c>
    </row>
    <row r="6" spans="1:8" s="9" customFormat="1" ht="15" customHeight="1" x14ac:dyDescent="0.25">
      <c r="A6" s="139">
        <v>225</v>
      </c>
      <c r="B6" s="6" t="s">
        <v>136</v>
      </c>
      <c r="C6" s="200">
        <v>11000</v>
      </c>
      <c r="D6" s="14">
        <v>13549.300000000001</v>
      </c>
      <c r="E6" s="14">
        <v>13250.554000000002</v>
      </c>
      <c r="F6" s="200">
        <v>11000</v>
      </c>
      <c r="G6" s="8">
        <f t="shared" si="0"/>
        <v>100</v>
      </c>
    </row>
    <row r="7" spans="1:8" s="9" customFormat="1" ht="24" customHeight="1" x14ac:dyDescent="0.25">
      <c r="A7" s="139">
        <v>226</v>
      </c>
      <c r="B7" s="6" t="s">
        <v>4</v>
      </c>
      <c r="C7" s="200">
        <v>1500</v>
      </c>
      <c r="D7" s="14">
        <v>1240</v>
      </c>
      <c r="E7" s="14">
        <v>1240</v>
      </c>
      <c r="F7" s="200">
        <v>1300</v>
      </c>
      <c r="G7" s="8">
        <f t="shared" si="0"/>
        <v>86.666666666666671</v>
      </c>
    </row>
    <row r="8" spans="1:8" s="9" customFormat="1" ht="15" customHeight="1" x14ac:dyDescent="0.25">
      <c r="A8" s="139">
        <v>227</v>
      </c>
      <c r="B8" s="6" t="s">
        <v>221</v>
      </c>
      <c r="C8" s="200">
        <v>44686</v>
      </c>
      <c r="D8" s="14">
        <v>43036.000000000007</v>
      </c>
      <c r="E8" s="14">
        <v>11435.664710000001</v>
      </c>
      <c r="F8" s="200">
        <v>17159</v>
      </c>
      <c r="G8" s="8">
        <f>F8/C8*100</f>
        <v>38.39905115696191</v>
      </c>
    </row>
    <row r="9" spans="1:8" s="9" customFormat="1" ht="15" customHeight="1" x14ac:dyDescent="0.25">
      <c r="A9" s="519" t="s">
        <v>364</v>
      </c>
      <c r="B9" s="523"/>
      <c r="C9" s="7">
        <v>825</v>
      </c>
      <c r="D9" s="14">
        <v>1575</v>
      </c>
      <c r="E9" s="14">
        <v>750</v>
      </c>
      <c r="F9" s="7">
        <v>0</v>
      </c>
      <c r="G9" s="8">
        <f>F9/C9*100</f>
        <v>0</v>
      </c>
    </row>
    <row r="10" spans="1:8" s="9" customFormat="1" ht="15.75" customHeight="1" x14ac:dyDescent="0.25">
      <c r="A10" s="521" t="s">
        <v>5</v>
      </c>
      <c r="B10" s="522"/>
      <c r="C10" s="10">
        <f>SUM(C5:C9)</f>
        <v>70011</v>
      </c>
      <c r="D10" s="201">
        <f>SUM(D5:D9)</f>
        <v>73851</v>
      </c>
      <c r="E10" s="201">
        <f>SUM(E5:E9)</f>
        <v>29014.218710000005</v>
      </c>
      <c r="F10" s="10">
        <f>SUM(F5:F9)</f>
        <v>41459</v>
      </c>
      <c r="G10" s="11">
        <f t="shared" si="0"/>
        <v>59.217837197011903</v>
      </c>
    </row>
    <row r="11" spans="1:8" s="9" customFormat="1" ht="15" customHeight="1" x14ac:dyDescent="0.25">
      <c r="A11" s="139">
        <v>310</v>
      </c>
      <c r="B11" s="6" t="s">
        <v>365</v>
      </c>
      <c r="C11" s="200">
        <v>0</v>
      </c>
      <c r="D11" s="14">
        <v>0</v>
      </c>
      <c r="E11" s="14">
        <v>0</v>
      </c>
      <c r="F11" s="200">
        <v>21000</v>
      </c>
      <c r="G11" s="198" t="s">
        <v>290</v>
      </c>
      <c r="H11" s="140"/>
    </row>
    <row r="12" spans="1:8" s="9" customFormat="1" ht="15" customHeight="1" x14ac:dyDescent="0.25">
      <c r="A12" s="139">
        <v>311</v>
      </c>
      <c r="B12" s="6" t="s">
        <v>282</v>
      </c>
      <c r="C12" s="200">
        <v>18000</v>
      </c>
      <c r="D12" s="14">
        <v>20098</v>
      </c>
      <c r="E12" s="14">
        <v>16445.074259999998</v>
      </c>
      <c r="F12" s="200">
        <v>4844</v>
      </c>
      <c r="G12" s="8">
        <f t="shared" ref="G12" si="1">F12/C12*100</f>
        <v>26.911111111111115</v>
      </c>
      <c r="H12" s="140"/>
    </row>
    <row r="13" spans="1:8" s="9" customFormat="1" ht="15" customHeight="1" x14ac:dyDescent="0.25">
      <c r="A13" s="139">
        <v>312</v>
      </c>
      <c r="B13" s="6" t="s">
        <v>222</v>
      </c>
      <c r="C13" s="7">
        <v>6072</v>
      </c>
      <c r="D13" s="14">
        <v>3682.8199999999993</v>
      </c>
      <c r="E13" s="14">
        <v>3373.7329999999997</v>
      </c>
      <c r="F13" s="7">
        <v>160</v>
      </c>
      <c r="G13" s="8">
        <f t="shared" ref="G13:G26" si="2">F13/C13*100</f>
        <v>2.6350461133069829</v>
      </c>
      <c r="H13" s="140"/>
    </row>
    <row r="14" spans="1:8" s="9" customFormat="1" ht="15" customHeight="1" x14ac:dyDescent="0.25">
      <c r="A14" s="139">
        <v>313</v>
      </c>
      <c r="B14" s="6" t="s">
        <v>366</v>
      </c>
      <c r="C14" s="7">
        <v>0</v>
      </c>
      <c r="D14" s="14">
        <v>0</v>
      </c>
      <c r="E14" s="14">
        <v>0</v>
      </c>
      <c r="F14" s="7">
        <v>15000</v>
      </c>
      <c r="G14" s="198" t="s">
        <v>290</v>
      </c>
      <c r="H14" s="140"/>
    </row>
    <row r="15" spans="1:8" s="9" customFormat="1" ht="15" customHeight="1" x14ac:dyDescent="0.25">
      <c r="A15" s="139">
        <v>314</v>
      </c>
      <c r="B15" s="6" t="s">
        <v>367</v>
      </c>
      <c r="C15" s="7">
        <v>0</v>
      </c>
      <c r="D15" s="14">
        <v>529.42999999999995</v>
      </c>
      <c r="E15" s="14">
        <v>529.43299999999999</v>
      </c>
      <c r="F15" s="7">
        <v>4165</v>
      </c>
      <c r="G15" s="198" t="s">
        <v>290</v>
      </c>
      <c r="H15" s="140"/>
    </row>
    <row r="16" spans="1:8" s="9" customFormat="1" ht="15" customHeight="1" x14ac:dyDescent="0.25">
      <c r="A16" s="139">
        <v>315</v>
      </c>
      <c r="B16" s="6" t="s">
        <v>283</v>
      </c>
      <c r="C16" s="7">
        <v>2663</v>
      </c>
      <c r="D16" s="14">
        <v>1697.9199999999998</v>
      </c>
      <c r="E16" s="14">
        <v>1218.9260899999999</v>
      </c>
      <c r="F16" s="7">
        <v>550</v>
      </c>
      <c r="G16" s="8">
        <f t="shared" si="2"/>
        <v>20.653398422831394</v>
      </c>
    </row>
    <row r="17" spans="1:8" s="9" customFormat="1" ht="15" customHeight="1" x14ac:dyDescent="0.25">
      <c r="A17" s="139">
        <v>316</v>
      </c>
      <c r="B17" s="6" t="s">
        <v>193</v>
      </c>
      <c r="C17" s="7">
        <v>98</v>
      </c>
      <c r="D17" s="14">
        <v>0</v>
      </c>
      <c r="E17" s="14">
        <v>0</v>
      </c>
      <c r="F17" s="7">
        <v>98</v>
      </c>
      <c r="G17" s="8">
        <f t="shared" si="2"/>
        <v>100</v>
      </c>
    </row>
    <row r="18" spans="1:8" s="9" customFormat="1" ht="15" customHeight="1" x14ac:dyDescent="0.25">
      <c r="A18" s="139">
        <v>317</v>
      </c>
      <c r="B18" s="6" t="s">
        <v>223</v>
      </c>
      <c r="C18" s="7">
        <v>96</v>
      </c>
      <c r="D18" s="14">
        <v>96</v>
      </c>
      <c r="E18" s="14">
        <v>0</v>
      </c>
      <c r="F18" s="7">
        <v>96</v>
      </c>
      <c r="G18" s="8">
        <f t="shared" si="2"/>
        <v>100</v>
      </c>
    </row>
    <row r="19" spans="1:8" s="9" customFormat="1" ht="15" customHeight="1" x14ac:dyDescent="0.25">
      <c r="A19" s="139">
        <v>318</v>
      </c>
      <c r="B19" s="15" t="s">
        <v>368</v>
      </c>
      <c r="C19" s="7">
        <v>0</v>
      </c>
      <c r="D19" s="14">
        <v>0</v>
      </c>
      <c r="E19" s="14">
        <v>0</v>
      </c>
      <c r="F19" s="7">
        <v>3000</v>
      </c>
      <c r="G19" s="198" t="s">
        <v>290</v>
      </c>
    </row>
    <row r="20" spans="1:8" s="9" customFormat="1" ht="15" customHeight="1" x14ac:dyDescent="0.25">
      <c r="A20" s="139">
        <v>319</v>
      </c>
      <c r="B20" s="15" t="s">
        <v>369</v>
      </c>
      <c r="C20" s="7">
        <v>0</v>
      </c>
      <c r="D20" s="14">
        <v>0</v>
      </c>
      <c r="E20" s="14">
        <v>0</v>
      </c>
      <c r="F20" s="7">
        <v>3915</v>
      </c>
      <c r="G20" s="198" t="s">
        <v>290</v>
      </c>
    </row>
    <row r="21" spans="1:8" s="9" customFormat="1" ht="15" customHeight="1" x14ac:dyDescent="0.25">
      <c r="A21" s="139">
        <v>320</v>
      </c>
      <c r="B21" s="13" t="s">
        <v>370</v>
      </c>
      <c r="C21" s="7">
        <v>0</v>
      </c>
      <c r="D21" s="14">
        <v>0</v>
      </c>
      <c r="E21" s="14">
        <v>0</v>
      </c>
      <c r="F21" s="7">
        <v>1500</v>
      </c>
      <c r="G21" s="198" t="s">
        <v>290</v>
      </c>
    </row>
    <row r="22" spans="1:8" s="9" customFormat="1" ht="15" customHeight="1" x14ac:dyDescent="0.25">
      <c r="A22" s="139">
        <v>321</v>
      </c>
      <c r="B22" s="13" t="s">
        <v>284</v>
      </c>
      <c r="C22" s="7">
        <v>1500</v>
      </c>
      <c r="D22" s="14">
        <v>1500</v>
      </c>
      <c r="E22" s="14">
        <v>1486.7</v>
      </c>
      <c r="F22" s="7">
        <v>1488</v>
      </c>
      <c r="G22" s="8">
        <f t="shared" si="2"/>
        <v>99.2</v>
      </c>
    </row>
    <row r="23" spans="1:8" s="9" customFormat="1" ht="15" customHeight="1" x14ac:dyDescent="0.25">
      <c r="A23" s="139">
        <v>323</v>
      </c>
      <c r="B23" s="13" t="s">
        <v>371</v>
      </c>
      <c r="C23" s="200">
        <v>0</v>
      </c>
      <c r="D23" s="14">
        <v>0</v>
      </c>
      <c r="E23" s="14">
        <v>0</v>
      </c>
      <c r="F23" s="200">
        <v>18000</v>
      </c>
      <c r="G23" s="198" t="s">
        <v>290</v>
      </c>
    </row>
    <row r="24" spans="1:8" s="9" customFormat="1" ht="15" customHeight="1" x14ac:dyDescent="0.25">
      <c r="A24" s="139">
        <v>324</v>
      </c>
      <c r="B24" s="13" t="s">
        <v>285</v>
      </c>
      <c r="C24" s="200">
        <v>16000</v>
      </c>
      <c r="D24" s="14">
        <v>20792</v>
      </c>
      <c r="E24" s="14">
        <v>4800</v>
      </c>
      <c r="F24" s="200">
        <v>5199</v>
      </c>
      <c r="G24" s="8">
        <f t="shared" si="2"/>
        <v>32.493749999999999</v>
      </c>
    </row>
    <row r="25" spans="1:8" s="9" customFormat="1" ht="15" customHeight="1" x14ac:dyDescent="0.25">
      <c r="A25" s="139">
        <v>325</v>
      </c>
      <c r="B25" s="13" t="s">
        <v>286</v>
      </c>
      <c r="C25" s="7">
        <v>4000</v>
      </c>
      <c r="D25" s="14">
        <v>5420.1999999999989</v>
      </c>
      <c r="E25" s="14">
        <v>1272.1241299999999</v>
      </c>
      <c r="F25" s="7">
        <v>4000</v>
      </c>
      <c r="G25" s="8">
        <f t="shared" si="2"/>
        <v>100</v>
      </c>
    </row>
    <row r="26" spans="1:8" s="9" customFormat="1" ht="15" customHeight="1" x14ac:dyDescent="0.25">
      <c r="A26" s="519" t="s">
        <v>372</v>
      </c>
      <c r="B26" s="523"/>
      <c r="C26" s="7">
        <v>41292</v>
      </c>
      <c r="D26" s="14">
        <v>49333.24</v>
      </c>
      <c r="E26" s="14">
        <v>13949.63769</v>
      </c>
      <c r="F26" s="7">
        <v>0</v>
      </c>
      <c r="G26" s="8">
        <f t="shared" si="2"/>
        <v>0</v>
      </c>
    </row>
    <row r="27" spans="1:8" s="9" customFormat="1" ht="15.75" customHeight="1" x14ac:dyDescent="0.25">
      <c r="A27" s="521" t="s">
        <v>6</v>
      </c>
      <c r="B27" s="522"/>
      <c r="C27" s="10">
        <f>SUM(C11:C26)</f>
        <v>89721</v>
      </c>
      <c r="D27" s="201">
        <f>SUM(D11:D26)</f>
        <v>103149.60999999999</v>
      </c>
      <c r="E27" s="201">
        <f>SUM(E11:E26)</f>
        <v>43075.628169999996</v>
      </c>
      <c r="F27" s="10">
        <f>SUM(F11:F26)</f>
        <v>83015</v>
      </c>
      <c r="G27" s="11">
        <f>F27/C27*100</f>
        <v>92.525718616600344</v>
      </c>
    </row>
    <row r="28" spans="1:8" s="9" customFormat="1" ht="24" customHeight="1" x14ac:dyDescent="0.25">
      <c r="A28" s="139">
        <v>350</v>
      </c>
      <c r="B28" s="6" t="s">
        <v>224</v>
      </c>
      <c r="C28" s="7">
        <v>2668</v>
      </c>
      <c r="D28" s="14">
        <v>1643.4600000000003</v>
      </c>
      <c r="E28" s="14">
        <v>1606.4040800000002</v>
      </c>
      <c r="F28" s="7">
        <v>2668</v>
      </c>
      <c r="G28" s="8">
        <f t="shared" si="0"/>
        <v>100</v>
      </c>
      <c r="H28" s="140"/>
    </row>
    <row r="29" spans="1:8" s="9" customFormat="1" ht="15" customHeight="1" x14ac:dyDescent="0.25">
      <c r="A29" s="139">
        <v>352</v>
      </c>
      <c r="B29" s="6" t="s">
        <v>194</v>
      </c>
      <c r="C29" s="7">
        <v>2000</v>
      </c>
      <c r="D29" s="14">
        <v>2206.6999999999998</v>
      </c>
      <c r="E29" s="14">
        <v>1063.3499999999999</v>
      </c>
      <c r="F29" s="7">
        <v>2000</v>
      </c>
      <c r="G29" s="8">
        <f t="shared" si="0"/>
        <v>100</v>
      </c>
    </row>
    <row r="30" spans="1:8" s="9" customFormat="1" ht="15" customHeight="1" x14ac:dyDescent="0.25">
      <c r="A30" s="139">
        <v>354</v>
      </c>
      <c r="B30" s="12" t="s">
        <v>287</v>
      </c>
      <c r="C30" s="7">
        <v>2625</v>
      </c>
      <c r="D30" s="14">
        <v>3000</v>
      </c>
      <c r="E30" s="14">
        <v>1600</v>
      </c>
      <c r="F30" s="7">
        <v>2625</v>
      </c>
      <c r="G30" s="8">
        <f t="shared" si="0"/>
        <v>100</v>
      </c>
    </row>
    <row r="31" spans="1:8" s="9" customFormat="1" ht="15" customHeight="1" x14ac:dyDescent="0.25">
      <c r="A31" s="139">
        <v>355</v>
      </c>
      <c r="B31" s="12" t="s">
        <v>195</v>
      </c>
      <c r="C31" s="7">
        <v>3000</v>
      </c>
      <c r="D31" s="14">
        <v>3000</v>
      </c>
      <c r="E31" s="14">
        <v>1048.7</v>
      </c>
      <c r="F31" s="7">
        <v>4000</v>
      </c>
      <c r="G31" s="8">
        <f t="shared" si="0"/>
        <v>133.33333333333331</v>
      </c>
    </row>
    <row r="32" spans="1:8" s="9" customFormat="1" ht="15" customHeight="1" x14ac:dyDescent="0.25">
      <c r="A32" s="139">
        <v>356</v>
      </c>
      <c r="B32" s="12" t="s">
        <v>373</v>
      </c>
      <c r="C32" s="7">
        <v>0</v>
      </c>
      <c r="D32" s="14">
        <v>0</v>
      </c>
      <c r="E32" s="14">
        <v>0</v>
      </c>
      <c r="F32" s="7">
        <v>2004</v>
      </c>
      <c r="G32" s="198" t="s">
        <v>290</v>
      </c>
    </row>
    <row r="33" spans="1:7" s="9" customFormat="1" ht="15" customHeight="1" x14ac:dyDescent="0.25">
      <c r="A33" s="139">
        <v>357</v>
      </c>
      <c r="B33" s="12" t="s">
        <v>374</v>
      </c>
      <c r="C33" s="7">
        <v>0</v>
      </c>
      <c r="D33" s="14">
        <v>2004</v>
      </c>
      <c r="E33" s="14">
        <v>0</v>
      </c>
      <c r="F33" s="7">
        <v>2496</v>
      </c>
      <c r="G33" s="198" t="s">
        <v>290</v>
      </c>
    </row>
    <row r="34" spans="1:7" s="9" customFormat="1" ht="15" customHeight="1" x14ac:dyDescent="0.25">
      <c r="A34" s="139">
        <v>358</v>
      </c>
      <c r="B34" s="15" t="s">
        <v>375</v>
      </c>
      <c r="C34" s="200">
        <v>0</v>
      </c>
      <c r="D34" s="14">
        <v>0</v>
      </c>
      <c r="E34" s="14">
        <v>0</v>
      </c>
      <c r="F34" s="200">
        <v>20500</v>
      </c>
      <c r="G34" s="198" t="s">
        <v>290</v>
      </c>
    </row>
    <row r="35" spans="1:7" s="9" customFormat="1" ht="15" customHeight="1" x14ac:dyDescent="0.25">
      <c r="A35" s="139">
        <v>359</v>
      </c>
      <c r="B35" s="15" t="s">
        <v>225</v>
      </c>
      <c r="C35" s="200">
        <v>16123</v>
      </c>
      <c r="D35" s="14">
        <v>19860.509999999998</v>
      </c>
      <c r="E35" s="14">
        <v>5031.3762400000005</v>
      </c>
      <c r="F35" s="200">
        <v>2768</v>
      </c>
      <c r="G35" s="8">
        <f t="shared" si="0"/>
        <v>17.168020839794082</v>
      </c>
    </row>
    <row r="36" spans="1:7" s="9" customFormat="1" ht="15" customHeight="1" x14ac:dyDescent="0.25">
      <c r="A36" s="139">
        <v>361</v>
      </c>
      <c r="B36" s="15" t="s">
        <v>191</v>
      </c>
      <c r="C36" s="200">
        <v>202</v>
      </c>
      <c r="D36" s="14">
        <v>344.8</v>
      </c>
      <c r="E36" s="14">
        <v>60</v>
      </c>
      <c r="F36" s="200">
        <v>60</v>
      </c>
      <c r="G36" s="8">
        <f t="shared" si="0"/>
        <v>29.702970297029701</v>
      </c>
    </row>
    <row r="37" spans="1:7" s="9" customFormat="1" ht="15" customHeight="1" x14ac:dyDescent="0.25">
      <c r="A37" s="139">
        <v>362</v>
      </c>
      <c r="B37" s="15" t="s">
        <v>376</v>
      </c>
      <c r="C37" s="200">
        <v>0</v>
      </c>
      <c r="D37" s="14">
        <v>0</v>
      </c>
      <c r="E37" s="14">
        <v>0</v>
      </c>
      <c r="F37" s="200">
        <v>3250</v>
      </c>
      <c r="G37" s="198" t="s">
        <v>290</v>
      </c>
    </row>
    <row r="38" spans="1:7" s="9" customFormat="1" ht="15" customHeight="1" x14ac:dyDescent="0.25">
      <c r="A38" s="139">
        <v>363</v>
      </c>
      <c r="B38" s="15" t="s">
        <v>377</v>
      </c>
      <c r="C38" s="200">
        <v>4750</v>
      </c>
      <c r="D38" s="14">
        <v>3371.3499999999995</v>
      </c>
      <c r="E38" s="14">
        <v>3249.9999999999995</v>
      </c>
      <c r="F38" s="200">
        <v>3130</v>
      </c>
      <c r="G38" s="8">
        <f t="shared" si="0"/>
        <v>65.89473684210526</v>
      </c>
    </row>
    <row r="39" spans="1:7" s="9" customFormat="1" ht="15" customHeight="1" x14ac:dyDescent="0.25">
      <c r="A39" s="519" t="s">
        <v>378</v>
      </c>
      <c r="B39" s="523"/>
      <c r="C39" s="200">
        <v>3682</v>
      </c>
      <c r="D39" s="14">
        <v>19981.95</v>
      </c>
      <c r="E39" s="14">
        <v>2500.375</v>
      </c>
      <c r="F39" s="200">
        <v>0</v>
      </c>
      <c r="G39" s="8">
        <f t="shared" si="0"/>
        <v>0</v>
      </c>
    </row>
    <row r="40" spans="1:7" s="9" customFormat="1" ht="15.75" customHeight="1" x14ac:dyDescent="0.25">
      <c r="A40" s="521" t="s">
        <v>7</v>
      </c>
      <c r="B40" s="522"/>
      <c r="C40" s="199">
        <f>SUM(C28:C39)</f>
        <v>35050</v>
      </c>
      <c r="D40" s="201">
        <f>SUM(D28:D39)</f>
        <v>55412.770000000004</v>
      </c>
      <c r="E40" s="201">
        <f>SUM(E28:E39)</f>
        <v>16160.205320000001</v>
      </c>
      <c r="F40" s="199">
        <f>SUM(F28:F39)</f>
        <v>45501</v>
      </c>
      <c r="G40" s="11">
        <f t="shared" ref="G40:G60" si="3">F40/C40*100</f>
        <v>129.81740370898714</v>
      </c>
    </row>
    <row r="41" spans="1:7" s="9" customFormat="1" ht="15" customHeight="1" x14ac:dyDescent="0.25">
      <c r="A41" s="139">
        <v>387</v>
      </c>
      <c r="B41" s="6" t="s">
        <v>33</v>
      </c>
      <c r="C41" s="200">
        <v>3000</v>
      </c>
      <c r="D41" s="14">
        <v>3018.3</v>
      </c>
      <c r="E41" s="14">
        <v>3018.3</v>
      </c>
      <c r="F41" s="200">
        <v>3000</v>
      </c>
      <c r="G41" s="8">
        <f t="shared" si="3"/>
        <v>100</v>
      </c>
    </row>
    <row r="42" spans="1:7" s="9" customFormat="1" ht="24" customHeight="1" x14ac:dyDescent="0.25">
      <c r="A42" s="139">
        <v>388</v>
      </c>
      <c r="B42" s="6" t="s">
        <v>379</v>
      </c>
      <c r="C42" s="200">
        <v>1200</v>
      </c>
      <c r="D42" s="14">
        <v>1185.2</v>
      </c>
      <c r="E42" s="14">
        <v>1185.2</v>
      </c>
      <c r="F42" s="200">
        <v>1000</v>
      </c>
      <c r="G42" s="8">
        <f t="shared" si="3"/>
        <v>83.333333333333343</v>
      </c>
    </row>
    <row r="43" spans="1:7" s="9" customFormat="1" ht="24" customHeight="1" x14ac:dyDescent="0.25">
      <c r="A43" s="139">
        <v>389</v>
      </c>
      <c r="B43" s="6" t="s">
        <v>8</v>
      </c>
      <c r="C43" s="200">
        <v>5000</v>
      </c>
      <c r="D43" s="14">
        <v>5000</v>
      </c>
      <c r="E43" s="14">
        <v>5000</v>
      </c>
      <c r="F43" s="200">
        <v>5000</v>
      </c>
      <c r="G43" s="8">
        <f t="shared" si="3"/>
        <v>100</v>
      </c>
    </row>
    <row r="44" spans="1:7" s="9" customFormat="1" ht="24" customHeight="1" x14ac:dyDescent="0.25">
      <c r="A44" s="139">
        <v>390</v>
      </c>
      <c r="B44" s="6" t="s">
        <v>9</v>
      </c>
      <c r="C44" s="200">
        <v>40000</v>
      </c>
      <c r="D44" s="14">
        <v>36274.200000000004</v>
      </c>
      <c r="E44" s="14">
        <v>29197.9</v>
      </c>
      <c r="F44" s="200">
        <v>30000</v>
      </c>
      <c r="G44" s="8">
        <f t="shared" si="3"/>
        <v>75</v>
      </c>
    </row>
    <row r="45" spans="1:7" s="9" customFormat="1" ht="24" customHeight="1" x14ac:dyDescent="0.25">
      <c r="A45" s="139">
        <v>391</v>
      </c>
      <c r="B45" s="6" t="s">
        <v>183</v>
      </c>
      <c r="C45" s="200">
        <v>4500</v>
      </c>
      <c r="D45" s="14">
        <v>4496.5</v>
      </c>
      <c r="E45" s="14">
        <v>4496.5</v>
      </c>
      <c r="F45" s="200">
        <v>4500</v>
      </c>
      <c r="G45" s="8">
        <f t="shared" si="3"/>
        <v>100</v>
      </c>
    </row>
    <row r="46" spans="1:7" s="9" customFormat="1" ht="24" customHeight="1" x14ac:dyDescent="0.25">
      <c r="A46" s="139">
        <v>392</v>
      </c>
      <c r="B46" s="6" t="s">
        <v>10</v>
      </c>
      <c r="C46" s="200">
        <v>80000</v>
      </c>
      <c r="D46" s="14">
        <v>85171.8</v>
      </c>
      <c r="E46" s="14">
        <v>275</v>
      </c>
      <c r="F46" s="200">
        <v>90000</v>
      </c>
      <c r="G46" s="8">
        <f t="shared" si="3"/>
        <v>112.5</v>
      </c>
    </row>
    <row r="47" spans="1:7" s="9" customFormat="1" ht="15" customHeight="1" x14ac:dyDescent="0.25">
      <c r="A47" s="139">
        <v>394</v>
      </c>
      <c r="B47" s="6" t="s">
        <v>184</v>
      </c>
      <c r="C47" s="7">
        <v>3000</v>
      </c>
      <c r="D47" s="14">
        <v>1829</v>
      </c>
      <c r="E47" s="14">
        <v>1829</v>
      </c>
      <c r="F47" s="7">
        <v>3000</v>
      </c>
      <c r="G47" s="8">
        <f t="shared" si="3"/>
        <v>100</v>
      </c>
    </row>
    <row r="48" spans="1:7" s="9" customFormat="1" ht="24" customHeight="1" x14ac:dyDescent="0.25">
      <c r="A48" s="139">
        <v>395</v>
      </c>
      <c r="B48" s="6" t="s">
        <v>11</v>
      </c>
      <c r="C48" s="7">
        <v>197448</v>
      </c>
      <c r="D48" s="14">
        <v>197448</v>
      </c>
      <c r="E48" s="14">
        <v>197448</v>
      </c>
      <c r="F48" s="7">
        <v>199869</v>
      </c>
      <c r="G48" s="8">
        <f t="shared" si="3"/>
        <v>101.22614561808678</v>
      </c>
    </row>
    <row r="49" spans="1:7" s="9" customFormat="1" ht="15.75" customHeight="1" x14ac:dyDescent="0.25">
      <c r="A49" s="521" t="s">
        <v>12</v>
      </c>
      <c r="B49" s="522"/>
      <c r="C49" s="199">
        <f>SUM(C41:C48)</f>
        <v>334148</v>
      </c>
      <c r="D49" s="201">
        <f>SUM(D41:D48)</f>
        <v>334423</v>
      </c>
      <c r="E49" s="201">
        <f>SUM(E41:E48)</f>
        <v>242449.9</v>
      </c>
      <c r="F49" s="199">
        <f>SUM(F41:F48)</f>
        <v>336369</v>
      </c>
      <c r="G49" s="11">
        <f t="shared" si="3"/>
        <v>100.66467553299736</v>
      </c>
    </row>
    <row r="50" spans="1:7" s="9" customFormat="1" ht="15" customHeight="1" x14ac:dyDescent="0.25">
      <c r="A50" s="139">
        <v>475</v>
      </c>
      <c r="B50" s="133" t="s">
        <v>13</v>
      </c>
      <c r="C50" s="200">
        <v>35300</v>
      </c>
      <c r="D50" s="14">
        <v>35300</v>
      </c>
      <c r="E50" s="14">
        <v>35300</v>
      </c>
      <c r="F50" s="200">
        <v>44110</v>
      </c>
      <c r="G50" s="8">
        <f t="shared" si="3"/>
        <v>124.95750708215299</v>
      </c>
    </row>
    <row r="51" spans="1:7" s="9" customFormat="1" ht="15" customHeight="1" x14ac:dyDescent="0.25">
      <c r="A51" s="185">
        <v>476</v>
      </c>
      <c r="B51" s="186" t="s">
        <v>226</v>
      </c>
      <c r="C51" s="200">
        <v>7600</v>
      </c>
      <c r="D51" s="14">
        <v>8128.1</v>
      </c>
      <c r="E51" s="14">
        <v>5659.1</v>
      </c>
      <c r="F51" s="200">
        <v>8128</v>
      </c>
      <c r="G51" s="8">
        <f t="shared" si="3"/>
        <v>106.94736842105263</v>
      </c>
    </row>
    <row r="52" spans="1:7" s="9" customFormat="1" ht="15" customHeight="1" x14ac:dyDescent="0.25">
      <c r="A52" s="185">
        <v>477</v>
      </c>
      <c r="B52" s="186" t="s">
        <v>291</v>
      </c>
      <c r="C52" s="200">
        <v>3000</v>
      </c>
      <c r="D52" s="14">
        <v>3000</v>
      </c>
      <c r="E52" s="14">
        <v>3000</v>
      </c>
      <c r="F52" s="200">
        <v>3000</v>
      </c>
      <c r="G52" s="8">
        <f t="shared" si="3"/>
        <v>100</v>
      </c>
    </row>
    <row r="53" spans="1:7" s="9" customFormat="1" ht="15" customHeight="1" x14ac:dyDescent="0.25">
      <c r="A53" s="185">
        <v>478</v>
      </c>
      <c r="B53" s="186" t="s">
        <v>227</v>
      </c>
      <c r="C53" s="200">
        <v>3000</v>
      </c>
      <c r="D53" s="14">
        <v>3000</v>
      </c>
      <c r="E53" s="14">
        <v>2980.92</v>
      </c>
      <c r="F53" s="200">
        <v>3000</v>
      </c>
      <c r="G53" s="8">
        <f t="shared" si="3"/>
        <v>100</v>
      </c>
    </row>
    <row r="54" spans="1:7" s="9" customFormat="1" ht="15.75" customHeight="1" x14ac:dyDescent="0.25">
      <c r="A54" s="524" t="s">
        <v>14</v>
      </c>
      <c r="B54" s="525"/>
      <c r="C54" s="199">
        <f>SUM(C50:C53)</f>
        <v>48900</v>
      </c>
      <c r="D54" s="201">
        <f>SUM(D50:D53)</f>
        <v>49428.1</v>
      </c>
      <c r="E54" s="201">
        <f>SUM(E50:E53)</f>
        <v>46940.02</v>
      </c>
      <c r="F54" s="199">
        <f>SUM(F50:F53)</f>
        <v>58238</v>
      </c>
      <c r="G54" s="11">
        <f t="shared" si="3"/>
        <v>119.0961145194274</v>
      </c>
    </row>
    <row r="55" spans="1:7" s="9" customFormat="1" ht="15" customHeight="1" x14ac:dyDescent="0.25">
      <c r="A55" s="139">
        <v>748</v>
      </c>
      <c r="B55" s="6" t="s">
        <v>228</v>
      </c>
      <c r="C55" s="200">
        <v>1000</v>
      </c>
      <c r="D55" s="14">
        <v>1105.1999999999998</v>
      </c>
      <c r="E55" s="14">
        <v>1105.1999999999998</v>
      </c>
      <c r="F55" s="200">
        <v>1000</v>
      </c>
      <c r="G55" s="8">
        <f t="shared" si="3"/>
        <v>100</v>
      </c>
    </row>
    <row r="56" spans="1:7" s="9" customFormat="1" ht="15" customHeight="1" x14ac:dyDescent="0.25">
      <c r="A56" s="185">
        <v>749</v>
      </c>
      <c r="B56" s="13" t="s">
        <v>288</v>
      </c>
      <c r="C56" s="200">
        <v>1000</v>
      </c>
      <c r="D56" s="14">
        <v>1000</v>
      </c>
      <c r="E56" s="14">
        <v>1000</v>
      </c>
      <c r="F56" s="200">
        <v>1000</v>
      </c>
      <c r="G56" s="8">
        <f t="shared" si="3"/>
        <v>100</v>
      </c>
    </row>
    <row r="57" spans="1:7" s="9" customFormat="1" ht="15" customHeight="1" x14ac:dyDescent="0.25">
      <c r="A57" s="185">
        <v>750</v>
      </c>
      <c r="B57" s="13" t="s">
        <v>30</v>
      </c>
      <c r="C57" s="200">
        <v>3000</v>
      </c>
      <c r="D57" s="14">
        <v>3299</v>
      </c>
      <c r="E57" s="14">
        <v>3299</v>
      </c>
      <c r="F57" s="200">
        <v>3000</v>
      </c>
      <c r="G57" s="8">
        <f t="shared" si="3"/>
        <v>100</v>
      </c>
    </row>
    <row r="58" spans="1:7" s="9" customFormat="1" ht="15" customHeight="1" x14ac:dyDescent="0.25">
      <c r="A58" s="185">
        <v>751</v>
      </c>
      <c r="B58" s="13" t="s">
        <v>289</v>
      </c>
      <c r="C58" s="200">
        <v>3000</v>
      </c>
      <c r="D58" s="14">
        <v>2911.4</v>
      </c>
      <c r="E58" s="14">
        <v>2911.4</v>
      </c>
      <c r="F58" s="200">
        <v>3000</v>
      </c>
      <c r="G58" s="8">
        <f t="shared" ref="G58" si="4">F58/C58*100</f>
        <v>100</v>
      </c>
    </row>
    <row r="59" spans="1:7" s="9" customFormat="1" ht="15.75" customHeight="1" x14ac:dyDescent="0.25">
      <c r="A59" s="521" t="s">
        <v>15</v>
      </c>
      <c r="B59" s="522"/>
      <c r="C59" s="199">
        <f>SUM(C55:C58)</f>
        <v>8000</v>
      </c>
      <c r="D59" s="201">
        <f>SUM(D55:D58)</f>
        <v>8315.6</v>
      </c>
      <c r="E59" s="201">
        <f>SUM(E55:E58)</f>
        <v>8315.6</v>
      </c>
      <c r="F59" s="199">
        <f>SUM(F55:F58)</f>
        <v>8000</v>
      </c>
      <c r="G59" s="11">
        <f t="shared" si="3"/>
        <v>100</v>
      </c>
    </row>
    <row r="60" spans="1:7" s="9" customFormat="1" ht="15" customHeight="1" x14ac:dyDescent="0.25">
      <c r="A60" s="139">
        <v>830</v>
      </c>
      <c r="B60" s="6" t="s">
        <v>16</v>
      </c>
      <c r="C60" s="200">
        <v>15000</v>
      </c>
      <c r="D60" s="14">
        <v>46186.999999999993</v>
      </c>
      <c r="E60" s="14">
        <v>10543.99739</v>
      </c>
      <c r="F60" s="200">
        <v>15000</v>
      </c>
      <c r="G60" s="8">
        <f t="shared" si="3"/>
        <v>100</v>
      </c>
    </row>
    <row r="61" spans="1:7" s="9" customFormat="1" ht="15" customHeight="1" x14ac:dyDescent="0.25">
      <c r="A61" s="139">
        <v>831</v>
      </c>
      <c r="B61" s="6" t="s">
        <v>380</v>
      </c>
      <c r="C61" s="200">
        <v>2000</v>
      </c>
      <c r="D61" s="14">
        <v>3983.7</v>
      </c>
      <c r="E61" s="14">
        <v>1527.7159799999999</v>
      </c>
      <c r="F61" s="200">
        <v>2400</v>
      </c>
      <c r="G61" s="8">
        <f>F61/C61*100</f>
        <v>120</v>
      </c>
    </row>
    <row r="62" spans="1:7" s="9" customFormat="1" ht="15" customHeight="1" x14ac:dyDescent="0.25">
      <c r="A62" s="139">
        <v>832</v>
      </c>
      <c r="B62" s="6" t="s">
        <v>229</v>
      </c>
      <c r="C62" s="200">
        <v>3000</v>
      </c>
      <c r="D62" s="14">
        <v>3941.4999999999995</v>
      </c>
      <c r="E62" s="14">
        <v>1328.0199699999998</v>
      </c>
      <c r="F62" s="200">
        <v>3000</v>
      </c>
      <c r="G62" s="8">
        <f>F62/C62*100</f>
        <v>100</v>
      </c>
    </row>
    <row r="63" spans="1:7" s="9" customFormat="1" ht="15" customHeight="1" x14ac:dyDescent="0.25">
      <c r="A63" s="139">
        <v>833</v>
      </c>
      <c r="B63" s="6" t="s">
        <v>34</v>
      </c>
      <c r="C63" s="200">
        <v>2000</v>
      </c>
      <c r="D63" s="14">
        <v>2637.6</v>
      </c>
      <c r="E63" s="14">
        <v>218.2</v>
      </c>
      <c r="F63" s="200">
        <v>3000</v>
      </c>
      <c r="G63" s="8">
        <f>F63/C63*100</f>
        <v>150</v>
      </c>
    </row>
    <row r="64" spans="1:7" s="9" customFormat="1" ht="15" customHeight="1" x14ac:dyDescent="0.25">
      <c r="A64" s="139">
        <v>834</v>
      </c>
      <c r="B64" s="6" t="s">
        <v>185</v>
      </c>
      <c r="C64" s="200">
        <v>2000</v>
      </c>
      <c r="D64" s="14">
        <v>2134.7000000000003</v>
      </c>
      <c r="E64" s="14">
        <v>320.387</v>
      </c>
      <c r="F64" s="200">
        <v>1500</v>
      </c>
      <c r="G64" s="8">
        <f t="shared" ref="G64" si="5">F64/C64*100</f>
        <v>75</v>
      </c>
    </row>
    <row r="65" spans="1:7" s="9" customFormat="1" ht="15" customHeight="1" x14ac:dyDescent="0.25">
      <c r="A65" s="519" t="s">
        <v>381</v>
      </c>
      <c r="B65" s="523"/>
      <c r="C65" s="200">
        <v>7750</v>
      </c>
      <c r="D65" s="14">
        <v>142088.67000000001</v>
      </c>
      <c r="E65" s="14">
        <v>36809.249389999997</v>
      </c>
      <c r="F65" s="200">
        <v>0</v>
      </c>
      <c r="G65" s="8">
        <f t="shared" ref="G65" si="6">F65/C65*100</f>
        <v>0</v>
      </c>
    </row>
    <row r="66" spans="1:7" s="9" customFormat="1" ht="15.75" customHeight="1" x14ac:dyDescent="0.25">
      <c r="A66" s="521" t="s">
        <v>17</v>
      </c>
      <c r="B66" s="522"/>
      <c r="C66" s="10">
        <f>SUM(C60:C65)</f>
        <v>31750</v>
      </c>
      <c r="D66" s="201">
        <f>SUM(D60:D65)</f>
        <v>200973.16999999998</v>
      </c>
      <c r="E66" s="201">
        <f>SUM(E60:E65)</f>
        <v>50747.569730000003</v>
      </c>
      <c r="F66" s="10">
        <f>SUM(F60:F65)</f>
        <v>24900</v>
      </c>
      <c r="G66" s="11">
        <f>F66/C66*100</f>
        <v>78.425196850393704</v>
      </c>
    </row>
    <row r="67" spans="1:7" s="9" customFormat="1" ht="16.5" customHeight="1" thickBot="1" x14ac:dyDescent="0.3">
      <c r="A67" s="517" t="s">
        <v>18</v>
      </c>
      <c r="B67" s="518"/>
      <c r="C67" s="16">
        <f>C66+C59+C54+C49+C40+C27+C10+C4</f>
        <v>621580</v>
      </c>
      <c r="D67" s="16">
        <f>D66+D59+D54+D49+D40+D27+D10+D4</f>
        <v>834962.25</v>
      </c>
      <c r="E67" s="16">
        <f>E66+E59+E54+E49+E40+E27+E10+E4</f>
        <v>445467.14192999998</v>
      </c>
      <c r="F67" s="16">
        <f>F66+F59+F54+F49+F40+F27+F10+F4</f>
        <v>605482</v>
      </c>
      <c r="G67" s="17">
        <f>F67/C67*100</f>
        <v>97.410148331670896</v>
      </c>
    </row>
    <row r="68" spans="1:7" ht="11.25" thickBot="1" x14ac:dyDescent="0.2">
      <c r="B68" s="19"/>
      <c r="C68" s="20"/>
      <c r="D68" s="21"/>
      <c r="E68" s="21"/>
      <c r="F68" s="20"/>
      <c r="G68" s="22"/>
    </row>
    <row r="69" spans="1:7" ht="36" customHeight="1" x14ac:dyDescent="0.15">
      <c r="A69" s="526" t="s">
        <v>19</v>
      </c>
      <c r="B69" s="527"/>
      <c r="C69" s="3" t="s">
        <v>359</v>
      </c>
      <c r="D69" s="3" t="s">
        <v>360</v>
      </c>
      <c r="E69" s="3" t="s">
        <v>361</v>
      </c>
      <c r="F69" s="3" t="s">
        <v>362</v>
      </c>
      <c r="G69" s="4" t="s">
        <v>363</v>
      </c>
    </row>
    <row r="70" spans="1:7" ht="15" customHeight="1" x14ac:dyDescent="0.15">
      <c r="A70" s="519" t="s">
        <v>20</v>
      </c>
      <c r="B70" s="523"/>
      <c r="C70" s="14">
        <f>C4</f>
        <v>4000</v>
      </c>
      <c r="D70" s="14">
        <f>D4</f>
        <v>9408.9999999999982</v>
      </c>
      <c r="E70" s="14">
        <f>E4</f>
        <v>8763.9999999999982</v>
      </c>
      <c r="F70" s="7">
        <f>F4</f>
        <v>8000</v>
      </c>
      <c r="G70" s="8">
        <f t="shared" ref="G70" si="7">F70/C70*100</f>
        <v>200</v>
      </c>
    </row>
    <row r="71" spans="1:7" ht="15" customHeight="1" x14ac:dyDescent="0.2">
      <c r="A71" s="519" t="s">
        <v>21</v>
      </c>
      <c r="B71" s="520"/>
      <c r="C71" s="14">
        <f>C10</f>
        <v>70011</v>
      </c>
      <c r="D71" s="14">
        <f>D10</f>
        <v>73851</v>
      </c>
      <c r="E71" s="14">
        <f>E10</f>
        <v>29014.218710000005</v>
      </c>
      <c r="F71" s="7">
        <f>F10</f>
        <v>41459</v>
      </c>
      <c r="G71" s="8">
        <f t="shared" ref="G71:G78" si="8">F71/C71*100</f>
        <v>59.217837197011903</v>
      </c>
    </row>
    <row r="72" spans="1:7" ht="15" customHeight="1" x14ac:dyDescent="0.2">
      <c r="A72" s="519" t="s">
        <v>22</v>
      </c>
      <c r="B72" s="520"/>
      <c r="C72" s="14">
        <f>C27</f>
        <v>89721</v>
      </c>
      <c r="D72" s="14">
        <f>D27</f>
        <v>103149.60999999999</v>
      </c>
      <c r="E72" s="14">
        <f>E27</f>
        <v>43075.628169999996</v>
      </c>
      <c r="F72" s="7">
        <f>F27</f>
        <v>83015</v>
      </c>
      <c r="G72" s="8">
        <f t="shared" si="8"/>
        <v>92.525718616600344</v>
      </c>
    </row>
    <row r="73" spans="1:7" ht="15" customHeight="1" x14ac:dyDescent="0.2">
      <c r="A73" s="519" t="s">
        <v>23</v>
      </c>
      <c r="B73" s="520"/>
      <c r="C73" s="14">
        <f>C40</f>
        <v>35050</v>
      </c>
      <c r="D73" s="14">
        <f>D40</f>
        <v>55412.770000000004</v>
      </c>
      <c r="E73" s="14">
        <f>E40</f>
        <v>16160.205320000001</v>
      </c>
      <c r="F73" s="7">
        <f>F40</f>
        <v>45501</v>
      </c>
      <c r="G73" s="8">
        <f t="shared" si="8"/>
        <v>129.81740370898714</v>
      </c>
    </row>
    <row r="74" spans="1:7" ht="15" customHeight="1" x14ac:dyDescent="0.2">
      <c r="A74" s="519" t="s">
        <v>24</v>
      </c>
      <c r="B74" s="520"/>
      <c r="C74" s="14">
        <f>C49</f>
        <v>334148</v>
      </c>
      <c r="D74" s="14">
        <f>D49</f>
        <v>334423</v>
      </c>
      <c r="E74" s="14">
        <f>E49</f>
        <v>242449.9</v>
      </c>
      <c r="F74" s="7">
        <f>F49</f>
        <v>336369</v>
      </c>
      <c r="G74" s="8">
        <f t="shared" si="8"/>
        <v>100.66467553299736</v>
      </c>
    </row>
    <row r="75" spans="1:7" ht="15" customHeight="1" x14ac:dyDescent="0.2">
      <c r="A75" s="519" t="s">
        <v>25</v>
      </c>
      <c r="B75" s="520"/>
      <c r="C75" s="14">
        <f>C54</f>
        <v>48900</v>
      </c>
      <c r="D75" s="14">
        <f>D54</f>
        <v>49428.1</v>
      </c>
      <c r="E75" s="14">
        <f>E54</f>
        <v>46940.02</v>
      </c>
      <c r="F75" s="7">
        <f>F54</f>
        <v>58238</v>
      </c>
      <c r="G75" s="8">
        <f t="shared" si="8"/>
        <v>119.0961145194274</v>
      </c>
    </row>
    <row r="76" spans="1:7" ht="15" customHeight="1" x14ac:dyDescent="0.2">
      <c r="A76" s="519" t="s">
        <v>26</v>
      </c>
      <c r="B76" s="520"/>
      <c r="C76" s="14">
        <f>C59</f>
        <v>8000</v>
      </c>
      <c r="D76" s="14">
        <f>D59</f>
        <v>8315.6</v>
      </c>
      <c r="E76" s="14">
        <f>E59</f>
        <v>8315.6</v>
      </c>
      <c r="F76" s="7">
        <f>F59</f>
        <v>8000</v>
      </c>
      <c r="G76" s="8">
        <f t="shared" si="8"/>
        <v>100</v>
      </c>
    </row>
    <row r="77" spans="1:7" ht="15" customHeight="1" x14ac:dyDescent="0.2">
      <c r="A77" s="519" t="s">
        <v>27</v>
      </c>
      <c r="B77" s="520"/>
      <c r="C77" s="14">
        <f>C66</f>
        <v>31750</v>
      </c>
      <c r="D77" s="14">
        <f>D66</f>
        <v>200973.16999999998</v>
      </c>
      <c r="E77" s="14">
        <f>E66</f>
        <v>50747.569730000003</v>
      </c>
      <c r="F77" s="7">
        <f>F66</f>
        <v>24900</v>
      </c>
      <c r="G77" s="8">
        <f t="shared" si="8"/>
        <v>78.425196850393704</v>
      </c>
    </row>
    <row r="78" spans="1:7" s="9" customFormat="1" ht="16.5" customHeight="1" thickBot="1" x14ac:dyDescent="0.3">
      <c r="A78" s="517" t="s">
        <v>18</v>
      </c>
      <c r="B78" s="518"/>
      <c r="C78" s="16">
        <f>SUM(C70:C77)</f>
        <v>621580</v>
      </c>
      <c r="D78" s="16">
        <f>SUM(D70:D77)</f>
        <v>834962.25</v>
      </c>
      <c r="E78" s="16">
        <f>SUM(E70:E77)</f>
        <v>445467.14192999998</v>
      </c>
      <c r="F78" s="16">
        <f>SUM(F70:F77)</f>
        <v>605482</v>
      </c>
      <c r="G78" s="17">
        <f t="shared" si="8"/>
        <v>97.410148331670896</v>
      </c>
    </row>
    <row r="79" spans="1:7" ht="12.75" x14ac:dyDescent="0.2">
      <c r="B79" s="23"/>
    </row>
    <row r="80" spans="1:7" ht="12.75" x14ac:dyDescent="0.2">
      <c r="B80" s="23"/>
    </row>
  </sheetData>
  <mergeCells count="24">
    <mergeCell ref="A9:B9"/>
    <mergeCell ref="A65:B65"/>
    <mergeCell ref="A26:B26"/>
    <mergeCell ref="A1:G1"/>
    <mergeCell ref="A4:B4"/>
    <mergeCell ref="A10:B10"/>
    <mergeCell ref="A71:B71"/>
    <mergeCell ref="A27:B27"/>
    <mergeCell ref="A39:B39"/>
    <mergeCell ref="A40:B40"/>
    <mergeCell ref="A49:B49"/>
    <mergeCell ref="A54:B54"/>
    <mergeCell ref="A59:B59"/>
    <mergeCell ref="A66:B66"/>
    <mergeCell ref="A67:B67"/>
    <mergeCell ref="A69:B69"/>
    <mergeCell ref="A70:B70"/>
    <mergeCell ref="A78:B78"/>
    <mergeCell ref="A72:B72"/>
    <mergeCell ref="A73:B73"/>
    <mergeCell ref="A74:B74"/>
    <mergeCell ref="A75:B75"/>
    <mergeCell ref="A76:B76"/>
    <mergeCell ref="A77:B77"/>
  </mergeCells>
  <phoneticPr fontId="40" type="noConversion"/>
  <printOptions horizontalCentered="1"/>
  <pageMargins left="0.31496062992125984" right="0.31496062992125984" top="0.78740157480314965" bottom="0.39370078740157483" header="0.31496062992125984" footer="0.11811023622047245"/>
  <pageSetup paperSize="9" scale="86" firstPageNumber="2" fitToHeight="0" orientation="portrait" useFirstPageNumber="1" r:id="rId1"/>
  <headerFooter>
    <oddHeader>&amp;L&amp;"Tahoma,Kurzíva"&amp;10Návrh rozpočtu na rok 2024
Příloha č. 10&amp;R&amp;"Tahoma,Kurzíva"&amp;10Přehled dotačních programů v návrhu rozpočtu kraje na rok 2024</oddHeader>
    <oddFooter>&amp;C&amp;"Tahoma,Obyčejné"&amp;10&amp;P</oddFooter>
  </headerFooter>
  <rowBreaks count="1" manualBreakCount="1">
    <brk id="4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D2F8-327B-4BCF-8594-00861A1F0CAC}">
  <sheetPr>
    <pageSetUpPr fitToPage="1"/>
  </sheetPr>
  <dimension ref="A1:WVG141"/>
  <sheetViews>
    <sheetView showOutlineSymbols="0" showWhiteSpace="0" zoomScaleNormal="100" zoomScaleSheetLayoutView="100" workbookViewId="0">
      <selection activeCell="A8" sqref="A8:B8"/>
    </sheetView>
  </sheetViews>
  <sheetFormatPr defaultRowHeight="12.75" x14ac:dyDescent="0.25"/>
  <cols>
    <col min="1" max="1" width="6.5703125" style="206" customWidth="1"/>
    <col min="2" max="2" width="44.7109375" style="206" customWidth="1"/>
    <col min="3" max="3" width="7.28515625" style="206" hidden="1" customWidth="1"/>
    <col min="4" max="4" width="10" style="206" hidden="1" customWidth="1"/>
    <col min="5" max="5" width="9.5703125" style="206" customWidth="1"/>
    <col min="6" max="6" width="9.28515625" style="206" customWidth="1"/>
    <col min="7" max="12" width="9.5703125" style="206" customWidth="1"/>
    <col min="13" max="13" width="39.5703125" style="206" customWidth="1"/>
    <col min="14" max="14" width="15.7109375" style="206" bestFit="1" customWidth="1"/>
    <col min="15" max="243" width="9.140625" style="206"/>
    <col min="244" max="244" width="5.5703125" style="206" customWidth="1"/>
    <col min="245" max="245" width="32" style="206" customWidth="1"/>
    <col min="246" max="247" width="9.85546875" style="206" customWidth="1"/>
    <col min="248" max="249" width="9.42578125" style="206" customWidth="1"/>
    <col min="250" max="250" width="11.140625" style="206" customWidth="1"/>
    <col min="251" max="253" width="8.5703125" style="206" customWidth="1"/>
    <col min="254" max="254" width="32.140625" style="206" customWidth="1"/>
    <col min="255" max="255" width="8" style="206" hidden="1" customWidth="1"/>
    <col min="256" max="499" width="9.140625" style="206"/>
    <col min="500" max="500" width="5.5703125" style="206" customWidth="1"/>
    <col min="501" max="501" width="32" style="206" customWidth="1"/>
    <col min="502" max="503" width="9.85546875" style="206" customWidth="1"/>
    <col min="504" max="505" width="9.42578125" style="206" customWidth="1"/>
    <col min="506" max="506" width="11.140625" style="206" customWidth="1"/>
    <col min="507" max="509" width="8.5703125" style="206" customWidth="1"/>
    <col min="510" max="510" width="32.140625" style="206" customWidth="1"/>
    <col min="511" max="511" width="8" style="206" hidden="1" customWidth="1"/>
    <col min="512" max="755" width="9.140625" style="206"/>
    <col min="756" max="756" width="5.5703125" style="206" customWidth="1"/>
    <col min="757" max="757" width="32" style="206" customWidth="1"/>
    <col min="758" max="759" width="9.85546875" style="206" customWidth="1"/>
    <col min="760" max="761" width="9.42578125" style="206" customWidth="1"/>
    <col min="762" max="762" width="11.140625" style="206" customWidth="1"/>
    <col min="763" max="765" width="8.5703125" style="206" customWidth="1"/>
    <col min="766" max="766" width="32.140625" style="206" customWidth="1"/>
    <col min="767" max="767" width="8" style="206" hidden="1" customWidth="1"/>
    <col min="768" max="1011" width="9.140625" style="206"/>
    <col min="1012" max="1012" width="5.5703125" style="206" customWidth="1"/>
    <col min="1013" max="1013" width="32" style="206" customWidth="1"/>
    <col min="1014" max="1015" width="9.85546875" style="206" customWidth="1"/>
    <col min="1016" max="1017" width="9.42578125" style="206" customWidth="1"/>
    <col min="1018" max="1018" width="11.140625" style="206" customWidth="1"/>
    <col min="1019" max="1021" width="8.5703125" style="206" customWidth="1"/>
    <col min="1022" max="1022" width="32.140625" style="206" customWidth="1"/>
    <col min="1023" max="1023" width="8" style="206" hidden="1" customWidth="1"/>
    <col min="1024" max="1267" width="9.140625" style="206"/>
    <col min="1268" max="1268" width="5.5703125" style="206" customWidth="1"/>
    <col min="1269" max="1269" width="32" style="206" customWidth="1"/>
    <col min="1270" max="1271" width="9.85546875" style="206" customWidth="1"/>
    <col min="1272" max="1273" width="9.42578125" style="206" customWidth="1"/>
    <col min="1274" max="1274" width="11.140625" style="206" customWidth="1"/>
    <col min="1275" max="1277" width="8.5703125" style="206" customWidth="1"/>
    <col min="1278" max="1278" width="32.140625" style="206" customWidth="1"/>
    <col min="1279" max="1279" width="8" style="206" hidden="1" customWidth="1"/>
    <col min="1280" max="1523" width="9.140625" style="206"/>
    <col min="1524" max="1524" width="5.5703125" style="206" customWidth="1"/>
    <col min="1525" max="1525" width="32" style="206" customWidth="1"/>
    <col min="1526" max="1527" width="9.85546875" style="206" customWidth="1"/>
    <col min="1528" max="1529" width="9.42578125" style="206" customWidth="1"/>
    <col min="1530" max="1530" width="11.140625" style="206" customWidth="1"/>
    <col min="1531" max="1533" width="8.5703125" style="206" customWidth="1"/>
    <col min="1534" max="1534" width="32.140625" style="206" customWidth="1"/>
    <col min="1535" max="1535" width="8" style="206" hidden="1" customWidth="1"/>
    <col min="1536" max="1779" width="9.140625" style="206"/>
    <col min="1780" max="1780" width="5.5703125" style="206" customWidth="1"/>
    <col min="1781" max="1781" width="32" style="206" customWidth="1"/>
    <col min="1782" max="1783" width="9.85546875" style="206" customWidth="1"/>
    <col min="1784" max="1785" width="9.42578125" style="206" customWidth="1"/>
    <col min="1786" max="1786" width="11.140625" style="206" customWidth="1"/>
    <col min="1787" max="1789" width="8.5703125" style="206" customWidth="1"/>
    <col min="1790" max="1790" width="32.140625" style="206" customWidth="1"/>
    <col min="1791" max="1791" width="8" style="206" hidden="1" customWidth="1"/>
    <col min="1792" max="2035" width="9.140625" style="206"/>
    <col min="2036" max="2036" width="5.5703125" style="206" customWidth="1"/>
    <col min="2037" max="2037" width="32" style="206" customWidth="1"/>
    <col min="2038" max="2039" width="9.85546875" style="206" customWidth="1"/>
    <col min="2040" max="2041" width="9.42578125" style="206" customWidth="1"/>
    <col min="2042" max="2042" width="11.140625" style="206" customWidth="1"/>
    <col min="2043" max="2045" width="8.5703125" style="206" customWidth="1"/>
    <col min="2046" max="2046" width="32.140625" style="206" customWidth="1"/>
    <col min="2047" max="2047" width="8" style="206" hidden="1" customWidth="1"/>
    <col min="2048" max="2291" width="9.140625" style="206"/>
    <col min="2292" max="2292" width="5.5703125" style="206" customWidth="1"/>
    <col min="2293" max="2293" width="32" style="206" customWidth="1"/>
    <col min="2294" max="2295" width="9.85546875" style="206" customWidth="1"/>
    <col min="2296" max="2297" width="9.42578125" style="206" customWidth="1"/>
    <col min="2298" max="2298" width="11.140625" style="206" customWidth="1"/>
    <col min="2299" max="2301" width="8.5703125" style="206" customWidth="1"/>
    <col min="2302" max="2302" width="32.140625" style="206" customWidth="1"/>
    <col min="2303" max="2303" width="8" style="206" hidden="1" customWidth="1"/>
    <col min="2304" max="2547" width="9.140625" style="206"/>
    <col min="2548" max="2548" width="5.5703125" style="206" customWidth="1"/>
    <col min="2549" max="2549" width="32" style="206" customWidth="1"/>
    <col min="2550" max="2551" width="9.85546875" style="206" customWidth="1"/>
    <col min="2552" max="2553" width="9.42578125" style="206" customWidth="1"/>
    <col min="2554" max="2554" width="11.140625" style="206" customWidth="1"/>
    <col min="2555" max="2557" width="8.5703125" style="206" customWidth="1"/>
    <col min="2558" max="2558" width="32.140625" style="206" customWidth="1"/>
    <col min="2559" max="2559" width="8" style="206" hidden="1" customWidth="1"/>
    <col min="2560" max="2803" width="9.140625" style="206"/>
    <col min="2804" max="2804" width="5.5703125" style="206" customWidth="1"/>
    <col min="2805" max="2805" width="32" style="206" customWidth="1"/>
    <col min="2806" max="2807" width="9.85546875" style="206" customWidth="1"/>
    <col min="2808" max="2809" width="9.42578125" style="206" customWidth="1"/>
    <col min="2810" max="2810" width="11.140625" style="206" customWidth="1"/>
    <col min="2811" max="2813" width="8.5703125" style="206" customWidth="1"/>
    <col min="2814" max="2814" width="32.140625" style="206" customWidth="1"/>
    <col min="2815" max="2815" width="8" style="206" hidden="1" customWidth="1"/>
    <col min="2816" max="3059" width="9.140625" style="206"/>
    <col min="3060" max="3060" width="5.5703125" style="206" customWidth="1"/>
    <col min="3061" max="3061" width="32" style="206" customWidth="1"/>
    <col min="3062" max="3063" width="9.85546875" style="206" customWidth="1"/>
    <col min="3064" max="3065" width="9.42578125" style="206" customWidth="1"/>
    <col min="3066" max="3066" width="11.140625" style="206" customWidth="1"/>
    <col min="3067" max="3069" width="8.5703125" style="206" customWidth="1"/>
    <col min="3070" max="3070" width="32.140625" style="206" customWidth="1"/>
    <col min="3071" max="3071" width="8" style="206" hidden="1" customWidth="1"/>
    <col min="3072" max="3315" width="9.140625" style="206"/>
    <col min="3316" max="3316" width="5.5703125" style="206" customWidth="1"/>
    <col min="3317" max="3317" width="32" style="206" customWidth="1"/>
    <col min="3318" max="3319" width="9.85546875" style="206" customWidth="1"/>
    <col min="3320" max="3321" width="9.42578125" style="206" customWidth="1"/>
    <col min="3322" max="3322" width="11.140625" style="206" customWidth="1"/>
    <col min="3323" max="3325" width="8.5703125" style="206" customWidth="1"/>
    <col min="3326" max="3326" width="32.140625" style="206" customWidth="1"/>
    <col min="3327" max="3327" width="8" style="206" hidden="1" customWidth="1"/>
    <col min="3328" max="3571" width="9.140625" style="206"/>
    <col min="3572" max="3572" width="5.5703125" style="206" customWidth="1"/>
    <col min="3573" max="3573" width="32" style="206" customWidth="1"/>
    <col min="3574" max="3575" width="9.85546875" style="206" customWidth="1"/>
    <col min="3576" max="3577" width="9.42578125" style="206" customWidth="1"/>
    <col min="3578" max="3578" width="11.140625" style="206" customWidth="1"/>
    <col min="3579" max="3581" width="8.5703125" style="206" customWidth="1"/>
    <col min="3582" max="3582" width="32.140625" style="206" customWidth="1"/>
    <col min="3583" max="3583" width="8" style="206" hidden="1" customWidth="1"/>
    <col min="3584" max="3827" width="9.140625" style="206"/>
    <col min="3828" max="3828" width="5.5703125" style="206" customWidth="1"/>
    <col min="3829" max="3829" width="32" style="206" customWidth="1"/>
    <col min="3830" max="3831" width="9.85546875" style="206" customWidth="1"/>
    <col min="3832" max="3833" width="9.42578125" style="206" customWidth="1"/>
    <col min="3834" max="3834" width="11.140625" style="206" customWidth="1"/>
    <col min="3835" max="3837" width="8.5703125" style="206" customWidth="1"/>
    <col min="3838" max="3838" width="32.140625" style="206" customWidth="1"/>
    <col min="3839" max="3839" width="8" style="206" hidden="1" customWidth="1"/>
    <col min="3840" max="4083" width="9.140625" style="206"/>
    <col min="4084" max="4084" width="5.5703125" style="206" customWidth="1"/>
    <col min="4085" max="4085" width="32" style="206" customWidth="1"/>
    <col min="4086" max="4087" width="9.85546875" style="206" customWidth="1"/>
    <col min="4088" max="4089" width="9.42578125" style="206" customWidth="1"/>
    <col min="4090" max="4090" width="11.140625" style="206" customWidth="1"/>
    <col min="4091" max="4093" width="8.5703125" style="206" customWidth="1"/>
    <col min="4094" max="4094" width="32.140625" style="206" customWidth="1"/>
    <col min="4095" max="4095" width="8" style="206" hidden="1" customWidth="1"/>
    <col min="4096" max="4339" width="9.140625" style="206"/>
    <col min="4340" max="4340" width="5.5703125" style="206" customWidth="1"/>
    <col min="4341" max="4341" width="32" style="206" customWidth="1"/>
    <col min="4342" max="4343" width="9.85546875" style="206" customWidth="1"/>
    <col min="4344" max="4345" width="9.42578125" style="206" customWidth="1"/>
    <col min="4346" max="4346" width="11.140625" style="206" customWidth="1"/>
    <col min="4347" max="4349" width="8.5703125" style="206" customWidth="1"/>
    <col min="4350" max="4350" width="32.140625" style="206" customWidth="1"/>
    <col min="4351" max="4351" width="8" style="206" hidden="1" customWidth="1"/>
    <col min="4352" max="4595" width="9.140625" style="206"/>
    <col min="4596" max="4596" width="5.5703125" style="206" customWidth="1"/>
    <col min="4597" max="4597" width="32" style="206" customWidth="1"/>
    <col min="4598" max="4599" width="9.85546875" style="206" customWidth="1"/>
    <col min="4600" max="4601" width="9.42578125" style="206" customWidth="1"/>
    <col min="4602" max="4602" width="11.140625" style="206" customWidth="1"/>
    <col min="4603" max="4605" width="8.5703125" style="206" customWidth="1"/>
    <col min="4606" max="4606" width="32.140625" style="206" customWidth="1"/>
    <col min="4607" max="4607" width="8" style="206" hidden="1" customWidth="1"/>
    <col min="4608" max="4851" width="9.140625" style="206"/>
    <col min="4852" max="4852" width="5.5703125" style="206" customWidth="1"/>
    <col min="4853" max="4853" width="32" style="206" customWidth="1"/>
    <col min="4854" max="4855" width="9.85546875" style="206" customWidth="1"/>
    <col min="4856" max="4857" width="9.42578125" style="206" customWidth="1"/>
    <col min="4858" max="4858" width="11.140625" style="206" customWidth="1"/>
    <col min="4859" max="4861" width="8.5703125" style="206" customWidth="1"/>
    <col min="4862" max="4862" width="32.140625" style="206" customWidth="1"/>
    <col min="4863" max="4863" width="8" style="206" hidden="1" customWidth="1"/>
    <col min="4864" max="5107" width="9.140625" style="206"/>
    <col min="5108" max="5108" width="5.5703125" style="206" customWidth="1"/>
    <col min="5109" max="5109" width="32" style="206" customWidth="1"/>
    <col min="5110" max="5111" width="9.85546875" style="206" customWidth="1"/>
    <col min="5112" max="5113" width="9.42578125" style="206" customWidth="1"/>
    <col min="5114" max="5114" width="11.140625" style="206" customWidth="1"/>
    <col min="5115" max="5117" width="8.5703125" style="206" customWidth="1"/>
    <col min="5118" max="5118" width="32.140625" style="206" customWidth="1"/>
    <col min="5119" max="5119" width="8" style="206" hidden="1" customWidth="1"/>
    <col min="5120" max="5363" width="9.140625" style="206"/>
    <col min="5364" max="5364" width="5.5703125" style="206" customWidth="1"/>
    <col min="5365" max="5365" width="32" style="206" customWidth="1"/>
    <col min="5366" max="5367" width="9.85546875" style="206" customWidth="1"/>
    <col min="5368" max="5369" width="9.42578125" style="206" customWidth="1"/>
    <col min="5370" max="5370" width="11.140625" style="206" customWidth="1"/>
    <col min="5371" max="5373" width="8.5703125" style="206" customWidth="1"/>
    <col min="5374" max="5374" width="32.140625" style="206" customWidth="1"/>
    <col min="5375" max="5375" width="8" style="206" hidden="1" customWidth="1"/>
    <col min="5376" max="5619" width="9.140625" style="206"/>
    <col min="5620" max="5620" width="5.5703125" style="206" customWidth="1"/>
    <col min="5621" max="5621" width="32" style="206" customWidth="1"/>
    <col min="5622" max="5623" width="9.85546875" style="206" customWidth="1"/>
    <col min="5624" max="5625" width="9.42578125" style="206" customWidth="1"/>
    <col min="5626" max="5626" width="11.140625" style="206" customWidth="1"/>
    <col min="5627" max="5629" width="8.5703125" style="206" customWidth="1"/>
    <col min="5630" max="5630" width="32.140625" style="206" customWidth="1"/>
    <col min="5631" max="5631" width="8" style="206" hidden="1" customWidth="1"/>
    <col min="5632" max="5875" width="9.140625" style="206"/>
    <col min="5876" max="5876" width="5.5703125" style="206" customWidth="1"/>
    <col min="5877" max="5877" width="32" style="206" customWidth="1"/>
    <col min="5878" max="5879" width="9.85546875" style="206" customWidth="1"/>
    <col min="5880" max="5881" width="9.42578125" style="206" customWidth="1"/>
    <col min="5882" max="5882" width="11.140625" style="206" customWidth="1"/>
    <col min="5883" max="5885" width="8.5703125" style="206" customWidth="1"/>
    <col min="5886" max="5886" width="32.140625" style="206" customWidth="1"/>
    <col min="5887" max="5887" width="8" style="206" hidden="1" customWidth="1"/>
    <col min="5888" max="6131" width="9.140625" style="206"/>
    <col min="6132" max="6132" width="5.5703125" style="206" customWidth="1"/>
    <col min="6133" max="6133" width="32" style="206" customWidth="1"/>
    <col min="6134" max="6135" width="9.85546875" style="206" customWidth="1"/>
    <col min="6136" max="6137" width="9.42578125" style="206" customWidth="1"/>
    <col min="6138" max="6138" width="11.140625" style="206" customWidth="1"/>
    <col min="6139" max="6141" width="8.5703125" style="206" customWidth="1"/>
    <col min="6142" max="6142" width="32.140625" style="206" customWidth="1"/>
    <col min="6143" max="6143" width="8" style="206" hidden="1" customWidth="1"/>
    <col min="6144" max="6387" width="9.140625" style="206"/>
    <col min="6388" max="6388" width="5.5703125" style="206" customWidth="1"/>
    <col min="6389" max="6389" width="32" style="206" customWidth="1"/>
    <col min="6390" max="6391" width="9.85546875" style="206" customWidth="1"/>
    <col min="6392" max="6393" width="9.42578125" style="206" customWidth="1"/>
    <col min="6394" max="6394" width="11.140625" style="206" customWidth="1"/>
    <col min="6395" max="6397" width="8.5703125" style="206" customWidth="1"/>
    <col min="6398" max="6398" width="32.140625" style="206" customWidth="1"/>
    <col min="6399" max="6399" width="8" style="206" hidden="1" customWidth="1"/>
    <col min="6400" max="6643" width="9.140625" style="206"/>
    <col min="6644" max="6644" width="5.5703125" style="206" customWidth="1"/>
    <col min="6645" max="6645" width="32" style="206" customWidth="1"/>
    <col min="6646" max="6647" width="9.85546875" style="206" customWidth="1"/>
    <col min="6648" max="6649" width="9.42578125" style="206" customWidth="1"/>
    <col min="6650" max="6650" width="11.140625" style="206" customWidth="1"/>
    <col min="6651" max="6653" width="8.5703125" style="206" customWidth="1"/>
    <col min="6654" max="6654" width="32.140625" style="206" customWidth="1"/>
    <col min="6655" max="6655" width="8" style="206" hidden="1" customWidth="1"/>
    <col min="6656" max="6899" width="9.140625" style="206"/>
    <col min="6900" max="6900" width="5.5703125" style="206" customWidth="1"/>
    <col min="6901" max="6901" width="32" style="206" customWidth="1"/>
    <col min="6902" max="6903" width="9.85546875" style="206" customWidth="1"/>
    <col min="6904" max="6905" width="9.42578125" style="206" customWidth="1"/>
    <col min="6906" max="6906" width="11.140625" style="206" customWidth="1"/>
    <col min="6907" max="6909" width="8.5703125" style="206" customWidth="1"/>
    <col min="6910" max="6910" width="32.140625" style="206" customWidth="1"/>
    <col min="6911" max="6911" width="8" style="206" hidden="1" customWidth="1"/>
    <col min="6912" max="7155" width="9.140625" style="206"/>
    <col min="7156" max="7156" width="5.5703125" style="206" customWidth="1"/>
    <col min="7157" max="7157" width="32" style="206" customWidth="1"/>
    <col min="7158" max="7159" width="9.85546875" style="206" customWidth="1"/>
    <col min="7160" max="7161" width="9.42578125" style="206" customWidth="1"/>
    <col min="7162" max="7162" width="11.140625" style="206" customWidth="1"/>
    <col min="7163" max="7165" width="8.5703125" style="206" customWidth="1"/>
    <col min="7166" max="7166" width="32.140625" style="206" customWidth="1"/>
    <col min="7167" max="7167" width="8" style="206" hidden="1" customWidth="1"/>
    <col min="7168" max="7411" width="9.140625" style="206"/>
    <col min="7412" max="7412" width="5.5703125" style="206" customWidth="1"/>
    <col min="7413" max="7413" width="32" style="206" customWidth="1"/>
    <col min="7414" max="7415" width="9.85546875" style="206" customWidth="1"/>
    <col min="7416" max="7417" width="9.42578125" style="206" customWidth="1"/>
    <col min="7418" max="7418" width="11.140625" style="206" customWidth="1"/>
    <col min="7419" max="7421" width="8.5703125" style="206" customWidth="1"/>
    <col min="7422" max="7422" width="32.140625" style="206" customWidth="1"/>
    <col min="7423" max="7423" width="8" style="206" hidden="1" customWidth="1"/>
    <col min="7424" max="7667" width="9.140625" style="206"/>
    <col min="7668" max="7668" width="5.5703125" style="206" customWidth="1"/>
    <col min="7669" max="7669" width="32" style="206" customWidth="1"/>
    <col min="7670" max="7671" width="9.85546875" style="206" customWidth="1"/>
    <col min="7672" max="7673" width="9.42578125" style="206" customWidth="1"/>
    <col min="7674" max="7674" width="11.140625" style="206" customWidth="1"/>
    <col min="7675" max="7677" width="8.5703125" style="206" customWidth="1"/>
    <col min="7678" max="7678" width="32.140625" style="206" customWidth="1"/>
    <col min="7679" max="7679" width="8" style="206" hidden="1" customWidth="1"/>
    <col min="7680" max="7923" width="9.140625" style="206"/>
    <col min="7924" max="7924" width="5.5703125" style="206" customWidth="1"/>
    <col min="7925" max="7925" width="32" style="206" customWidth="1"/>
    <col min="7926" max="7927" width="9.85546875" style="206" customWidth="1"/>
    <col min="7928" max="7929" width="9.42578125" style="206" customWidth="1"/>
    <col min="7930" max="7930" width="11.140625" style="206" customWidth="1"/>
    <col min="7931" max="7933" width="8.5703125" style="206" customWidth="1"/>
    <col min="7934" max="7934" width="32.140625" style="206" customWidth="1"/>
    <col min="7935" max="7935" width="8" style="206" hidden="1" customWidth="1"/>
    <col min="7936" max="8179" width="9.140625" style="206"/>
    <col min="8180" max="8180" width="5.5703125" style="206" customWidth="1"/>
    <col min="8181" max="8181" width="32" style="206" customWidth="1"/>
    <col min="8182" max="8183" width="9.85546875" style="206" customWidth="1"/>
    <col min="8184" max="8185" width="9.42578125" style="206" customWidth="1"/>
    <col min="8186" max="8186" width="11.140625" style="206" customWidth="1"/>
    <col min="8187" max="8189" width="8.5703125" style="206" customWidth="1"/>
    <col min="8190" max="8190" width="32.140625" style="206" customWidth="1"/>
    <col min="8191" max="8191" width="8" style="206" hidden="1" customWidth="1"/>
    <col min="8192" max="8435" width="9.140625" style="206"/>
    <col min="8436" max="8436" width="5.5703125" style="206" customWidth="1"/>
    <col min="8437" max="8437" width="32" style="206" customWidth="1"/>
    <col min="8438" max="8439" width="9.85546875" style="206" customWidth="1"/>
    <col min="8440" max="8441" width="9.42578125" style="206" customWidth="1"/>
    <col min="8442" max="8442" width="11.140625" style="206" customWidth="1"/>
    <col min="8443" max="8445" width="8.5703125" style="206" customWidth="1"/>
    <col min="8446" max="8446" width="32.140625" style="206" customWidth="1"/>
    <col min="8447" max="8447" width="8" style="206" hidden="1" customWidth="1"/>
    <col min="8448" max="8691" width="9.140625" style="206"/>
    <col min="8692" max="8692" width="5.5703125" style="206" customWidth="1"/>
    <col min="8693" max="8693" width="32" style="206" customWidth="1"/>
    <col min="8694" max="8695" width="9.85546875" style="206" customWidth="1"/>
    <col min="8696" max="8697" width="9.42578125" style="206" customWidth="1"/>
    <col min="8698" max="8698" width="11.140625" style="206" customWidth="1"/>
    <col min="8699" max="8701" width="8.5703125" style="206" customWidth="1"/>
    <col min="8702" max="8702" width="32.140625" style="206" customWidth="1"/>
    <col min="8703" max="8703" width="8" style="206" hidden="1" customWidth="1"/>
    <col min="8704" max="8947" width="9.140625" style="206"/>
    <col min="8948" max="8948" width="5.5703125" style="206" customWidth="1"/>
    <col min="8949" max="8949" width="32" style="206" customWidth="1"/>
    <col min="8950" max="8951" width="9.85546875" style="206" customWidth="1"/>
    <col min="8952" max="8953" width="9.42578125" style="206" customWidth="1"/>
    <col min="8954" max="8954" width="11.140625" style="206" customWidth="1"/>
    <col min="8955" max="8957" width="8.5703125" style="206" customWidth="1"/>
    <col min="8958" max="8958" width="32.140625" style="206" customWidth="1"/>
    <col min="8959" max="8959" width="8" style="206" hidden="1" customWidth="1"/>
    <col min="8960" max="9203" width="9.140625" style="206"/>
    <col min="9204" max="9204" width="5.5703125" style="206" customWidth="1"/>
    <col min="9205" max="9205" width="32" style="206" customWidth="1"/>
    <col min="9206" max="9207" width="9.85546875" style="206" customWidth="1"/>
    <col min="9208" max="9209" width="9.42578125" style="206" customWidth="1"/>
    <col min="9210" max="9210" width="11.140625" style="206" customWidth="1"/>
    <col min="9211" max="9213" width="8.5703125" style="206" customWidth="1"/>
    <col min="9214" max="9214" width="32.140625" style="206" customWidth="1"/>
    <col min="9215" max="9215" width="8" style="206" hidden="1" customWidth="1"/>
    <col min="9216" max="9459" width="9.140625" style="206"/>
    <col min="9460" max="9460" width="5.5703125" style="206" customWidth="1"/>
    <col min="9461" max="9461" width="32" style="206" customWidth="1"/>
    <col min="9462" max="9463" width="9.85546875" style="206" customWidth="1"/>
    <col min="9464" max="9465" width="9.42578125" style="206" customWidth="1"/>
    <col min="9466" max="9466" width="11.140625" style="206" customWidth="1"/>
    <col min="9467" max="9469" width="8.5703125" style="206" customWidth="1"/>
    <col min="9470" max="9470" width="32.140625" style="206" customWidth="1"/>
    <col min="9471" max="9471" width="8" style="206" hidden="1" customWidth="1"/>
    <col min="9472" max="9715" width="9.140625" style="206"/>
    <col min="9716" max="9716" width="5.5703125" style="206" customWidth="1"/>
    <col min="9717" max="9717" width="32" style="206" customWidth="1"/>
    <col min="9718" max="9719" width="9.85546875" style="206" customWidth="1"/>
    <col min="9720" max="9721" width="9.42578125" style="206" customWidth="1"/>
    <col min="9722" max="9722" width="11.140625" style="206" customWidth="1"/>
    <col min="9723" max="9725" width="8.5703125" style="206" customWidth="1"/>
    <col min="9726" max="9726" width="32.140625" style="206" customWidth="1"/>
    <col min="9727" max="9727" width="8" style="206" hidden="1" customWidth="1"/>
    <col min="9728" max="9971" width="9.140625" style="206"/>
    <col min="9972" max="9972" width="5.5703125" style="206" customWidth="1"/>
    <col min="9973" max="9973" width="32" style="206" customWidth="1"/>
    <col min="9974" max="9975" width="9.85546875" style="206" customWidth="1"/>
    <col min="9976" max="9977" width="9.42578125" style="206" customWidth="1"/>
    <col min="9978" max="9978" width="11.140625" style="206" customWidth="1"/>
    <col min="9979" max="9981" width="8.5703125" style="206" customWidth="1"/>
    <col min="9982" max="9982" width="32.140625" style="206" customWidth="1"/>
    <col min="9983" max="9983" width="8" style="206" hidden="1" customWidth="1"/>
    <col min="9984" max="10227" width="9.140625" style="206"/>
    <col min="10228" max="10228" width="5.5703125" style="206" customWidth="1"/>
    <col min="10229" max="10229" width="32" style="206" customWidth="1"/>
    <col min="10230" max="10231" width="9.85546875" style="206" customWidth="1"/>
    <col min="10232" max="10233" width="9.42578125" style="206" customWidth="1"/>
    <col min="10234" max="10234" width="11.140625" style="206" customWidth="1"/>
    <col min="10235" max="10237" width="8.5703125" style="206" customWidth="1"/>
    <col min="10238" max="10238" width="32.140625" style="206" customWidth="1"/>
    <col min="10239" max="10239" width="8" style="206" hidden="1" customWidth="1"/>
    <col min="10240" max="10483" width="9.140625" style="206"/>
    <col min="10484" max="10484" width="5.5703125" style="206" customWidth="1"/>
    <col min="10485" max="10485" width="32" style="206" customWidth="1"/>
    <col min="10486" max="10487" width="9.85546875" style="206" customWidth="1"/>
    <col min="10488" max="10489" width="9.42578125" style="206" customWidth="1"/>
    <col min="10490" max="10490" width="11.140625" style="206" customWidth="1"/>
    <col min="10491" max="10493" width="8.5703125" style="206" customWidth="1"/>
    <col min="10494" max="10494" width="32.140625" style="206" customWidth="1"/>
    <col min="10495" max="10495" width="8" style="206" hidden="1" customWidth="1"/>
    <col min="10496" max="10739" width="9.140625" style="206"/>
    <col min="10740" max="10740" width="5.5703125" style="206" customWidth="1"/>
    <col min="10741" max="10741" width="32" style="206" customWidth="1"/>
    <col min="10742" max="10743" width="9.85546875" style="206" customWidth="1"/>
    <col min="10744" max="10745" width="9.42578125" style="206" customWidth="1"/>
    <col min="10746" max="10746" width="11.140625" style="206" customWidth="1"/>
    <col min="10747" max="10749" width="8.5703125" style="206" customWidth="1"/>
    <col min="10750" max="10750" width="32.140625" style="206" customWidth="1"/>
    <col min="10751" max="10751" width="8" style="206" hidden="1" customWidth="1"/>
    <col min="10752" max="10995" width="9.140625" style="206"/>
    <col min="10996" max="10996" width="5.5703125" style="206" customWidth="1"/>
    <col min="10997" max="10997" width="32" style="206" customWidth="1"/>
    <col min="10998" max="10999" width="9.85546875" style="206" customWidth="1"/>
    <col min="11000" max="11001" width="9.42578125" style="206" customWidth="1"/>
    <col min="11002" max="11002" width="11.140625" style="206" customWidth="1"/>
    <col min="11003" max="11005" width="8.5703125" style="206" customWidth="1"/>
    <col min="11006" max="11006" width="32.140625" style="206" customWidth="1"/>
    <col min="11007" max="11007" width="8" style="206" hidden="1" customWidth="1"/>
    <col min="11008" max="11251" width="9.140625" style="206"/>
    <col min="11252" max="11252" width="5.5703125" style="206" customWidth="1"/>
    <col min="11253" max="11253" width="32" style="206" customWidth="1"/>
    <col min="11254" max="11255" width="9.85546875" style="206" customWidth="1"/>
    <col min="11256" max="11257" width="9.42578125" style="206" customWidth="1"/>
    <col min="11258" max="11258" width="11.140625" style="206" customWidth="1"/>
    <col min="11259" max="11261" width="8.5703125" style="206" customWidth="1"/>
    <col min="11262" max="11262" width="32.140625" style="206" customWidth="1"/>
    <col min="11263" max="11263" width="8" style="206" hidden="1" customWidth="1"/>
    <col min="11264" max="11507" width="9.140625" style="206"/>
    <col min="11508" max="11508" width="5.5703125" style="206" customWidth="1"/>
    <col min="11509" max="11509" width="32" style="206" customWidth="1"/>
    <col min="11510" max="11511" width="9.85546875" style="206" customWidth="1"/>
    <col min="11512" max="11513" width="9.42578125" style="206" customWidth="1"/>
    <col min="11514" max="11514" width="11.140625" style="206" customWidth="1"/>
    <col min="11515" max="11517" width="8.5703125" style="206" customWidth="1"/>
    <col min="11518" max="11518" width="32.140625" style="206" customWidth="1"/>
    <col min="11519" max="11519" width="8" style="206" hidden="1" customWidth="1"/>
    <col min="11520" max="11763" width="9.140625" style="206"/>
    <col min="11764" max="11764" width="5.5703125" style="206" customWidth="1"/>
    <col min="11765" max="11765" width="32" style="206" customWidth="1"/>
    <col min="11766" max="11767" width="9.85546875" style="206" customWidth="1"/>
    <col min="11768" max="11769" width="9.42578125" style="206" customWidth="1"/>
    <col min="11770" max="11770" width="11.140625" style="206" customWidth="1"/>
    <col min="11771" max="11773" width="8.5703125" style="206" customWidth="1"/>
    <col min="11774" max="11774" width="32.140625" style="206" customWidth="1"/>
    <col min="11775" max="11775" width="8" style="206" hidden="1" customWidth="1"/>
    <col min="11776" max="12019" width="9.140625" style="206"/>
    <col min="12020" max="12020" width="5.5703125" style="206" customWidth="1"/>
    <col min="12021" max="12021" width="32" style="206" customWidth="1"/>
    <col min="12022" max="12023" width="9.85546875" style="206" customWidth="1"/>
    <col min="12024" max="12025" width="9.42578125" style="206" customWidth="1"/>
    <col min="12026" max="12026" width="11.140625" style="206" customWidth="1"/>
    <col min="12027" max="12029" width="8.5703125" style="206" customWidth="1"/>
    <col min="12030" max="12030" width="32.140625" style="206" customWidth="1"/>
    <col min="12031" max="12031" width="8" style="206" hidden="1" customWidth="1"/>
    <col min="12032" max="12275" width="9.140625" style="206"/>
    <col min="12276" max="12276" width="5.5703125" style="206" customWidth="1"/>
    <col min="12277" max="12277" width="32" style="206" customWidth="1"/>
    <col min="12278" max="12279" width="9.85546875" style="206" customWidth="1"/>
    <col min="12280" max="12281" width="9.42578125" style="206" customWidth="1"/>
    <col min="12282" max="12282" width="11.140625" style="206" customWidth="1"/>
    <col min="12283" max="12285" width="8.5703125" style="206" customWidth="1"/>
    <col min="12286" max="12286" width="32.140625" style="206" customWidth="1"/>
    <col min="12287" max="12287" width="8" style="206" hidden="1" customWidth="1"/>
    <col min="12288" max="12531" width="9.140625" style="206"/>
    <col min="12532" max="12532" width="5.5703125" style="206" customWidth="1"/>
    <col min="12533" max="12533" width="32" style="206" customWidth="1"/>
    <col min="12534" max="12535" width="9.85546875" style="206" customWidth="1"/>
    <col min="12536" max="12537" width="9.42578125" style="206" customWidth="1"/>
    <col min="12538" max="12538" width="11.140625" style="206" customWidth="1"/>
    <col min="12539" max="12541" width="8.5703125" style="206" customWidth="1"/>
    <col min="12542" max="12542" width="32.140625" style="206" customWidth="1"/>
    <col min="12543" max="12543" width="8" style="206" hidden="1" customWidth="1"/>
    <col min="12544" max="12787" width="9.140625" style="206"/>
    <col min="12788" max="12788" width="5.5703125" style="206" customWidth="1"/>
    <col min="12789" max="12789" width="32" style="206" customWidth="1"/>
    <col min="12790" max="12791" width="9.85546875" style="206" customWidth="1"/>
    <col min="12792" max="12793" width="9.42578125" style="206" customWidth="1"/>
    <col min="12794" max="12794" width="11.140625" style="206" customWidth="1"/>
    <col min="12795" max="12797" width="8.5703125" style="206" customWidth="1"/>
    <col min="12798" max="12798" width="32.140625" style="206" customWidth="1"/>
    <col min="12799" max="12799" width="8" style="206" hidden="1" customWidth="1"/>
    <col min="12800" max="13043" width="9.140625" style="206"/>
    <col min="13044" max="13044" width="5.5703125" style="206" customWidth="1"/>
    <col min="13045" max="13045" width="32" style="206" customWidth="1"/>
    <col min="13046" max="13047" width="9.85546875" style="206" customWidth="1"/>
    <col min="13048" max="13049" width="9.42578125" style="206" customWidth="1"/>
    <col min="13050" max="13050" width="11.140625" style="206" customWidth="1"/>
    <col min="13051" max="13053" width="8.5703125" style="206" customWidth="1"/>
    <col min="13054" max="13054" width="32.140625" style="206" customWidth="1"/>
    <col min="13055" max="13055" width="8" style="206" hidden="1" customWidth="1"/>
    <col min="13056" max="13299" width="9.140625" style="206"/>
    <col min="13300" max="13300" width="5.5703125" style="206" customWidth="1"/>
    <col min="13301" max="13301" width="32" style="206" customWidth="1"/>
    <col min="13302" max="13303" width="9.85546875" style="206" customWidth="1"/>
    <col min="13304" max="13305" width="9.42578125" style="206" customWidth="1"/>
    <col min="13306" max="13306" width="11.140625" style="206" customWidth="1"/>
    <col min="13307" max="13309" width="8.5703125" style="206" customWidth="1"/>
    <col min="13310" max="13310" width="32.140625" style="206" customWidth="1"/>
    <col min="13311" max="13311" width="8" style="206" hidden="1" customWidth="1"/>
    <col min="13312" max="13555" width="9.140625" style="206"/>
    <col min="13556" max="13556" width="5.5703125" style="206" customWidth="1"/>
    <col min="13557" max="13557" width="32" style="206" customWidth="1"/>
    <col min="13558" max="13559" width="9.85546875" style="206" customWidth="1"/>
    <col min="13560" max="13561" width="9.42578125" style="206" customWidth="1"/>
    <col min="13562" max="13562" width="11.140625" style="206" customWidth="1"/>
    <col min="13563" max="13565" width="8.5703125" style="206" customWidth="1"/>
    <col min="13566" max="13566" width="32.140625" style="206" customWidth="1"/>
    <col min="13567" max="13567" width="8" style="206" hidden="1" customWidth="1"/>
    <col min="13568" max="13811" width="9.140625" style="206"/>
    <col min="13812" max="13812" width="5.5703125" style="206" customWidth="1"/>
    <col min="13813" max="13813" width="32" style="206" customWidth="1"/>
    <col min="13814" max="13815" width="9.85546875" style="206" customWidth="1"/>
    <col min="13816" max="13817" width="9.42578125" style="206" customWidth="1"/>
    <col min="13818" max="13818" width="11.140625" style="206" customWidth="1"/>
    <col min="13819" max="13821" width="8.5703125" style="206" customWidth="1"/>
    <col min="13822" max="13822" width="32.140625" style="206" customWidth="1"/>
    <col min="13823" max="13823" width="8" style="206" hidden="1" customWidth="1"/>
    <col min="13824" max="14067" width="9.140625" style="206"/>
    <col min="14068" max="14068" width="5.5703125" style="206" customWidth="1"/>
    <col min="14069" max="14069" width="32" style="206" customWidth="1"/>
    <col min="14070" max="14071" width="9.85546875" style="206" customWidth="1"/>
    <col min="14072" max="14073" width="9.42578125" style="206" customWidth="1"/>
    <col min="14074" max="14074" width="11.140625" style="206" customWidth="1"/>
    <col min="14075" max="14077" width="8.5703125" style="206" customWidth="1"/>
    <col min="14078" max="14078" width="32.140625" style="206" customWidth="1"/>
    <col min="14079" max="14079" width="8" style="206" hidden="1" customWidth="1"/>
    <col min="14080" max="14323" width="9.140625" style="206"/>
    <col min="14324" max="14324" width="5.5703125" style="206" customWidth="1"/>
    <col min="14325" max="14325" width="32" style="206" customWidth="1"/>
    <col min="14326" max="14327" width="9.85546875" style="206" customWidth="1"/>
    <col min="14328" max="14329" width="9.42578125" style="206" customWidth="1"/>
    <col min="14330" max="14330" width="11.140625" style="206" customWidth="1"/>
    <col min="14331" max="14333" width="8.5703125" style="206" customWidth="1"/>
    <col min="14334" max="14334" width="32.140625" style="206" customWidth="1"/>
    <col min="14335" max="14335" width="8" style="206" hidden="1" customWidth="1"/>
    <col min="14336" max="14579" width="9.140625" style="206"/>
    <col min="14580" max="14580" width="5.5703125" style="206" customWidth="1"/>
    <col min="14581" max="14581" width="32" style="206" customWidth="1"/>
    <col min="14582" max="14583" width="9.85546875" style="206" customWidth="1"/>
    <col min="14584" max="14585" width="9.42578125" style="206" customWidth="1"/>
    <col min="14586" max="14586" width="11.140625" style="206" customWidth="1"/>
    <col min="14587" max="14589" width="8.5703125" style="206" customWidth="1"/>
    <col min="14590" max="14590" width="32.140625" style="206" customWidth="1"/>
    <col min="14591" max="14591" width="8" style="206" hidden="1" customWidth="1"/>
    <col min="14592" max="14835" width="9.140625" style="206"/>
    <col min="14836" max="14836" width="5.5703125" style="206" customWidth="1"/>
    <col min="14837" max="14837" width="32" style="206" customWidth="1"/>
    <col min="14838" max="14839" width="9.85546875" style="206" customWidth="1"/>
    <col min="14840" max="14841" width="9.42578125" style="206" customWidth="1"/>
    <col min="14842" max="14842" width="11.140625" style="206" customWidth="1"/>
    <col min="14843" max="14845" width="8.5703125" style="206" customWidth="1"/>
    <col min="14846" max="14846" width="32.140625" style="206" customWidth="1"/>
    <col min="14847" max="14847" width="8" style="206" hidden="1" customWidth="1"/>
    <col min="14848" max="15091" width="9.140625" style="206"/>
    <col min="15092" max="15092" width="5.5703125" style="206" customWidth="1"/>
    <col min="15093" max="15093" width="32" style="206" customWidth="1"/>
    <col min="15094" max="15095" width="9.85546875" style="206" customWidth="1"/>
    <col min="15096" max="15097" width="9.42578125" style="206" customWidth="1"/>
    <col min="15098" max="15098" width="11.140625" style="206" customWidth="1"/>
    <col min="15099" max="15101" width="8.5703125" style="206" customWidth="1"/>
    <col min="15102" max="15102" width="32.140625" style="206" customWidth="1"/>
    <col min="15103" max="15103" width="8" style="206" hidden="1" customWidth="1"/>
    <col min="15104" max="15347" width="9.140625" style="206"/>
    <col min="15348" max="15348" width="5.5703125" style="206" customWidth="1"/>
    <col min="15349" max="15349" width="32" style="206" customWidth="1"/>
    <col min="15350" max="15351" width="9.85546875" style="206" customWidth="1"/>
    <col min="15352" max="15353" width="9.42578125" style="206" customWidth="1"/>
    <col min="15354" max="15354" width="11.140625" style="206" customWidth="1"/>
    <col min="15355" max="15357" width="8.5703125" style="206" customWidth="1"/>
    <col min="15358" max="15358" width="32.140625" style="206" customWidth="1"/>
    <col min="15359" max="15359" width="8" style="206" hidden="1" customWidth="1"/>
    <col min="15360" max="15603" width="9.140625" style="206"/>
    <col min="15604" max="15604" width="5.5703125" style="206" customWidth="1"/>
    <col min="15605" max="15605" width="32" style="206" customWidth="1"/>
    <col min="15606" max="15607" width="9.85546875" style="206" customWidth="1"/>
    <col min="15608" max="15609" width="9.42578125" style="206" customWidth="1"/>
    <col min="15610" max="15610" width="11.140625" style="206" customWidth="1"/>
    <col min="15611" max="15613" width="8.5703125" style="206" customWidth="1"/>
    <col min="15614" max="15614" width="32.140625" style="206" customWidth="1"/>
    <col min="15615" max="15615" width="8" style="206" hidden="1" customWidth="1"/>
    <col min="15616" max="15859" width="9.140625" style="206"/>
    <col min="15860" max="15860" width="5.5703125" style="206" customWidth="1"/>
    <col min="15861" max="15861" width="32" style="206" customWidth="1"/>
    <col min="15862" max="15863" width="9.85546875" style="206" customWidth="1"/>
    <col min="15864" max="15865" width="9.42578125" style="206" customWidth="1"/>
    <col min="15866" max="15866" width="11.140625" style="206" customWidth="1"/>
    <col min="15867" max="15869" width="8.5703125" style="206" customWidth="1"/>
    <col min="15870" max="15870" width="32.140625" style="206" customWidth="1"/>
    <col min="15871" max="15871" width="8" style="206" hidden="1" customWidth="1"/>
    <col min="15872" max="16115" width="9.140625" style="206"/>
    <col min="16116" max="16116" width="5.5703125" style="206" customWidth="1"/>
    <col min="16117" max="16117" width="32" style="206" customWidth="1"/>
    <col min="16118" max="16119" width="9.85546875" style="206" customWidth="1"/>
    <col min="16120" max="16121" width="9.42578125" style="206" customWidth="1"/>
    <col min="16122" max="16122" width="11.140625" style="206" customWidth="1"/>
    <col min="16123" max="16125" width="8.5703125" style="206" customWidth="1"/>
    <col min="16126" max="16126" width="32.140625" style="206" customWidth="1"/>
    <col min="16127" max="16127" width="8" style="206" hidden="1" customWidth="1"/>
    <col min="16128" max="16383" width="9.140625" style="206"/>
    <col min="16384" max="16384" width="8.7109375" style="206" customWidth="1"/>
  </cols>
  <sheetData>
    <row r="1" spans="1:13" s="33" customFormat="1" ht="40.5" customHeight="1" x14ac:dyDescent="0.25">
      <c r="A1" s="536" t="s">
        <v>383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</row>
    <row r="2" spans="1:13" s="33" customFormat="1" ht="13.5" thickBot="1" x14ac:dyDescent="0.3">
      <c r="B2" s="135"/>
      <c r="C2" s="135"/>
      <c r="D2" s="135"/>
      <c r="E2" s="34"/>
      <c r="F2" s="34"/>
      <c r="G2" s="136"/>
      <c r="H2" s="136"/>
      <c r="I2" s="136"/>
      <c r="J2" s="136"/>
      <c r="K2" s="136"/>
      <c r="L2" s="136"/>
      <c r="M2" s="34" t="s">
        <v>31</v>
      </c>
    </row>
    <row r="3" spans="1:13" s="33" customFormat="1" ht="24" customHeight="1" x14ac:dyDescent="0.25">
      <c r="A3" s="537" t="s">
        <v>0</v>
      </c>
      <c r="B3" s="539" t="s">
        <v>35</v>
      </c>
      <c r="C3" s="541" t="s">
        <v>230</v>
      </c>
      <c r="D3" s="203"/>
      <c r="E3" s="543" t="s">
        <v>48</v>
      </c>
      <c r="F3" s="545" t="s">
        <v>384</v>
      </c>
      <c r="G3" s="545" t="s">
        <v>385</v>
      </c>
      <c r="H3" s="543" t="s">
        <v>386</v>
      </c>
      <c r="I3" s="548" t="s">
        <v>133</v>
      </c>
      <c r="J3" s="549"/>
      <c r="K3" s="550"/>
      <c r="L3" s="551"/>
      <c r="M3" s="552" t="s">
        <v>36</v>
      </c>
    </row>
    <row r="4" spans="1:13" s="33" customFormat="1" ht="24" customHeight="1" x14ac:dyDescent="0.25">
      <c r="A4" s="538"/>
      <c r="B4" s="540"/>
      <c r="C4" s="542"/>
      <c r="D4" s="204"/>
      <c r="E4" s="544"/>
      <c r="F4" s="546"/>
      <c r="G4" s="546"/>
      <c r="H4" s="547"/>
      <c r="I4" s="35" t="s">
        <v>231</v>
      </c>
      <c r="J4" s="36" t="s">
        <v>292</v>
      </c>
      <c r="K4" s="36" t="s">
        <v>387</v>
      </c>
      <c r="L4" s="137" t="s">
        <v>388</v>
      </c>
      <c r="M4" s="553"/>
    </row>
    <row r="5" spans="1:13" s="37" customFormat="1" ht="18" customHeight="1" x14ac:dyDescent="0.25">
      <c r="A5" s="150" t="s">
        <v>56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8"/>
    </row>
    <row r="6" spans="1:13" s="37" customFormat="1" ht="15" customHeight="1" x14ac:dyDescent="0.25">
      <c r="A6" s="147">
        <v>21</v>
      </c>
      <c r="B6" s="146" t="s">
        <v>293</v>
      </c>
      <c r="C6" s="145">
        <v>3558</v>
      </c>
      <c r="D6" s="187">
        <f>F6+G6+H6+I6+J6+K6+L6</f>
        <v>9989.880000000001</v>
      </c>
      <c r="E6" s="144">
        <v>9990</v>
      </c>
      <c r="F6" s="144">
        <v>33.880000000000003</v>
      </c>
      <c r="G6" s="144">
        <v>3421</v>
      </c>
      <c r="H6" s="38">
        <v>1000</v>
      </c>
      <c r="I6" s="144">
        <v>5535</v>
      </c>
      <c r="J6" s="144">
        <v>0</v>
      </c>
      <c r="K6" s="144">
        <v>0</v>
      </c>
      <c r="L6" s="143">
        <v>0</v>
      </c>
      <c r="M6" s="142" t="s">
        <v>350</v>
      </c>
    </row>
    <row r="7" spans="1:13" s="37" customFormat="1" ht="24" customHeight="1" x14ac:dyDescent="0.25">
      <c r="A7" s="147">
        <v>23</v>
      </c>
      <c r="B7" s="146" t="s">
        <v>294</v>
      </c>
      <c r="C7" s="145">
        <v>3526</v>
      </c>
      <c r="D7" s="187">
        <f>F7+G7+H7+I7+J7+K7+L7</f>
        <v>9990</v>
      </c>
      <c r="E7" s="144">
        <v>9990</v>
      </c>
      <c r="F7" s="144">
        <v>0</v>
      </c>
      <c r="G7" s="144">
        <v>500</v>
      </c>
      <c r="H7" s="38">
        <v>9490</v>
      </c>
      <c r="I7" s="144">
        <v>0</v>
      </c>
      <c r="J7" s="144">
        <v>0</v>
      </c>
      <c r="K7" s="144">
        <v>0</v>
      </c>
      <c r="L7" s="143">
        <v>0</v>
      </c>
      <c r="M7" s="142" t="s">
        <v>350</v>
      </c>
    </row>
    <row r="8" spans="1:13" s="37" customFormat="1" ht="26.25" customHeight="1" x14ac:dyDescent="0.25">
      <c r="A8" s="534" t="s">
        <v>57</v>
      </c>
      <c r="B8" s="535"/>
      <c r="C8" s="202">
        <f>COUNT(C6:C7)</f>
        <v>2</v>
      </c>
      <c r="D8" s="202"/>
      <c r="E8" s="39">
        <f>SUM(E6:E7)</f>
        <v>19980</v>
      </c>
      <c r="F8" s="39">
        <f t="shared" ref="F8:L8" si="0">SUM(F6:F7)</f>
        <v>33.880000000000003</v>
      </c>
      <c r="G8" s="39">
        <f t="shared" si="0"/>
        <v>3921</v>
      </c>
      <c r="H8" s="39">
        <f t="shared" si="0"/>
        <v>10490</v>
      </c>
      <c r="I8" s="39">
        <f t="shared" si="0"/>
        <v>5535</v>
      </c>
      <c r="J8" s="39">
        <f t="shared" si="0"/>
        <v>0</v>
      </c>
      <c r="K8" s="39">
        <f t="shared" si="0"/>
        <v>0</v>
      </c>
      <c r="L8" s="39">
        <f t="shared" si="0"/>
        <v>0</v>
      </c>
      <c r="M8" s="40"/>
    </row>
    <row r="9" spans="1:13" s="37" customFormat="1" ht="18" customHeight="1" x14ac:dyDescent="0.25">
      <c r="A9" s="150" t="s">
        <v>198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8"/>
    </row>
    <row r="10" spans="1:13" s="37" customFormat="1" ht="42" x14ac:dyDescent="0.25">
      <c r="A10" s="147">
        <v>128</v>
      </c>
      <c r="B10" s="146" t="s">
        <v>626</v>
      </c>
      <c r="C10" s="145">
        <v>3522</v>
      </c>
      <c r="D10" s="187">
        <f t="shared" ref="D10:D30" si="1">F10+G10+H10+I10+J10+K10+L10</f>
        <v>4524.5200000000004</v>
      </c>
      <c r="E10" s="144">
        <v>4524.5200000000004</v>
      </c>
      <c r="F10" s="144">
        <v>0</v>
      </c>
      <c r="G10" s="144">
        <v>1404.52</v>
      </c>
      <c r="H10" s="38">
        <v>2200</v>
      </c>
      <c r="I10" s="144">
        <v>420</v>
      </c>
      <c r="J10" s="144">
        <v>500</v>
      </c>
      <c r="K10" s="144">
        <v>0</v>
      </c>
      <c r="L10" s="143">
        <v>0</v>
      </c>
      <c r="M10" s="142" t="s">
        <v>350</v>
      </c>
    </row>
    <row r="11" spans="1:13" s="37" customFormat="1" ht="24" customHeight="1" x14ac:dyDescent="0.25">
      <c r="A11" s="147">
        <v>129</v>
      </c>
      <c r="B11" s="146" t="s">
        <v>295</v>
      </c>
      <c r="C11" s="145">
        <v>3530</v>
      </c>
      <c r="D11" s="187">
        <f t="shared" si="1"/>
        <v>63800</v>
      </c>
      <c r="E11" s="144">
        <v>63800</v>
      </c>
      <c r="F11" s="144">
        <v>0</v>
      </c>
      <c r="G11" s="144">
        <v>26700</v>
      </c>
      <c r="H11" s="38">
        <v>37100</v>
      </c>
      <c r="I11" s="144">
        <v>0</v>
      </c>
      <c r="J11" s="144">
        <v>0</v>
      </c>
      <c r="K11" s="144">
        <v>0</v>
      </c>
      <c r="L11" s="143">
        <v>0</v>
      </c>
      <c r="M11" s="142" t="s">
        <v>350</v>
      </c>
    </row>
    <row r="12" spans="1:13" s="37" customFormat="1" ht="15" customHeight="1" x14ac:dyDescent="0.25">
      <c r="A12" s="147">
        <v>131</v>
      </c>
      <c r="B12" s="146" t="s">
        <v>389</v>
      </c>
      <c r="C12" s="145">
        <v>3532</v>
      </c>
      <c r="D12" s="187">
        <f t="shared" si="1"/>
        <v>48000</v>
      </c>
      <c r="E12" s="144">
        <v>48000</v>
      </c>
      <c r="F12" s="144">
        <v>0</v>
      </c>
      <c r="G12" s="144">
        <v>300</v>
      </c>
      <c r="H12" s="38">
        <v>47700</v>
      </c>
      <c r="I12" s="144">
        <v>0</v>
      </c>
      <c r="J12" s="144">
        <v>0</v>
      </c>
      <c r="K12" s="144">
        <v>0</v>
      </c>
      <c r="L12" s="143">
        <v>0</v>
      </c>
      <c r="M12" s="142" t="s">
        <v>350</v>
      </c>
    </row>
    <row r="13" spans="1:13" s="37" customFormat="1" ht="24" customHeight="1" x14ac:dyDescent="0.25">
      <c r="A13" s="147">
        <v>133</v>
      </c>
      <c r="B13" s="146" t="s">
        <v>390</v>
      </c>
      <c r="C13" s="145">
        <v>3528</v>
      </c>
      <c r="D13" s="187">
        <f t="shared" si="1"/>
        <v>59000</v>
      </c>
      <c r="E13" s="144">
        <v>59000</v>
      </c>
      <c r="F13" s="144">
        <v>0</v>
      </c>
      <c r="G13" s="144">
        <v>300</v>
      </c>
      <c r="H13" s="38">
        <v>58700</v>
      </c>
      <c r="I13" s="144">
        <v>0</v>
      </c>
      <c r="J13" s="144">
        <v>0</v>
      </c>
      <c r="K13" s="144">
        <v>0</v>
      </c>
      <c r="L13" s="143">
        <v>0</v>
      </c>
      <c r="M13" s="142" t="s">
        <v>350</v>
      </c>
    </row>
    <row r="14" spans="1:13" s="37" customFormat="1" ht="24" customHeight="1" x14ac:dyDescent="0.25">
      <c r="A14" s="147">
        <v>135</v>
      </c>
      <c r="B14" s="146" t="s">
        <v>391</v>
      </c>
      <c r="C14" s="145">
        <v>3574</v>
      </c>
      <c r="D14" s="187">
        <f t="shared" si="1"/>
        <v>103400</v>
      </c>
      <c r="E14" s="144">
        <v>103400</v>
      </c>
      <c r="F14" s="144">
        <v>0</v>
      </c>
      <c r="G14" s="144">
        <v>250</v>
      </c>
      <c r="H14" s="38">
        <v>103150</v>
      </c>
      <c r="I14" s="144">
        <v>0</v>
      </c>
      <c r="J14" s="144">
        <v>0</v>
      </c>
      <c r="K14" s="144">
        <v>0</v>
      </c>
      <c r="L14" s="143">
        <v>0</v>
      </c>
      <c r="M14" s="142" t="s">
        <v>350</v>
      </c>
    </row>
    <row r="15" spans="1:13" s="37" customFormat="1" ht="15" customHeight="1" x14ac:dyDescent="0.25">
      <c r="A15" s="147">
        <v>137</v>
      </c>
      <c r="B15" s="146" t="s">
        <v>392</v>
      </c>
      <c r="C15" s="145">
        <v>3527</v>
      </c>
      <c r="D15" s="187">
        <f t="shared" si="1"/>
        <v>59000</v>
      </c>
      <c r="E15" s="144">
        <v>59000</v>
      </c>
      <c r="F15" s="144">
        <v>0</v>
      </c>
      <c r="G15" s="144">
        <v>300</v>
      </c>
      <c r="H15" s="38">
        <v>58700</v>
      </c>
      <c r="I15" s="144">
        <v>0</v>
      </c>
      <c r="J15" s="144">
        <v>0</v>
      </c>
      <c r="K15" s="144">
        <v>0</v>
      </c>
      <c r="L15" s="143">
        <v>0</v>
      </c>
      <c r="M15" s="142" t="s">
        <v>350</v>
      </c>
    </row>
    <row r="16" spans="1:13" s="37" customFormat="1" ht="15" customHeight="1" x14ac:dyDescent="0.25">
      <c r="A16" s="147">
        <v>139</v>
      </c>
      <c r="B16" s="146" t="s">
        <v>393</v>
      </c>
      <c r="C16" s="145">
        <v>3573</v>
      </c>
      <c r="D16" s="187">
        <f t="shared" si="1"/>
        <v>217800</v>
      </c>
      <c r="E16" s="144">
        <v>217800</v>
      </c>
      <c r="F16" s="144">
        <v>0</v>
      </c>
      <c r="G16" s="144">
        <v>60</v>
      </c>
      <c r="H16" s="38">
        <v>200</v>
      </c>
      <c r="I16" s="144">
        <v>180000</v>
      </c>
      <c r="J16" s="144">
        <v>37540</v>
      </c>
      <c r="K16" s="144">
        <v>0</v>
      </c>
      <c r="L16" s="143">
        <v>0</v>
      </c>
      <c r="M16" s="142" t="s">
        <v>350</v>
      </c>
    </row>
    <row r="17" spans="1:13" s="37" customFormat="1" ht="15" customHeight="1" x14ac:dyDescent="0.25">
      <c r="A17" s="147">
        <v>141</v>
      </c>
      <c r="B17" s="146" t="s">
        <v>394</v>
      </c>
      <c r="C17" s="145">
        <v>3575</v>
      </c>
      <c r="D17" s="187">
        <f t="shared" si="1"/>
        <v>48400</v>
      </c>
      <c r="E17" s="144">
        <v>48400</v>
      </c>
      <c r="F17" s="144">
        <v>0</v>
      </c>
      <c r="G17" s="144">
        <v>0</v>
      </c>
      <c r="H17" s="38">
        <v>260</v>
      </c>
      <c r="I17" s="144">
        <v>48140</v>
      </c>
      <c r="J17" s="144">
        <v>0</v>
      </c>
      <c r="K17" s="144">
        <v>0</v>
      </c>
      <c r="L17" s="143">
        <v>0</v>
      </c>
      <c r="M17" s="142" t="s">
        <v>350</v>
      </c>
    </row>
    <row r="18" spans="1:13" s="37" customFormat="1" ht="15" customHeight="1" x14ac:dyDescent="0.25">
      <c r="A18" s="147">
        <v>143</v>
      </c>
      <c r="B18" s="146" t="s">
        <v>395</v>
      </c>
      <c r="C18" s="145">
        <v>3576</v>
      </c>
      <c r="D18" s="187">
        <f t="shared" si="1"/>
        <v>70400</v>
      </c>
      <c r="E18" s="144">
        <v>70400</v>
      </c>
      <c r="F18" s="144">
        <v>0</v>
      </c>
      <c r="G18" s="144">
        <v>0</v>
      </c>
      <c r="H18" s="38">
        <v>260</v>
      </c>
      <c r="I18" s="144">
        <v>30000</v>
      </c>
      <c r="J18" s="144">
        <v>40140</v>
      </c>
      <c r="K18" s="144">
        <v>0</v>
      </c>
      <c r="L18" s="143">
        <v>0</v>
      </c>
      <c r="M18" s="142" t="s">
        <v>350</v>
      </c>
    </row>
    <row r="19" spans="1:13" s="37" customFormat="1" ht="15" customHeight="1" x14ac:dyDescent="0.25">
      <c r="A19" s="147">
        <v>145</v>
      </c>
      <c r="B19" s="146" t="s">
        <v>299</v>
      </c>
      <c r="C19" s="145">
        <v>3531</v>
      </c>
      <c r="D19" s="187">
        <f t="shared" si="1"/>
        <v>33000</v>
      </c>
      <c r="E19" s="144">
        <v>33000</v>
      </c>
      <c r="F19" s="144">
        <v>0</v>
      </c>
      <c r="G19" s="144">
        <v>160</v>
      </c>
      <c r="H19" s="38">
        <v>200</v>
      </c>
      <c r="I19" s="144">
        <v>32640</v>
      </c>
      <c r="J19" s="144">
        <v>0</v>
      </c>
      <c r="K19" s="144">
        <v>0</v>
      </c>
      <c r="L19" s="143">
        <v>0</v>
      </c>
      <c r="M19" s="142" t="s">
        <v>350</v>
      </c>
    </row>
    <row r="20" spans="1:13" s="37" customFormat="1" ht="15" customHeight="1" x14ac:dyDescent="0.25">
      <c r="A20" s="147">
        <v>147</v>
      </c>
      <c r="B20" s="146" t="s">
        <v>396</v>
      </c>
      <c r="C20" s="145">
        <v>3538</v>
      </c>
      <c r="D20" s="187">
        <f t="shared" si="1"/>
        <v>44000</v>
      </c>
      <c r="E20" s="144">
        <v>44000</v>
      </c>
      <c r="F20" s="144">
        <v>0</v>
      </c>
      <c r="G20" s="144">
        <v>0</v>
      </c>
      <c r="H20" s="38">
        <v>300</v>
      </c>
      <c r="I20" s="144">
        <v>10000</v>
      </c>
      <c r="J20" s="144">
        <v>33700</v>
      </c>
      <c r="K20" s="144">
        <v>0</v>
      </c>
      <c r="L20" s="143">
        <v>0</v>
      </c>
      <c r="M20" s="142" t="s">
        <v>350</v>
      </c>
    </row>
    <row r="21" spans="1:13" s="37" customFormat="1" ht="15" customHeight="1" x14ac:dyDescent="0.25">
      <c r="A21" s="147">
        <v>149</v>
      </c>
      <c r="B21" s="146" t="s">
        <v>397</v>
      </c>
      <c r="C21" s="145">
        <v>3584</v>
      </c>
      <c r="D21" s="187">
        <f t="shared" si="1"/>
        <v>55000</v>
      </c>
      <c r="E21" s="144">
        <v>55000</v>
      </c>
      <c r="F21" s="144">
        <v>0</v>
      </c>
      <c r="G21" s="144">
        <v>0</v>
      </c>
      <c r="H21" s="38">
        <v>200</v>
      </c>
      <c r="I21" s="144">
        <v>54800</v>
      </c>
      <c r="J21" s="144">
        <v>0</v>
      </c>
      <c r="K21" s="144">
        <v>0</v>
      </c>
      <c r="L21" s="143">
        <v>0</v>
      </c>
      <c r="M21" s="142" t="s">
        <v>350</v>
      </c>
    </row>
    <row r="22" spans="1:13" s="37" customFormat="1" ht="24" customHeight="1" x14ac:dyDescent="0.25">
      <c r="A22" s="147">
        <v>151</v>
      </c>
      <c r="B22" s="146" t="s">
        <v>300</v>
      </c>
      <c r="C22" s="145">
        <v>3537</v>
      </c>
      <c r="D22" s="187">
        <f t="shared" si="1"/>
        <v>38500</v>
      </c>
      <c r="E22" s="144">
        <v>38500</v>
      </c>
      <c r="F22" s="144">
        <v>0</v>
      </c>
      <c r="G22" s="144">
        <v>300</v>
      </c>
      <c r="H22" s="38">
        <v>38200</v>
      </c>
      <c r="I22" s="144">
        <v>0</v>
      </c>
      <c r="J22" s="144">
        <v>0</v>
      </c>
      <c r="K22" s="144">
        <v>0</v>
      </c>
      <c r="L22" s="143">
        <v>0</v>
      </c>
      <c r="M22" s="142" t="s">
        <v>350</v>
      </c>
    </row>
    <row r="23" spans="1:13" s="37" customFormat="1" ht="15" customHeight="1" x14ac:dyDescent="0.25">
      <c r="A23" s="147">
        <v>153</v>
      </c>
      <c r="B23" s="146" t="s">
        <v>301</v>
      </c>
      <c r="C23" s="145">
        <v>3536</v>
      </c>
      <c r="D23" s="187">
        <f t="shared" si="1"/>
        <v>11200</v>
      </c>
      <c r="E23" s="144">
        <v>11200</v>
      </c>
      <c r="F23" s="144">
        <v>0</v>
      </c>
      <c r="G23" s="144">
        <v>300</v>
      </c>
      <c r="H23" s="38">
        <v>10900</v>
      </c>
      <c r="I23" s="144">
        <v>0</v>
      </c>
      <c r="J23" s="144">
        <v>0</v>
      </c>
      <c r="K23" s="144">
        <v>0</v>
      </c>
      <c r="L23" s="143">
        <v>0</v>
      </c>
      <c r="M23" s="142" t="s">
        <v>350</v>
      </c>
    </row>
    <row r="24" spans="1:13" s="37" customFormat="1" ht="24" customHeight="1" x14ac:dyDescent="0.25">
      <c r="A24" s="147">
        <v>155</v>
      </c>
      <c r="B24" s="146" t="s">
        <v>398</v>
      </c>
      <c r="C24" s="145">
        <v>3564</v>
      </c>
      <c r="D24" s="187">
        <f t="shared" si="1"/>
        <v>23000</v>
      </c>
      <c r="E24" s="144">
        <v>23000</v>
      </c>
      <c r="F24" s="144">
        <v>0</v>
      </c>
      <c r="G24" s="144">
        <v>300</v>
      </c>
      <c r="H24" s="38">
        <v>22700</v>
      </c>
      <c r="I24" s="144">
        <v>0</v>
      </c>
      <c r="J24" s="144">
        <v>0</v>
      </c>
      <c r="K24" s="144">
        <v>0</v>
      </c>
      <c r="L24" s="143">
        <v>0</v>
      </c>
      <c r="M24" s="142" t="s">
        <v>350</v>
      </c>
    </row>
    <row r="25" spans="1:13" s="37" customFormat="1" ht="24" customHeight="1" x14ac:dyDescent="0.25">
      <c r="A25" s="147">
        <v>157</v>
      </c>
      <c r="B25" s="146" t="s">
        <v>302</v>
      </c>
      <c r="C25" s="145">
        <v>3999</v>
      </c>
      <c r="D25" s="269">
        <f t="shared" si="1"/>
        <v>525557</v>
      </c>
      <c r="E25" s="144">
        <v>49000</v>
      </c>
      <c r="F25" s="144">
        <v>269557</v>
      </c>
      <c r="G25" s="144">
        <v>54000</v>
      </c>
      <c r="H25" s="38">
        <v>49000</v>
      </c>
      <c r="I25" s="144">
        <v>51000</v>
      </c>
      <c r="J25" s="144">
        <v>51000</v>
      </c>
      <c r="K25" s="144">
        <v>51000</v>
      </c>
      <c r="L25" s="143">
        <v>0</v>
      </c>
      <c r="M25" s="142" t="s">
        <v>399</v>
      </c>
    </row>
    <row r="26" spans="1:13" s="37" customFormat="1" ht="15.75" customHeight="1" x14ac:dyDescent="0.25">
      <c r="A26" s="532" t="s">
        <v>197</v>
      </c>
      <c r="B26" s="533"/>
      <c r="C26" s="202">
        <f>COUNT(C10:C25)</f>
        <v>16</v>
      </c>
      <c r="D26" s="205">
        <f t="shared" ref="D26:L26" si="2">SUM(D10:D25)</f>
        <v>1404581.52</v>
      </c>
      <c r="E26" s="39">
        <f t="shared" si="2"/>
        <v>928024.52</v>
      </c>
      <c r="F26" s="39">
        <f t="shared" si="2"/>
        <v>269557</v>
      </c>
      <c r="G26" s="39">
        <f t="shared" si="2"/>
        <v>84374.52</v>
      </c>
      <c r="H26" s="39">
        <f t="shared" si="2"/>
        <v>429770</v>
      </c>
      <c r="I26" s="39">
        <f t="shared" si="2"/>
        <v>407000</v>
      </c>
      <c r="J26" s="39">
        <f t="shared" si="2"/>
        <v>162880</v>
      </c>
      <c r="K26" s="39">
        <f t="shared" si="2"/>
        <v>51000</v>
      </c>
      <c r="L26" s="39">
        <f t="shared" si="2"/>
        <v>0</v>
      </c>
      <c r="M26" s="40"/>
    </row>
    <row r="27" spans="1:13" s="37" customFormat="1" ht="18" customHeight="1" x14ac:dyDescent="0.25">
      <c r="A27" s="150" t="s">
        <v>232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8"/>
    </row>
    <row r="28" spans="1:13" s="37" customFormat="1" ht="15" customHeight="1" x14ac:dyDescent="0.25">
      <c r="A28" s="147">
        <v>181</v>
      </c>
      <c r="B28" s="146" t="s">
        <v>304</v>
      </c>
      <c r="C28" s="145">
        <v>3556</v>
      </c>
      <c r="D28" s="187">
        <f t="shared" si="1"/>
        <v>503000</v>
      </c>
      <c r="E28" s="144">
        <v>503000</v>
      </c>
      <c r="F28" s="144">
        <v>0</v>
      </c>
      <c r="G28" s="144">
        <v>1000</v>
      </c>
      <c r="H28" s="38">
        <v>14000</v>
      </c>
      <c r="I28" s="144">
        <v>70000</v>
      </c>
      <c r="J28" s="144">
        <v>300000</v>
      </c>
      <c r="K28" s="144">
        <v>118000</v>
      </c>
      <c r="L28" s="143">
        <v>0</v>
      </c>
      <c r="M28" s="142" t="s">
        <v>350</v>
      </c>
    </row>
    <row r="29" spans="1:13" s="37" customFormat="1" ht="34.5" customHeight="1" x14ac:dyDescent="0.25">
      <c r="A29" s="147">
        <v>183</v>
      </c>
      <c r="B29" s="146" t="s">
        <v>437</v>
      </c>
      <c r="C29" s="145">
        <v>3583</v>
      </c>
      <c r="D29" s="187">
        <f t="shared" si="1"/>
        <v>5474</v>
      </c>
      <c r="E29" s="144">
        <v>5474</v>
      </c>
      <c r="F29" s="144">
        <v>0</v>
      </c>
      <c r="G29" s="144">
        <v>0</v>
      </c>
      <c r="H29" s="38">
        <v>1000</v>
      </c>
      <c r="I29" s="144">
        <v>1500</v>
      </c>
      <c r="J29" s="144">
        <v>1500</v>
      </c>
      <c r="K29" s="144">
        <v>1474</v>
      </c>
      <c r="L29" s="143">
        <v>0</v>
      </c>
      <c r="M29" s="142" t="s">
        <v>350</v>
      </c>
    </row>
    <row r="30" spans="1:13" s="37" customFormat="1" ht="34.5" customHeight="1" x14ac:dyDescent="0.25">
      <c r="A30" s="147">
        <v>184</v>
      </c>
      <c r="B30" s="146" t="s">
        <v>233</v>
      </c>
      <c r="C30" s="145">
        <v>7043</v>
      </c>
      <c r="D30" s="187">
        <f t="shared" si="1"/>
        <v>30000.05</v>
      </c>
      <c r="E30" s="144">
        <v>200000</v>
      </c>
      <c r="F30" s="144">
        <v>176.05</v>
      </c>
      <c r="G30" s="144">
        <v>1524</v>
      </c>
      <c r="H30" s="38">
        <v>10241</v>
      </c>
      <c r="I30" s="144">
        <v>6287</v>
      </c>
      <c r="J30" s="144">
        <v>6076</v>
      </c>
      <c r="K30" s="144">
        <v>5696</v>
      </c>
      <c r="L30" s="143">
        <v>0</v>
      </c>
      <c r="M30" s="142" t="s">
        <v>196</v>
      </c>
    </row>
    <row r="31" spans="1:13" s="37" customFormat="1" ht="15.75" customHeight="1" x14ac:dyDescent="0.25">
      <c r="A31" s="532" t="s">
        <v>234</v>
      </c>
      <c r="B31" s="533"/>
      <c r="C31" s="202">
        <f>COUNT(C28:C30)</f>
        <v>3</v>
      </c>
      <c r="D31" s="202"/>
      <c r="E31" s="39">
        <f>SUM(E28:E30)</f>
        <v>708474</v>
      </c>
      <c r="F31" s="39">
        <f t="shared" ref="F31:L31" si="3">SUM(F28:F30)</f>
        <v>176.05</v>
      </c>
      <c r="G31" s="39">
        <f t="shared" si="3"/>
        <v>2524</v>
      </c>
      <c r="H31" s="39">
        <f t="shared" si="3"/>
        <v>25241</v>
      </c>
      <c r="I31" s="39">
        <f t="shared" si="3"/>
        <v>77787</v>
      </c>
      <c r="J31" s="39">
        <f t="shared" si="3"/>
        <v>307576</v>
      </c>
      <c r="K31" s="39">
        <f t="shared" si="3"/>
        <v>125170</v>
      </c>
      <c r="L31" s="39">
        <f t="shared" si="3"/>
        <v>0</v>
      </c>
      <c r="M31" s="40"/>
    </row>
    <row r="32" spans="1:13" s="37" customFormat="1" ht="18" customHeight="1" x14ac:dyDescent="0.25">
      <c r="A32" s="150" t="s">
        <v>38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8"/>
    </row>
    <row r="33" spans="1:13" s="37" customFormat="1" ht="15" customHeight="1" x14ac:dyDescent="0.25">
      <c r="A33" s="147">
        <v>219</v>
      </c>
      <c r="B33" s="146" t="s">
        <v>305</v>
      </c>
      <c r="C33" s="145">
        <v>3519</v>
      </c>
      <c r="D33" s="187">
        <f t="shared" ref="D33" si="4">F33+G33+H33+I33+J33+K33+L33</f>
        <v>230000</v>
      </c>
      <c r="E33" s="144">
        <v>230000</v>
      </c>
      <c r="F33" s="144">
        <v>0</v>
      </c>
      <c r="G33" s="144">
        <v>2000</v>
      </c>
      <c r="H33" s="38">
        <v>20000</v>
      </c>
      <c r="I33" s="144">
        <v>150000</v>
      </c>
      <c r="J33" s="144">
        <v>58000</v>
      </c>
      <c r="K33" s="144">
        <v>0</v>
      </c>
      <c r="L33" s="143">
        <v>0</v>
      </c>
      <c r="M33" s="142" t="s">
        <v>350</v>
      </c>
    </row>
    <row r="34" spans="1:13" s="37" customFormat="1" ht="15.75" customHeight="1" x14ac:dyDescent="0.25">
      <c r="A34" s="532" t="s">
        <v>39</v>
      </c>
      <c r="B34" s="533"/>
      <c r="C34" s="202">
        <f>COUNT(C33)</f>
        <v>1</v>
      </c>
      <c r="D34" s="202"/>
      <c r="E34" s="39">
        <f>SUM(E33)</f>
        <v>230000</v>
      </c>
      <c r="F34" s="39">
        <f t="shared" ref="F34:L34" si="5">SUM(F33)</f>
        <v>0</v>
      </c>
      <c r="G34" s="39">
        <f t="shared" si="5"/>
        <v>2000</v>
      </c>
      <c r="H34" s="39">
        <f t="shared" si="5"/>
        <v>20000</v>
      </c>
      <c r="I34" s="39">
        <f t="shared" si="5"/>
        <v>150000</v>
      </c>
      <c r="J34" s="39">
        <f t="shared" si="5"/>
        <v>58000</v>
      </c>
      <c r="K34" s="39">
        <f t="shared" si="5"/>
        <v>0</v>
      </c>
      <c r="L34" s="39">
        <f t="shared" si="5"/>
        <v>0</v>
      </c>
      <c r="M34" s="40"/>
    </row>
    <row r="35" spans="1:13" s="37" customFormat="1" ht="18" customHeight="1" x14ac:dyDescent="0.25">
      <c r="A35" s="150" t="s">
        <v>40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8"/>
    </row>
    <row r="36" spans="1:13" s="37" customFormat="1" ht="15" customHeight="1" x14ac:dyDescent="0.25">
      <c r="A36" s="147">
        <v>275</v>
      </c>
      <c r="B36" s="146" t="s">
        <v>306</v>
      </c>
      <c r="C36" s="145">
        <v>3505</v>
      </c>
      <c r="D36" s="187">
        <f t="shared" ref="D36:D45" si="6">F36+G36+H36+I36+J36+K36+L36</f>
        <v>2599999.75</v>
      </c>
      <c r="E36" s="144">
        <v>2599999.75</v>
      </c>
      <c r="F36" s="144">
        <v>28488.570000000003</v>
      </c>
      <c r="G36" s="144">
        <v>38044.18</v>
      </c>
      <c r="H36" s="38">
        <v>417000</v>
      </c>
      <c r="I36" s="144">
        <v>920000</v>
      </c>
      <c r="J36" s="144">
        <v>1194467</v>
      </c>
      <c r="K36" s="144">
        <v>2000</v>
      </c>
      <c r="L36" s="143">
        <v>0</v>
      </c>
      <c r="M36" s="142" t="s">
        <v>350</v>
      </c>
    </row>
    <row r="37" spans="1:13" s="37" customFormat="1" ht="15" customHeight="1" x14ac:dyDescent="0.25">
      <c r="A37" s="147">
        <v>277</v>
      </c>
      <c r="B37" s="146" t="s">
        <v>307</v>
      </c>
      <c r="C37" s="145">
        <v>3550</v>
      </c>
      <c r="D37" s="187">
        <f t="shared" si="6"/>
        <v>30499.69</v>
      </c>
      <c r="E37" s="144">
        <v>30499.69</v>
      </c>
      <c r="F37" s="144">
        <v>107.69</v>
      </c>
      <c r="G37" s="144">
        <v>360</v>
      </c>
      <c r="H37" s="38">
        <v>25140</v>
      </c>
      <c r="I37" s="144">
        <v>4892</v>
      </c>
      <c r="J37" s="144">
        <v>0</v>
      </c>
      <c r="K37" s="144">
        <v>0</v>
      </c>
      <c r="L37" s="143">
        <v>0</v>
      </c>
      <c r="M37" s="142" t="s">
        <v>350</v>
      </c>
    </row>
    <row r="38" spans="1:13" s="37" customFormat="1" ht="15" customHeight="1" x14ac:dyDescent="0.25">
      <c r="A38" s="147">
        <v>279</v>
      </c>
      <c r="B38" s="146" t="s">
        <v>400</v>
      </c>
      <c r="C38" s="145">
        <v>3577</v>
      </c>
      <c r="D38" s="187">
        <f t="shared" si="6"/>
        <v>58000</v>
      </c>
      <c r="E38" s="144">
        <v>58000</v>
      </c>
      <c r="F38" s="144">
        <v>0</v>
      </c>
      <c r="G38" s="144">
        <v>500</v>
      </c>
      <c r="H38" s="38">
        <v>25000</v>
      </c>
      <c r="I38" s="144">
        <v>32000</v>
      </c>
      <c r="J38" s="144">
        <v>0</v>
      </c>
      <c r="K38" s="144">
        <v>500</v>
      </c>
      <c r="L38" s="143">
        <v>0</v>
      </c>
      <c r="M38" s="142" t="s">
        <v>350</v>
      </c>
    </row>
    <row r="39" spans="1:13" s="37" customFormat="1" ht="15" customHeight="1" x14ac:dyDescent="0.25">
      <c r="A39" s="147">
        <v>281</v>
      </c>
      <c r="B39" s="146" t="s">
        <v>308</v>
      </c>
      <c r="C39" s="145">
        <v>3523</v>
      </c>
      <c r="D39" s="187">
        <f t="shared" si="6"/>
        <v>179966</v>
      </c>
      <c r="E39" s="144">
        <v>179966</v>
      </c>
      <c r="F39" s="144">
        <v>0</v>
      </c>
      <c r="G39" s="144">
        <v>500</v>
      </c>
      <c r="H39" s="38">
        <v>123266</v>
      </c>
      <c r="I39" s="144">
        <v>56200</v>
      </c>
      <c r="J39" s="144">
        <v>0</v>
      </c>
      <c r="K39" s="144">
        <v>0</v>
      </c>
      <c r="L39" s="143">
        <v>0</v>
      </c>
      <c r="M39" s="142" t="s">
        <v>350</v>
      </c>
    </row>
    <row r="40" spans="1:13" s="37" customFormat="1" ht="15" customHeight="1" x14ac:dyDescent="0.25">
      <c r="A40" s="147">
        <v>283</v>
      </c>
      <c r="B40" s="146" t="s">
        <v>309</v>
      </c>
      <c r="C40" s="145">
        <v>3555</v>
      </c>
      <c r="D40" s="187">
        <f t="shared" si="6"/>
        <v>249999.99</v>
      </c>
      <c r="E40" s="144">
        <v>249999.99</v>
      </c>
      <c r="F40" s="144">
        <v>3517.99</v>
      </c>
      <c r="G40" s="144">
        <v>1500</v>
      </c>
      <c r="H40" s="38">
        <v>68000</v>
      </c>
      <c r="I40" s="144">
        <v>102000</v>
      </c>
      <c r="J40" s="144">
        <v>74982</v>
      </c>
      <c r="K40" s="144">
        <v>0</v>
      </c>
      <c r="L40" s="143">
        <v>0</v>
      </c>
      <c r="M40" s="142" t="s">
        <v>350</v>
      </c>
    </row>
    <row r="41" spans="1:13" s="37" customFormat="1" ht="15" customHeight="1" x14ac:dyDescent="0.25">
      <c r="A41" s="147">
        <v>285</v>
      </c>
      <c r="B41" s="146" t="s">
        <v>401</v>
      </c>
      <c r="C41" s="145">
        <v>3568</v>
      </c>
      <c r="D41" s="187">
        <f t="shared" si="6"/>
        <v>23500</v>
      </c>
      <c r="E41" s="144">
        <v>23500</v>
      </c>
      <c r="F41" s="144">
        <v>0</v>
      </c>
      <c r="G41" s="144">
        <v>300</v>
      </c>
      <c r="H41" s="38">
        <v>20000</v>
      </c>
      <c r="I41" s="144">
        <v>3200</v>
      </c>
      <c r="J41" s="144">
        <v>0</v>
      </c>
      <c r="K41" s="144">
        <v>0</v>
      </c>
      <c r="L41" s="143">
        <v>0</v>
      </c>
      <c r="M41" s="142" t="s">
        <v>350</v>
      </c>
    </row>
    <row r="42" spans="1:13" s="37" customFormat="1" ht="15" customHeight="1" x14ac:dyDescent="0.25">
      <c r="A42" s="147">
        <v>287</v>
      </c>
      <c r="B42" s="146" t="s">
        <v>310</v>
      </c>
      <c r="C42" s="145">
        <v>3549</v>
      </c>
      <c r="D42" s="187">
        <f t="shared" si="6"/>
        <v>5615</v>
      </c>
      <c r="E42" s="144">
        <v>5615</v>
      </c>
      <c r="F42" s="144">
        <v>115</v>
      </c>
      <c r="G42" s="144">
        <v>100</v>
      </c>
      <c r="H42" s="38">
        <v>5400</v>
      </c>
      <c r="I42" s="144">
        <v>0</v>
      </c>
      <c r="J42" s="144">
        <v>0</v>
      </c>
      <c r="K42" s="144">
        <v>0</v>
      </c>
      <c r="L42" s="143">
        <v>0</v>
      </c>
      <c r="M42" s="142" t="s">
        <v>350</v>
      </c>
    </row>
    <row r="43" spans="1:13" s="37" customFormat="1" ht="15" customHeight="1" x14ac:dyDescent="0.25">
      <c r="A43" s="147">
        <v>289</v>
      </c>
      <c r="B43" s="146" t="s">
        <v>402</v>
      </c>
      <c r="C43" s="145">
        <v>3554</v>
      </c>
      <c r="D43" s="187">
        <f t="shared" si="6"/>
        <v>11500</v>
      </c>
      <c r="E43" s="144">
        <v>11500</v>
      </c>
      <c r="F43" s="144">
        <v>0</v>
      </c>
      <c r="G43" s="144">
        <v>100</v>
      </c>
      <c r="H43" s="38">
        <v>2000</v>
      </c>
      <c r="I43" s="144">
        <v>4300</v>
      </c>
      <c r="J43" s="144">
        <v>5100</v>
      </c>
      <c r="K43" s="144">
        <v>0</v>
      </c>
      <c r="L43" s="143">
        <v>0</v>
      </c>
      <c r="M43" s="142" t="s">
        <v>350</v>
      </c>
    </row>
    <row r="44" spans="1:13" s="37" customFormat="1" ht="15" customHeight="1" x14ac:dyDescent="0.25">
      <c r="A44" s="147">
        <v>291</v>
      </c>
      <c r="B44" s="146" t="s">
        <v>403</v>
      </c>
      <c r="C44" s="145">
        <v>3524</v>
      </c>
      <c r="D44" s="187">
        <f t="shared" si="6"/>
        <v>165100.99</v>
      </c>
      <c r="E44" s="144">
        <v>165101</v>
      </c>
      <c r="F44" s="144">
        <f>109.2+5101</f>
        <v>5210.2</v>
      </c>
      <c r="G44" s="144">
        <v>3120.79</v>
      </c>
      <c r="H44" s="38">
        <v>47800</v>
      </c>
      <c r="I44" s="144">
        <v>108970</v>
      </c>
      <c r="J44" s="144">
        <v>0</v>
      </c>
      <c r="K44" s="144">
        <v>0</v>
      </c>
      <c r="L44" s="143">
        <v>0</v>
      </c>
      <c r="M44" s="142" t="s">
        <v>350</v>
      </c>
    </row>
    <row r="45" spans="1:13" s="37" customFormat="1" ht="15" customHeight="1" x14ac:dyDescent="0.25">
      <c r="A45" s="147">
        <v>293</v>
      </c>
      <c r="B45" s="146" t="s">
        <v>236</v>
      </c>
      <c r="C45" s="145">
        <v>3514</v>
      </c>
      <c r="D45" s="187">
        <f t="shared" si="6"/>
        <v>122072.79000000001</v>
      </c>
      <c r="E45" s="144">
        <v>122073</v>
      </c>
      <c r="F45" s="144">
        <f>3646.79+73</f>
        <v>3719.79</v>
      </c>
      <c r="G45" s="144">
        <v>300</v>
      </c>
      <c r="H45" s="38">
        <v>44000</v>
      </c>
      <c r="I45" s="144">
        <v>74053</v>
      </c>
      <c r="J45" s="144">
        <v>0</v>
      </c>
      <c r="K45" s="144">
        <v>0</v>
      </c>
      <c r="L45" s="143">
        <v>0</v>
      </c>
      <c r="M45" s="142" t="s">
        <v>350</v>
      </c>
    </row>
    <row r="46" spans="1:13" s="37" customFormat="1" ht="15.75" customHeight="1" x14ac:dyDescent="0.25">
      <c r="A46" s="532" t="s">
        <v>41</v>
      </c>
      <c r="B46" s="533"/>
      <c r="C46" s="202">
        <f>COUNT(C36:C45)</f>
        <v>10</v>
      </c>
      <c r="D46" s="202"/>
      <c r="E46" s="39">
        <f>SUM(E36:E45)</f>
        <v>3446254.4299999997</v>
      </c>
      <c r="F46" s="39">
        <f t="shared" ref="F46:L46" si="7">SUM(F36:F45)</f>
        <v>41159.24</v>
      </c>
      <c r="G46" s="39">
        <f t="shared" si="7"/>
        <v>44824.97</v>
      </c>
      <c r="H46" s="39">
        <f t="shared" si="7"/>
        <v>777606</v>
      </c>
      <c r="I46" s="39">
        <f t="shared" si="7"/>
        <v>1305615</v>
      </c>
      <c r="J46" s="39">
        <f t="shared" si="7"/>
        <v>1274549</v>
      </c>
      <c r="K46" s="39">
        <f t="shared" si="7"/>
        <v>2500</v>
      </c>
      <c r="L46" s="39">
        <f t="shared" si="7"/>
        <v>0</v>
      </c>
      <c r="M46" s="40"/>
    </row>
    <row r="47" spans="1:13" s="37" customFormat="1" ht="18" customHeight="1" x14ac:dyDescent="0.25">
      <c r="A47" s="150" t="s">
        <v>51</v>
      </c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8"/>
    </row>
    <row r="48" spans="1:13" s="37" customFormat="1" ht="15" customHeight="1" x14ac:dyDescent="0.25">
      <c r="A48" s="147">
        <v>341</v>
      </c>
      <c r="B48" s="146" t="s">
        <v>404</v>
      </c>
      <c r="C48" s="145">
        <v>3589</v>
      </c>
      <c r="D48" s="187">
        <f t="shared" ref="D48:D53" si="8">F48+G48+H48+I48+J48+K48+L48</f>
        <v>1500</v>
      </c>
      <c r="E48" s="144">
        <v>1500</v>
      </c>
      <c r="F48" s="144">
        <v>0</v>
      </c>
      <c r="G48" s="144">
        <v>0</v>
      </c>
      <c r="H48" s="38">
        <v>380</v>
      </c>
      <c r="I48" s="144">
        <v>760</v>
      </c>
      <c r="J48" s="144">
        <v>360</v>
      </c>
      <c r="K48" s="144">
        <v>0</v>
      </c>
      <c r="L48" s="143">
        <v>0</v>
      </c>
      <c r="M48" s="142"/>
    </row>
    <row r="49" spans="1:13" s="37" customFormat="1" ht="24" customHeight="1" x14ac:dyDescent="0.25">
      <c r="A49" s="147">
        <v>342</v>
      </c>
      <c r="B49" s="146" t="s">
        <v>312</v>
      </c>
      <c r="C49" s="145">
        <v>3562</v>
      </c>
      <c r="D49" s="187">
        <f t="shared" si="8"/>
        <v>12250</v>
      </c>
      <c r="E49" s="144">
        <v>76000</v>
      </c>
      <c r="F49" s="144">
        <v>0</v>
      </c>
      <c r="G49" s="144">
        <v>100</v>
      </c>
      <c r="H49" s="38">
        <v>4175</v>
      </c>
      <c r="I49" s="144">
        <v>3963</v>
      </c>
      <c r="J49" s="144">
        <v>4012</v>
      </c>
      <c r="K49" s="144">
        <v>0</v>
      </c>
      <c r="L49" s="143">
        <v>0</v>
      </c>
      <c r="M49" s="142" t="s">
        <v>50</v>
      </c>
    </row>
    <row r="50" spans="1:13" s="37" customFormat="1" ht="15" customHeight="1" x14ac:dyDescent="0.25">
      <c r="A50" s="147">
        <v>343</v>
      </c>
      <c r="B50" s="146" t="s">
        <v>52</v>
      </c>
      <c r="C50" s="145">
        <v>3998</v>
      </c>
      <c r="D50" s="187">
        <f t="shared" si="8"/>
        <v>172315.3</v>
      </c>
      <c r="E50" s="144">
        <v>50000</v>
      </c>
      <c r="F50" s="144">
        <v>1555.3</v>
      </c>
      <c r="G50" s="144">
        <v>30760</v>
      </c>
      <c r="H50" s="38">
        <v>50000</v>
      </c>
      <c r="I50" s="144">
        <v>30000</v>
      </c>
      <c r="J50" s="144">
        <v>30000</v>
      </c>
      <c r="K50" s="144">
        <v>30000</v>
      </c>
      <c r="L50" s="143">
        <v>0</v>
      </c>
      <c r="M50" s="152" t="s">
        <v>303</v>
      </c>
    </row>
    <row r="51" spans="1:13" s="37" customFormat="1" ht="24" customHeight="1" x14ac:dyDescent="0.25">
      <c r="A51" s="147">
        <v>344</v>
      </c>
      <c r="B51" s="146" t="s">
        <v>349</v>
      </c>
      <c r="C51" s="145">
        <v>3561</v>
      </c>
      <c r="D51" s="187">
        <f>F51+G51+H51+I51+J51+K51+L51</f>
        <v>12600</v>
      </c>
      <c r="E51" s="144">
        <v>12600</v>
      </c>
      <c r="F51" s="144">
        <v>0</v>
      </c>
      <c r="G51" s="144">
        <v>525</v>
      </c>
      <c r="H51" s="38">
        <v>6300</v>
      </c>
      <c r="I51" s="144">
        <v>5775</v>
      </c>
      <c r="J51" s="144">
        <v>0</v>
      </c>
      <c r="K51" s="144">
        <v>0</v>
      </c>
      <c r="L51" s="143">
        <v>0</v>
      </c>
      <c r="M51" s="142" t="s">
        <v>350</v>
      </c>
    </row>
    <row r="52" spans="1:13" s="37" customFormat="1" ht="24" customHeight="1" x14ac:dyDescent="0.25">
      <c r="A52" s="147">
        <v>345</v>
      </c>
      <c r="B52" s="146" t="s">
        <v>405</v>
      </c>
      <c r="C52" s="145">
        <v>3600</v>
      </c>
      <c r="D52" s="187">
        <f>F52+G52+H52+I52+J52+K52+L52</f>
        <v>5202</v>
      </c>
      <c r="E52" s="144">
        <v>5202</v>
      </c>
      <c r="F52" s="144">
        <v>0</v>
      </c>
      <c r="G52" s="144">
        <v>0</v>
      </c>
      <c r="H52" s="38">
        <v>2601</v>
      </c>
      <c r="I52" s="144">
        <v>2601</v>
      </c>
      <c r="J52" s="144">
        <v>0</v>
      </c>
      <c r="K52" s="144">
        <v>0</v>
      </c>
      <c r="L52" s="143">
        <v>0</v>
      </c>
      <c r="M52" s="142" t="s">
        <v>350</v>
      </c>
    </row>
    <row r="53" spans="1:13" s="37" customFormat="1" ht="24" customHeight="1" x14ac:dyDescent="0.25">
      <c r="A53" s="147">
        <v>346</v>
      </c>
      <c r="B53" s="146" t="s">
        <v>406</v>
      </c>
      <c r="C53" s="145">
        <v>3597</v>
      </c>
      <c r="D53" s="187">
        <f t="shared" si="8"/>
        <v>3770</v>
      </c>
      <c r="E53" s="144">
        <v>3770</v>
      </c>
      <c r="F53" s="144">
        <v>0</v>
      </c>
      <c r="G53" s="144">
        <v>0</v>
      </c>
      <c r="H53" s="38">
        <v>685</v>
      </c>
      <c r="I53" s="144">
        <v>685</v>
      </c>
      <c r="J53" s="144">
        <v>685</v>
      </c>
      <c r="K53" s="144">
        <v>685</v>
      </c>
      <c r="L53" s="143">
        <f>1715-685</f>
        <v>1030</v>
      </c>
      <c r="M53" s="142" t="s">
        <v>350</v>
      </c>
    </row>
    <row r="54" spans="1:13" s="37" customFormat="1" ht="15.75" customHeight="1" x14ac:dyDescent="0.25">
      <c r="A54" s="532" t="s">
        <v>53</v>
      </c>
      <c r="B54" s="533"/>
      <c r="C54" s="202">
        <f>COUNT(C48:C53)</f>
        <v>6</v>
      </c>
      <c r="D54" s="202"/>
      <c r="E54" s="39">
        <f t="shared" ref="E54:L54" si="9">SUM(E48:E53)</f>
        <v>149072</v>
      </c>
      <c r="F54" s="39">
        <f t="shared" si="9"/>
        <v>1555.3</v>
      </c>
      <c r="G54" s="39">
        <f t="shared" si="9"/>
        <v>31385</v>
      </c>
      <c r="H54" s="39">
        <f t="shared" si="9"/>
        <v>64141</v>
      </c>
      <c r="I54" s="39">
        <f t="shared" si="9"/>
        <v>43784</v>
      </c>
      <c r="J54" s="39">
        <f t="shared" si="9"/>
        <v>35057</v>
      </c>
      <c r="K54" s="39">
        <f t="shared" si="9"/>
        <v>30685</v>
      </c>
      <c r="L54" s="39">
        <f t="shared" si="9"/>
        <v>1030</v>
      </c>
      <c r="M54" s="40"/>
    </row>
    <row r="55" spans="1:13" s="37" customFormat="1" ht="18" customHeight="1" x14ac:dyDescent="0.25">
      <c r="A55" s="150" t="s">
        <v>407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8"/>
    </row>
    <row r="56" spans="1:13" s="37" customFormat="1" ht="22.5" customHeight="1" x14ac:dyDescent="0.25">
      <c r="A56" s="147">
        <v>377</v>
      </c>
      <c r="B56" s="146" t="s">
        <v>408</v>
      </c>
      <c r="C56" s="145">
        <v>3585</v>
      </c>
      <c r="D56" s="187">
        <f t="shared" ref="D56:D59" si="10">F56+G56+H56+I56+J56+K56+L56</f>
        <v>2100</v>
      </c>
      <c r="E56" s="144">
        <v>2100</v>
      </c>
      <c r="F56" s="144">
        <v>0</v>
      </c>
      <c r="G56" s="144">
        <v>0</v>
      </c>
      <c r="H56" s="38">
        <v>1000</v>
      </c>
      <c r="I56" s="144">
        <v>1100</v>
      </c>
      <c r="J56" s="144">
        <v>0</v>
      </c>
      <c r="K56" s="144">
        <v>0</v>
      </c>
      <c r="L56" s="143">
        <v>0</v>
      </c>
      <c r="M56" s="142" t="s">
        <v>350</v>
      </c>
    </row>
    <row r="57" spans="1:13" s="37" customFormat="1" ht="15" customHeight="1" x14ac:dyDescent="0.25">
      <c r="A57" s="147">
        <v>378</v>
      </c>
      <c r="B57" s="146" t="s">
        <v>409</v>
      </c>
      <c r="C57" s="145">
        <v>3586</v>
      </c>
      <c r="D57" s="187">
        <f t="shared" si="10"/>
        <v>2500</v>
      </c>
      <c r="E57" s="144">
        <v>2500</v>
      </c>
      <c r="F57" s="144">
        <v>0</v>
      </c>
      <c r="G57" s="144">
        <v>0</v>
      </c>
      <c r="H57" s="38">
        <v>600</v>
      </c>
      <c r="I57" s="144">
        <v>1300</v>
      </c>
      <c r="J57" s="144">
        <v>600</v>
      </c>
      <c r="K57" s="144">
        <v>0</v>
      </c>
      <c r="L57" s="143">
        <v>0</v>
      </c>
      <c r="M57" s="142" t="s">
        <v>350</v>
      </c>
    </row>
    <row r="58" spans="1:13" s="37" customFormat="1" ht="15" customHeight="1" x14ac:dyDescent="0.25">
      <c r="A58" s="147">
        <v>380</v>
      </c>
      <c r="B58" s="146" t="s">
        <v>410</v>
      </c>
      <c r="C58" s="145">
        <v>3587</v>
      </c>
      <c r="D58" s="187">
        <f t="shared" si="10"/>
        <v>17000</v>
      </c>
      <c r="E58" s="144">
        <v>17000</v>
      </c>
      <c r="F58" s="144">
        <v>0</v>
      </c>
      <c r="G58" s="144">
        <v>0</v>
      </c>
      <c r="H58" s="38">
        <v>2000</v>
      </c>
      <c r="I58" s="144">
        <v>7000</v>
      </c>
      <c r="J58" s="144">
        <v>8000</v>
      </c>
      <c r="K58" s="144">
        <v>0</v>
      </c>
      <c r="L58" s="143">
        <v>0</v>
      </c>
      <c r="M58" s="142" t="s">
        <v>350</v>
      </c>
    </row>
    <row r="59" spans="1:13" s="37" customFormat="1" ht="24" customHeight="1" x14ac:dyDescent="0.25">
      <c r="A59" s="147">
        <v>382</v>
      </c>
      <c r="B59" s="146" t="s">
        <v>411</v>
      </c>
      <c r="C59" s="151">
        <v>3588</v>
      </c>
      <c r="D59" s="187">
        <f t="shared" si="10"/>
        <v>17000</v>
      </c>
      <c r="E59" s="144">
        <v>17000</v>
      </c>
      <c r="F59" s="144">
        <v>0</v>
      </c>
      <c r="G59" s="144">
        <v>0</v>
      </c>
      <c r="H59" s="38">
        <v>2000</v>
      </c>
      <c r="I59" s="144">
        <v>7000</v>
      </c>
      <c r="J59" s="144">
        <v>8000</v>
      </c>
      <c r="K59" s="144">
        <v>0</v>
      </c>
      <c r="L59" s="143">
        <v>0</v>
      </c>
      <c r="M59" s="142" t="s">
        <v>350</v>
      </c>
    </row>
    <row r="60" spans="1:13" s="37" customFormat="1" ht="15.75" customHeight="1" x14ac:dyDescent="0.25">
      <c r="A60" s="532" t="s">
        <v>412</v>
      </c>
      <c r="B60" s="533"/>
      <c r="C60" s="202">
        <f>COUNT(C56:C59)</f>
        <v>4</v>
      </c>
      <c r="D60" s="202"/>
      <c r="E60" s="39">
        <f>SUM(E56:E59)</f>
        <v>38600</v>
      </c>
      <c r="F60" s="39">
        <f t="shared" ref="F60:L60" si="11">SUM(F56:F59)</f>
        <v>0</v>
      </c>
      <c r="G60" s="39">
        <f t="shared" si="11"/>
        <v>0</v>
      </c>
      <c r="H60" s="39">
        <f t="shared" si="11"/>
        <v>5600</v>
      </c>
      <c r="I60" s="39">
        <f t="shared" si="11"/>
        <v>16400</v>
      </c>
      <c r="J60" s="39">
        <f t="shared" si="11"/>
        <v>16600</v>
      </c>
      <c r="K60" s="39">
        <f t="shared" si="11"/>
        <v>0</v>
      </c>
      <c r="L60" s="39">
        <f t="shared" si="11"/>
        <v>0</v>
      </c>
      <c r="M60" s="40"/>
    </row>
    <row r="61" spans="1:13" s="37" customFormat="1" ht="18" customHeight="1" x14ac:dyDescent="0.25">
      <c r="A61" s="150" t="s">
        <v>42</v>
      </c>
      <c r="B61" s="149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8"/>
    </row>
    <row r="62" spans="1:13" s="37" customFormat="1" ht="15" customHeight="1" x14ac:dyDescent="0.25">
      <c r="A62" s="147">
        <v>436</v>
      </c>
      <c r="B62" s="146" t="s">
        <v>413</v>
      </c>
      <c r="C62" s="145">
        <v>3591</v>
      </c>
      <c r="D62" s="187">
        <f t="shared" ref="D62:D81" si="12">F62+G62+H62+I62+J62+K62+L62</f>
        <v>42697</v>
      </c>
      <c r="E62" s="144">
        <v>42697</v>
      </c>
      <c r="F62" s="144">
        <v>0</v>
      </c>
      <c r="G62" s="144">
        <f>277+2420</f>
        <v>2697</v>
      </c>
      <c r="H62" s="38">
        <v>15000</v>
      </c>
      <c r="I62" s="144">
        <v>25000</v>
      </c>
      <c r="J62" s="144">
        <v>0</v>
      </c>
      <c r="K62" s="144">
        <v>0</v>
      </c>
      <c r="L62" s="143">
        <v>0</v>
      </c>
      <c r="M62" s="142" t="s">
        <v>350</v>
      </c>
    </row>
    <row r="63" spans="1:13" s="37" customFormat="1" ht="15" customHeight="1" x14ac:dyDescent="0.25">
      <c r="A63" s="147">
        <f>A62+2</f>
        <v>438</v>
      </c>
      <c r="B63" s="146" t="s">
        <v>237</v>
      </c>
      <c r="C63" s="145">
        <v>3512</v>
      </c>
      <c r="D63" s="187">
        <f>F63+G63+H63+I63+J63+K63+L63</f>
        <v>38828</v>
      </c>
      <c r="E63" s="144">
        <v>38828</v>
      </c>
      <c r="F63" s="144">
        <f>34+115+168+511</f>
        <v>828</v>
      </c>
      <c r="G63" s="144">
        <v>200</v>
      </c>
      <c r="H63" s="38">
        <v>21300</v>
      </c>
      <c r="I63" s="144">
        <v>16500</v>
      </c>
      <c r="J63" s="144">
        <v>0</v>
      </c>
      <c r="K63" s="144">
        <v>0</v>
      </c>
      <c r="L63" s="143">
        <v>0</v>
      </c>
      <c r="M63" s="142" t="s">
        <v>350</v>
      </c>
    </row>
    <row r="64" spans="1:13" s="37" customFormat="1" ht="15" customHeight="1" x14ac:dyDescent="0.25">
      <c r="A64" s="147">
        <f t="shared" ref="A64:A81" si="13">A63+2</f>
        <v>440</v>
      </c>
      <c r="B64" s="146" t="s">
        <v>414</v>
      </c>
      <c r="C64" s="145">
        <v>3592</v>
      </c>
      <c r="D64" s="187">
        <f t="shared" si="12"/>
        <v>65220</v>
      </c>
      <c r="E64" s="144">
        <v>65220</v>
      </c>
      <c r="F64" s="144">
        <f>220+2000</f>
        <v>2220</v>
      </c>
      <c r="G64" s="144">
        <v>0</v>
      </c>
      <c r="H64" s="38">
        <v>15000</v>
      </c>
      <c r="I64" s="144">
        <v>48000</v>
      </c>
      <c r="J64" s="144">
        <v>0</v>
      </c>
      <c r="K64" s="144">
        <v>0</v>
      </c>
      <c r="L64" s="143">
        <v>0</v>
      </c>
      <c r="M64" s="142" t="s">
        <v>350</v>
      </c>
    </row>
    <row r="65" spans="1:13" s="37" customFormat="1" ht="24" customHeight="1" x14ac:dyDescent="0.25">
      <c r="A65" s="147">
        <f t="shared" si="13"/>
        <v>442</v>
      </c>
      <c r="B65" s="146" t="s">
        <v>315</v>
      </c>
      <c r="C65" s="145">
        <v>3539</v>
      </c>
      <c r="D65" s="187">
        <f>F65+G65+H65+I65+J65+K65+L65</f>
        <v>12303.130000000001</v>
      </c>
      <c r="E65" s="144">
        <v>32912</v>
      </c>
      <c r="F65" s="144">
        <v>0</v>
      </c>
      <c r="G65" s="144">
        <v>9914.130000000001</v>
      </c>
      <c r="H65" s="38">
        <v>1050</v>
      </c>
      <c r="I65" s="144">
        <v>700</v>
      </c>
      <c r="J65" s="144">
        <v>639</v>
      </c>
      <c r="K65" s="144">
        <v>0</v>
      </c>
      <c r="L65" s="143">
        <v>0</v>
      </c>
      <c r="M65" s="142" t="s">
        <v>50</v>
      </c>
    </row>
    <row r="66" spans="1:13" s="37" customFormat="1" ht="24" customHeight="1" x14ac:dyDescent="0.25">
      <c r="A66" s="147">
        <v>443</v>
      </c>
      <c r="B66" s="146" t="s">
        <v>415</v>
      </c>
      <c r="C66" s="145">
        <v>3506</v>
      </c>
      <c r="D66" s="187">
        <f>F66+G66+H66+I66+J66+K66+L66</f>
        <v>4271.26</v>
      </c>
      <c r="E66" s="144">
        <v>11204</v>
      </c>
      <c r="F66" s="144">
        <v>0</v>
      </c>
      <c r="G66" s="144">
        <v>3501.2599999999998</v>
      </c>
      <c r="H66" s="38">
        <v>330</v>
      </c>
      <c r="I66" s="144">
        <v>330</v>
      </c>
      <c r="J66" s="144">
        <v>110</v>
      </c>
      <c r="K66" s="144">
        <v>0</v>
      </c>
      <c r="L66" s="143">
        <v>0</v>
      </c>
      <c r="M66" s="142" t="s">
        <v>50</v>
      </c>
    </row>
    <row r="67" spans="1:13" s="37" customFormat="1" ht="24" customHeight="1" x14ac:dyDescent="0.25">
      <c r="A67" s="147">
        <v>444</v>
      </c>
      <c r="B67" s="146" t="s">
        <v>316</v>
      </c>
      <c r="C67" s="145">
        <v>3540</v>
      </c>
      <c r="D67" s="187">
        <f>F67+G67+H67+I67+J67+K67+L67</f>
        <v>3444.36</v>
      </c>
      <c r="E67" s="144">
        <v>8968</v>
      </c>
      <c r="F67" s="144">
        <v>0</v>
      </c>
      <c r="G67" s="144">
        <v>2667.36</v>
      </c>
      <c r="H67" s="38">
        <v>300</v>
      </c>
      <c r="I67" s="144">
        <v>385</v>
      </c>
      <c r="J67" s="144">
        <v>92</v>
      </c>
      <c r="K67" s="144">
        <v>0</v>
      </c>
      <c r="L67" s="143">
        <v>0</v>
      </c>
      <c r="M67" s="142" t="s">
        <v>50</v>
      </c>
    </row>
    <row r="68" spans="1:13" s="37" customFormat="1" ht="24" customHeight="1" x14ac:dyDescent="0.25">
      <c r="A68" s="147">
        <v>445</v>
      </c>
      <c r="B68" s="146" t="s">
        <v>314</v>
      </c>
      <c r="C68" s="145">
        <v>3507</v>
      </c>
      <c r="D68" s="187">
        <f t="shared" si="12"/>
        <v>12658.4</v>
      </c>
      <c r="E68" s="144">
        <v>33872</v>
      </c>
      <c r="F68" s="144">
        <v>0</v>
      </c>
      <c r="G68" s="144">
        <v>10111.4</v>
      </c>
      <c r="H68" s="38">
        <v>800</v>
      </c>
      <c r="I68" s="144">
        <v>900</v>
      </c>
      <c r="J68" s="144">
        <v>847</v>
      </c>
      <c r="K68" s="144">
        <v>0</v>
      </c>
      <c r="L68" s="143">
        <v>0</v>
      </c>
      <c r="M68" s="142" t="s">
        <v>50</v>
      </c>
    </row>
    <row r="69" spans="1:13" s="37" customFormat="1" ht="24" customHeight="1" x14ac:dyDescent="0.25">
      <c r="A69" s="147">
        <v>446</v>
      </c>
      <c r="B69" s="146" t="s">
        <v>238</v>
      </c>
      <c r="C69" s="145">
        <v>3511</v>
      </c>
      <c r="D69" s="187">
        <f t="shared" si="12"/>
        <v>8243.89</v>
      </c>
      <c r="E69" s="144">
        <v>18552</v>
      </c>
      <c r="F69" s="144">
        <v>368.89</v>
      </c>
      <c r="G69" s="144">
        <v>6740</v>
      </c>
      <c r="H69" s="38">
        <v>700</v>
      </c>
      <c r="I69" s="144">
        <v>435</v>
      </c>
      <c r="J69" s="144">
        <v>0</v>
      </c>
      <c r="K69" s="144">
        <v>0</v>
      </c>
      <c r="L69" s="143">
        <v>0</v>
      </c>
      <c r="M69" s="142" t="s">
        <v>50</v>
      </c>
    </row>
    <row r="70" spans="1:13" s="37" customFormat="1" ht="24" customHeight="1" x14ac:dyDescent="0.25">
      <c r="A70" s="147">
        <v>447</v>
      </c>
      <c r="B70" s="146" t="s">
        <v>416</v>
      </c>
      <c r="C70" s="145">
        <v>3508</v>
      </c>
      <c r="D70" s="187">
        <f t="shared" si="12"/>
        <v>1900</v>
      </c>
      <c r="E70" s="144">
        <v>17200</v>
      </c>
      <c r="F70" s="144">
        <v>0</v>
      </c>
      <c r="G70" s="144">
        <v>0</v>
      </c>
      <c r="H70" s="38">
        <v>600</v>
      </c>
      <c r="I70" s="144">
        <v>500</v>
      </c>
      <c r="J70" s="144">
        <v>800</v>
      </c>
      <c r="K70" s="144">
        <v>0</v>
      </c>
      <c r="L70" s="143">
        <v>0</v>
      </c>
      <c r="M70" s="142" t="s">
        <v>50</v>
      </c>
    </row>
    <row r="71" spans="1:13" s="37" customFormat="1" ht="24" customHeight="1" x14ac:dyDescent="0.25">
      <c r="A71" s="147">
        <v>448</v>
      </c>
      <c r="B71" s="146" t="s">
        <v>317</v>
      </c>
      <c r="C71" s="145">
        <v>3521</v>
      </c>
      <c r="D71" s="187">
        <f t="shared" si="12"/>
        <v>760849.05</v>
      </c>
      <c r="E71" s="144">
        <v>760849.05</v>
      </c>
      <c r="F71" s="144">
        <v>230571.43000000002</v>
      </c>
      <c r="G71" s="144">
        <v>276925.62</v>
      </c>
      <c r="H71" s="38">
        <v>253352</v>
      </c>
      <c r="I71" s="144">
        <v>0</v>
      </c>
      <c r="J71" s="144">
        <v>0</v>
      </c>
      <c r="K71" s="144">
        <v>0</v>
      </c>
      <c r="L71" s="143">
        <v>0</v>
      </c>
      <c r="M71" s="142" t="s">
        <v>50</v>
      </c>
    </row>
    <row r="72" spans="1:13" s="37" customFormat="1" ht="24" customHeight="1" x14ac:dyDescent="0.25">
      <c r="A72" s="147">
        <v>449</v>
      </c>
      <c r="B72" s="146" t="s">
        <v>417</v>
      </c>
      <c r="C72" s="145">
        <v>3509</v>
      </c>
      <c r="D72" s="187">
        <f t="shared" si="12"/>
        <v>8078.48</v>
      </c>
      <c r="E72" s="144">
        <v>18777</v>
      </c>
      <c r="F72" s="144">
        <v>367.82000000000005</v>
      </c>
      <c r="G72" s="144">
        <v>6439.66</v>
      </c>
      <c r="H72" s="38">
        <v>650</v>
      </c>
      <c r="I72" s="144">
        <v>621</v>
      </c>
      <c r="J72" s="144">
        <v>0</v>
      </c>
      <c r="K72" s="144">
        <v>0</v>
      </c>
      <c r="L72" s="143">
        <v>0</v>
      </c>
      <c r="M72" s="142" t="s">
        <v>50</v>
      </c>
    </row>
    <row r="73" spans="1:13" s="37" customFormat="1" ht="15" customHeight="1" x14ac:dyDescent="0.25">
      <c r="A73" s="147">
        <v>450</v>
      </c>
      <c r="B73" s="146" t="s">
        <v>138</v>
      </c>
      <c r="C73" s="145">
        <v>3402</v>
      </c>
      <c r="D73" s="187">
        <f t="shared" si="12"/>
        <v>315999.99</v>
      </c>
      <c r="E73" s="144">
        <v>315999.99</v>
      </c>
      <c r="F73" s="144">
        <v>69760.39</v>
      </c>
      <c r="G73" s="144">
        <v>103239.6</v>
      </c>
      <c r="H73" s="38">
        <v>143000</v>
      </c>
      <c r="I73" s="144">
        <v>0</v>
      </c>
      <c r="J73" s="144">
        <v>0</v>
      </c>
      <c r="K73" s="144">
        <v>0</v>
      </c>
      <c r="L73" s="143">
        <v>0</v>
      </c>
      <c r="M73" s="142" t="s">
        <v>350</v>
      </c>
    </row>
    <row r="74" spans="1:13" s="37" customFormat="1" ht="15" customHeight="1" x14ac:dyDescent="0.25">
      <c r="A74" s="147">
        <f t="shared" si="13"/>
        <v>452</v>
      </c>
      <c r="B74" s="146" t="s">
        <v>418</v>
      </c>
      <c r="C74" s="145">
        <v>3557</v>
      </c>
      <c r="D74" s="187">
        <f t="shared" si="12"/>
        <v>94793</v>
      </c>
      <c r="E74" s="144">
        <v>94793</v>
      </c>
      <c r="F74" s="144">
        <f>11977.87+73+20</f>
        <v>12070.87</v>
      </c>
      <c r="G74" s="144">
        <v>2947.13</v>
      </c>
      <c r="H74" s="38">
        <v>10100</v>
      </c>
      <c r="I74" s="144">
        <v>69675</v>
      </c>
      <c r="J74" s="144">
        <v>0</v>
      </c>
      <c r="K74" s="144">
        <v>0</v>
      </c>
      <c r="L74" s="143">
        <v>0</v>
      </c>
      <c r="M74" s="142" t="s">
        <v>350</v>
      </c>
    </row>
    <row r="75" spans="1:13" s="37" customFormat="1" ht="24" customHeight="1" x14ac:dyDescent="0.25">
      <c r="A75" s="147">
        <f t="shared" si="13"/>
        <v>454</v>
      </c>
      <c r="B75" s="146" t="s">
        <v>419</v>
      </c>
      <c r="C75" s="145">
        <v>3545</v>
      </c>
      <c r="D75" s="187">
        <f t="shared" si="12"/>
        <v>63721</v>
      </c>
      <c r="E75" s="144">
        <v>63721</v>
      </c>
      <c r="F75" s="144">
        <v>0</v>
      </c>
      <c r="G75" s="144">
        <v>1721</v>
      </c>
      <c r="H75" s="38">
        <v>10000</v>
      </c>
      <c r="I75" s="144">
        <v>40000</v>
      </c>
      <c r="J75" s="144">
        <v>12000</v>
      </c>
      <c r="K75" s="144">
        <v>0</v>
      </c>
      <c r="L75" s="143">
        <v>0</v>
      </c>
      <c r="M75" s="142" t="s">
        <v>350</v>
      </c>
    </row>
    <row r="76" spans="1:13" s="37" customFormat="1" ht="15" customHeight="1" x14ac:dyDescent="0.25">
      <c r="A76" s="147">
        <f t="shared" si="13"/>
        <v>456</v>
      </c>
      <c r="B76" s="146" t="s">
        <v>318</v>
      </c>
      <c r="C76" s="145">
        <v>3560</v>
      </c>
      <c r="D76" s="187">
        <f t="shared" si="12"/>
        <v>157358.95000000001</v>
      </c>
      <c r="E76" s="144">
        <v>157359</v>
      </c>
      <c r="F76" s="144">
        <v>359</v>
      </c>
      <c r="G76" s="144">
        <v>473.95</v>
      </c>
      <c r="H76" s="38">
        <v>500</v>
      </c>
      <c r="I76" s="144">
        <v>6800</v>
      </c>
      <c r="J76" s="144">
        <v>69585</v>
      </c>
      <c r="K76" s="144">
        <v>79641</v>
      </c>
      <c r="L76" s="143">
        <v>0</v>
      </c>
      <c r="M76" s="142" t="s">
        <v>350</v>
      </c>
    </row>
    <row r="77" spans="1:13" s="37" customFormat="1" ht="15" customHeight="1" x14ac:dyDescent="0.25">
      <c r="A77" s="147">
        <f t="shared" si="13"/>
        <v>458</v>
      </c>
      <c r="B77" s="146" t="s">
        <v>420</v>
      </c>
      <c r="C77" s="145">
        <v>3581</v>
      </c>
      <c r="D77" s="187">
        <f t="shared" si="12"/>
        <v>175000</v>
      </c>
      <c r="E77" s="144">
        <v>175000</v>
      </c>
      <c r="F77" s="144">
        <v>0</v>
      </c>
      <c r="G77" s="144">
        <v>2500</v>
      </c>
      <c r="H77" s="38">
        <v>10000</v>
      </c>
      <c r="I77" s="144">
        <v>70000</v>
      </c>
      <c r="J77" s="144">
        <v>52500</v>
      </c>
      <c r="K77" s="144">
        <v>40000</v>
      </c>
      <c r="L77" s="143">
        <v>0</v>
      </c>
      <c r="M77" s="142" t="s">
        <v>350</v>
      </c>
    </row>
    <row r="78" spans="1:13" s="37" customFormat="1" ht="24" customHeight="1" x14ac:dyDescent="0.25">
      <c r="A78" s="147">
        <f t="shared" si="13"/>
        <v>460</v>
      </c>
      <c r="B78" s="146" t="s">
        <v>421</v>
      </c>
      <c r="C78" s="145">
        <v>3544</v>
      </c>
      <c r="D78" s="187">
        <f t="shared" si="12"/>
        <v>35700</v>
      </c>
      <c r="E78" s="144">
        <v>35700</v>
      </c>
      <c r="F78" s="144">
        <v>700</v>
      </c>
      <c r="G78" s="144">
        <v>200</v>
      </c>
      <c r="H78" s="38">
        <v>20000</v>
      </c>
      <c r="I78" s="144">
        <v>14800</v>
      </c>
      <c r="J78" s="144">
        <v>0</v>
      </c>
      <c r="K78" s="144">
        <v>0</v>
      </c>
      <c r="L78" s="143">
        <v>0</v>
      </c>
      <c r="M78" s="142" t="s">
        <v>350</v>
      </c>
    </row>
    <row r="79" spans="1:13" s="37" customFormat="1" ht="24" customHeight="1" x14ac:dyDescent="0.25">
      <c r="A79" s="147">
        <f t="shared" si="13"/>
        <v>462</v>
      </c>
      <c r="B79" s="146" t="s">
        <v>422</v>
      </c>
      <c r="C79" s="145">
        <v>3543</v>
      </c>
      <c r="D79" s="187">
        <f t="shared" si="12"/>
        <v>107848</v>
      </c>
      <c r="E79" s="144">
        <v>107848</v>
      </c>
      <c r="F79" s="144">
        <v>348</v>
      </c>
      <c r="G79" s="144">
        <v>3630</v>
      </c>
      <c r="H79" s="38">
        <v>35000</v>
      </c>
      <c r="I79" s="144">
        <v>68870</v>
      </c>
      <c r="J79" s="144">
        <v>0</v>
      </c>
      <c r="K79" s="144">
        <v>0</v>
      </c>
      <c r="L79" s="143">
        <v>0</v>
      </c>
      <c r="M79" s="142" t="s">
        <v>350</v>
      </c>
    </row>
    <row r="80" spans="1:13" s="37" customFormat="1" ht="24" customHeight="1" x14ac:dyDescent="0.25">
      <c r="A80" s="147">
        <f t="shared" si="13"/>
        <v>464</v>
      </c>
      <c r="B80" s="146" t="s">
        <v>181</v>
      </c>
      <c r="C80" s="145">
        <v>3425</v>
      </c>
      <c r="D80" s="187">
        <f t="shared" si="12"/>
        <v>102003.98999999999</v>
      </c>
      <c r="E80" s="144">
        <v>102004</v>
      </c>
      <c r="F80" s="144">
        <f>27914.5+4</f>
        <v>27918.5</v>
      </c>
      <c r="G80" s="144">
        <v>48085.49</v>
      </c>
      <c r="H80" s="38">
        <v>26000</v>
      </c>
      <c r="I80" s="144">
        <v>0</v>
      </c>
      <c r="J80" s="144">
        <v>0</v>
      </c>
      <c r="K80" s="144">
        <v>0</v>
      </c>
      <c r="L80" s="143">
        <v>0</v>
      </c>
      <c r="M80" s="142" t="s">
        <v>350</v>
      </c>
    </row>
    <row r="81" spans="1:13" s="37" customFormat="1" ht="24" customHeight="1" x14ac:dyDescent="0.25">
      <c r="A81" s="147">
        <f t="shared" si="13"/>
        <v>466</v>
      </c>
      <c r="B81" s="146" t="s">
        <v>319</v>
      </c>
      <c r="C81" s="145">
        <v>3510</v>
      </c>
      <c r="D81" s="187">
        <f t="shared" si="12"/>
        <v>5897.83</v>
      </c>
      <c r="E81" s="144">
        <v>15600</v>
      </c>
      <c r="F81" s="144">
        <v>0</v>
      </c>
      <c r="G81" s="144">
        <v>4627.83</v>
      </c>
      <c r="H81" s="38">
        <v>640</v>
      </c>
      <c r="I81" s="144">
        <v>630</v>
      </c>
      <c r="J81" s="144">
        <v>0</v>
      </c>
      <c r="K81" s="144">
        <v>0</v>
      </c>
      <c r="L81" s="143">
        <v>0</v>
      </c>
      <c r="M81" s="142" t="s">
        <v>50</v>
      </c>
    </row>
    <row r="82" spans="1:13" s="37" customFormat="1" ht="15.75" customHeight="1" x14ac:dyDescent="0.25">
      <c r="A82" s="532" t="s">
        <v>43</v>
      </c>
      <c r="B82" s="533"/>
      <c r="C82" s="202">
        <f>COUNT(C62:C81)</f>
        <v>20</v>
      </c>
      <c r="D82" s="202"/>
      <c r="E82" s="39">
        <f t="shared" ref="E82:L82" si="14">SUM(E62:E81)</f>
        <v>2117104.04</v>
      </c>
      <c r="F82" s="39">
        <f t="shared" si="14"/>
        <v>345512.9</v>
      </c>
      <c r="G82" s="39">
        <f t="shared" si="14"/>
        <v>486621.43000000005</v>
      </c>
      <c r="H82" s="39">
        <f t="shared" si="14"/>
        <v>564322</v>
      </c>
      <c r="I82" s="39">
        <f t="shared" si="14"/>
        <v>364146</v>
      </c>
      <c r="J82" s="39">
        <f t="shared" si="14"/>
        <v>136573</v>
      </c>
      <c r="K82" s="39">
        <f t="shared" si="14"/>
        <v>119641</v>
      </c>
      <c r="L82" s="39">
        <f t="shared" si="14"/>
        <v>0</v>
      </c>
      <c r="M82" s="40"/>
    </row>
    <row r="83" spans="1:13" s="37" customFormat="1" ht="18" customHeight="1" x14ac:dyDescent="0.25">
      <c r="A83" s="150" t="s">
        <v>44</v>
      </c>
      <c r="B83" s="149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8"/>
    </row>
    <row r="84" spans="1:13" s="37" customFormat="1" ht="24" customHeight="1" x14ac:dyDescent="0.25">
      <c r="A84" s="147">
        <v>705</v>
      </c>
      <c r="B84" s="146" t="s">
        <v>423</v>
      </c>
      <c r="C84" s="145">
        <v>3593</v>
      </c>
      <c r="D84" s="187">
        <f t="shared" ref="D84:D99" si="15">F84+G84+H84+I84+J84+K84+L84</f>
        <v>200</v>
      </c>
      <c r="E84" s="144">
        <v>9839</v>
      </c>
      <c r="F84" s="144">
        <v>0</v>
      </c>
      <c r="G84" s="144">
        <v>0</v>
      </c>
      <c r="H84" s="38">
        <v>200</v>
      </c>
      <c r="I84" s="144">
        <v>0</v>
      </c>
      <c r="J84" s="144">
        <v>0</v>
      </c>
      <c r="K84" s="144">
        <v>0</v>
      </c>
      <c r="L84" s="143">
        <v>0</v>
      </c>
      <c r="M84" s="142" t="s">
        <v>50</v>
      </c>
    </row>
    <row r="85" spans="1:13" s="37" customFormat="1" ht="15" customHeight="1" x14ac:dyDescent="0.25">
      <c r="A85" s="147">
        <v>706</v>
      </c>
      <c r="B85" s="146" t="s">
        <v>424</v>
      </c>
      <c r="C85" s="145">
        <v>3571</v>
      </c>
      <c r="D85" s="187">
        <f t="shared" si="15"/>
        <v>16300</v>
      </c>
      <c r="E85" s="144">
        <v>16300</v>
      </c>
      <c r="F85" s="144">
        <v>300</v>
      </c>
      <c r="G85" s="144">
        <v>1600</v>
      </c>
      <c r="H85" s="38">
        <v>6000</v>
      </c>
      <c r="I85" s="144">
        <v>8400</v>
      </c>
      <c r="J85" s="144">
        <v>0</v>
      </c>
      <c r="K85" s="144">
        <v>0</v>
      </c>
      <c r="L85" s="143">
        <v>0</v>
      </c>
      <c r="M85" s="142" t="s">
        <v>350</v>
      </c>
    </row>
    <row r="86" spans="1:13" s="37" customFormat="1" ht="24" customHeight="1" x14ac:dyDescent="0.25">
      <c r="A86" s="147">
        <v>708</v>
      </c>
      <c r="B86" s="146" t="s">
        <v>425</v>
      </c>
      <c r="C86" s="145">
        <v>3596</v>
      </c>
      <c r="D86" s="187">
        <f t="shared" si="15"/>
        <v>54760</v>
      </c>
      <c r="E86" s="144">
        <v>250595</v>
      </c>
      <c r="F86" s="144">
        <v>0</v>
      </c>
      <c r="G86" s="144">
        <v>0</v>
      </c>
      <c r="H86" s="38">
        <v>30000</v>
      </c>
      <c r="I86" s="144">
        <v>5860</v>
      </c>
      <c r="J86" s="144">
        <v>5500</v>
      </c>
      <c r="K86" s="144">
        <v>5500</v>
      </c>
      <c r="L86" s="143">
        <v>7900</v>
      </c>
      <c r="M86" s="142" t="s">
        <v>50</v>
      </c>
    </row>
    <row r="87" spans="1:13" s="37" customFormat="1" ht="24" customHeight="1" x14ac:dyDescent="0.25">
      <c r="A87" s="147">
        <v>709</v>
      </c>
      <c r="B87" s="146" t="s">
        <v>320</v>
      </c>
      <c r="C87" s="145">
        <v>3546</v>
      </c>
      <c r="D87" s="187">
        <f t="shared" si="15"/>
        <v>200</v>
      </c>
      <c r="E87" s="144">
        <v>200</v>
      </c>
      <c r="F87" s="144">
        <v>0</v>
      </c>
      <c r="G87" s="144">
        <v>0</v>
      </c>
      <c r="H87" s="38">
        <v>200</v>
      </c>
      <c r="I87" s="144">
        <v>0</v>
      </c>
      <c r="J87" s="144">
        <v>0</v>
      </c>
      <c r="K87" s="144">
        <v>0</v>
      </c>
      <c r="L87" s="143">
        <v>0</v>
      </c>
      <c r="M87" s="142" t="s">
        <v>350</v>
      </c>
    </row>
    <row r="88" spans="1:13" s="37" customFormat="1" ht="15" customHeight="1" x14ac:dyDescent="0.25">
      <c r="A88" s="147">
        <v>711</v>
      </c>
      <c r="B88" s="146" t="s">
        <v>426</v>
      </c>
      <c r="C88" s="145">
        <v>3569</v>
      </c>
      <c r="D88" s="187">
        <f t="shared" si="15"/>
        <v>16000</v>
      </c>
      <c r="E88" s="144">
        <v>16000</v>
      </c>
      <c r="F88" s="144">
        <v>0</v>
      </c>
      <c r="G88" s="144">
        <v>200</v>
      </c>
      <c r="H88" s="38">
        <v>15800</v>
      </c>
      <c r="I88" s="144">
        <v>0</v>
      </c>
      <c r="J88" s="144">
        <v>0</v>
      </c>
      <c r="K88" s="144"/>
      <c r="L88" s="143">
        <v>0</v>
      </c>
      <c r="M88" s="142" t="s">
        <v>350</v>
      </c>
    </row>
    <row r="89" spans="1:13" s="37" customFormat="1" ht="15" customHeight="1" x14ac:dyDescent="0.25">
      <c r="A89" s="147">
        <v>713</v>
      </c>
      <c r="B89" s="146" t="s">
        <v>342</v>
      </c>
      <c r="C89" s="145">
        <v>3525</v>
      </c>
      <c r="D89" s="187">
        <f t="shared" si="15"/>
        <v>10000</v>
      </c>
      <c r="E89" s="144">
        <v>10000</v>
      </c>
      <c r="F89" s="144">
        <v>0</v>
      </c>
      <c r="G89" s="144">
        <v>200</v>
      </c>
      <c r="H89" s="38">
        <v>9800</v>
      </c>
      <c r="I89" s="144">
        <v>0</v>
      </c>
      <c r="J89" s="144">
        <v>0</v>
      </c>
      <c r="K89" s="144">
        <v>0</v>
      </c>
      <c r="L89" s="143">
        <v>0</v>
      </c>
      <c r="M89" s="142" t="s">
        <v>350</v>
      </c>
    </row>
    <row r="90" spans="1:13" s="37" customFormat="1" ht="15" customHeight="1" x14ac:dyDescent="0.25">
      <c r="A90" s="147">
        <v>715</v>
      </c>
      <c r="B90" s="146" t="s">
        <v>321</v>
      </c>
      <c r="C90" s="145">
        <v>3547</v>
      </c>
      <c r="D90" s="187">
        <f t="shared" si="15"/>
        <v>200</v>
      </c>
      <c r="E90" s="144">
        <v>200</v>
      </c>
      <c r="F90" s="144">
        <v>0</v>
      </c>
      <c r="G90" s="144">
        <v>0</v>
      </c>
      <c r="H90" s="38">
        <v>200</v>
      </c>
      <c r="I90" s="144">
        <v>0</v>
      </c>
      <c r="J90" s="144">
        <v>0</v>
      </c>
      <c r="K90" s="144">
        <v>0</v>
      </c>
      <c r="L90" s="143">
        <v>0</v>
      </c>
      <c r="M90" s="142" t="s">
        <v>350</v>
      </c>
    </row>
    <row r="91" spans="1:13" s="37" customFormat="1" ht="24" customHeight="1" x14ac:dyDescent="0.25">
      <c r="A91" s="147">
        <v>717</v>
      </c>
      <c r="B91" s="146" t="s">
        <v>322</v>
      </c>
      <c r="C91" s="145">
        <v>3515</v>
      </c>
      <c r="D91" s="187">
        <f t="shared" si="15"/>
        <v>90075.17</v>
      </c>
      <c r="E91" s="144">
        <v>9075</v>
      </c>
      <c r="F91" s="144">
        <f>456.17+75</f>
        <v>531.17000000000007</v>
      </c>
      <c r="G91" s="144">
        <v>2000</v>
      </c>
      <c r="H91" s="38">
        <v>25000</v>
      </c>
      <c r="I91" s="144">
        <v>39000</v>
      </c>
      <c r="J91" s="144">
        <v>23544</v>
      </c>
      <c r="K91" s="144">
        <v>0</v>
      </c>
      <c r="L91" s="143">
        <v>0</v>
      </c>
      <c r="M91" s="142" t="s">
        <v>350</v>
      </c>
    </row>
    <row r="92" spans="1:13" s="37" customFormat="1" ht="24" customHeight="1" x14ac:dyDescent="0.25">
      <c r="A92" s="147">
        <v>719</v>
      </c>
      <c r="B92" s="146" t="s">
        <v>323</v>
      </c>
      <c r="C92" s="145">
        <v>3516</v>
      </c>
      <c r="D92" s="187">
        <f t="shared" si="15"/>
        <v>140127.24</v>
      </c>
      <c r="E92" s="144">
        <v>140127</v>
      </c>
      <c r="F92" s="144">
        <f>1040.24+127</f>
        <v>1167.24</v>
      </c>
      <c r="G92" s="144">
        <v>2000</v>
      </c>
      <c r="H92" s="38">
        <v>26000</v>
      </c>
      <c r="I92" s="144">
        <v>45100</v>
      </c>
      <c r="J92" s="144">
        <v>65860</v>
      </c>
      <c r="K92" s="144">
        <v>0</v>
      </c>
      <c r="L92" s="143">
        <v>0</v>
      </c>
      <c r="M92" s="142" t="s">
        <v>350</v>
      </c>
    </row>
    <row r="93" spans="1:13" s="37" customFormat="1" ht="24" customHeight="1" x14ac:dyDescent="0.25">
      <c r="A93" s="147">
        <v>721</v>
      </c>
      <c r="B93" s="146" t="s">
        <v>324</v>
      </c>
      <c r="C93" s="145">
        <v>3517</v>
      </c>
      <c r="D93" s="187">
        <f t="shared" si="15"/>
        <v>77526.990000000005</v>
      </c>
      <c r="E93" s="144">
        <v>77527</v>
      </c>
      <c r="F93" s="144">
        <f>268.98+127</f>
        <v>395.98</v>
      </c>
      <c r="G93" s="144">
        <v>3331.01</v>
      </c>
      <c r="H93" s="38">
        <v>25200</v>
      </c>
      <c r="I93" s="144">
        <v>39600</v>
      </c>
      <c r="J93" s="144">
        <v>9000</v>
      </c>
      <c r="K93" s="144">
        <v>0</v>
      </c>
      <c r="L93" s="143">
        <v>0</v>
      </c>
      <c r="M93" s="142" t="s">
        <v>350</v>
      </c>
    </row>
    <row r="94" spans="1:13" s="37" customFormat="1" ht="24" customHeight="1" x14ac:dyDescent="0.25">
      <c r="A94" s="147">
        <v>723</v>
      </c>
      <c r="B94" s="146" t="s">
        <v>427</v>
      </c>
      <c r="C94" s="145">
        <v>3578</v>
      </c>
      <c r="D94" s="187">
        <f t="shared" si="15"/>
        <v>36352.6</v>
      </c>
      <c r="E94" s="144">
        <v>70882</v>
      </c>
      <c r="F94" s="144">
        <v>0</v>
      </c>
      <c r="G94" s="144">
        <v>21404.6</v>
      </c>
      <c r="H94" s="38">
        <v>12827</v>
      </c>
      <c r="I94" s="144">
        <v>2121</v>
      </c>
      <c r="J94" s="144">
        <v>0</v>
      </c>
      <c r="K94" s="144">
        <v>0</v>
      </c>
      <c r="L94" s="143">
        <v>0</v>
      </c>
      <c r="M94" s="142" t="s">
        <v>50</v>
      </c>
    </row>
    <row r="95" spans="1:13" s="37" customFormat="1" ht="34.5" customHeight="1" x14ac:dyDescent="0.25">
      <c r="A95" s="147">
        <v>724</v>
      </c>
      <c r="B95" s="146" t="s">
        <v>428</v>
      </c>
      <c r="C95" s="145">
        <v>3435</v>
      </c>
      <c r="D95" s="187">
        <f t="shared" si="15"/>
        <v>20226.36</v>
      </c>
      <c r="E95" s="144">
        <v>20226.36</v>
      </c>
      <c r="F95" s="144">
        <v>490.06</v>
      </c>
      <c r="G95" s="144">
        <v>236.3</v>
      </c>
      <c r="H95" s="38">
        <v>500</v>
      </c>
      <c r="I95" s="144">
        <v>10000</v>
      </c>
      <c r="J95" s="144">
        <v>9000</v>
      </c>
      <c r="K95" s="144">
        <v>0</v>
      </c>
      <c r="L95" s="143">
        <v>0</v>
      </c>
      <c r="M95" s="142" t="s">
        <v>350</v>
      </c>
    </row>
    <row r="96" spans="1:13" s="37" customFormat="1" ht="24" customHeight="1" x14ac:dyDescent="0.25">
      <c r="A96" s="147">
        <v>726</v>
      </c>
      <c r="B96" s="146" t="s">
        <v>429</v>
      </c>
      <c r="C96" s="145">
        <v>3434</v>
      </c>
      <c r="D96" s="187">
        <f t="shared" si="15"/>
        <v>38000.42</v>
      </c>
      <c r="E96" s="144">
        <v>38000.42</v>
      </c>
      <c r="F96" s="144">
        <v>714.19</v>
      </c>
      <c r="G96" s="144">
        <v>386.23</v>
      </c>
      <c r="H96" s="38">
        <v>250</v>
      </c>
      <c r="I96" s="144">
        <v>20875</v>
      </c>
      <c r="J96" s="144">
        <v>15775</v>
      </c>
      <c r="K96" s="144">
        <v>0</v>
      </c>
      <c r="L96" s="143">
        <v>0</v>
      </c>
      <c r="M96" s="142" t="s">
        <v>350</v>
      </c>
    </row>
    <row r="97" spans="1:13" s="37" customFormat="1" ht="24" customHeight="1" x14ac:dyDescent="0.25">
      <c r="A97" s="147">
        <v>728</v>
      </c>
      <c r="B97" s="146" t="s">
        <v>325</v>
      </c>
      <c r="C97" s="145">
        <v>3520</v>
      </c>
      <c r="D97" s="187">
        <f t="shared" si="15"/>
        <v>70000</v>
      </c>
      <c r="E97" s="144">
        <v>70000</v>
      </c>
      <c r="F97" s="144">
        <v>876</v>
      </c>
      <c r="G97" s="144">
        <v>2100</v>
      </c>
      <c r="H97" s="38">
        <v>35000</v>
      </c>
      <c r="I97" s="144">
        <v>32024</v>
      </c>
      <c r="J97" s="144">
        <v>0</v>
      </c>
      <c r="K97" s="144">
        <v>0</v>
      </c>
      <c r="L97" s="143">
        <v>0</v>
      </c>
      <c r="M97" s="142" t="s">
        <v>350</v>
      </c>
    </row>
    <row r="98" spans="1:13" s="37" customFormat="1" ht="15" customHeight="1" x14ac:dyDescent="0.25">
      <c r="A98" s="147">
        <v>730</v>
      </c>
      <c r="B98" s="146" t="s">
        <v>326</v>
      </c>
      <c r="C98" s="145">
        <v>3502</v>
      </c>
      <c r="D98" s="187">
        <f t="shared" si="15"/>
        <v>1219622.77</v>
      </c>
      <c r="E98" s="144">
        <v>1219622.77</v>
      </c>
      <c r="F98" s="144">
        <v>24169.8</v>
      </c>
      <c r="G98" s="144">
        <v>118375.97</v>
      </c>
      <c r="H98" s="38">
        <v>73000</v>
      </c>
      <c r="I98" s="144">
        <v>207850</v>
      </c>
      <c r="J98" s="144">
        <v>374134</v>
      </c>
      <c r="K98" s="144">
        <v>422093</v>
      </c>
      <c r="L98" s="143">
        <v>0</v>
      </c>
      <c r="M98" s="142" t="s">
        <v>350</v>
      </c>
    </row>
    <row r="99" spans="1:13" s="37" customFormat="1" ht="15" customHeight="1" x14ac:dyDescent="0.25">
      <c r="A99" s="147">
        <v>733</v>
      </c>
      <c r="B99" s="146" t="s">
        <v>430</v>
      </c>
      <c r="C99" s="145">
        <v>3594</v>
      </c>
      <c r="D99" s="187">
        <f t="shared" si="15"/>
        <v>95230</v>
      </c>
      <c r="E99" s="144">
        <v>95230</v>
      </c>
      <c r="F99" s="144">
        <f>328.39+230</f>
        <v>558.39</v>
      </c>
      <c r="G99" s="144">
        <v>2771.61</v>
      </c>
      <c r="H99" s="38">
        <v>91900</v>
      </c>
      <c r="I99" s="144">
        <v>0</v>
      </c>
      <c r="J99" s="144">
        <v>0</v>
      </c>
      <c r="K99" s="144">
        <v>0</v>
      </c>
      <c r="L99" s="143">
        <v>0</v>
      </c>
      <c r="M99" s="142" t="s">
        <v>350</v>
      </c>
    </row>
    <row r="100" spans="1:13" s="37" customFormat="1" ht="15.75" customHeight="1" x14ac:dyDescent="0.25">
      <c r="A100" s="532" t="s">
        <v>45</v>
      </c>
      <c r="B100" s="533"/>
      <c r="C100" s="202">
        <f>COUNT(C84:C99)</f>
        <v>16</v>
      </c>
      <c r="D100" s="202"/>
      <c r="E100" s="39">
        <f>SUM(E84:E99)</f>
        <v>2043824.55</v>
      </c>
      <c r="F100" s="39">
        <f t="shared" ref="F100:L100" si="16">SUM(F84:F99)</f>
        <v>29202.829999999998</v>
      </c>
      <c r="G100" s="39">
        <f t="shared" si="16"/>
        <v>154605.71999999997</v>
      </c>
      <c r="H100" s="39">
        <f t="shared" si="16"/>
        <v>351877</v>
      </c>
      <c r="I100" s="39">
        <f t="shared" si="16"/>
        <v>410830</v>
      </c>
      <c r="J100" s="39">
        <f t="shared" si="16"/>
        <v>502813</v>
      </c>
      <c r="K100" s="39">
        <f t="shared" si="16"/>
        <v>427593</v>
      </c>
      <c r="L100" s="39">
        <f t="shared" si="16"/>
        <v>7900</v>
      </c>
      <c r="M100" s="40"/>
    </row>
    <row r="101" spans="1:13" s="37" customFormat="1" ht="18" customHeight="1" x14ac:dyDescent="0.25">
      <c r="A101" s="150" t="s">
        <v>187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8"/>
    </row>
    <row r="102" spans="1:13" s="37" customFormat="1" ht="15" customHeight="1" x14ac:dyDescent="0.25">
      <c r="A102" s="147">
        <v>742</v>
      </c>
      <c r="B102" s="146" t="s">
        <v>431</v>
      </c>
      <c r="C102" s="145">
        <v>3572</v>
      </c>
      <c r="D102" s="187">
        <f t="shared" ref="D102" si="17">F102+G102+H102+I102+J102+K102+L102</f>
        <v>95000</v>
      </c>
      <c r="E102" s="144">
        <v>95000</v>
      </c>
      <c r="F102" s="144">
        <v>0</v>
      </c>
      <c r="G102" s="144">
        <v>750</v>
      </c>
      <c r="H102" s="38">
        <v>44250</v>
      </c>
      <c r="I102" s="144">
        <v>50000</v>
      </c>
      <c r="J102" s="144">
        <v>0</v>
      </c>
      <c r="K102" s="144">
        <v>0</v>
      </c>
      <c r="L102" s="143">
        <v>0</v>
      </c>
      <c r="M102" s="142" t="s">
        <v>350</v>
      </c>
    </row>
    <row r="103" spans="1:13" s="37" customFormat="1" ht="15.75" customHeight="1" x14ac:dyDescent="0.25">
      <c r="A103" s="534" t="s">
        <v>188</v>
      </c>
      <c r="B103" s="535" t="s">
        <v>242</v>
      </c>
      <c r="C103" s="202">
        <f>COUNT(C102)</f>
        <v>1</v>
      </c>
      <c r="D103" s="202"/>
      <c r="E103" s="39">
        <f>SUM(E102)</f>
        <v>95000</v>
      </c>
      <c r="F103" s="39">
        <f t="shared" ref="F103:L103" si="18">SUM(F102)</f>
        <v>0</v>
      </c>
      <c r="G103" s="39">
        <f t="shared" si="18"/>
        <v>750</v>
      </c>
      <c r="H103" s="39">
        <f t="shared" si="18"/>
        <v>44250</v>
      </c>
      <c r="I103" s="39">
        <f t="shared" si="18"/>
        <v>50000</v>
      </c>
      <c r="J103" s="39">
        <f t="shared" si="18"/>
        <v>0</v>
      </c>
      <c r="K103" s="39">
        <f t="shared" si="18"/>
        <v>0</v>
      </c>
      <c r="L103" s="39">
        <f t="shared" si="18"/>
        <v>0</v>
      </c>
      <c r="M103" s="40"/>
    </row>
    <row r="104" spans="1:13" s="37" customFormat="1" ht="18" customHeight="1" x14ac:dyDescent="0.25">
      <c r="A104" s="150" t="s">
        <v>46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8"/>
    </row>
    <row r="105" spans="1:13" s="37" customFormat="1" ht="15" customHeight="1" x14ac:dyDescent="0.25">
      <c r="A105" s="147">
        <v>820</v>
      </c>
      <c r="B105" s="146" t="s">
        <v>328</v>
      </c>
      <c r="C105" s="145">
        <v>3548</v>
      </c>
      <c r="D105" s="187">
        <f t="shared" ref="D105:D108" si="19">F105+G105+H105+I105+J105+K105+L105</f>
        <v>200</v>
      </c>
      <c r="E105" s="144">
        <v>200</v>
      </c>
      <c r="F105" s="144">
        <v>0</v>
      </c>
      <c r="G105" s="144">
        <v>0</v>
      </c>
      <c r="H105" s="38">
        <v>200</v>
      </c>
      <c r="I105" s="144">
        <v>0</v>
      </c>
      <c r="J105" s="144">
        <v>0</v>
      </c>
      <c r="K105" s="144">
        <v>0</v>
      </c>
      <c r="L105" s="143">
        <v>0</v>
      </c>
      <c r="M105" s="142" t="s">
        <v>350</v>
      </c>
    </row>
    <row r="106" spans="1:13" s="37" customFormat="1" ht="15" customHeight="1" x14ac:dyDescent="0.25">
      <c r="A106" s="147">
        <v>822</v>
      </c>
      <c r="B106" s="146" t="s">
        <v>329</v>
      </c>
      <c r="C106" s="145">
        <v>3292</v>
      </c>
      <c r="D106" s="187">
        <f t="shared" si="19"/>
        <v>249999.6</v>
      </c>
      <c r="E106" s="144">
        <v>249999.6</v>
      </c>
      <c r="F106" s="144">
        <v>2198.02</v>
      </c>
      <c r="G106" s="144">
        <v>2601.58</v>
      </c>
      <c r="H106" s="38">
        <v>53835</v>
      </c>
      <c r="I106" s="144">
        <v>191365</v>
      </c>
      <c r="J106" s="144">
        <v>0</v>
      </c>
      <c r="K106" s="144">
        <v>0</v>
      </c>
      <c r="L106" s="143">
        <v>0</v>
      </c>
      <c r="M106" s="142" t="s">
        <v>350</v>
      </c>
    </row>
    <row r="107" spans="1:13" s="37" customFormat="1" ht="35.25" customHeight="1" x14ac:dyDescent="0.25">
      <c r="A107" s="147">
        <v>824</v>
      </c>
      <c r="B107" s="146" t="s">
        <v>624</v>
      </c>
      <c r="C107" s="145">
        <v>7042</v>
      </c>
      <c r="D107" s="187"/>
      <c r="E107" s="144">
        <v>87284</v>
      </c>
      <c r="F107" s="144">
        <v>0</v>
      </c>
      <c r="G107" s="144">
        <v>0</v>
      </c>
      <c r="H107" s="38">
        <v>54200</v>
      </c>
      <c r="I107" s="144">
        <v>0</v>
      </c>
      <c r="J107" s="144">
        <v>0</v>
      </c>
      <c r="K107" s="144">
        <v>0</v>
      </c>
      <c r="L107" s="143">
        <v>0</v>
      </c>
      <c r="M107" s="142" t="s">
        <v>196</v>
      </c>
    </row>
    <row r="108" spans="1:13" s="37" customFormat="1" ht="35.25" customHeight="1" x14ac:dyDescent="0.25">
      <c r="A108" s="147">
        <v>826</v>
      </c>
      <c r="B108" s="146" t="s">
        <v>625</v>
      </c>
      <c r="C108" s="145">
        <v>7061</v>
      </c>
      <c r="D108" s="187">
        <f t="shared" si="19"/>
        <v>8800</v>
      </c>
      <c r="E108" s="144">
        <v>13118</v>
      </c>
      <c r="F108" s="144">
        <v>0</v>
      </c>
      <c r="G108" s="144">
        <v>0</v>
      </c>
      <c r="H108" s="38">
        <v>8800</v>
      </c>
      <c r="I108" s="144">
        <v>0</v>
      </c>
      <c r="J108" s="144">
        <v>0</v>
      </c>
      <c r="K108" s="144">
        <v>0</v>
      </c>
      <c r="L108" s="143">
        <v>0</v>
      </c>
      <c r="M108" s="142" t="s">
        <v>196</v>
      </c>
    </row>
    <row r="109" spans="1:13" s="37" customFormat="1" ht="15.75" customHeight="1" x14ac:dyDescent="0.25">
      <c r="A109" s="534" t="s">
        <v>47</v>
      </c>
      <c r="B109" s="535"/>
      <c r="C109" s="202">
        <f>COUNT(C105:C108)</f>
        <v>4</v>
      </c>
      <c r="D109" s="202"/>
      <c r="E109" s="39">
        <f t="shared" ref="E109:L109" si="20">SUM(E105:E108)</f>
        <v>350601.6</v>
      </c>
      <c r="F109" s="39">
        <f t="shared" si="20"/>
        <v>2198.02</v>
      </c>
      <c r="G109" s="39">
        <f t="shared" si="20"/>
        <v>2601.58</v>
      </c>
      <c r="H109" s="39">
        <f t="shared" si="20"/>
        <v>117035</v>
      </c>
      <c r="I109" s="39">
        <f t="shared" si="20"/>
        <v>191365</v>
      </c>
      <c r="J109" s="39">
        <f t="shared" si="20"/>
        <v>0</v>
      </c>
      <c r="K109" s="39">
        <f t="shared" si="20"/>
        <v>0</v>
      </c>
      <c r="L109" s="39">
        <f t="shared" si="20"/>
        <v>0</v>
      </c>
      <c r="M109" s="40"/>
    </row>
    <row r="110" spans="1:13" s="37" customFormat="1" ht="18" customHeight="1" x14ac:dyDescent="0.25">
      <c r="A110" s="150" t="s">
        <v>54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8"/>
    </row>
    <row r="111" spans="1:13" s="37" customFormat="1" ht="15" customHeight="1" x14ac:dyDescent="0.25">
      <c r="A111" s="147">
        <v>860</v>
      </c>
      <c r="B111" s="146" t="s">
        <v>432</v>
      </c>
      <c r="C111" s="145">
        <v>0</v>
      </c>
      <c r="D111" s="187">
        <f t="shared" ref="D111:D117" si="21">F111+G111+H111+I111+J111+K111+L111</f>
        <v>1100</v>
      </c>
      <c r="E111" s="144">
        <v>1100</v>
      </c>
      <c r="F111" s="144">
        <v>0</v>
      </c>
      <c r="G111" s="144">
        <v>0</v>
      </c>
      <c r="H111" s="38">
        <v>200</v>
      </c>
      <c r="I111" s="144">
        <v>500</v>
      </c>
      <c r="J111" s="144">
        <v>300</v>
      </c>
      <c r="K111" s="144">
        <v>100</v>
      </c>
      <c r="L111" s="143">
        <v>0</v>
      </c>
      <c r="M111" s="142" t="s">
        <v>350</v>
      </c>
    </row>
    <row r="112" spans="1:13" s="37" customFormat="1" ht="24" customHeight="1" x14ac:dyDescent="0.25">
      <c r="A112" s="147">
        <v>861</v>
      </c>
      <c r="B112" s="146" t="s">
        <v>433</v>
      </c>
      <c r="C112" s="145">
        <v>3452</v>
      </c>
      <c r="D112" s="187">
        <f t="shared" si="21"/>
        <v>225489.21</v>
      </c>
      <c r="E112" s="144">
        <v>437325</v>
      </c>
      <c r="F112" s="144">
        <v>50450.29</v>
      </c>
      <c r="G112" s="144">
        <v>53339.92</v>
      </c>
      <c r="H112" s="38">
        <v>22229</v>
      </c>
      <c r="I112" s="144">
        <v>18000</v>
      </c>
      <c r="J112" s="144">
        <v>18000</v>
      </c>
      <c r="K112" s="144">
        <v>18000</v>
      </c>
      <c r="L112" s="143">
        <f>63470-18000</f>
        <v>45470</v>
      </c>
      <c r="M112" s="142" t="s">
        <v>50</v>
      </c>
    </row>
    <row r="113" spans="1:13" s="37" customFormat="1" ht="24" customHeight="1" x14ac:dyDescent="0.25">
      <c r="A113" s="147">
        <v>862</v>
      </c>
      <c r="B113" s="146" t="s">
        <v>244</v>
      </c>
      <c r="C113" s="145">
        <v>3487</v>
      </c>
      <c r="D113" s="187">
        <f t="shared" si="21"/>
        <v>8796.17</v>
      </c>
      <c r="E113" s="144">
        <v>17731</v>
      </c>
      <c r="F113" s="144">
        <v>3823.24</v>
      </c>
      <c r="G113" s="144">
        <v>4562.93</v>
      </c>
      <c r="H113" s="38">
        <v>410</v>
      </c>
      <c r="I113" s="144">
        <v>0</v>
      </c>
      <c r="J113" s="144">
        <v>0</v>
      </c>
      <c r="K113" s="144">
        <v>0</v>
      </c>
      <c r="L113" s="143">
        <v>0</v>
      </c>
      <c r="M113" s="142" t="s">
        <v>50</v>
      </c>
    </row>
    <row r="114" spans="1:13" s="37" customFormat="1" ht="24" customHeight="1" x14ac:dyDescent="0.25">
      <c r="A114" s="147">
        <v>863</v>
      </c>
      <c r="B114" s="146" t="s">
        <v>434</v>
      </c>
      <c r="C114" s="145">
        <v>0</v>
      </c>
      <c r="D114" s="187">
        <f t="shared" si="21"/>
        <v>8146</v>
      </c>
      <c r="E114" s="144">
        <v>11346</v>
      </c>
      <c r="F114" s="144">
        <v>0</v>
      </c>
      <c r="G114" s="144">
        <v>0</v>
      </c>
      <c r="H114" s="38">
        <v>300</v>
      </c>
      <c r="I114" s="144">
        <v>1146</v>
      </c>
      <c r="J114" s="144">
        <v>1131</v>
      </c>
      <c r="K114" s="144">
        <v>1131</v>
      </c>
      <c r="L114" s="143">
        <f>1131+3307</f>
        <v>4438</v>
      </c>
      <c r="M114" s="142" t="s">
        <v>50</v>
      </c>
    </row>
    <row r="115" spans="1:13" s="37" customFormat="1" ht="24" customHeight="1" x14ac:dyDescent="0.25">
      <c r="A115" s="147">
        <v>865</v>
      </c>
      <c r="B115" s="146" t="s">
        <v>245</v>
      </c>
      <c r="C115" s="145">
        <v>3499</v>
      </c>
      <c r="D115" s="187">
        <f t="shared" si="21"/>
        <v>10866</v>
      </c>
      <c r="E115" s="144">
        <v>12300</v>
      </c>
      <c r="F115" s="144">
        <v>0</v>
      </c>
      <c r="G115" s="144">
        <v>2000</v>
      </c>
      <c r="H115" s="38">
        <v>2800</v>
      </c>
      <c r="I115" s="144">
        <v>2800</v>
      </c>
      <c r="J115" s="144">
        <v>1400</v>
      </c>
      <c r="K115" s="144">
        <v>1866</v>
      </c>
      <c r="L115" s="143">
        <v>0</v>
      </c>
      <c r="M115" s="142" t="s">
        <v>50</v>
      </c>
    </row>
    <row r="116" spans="1:13" s="37" customFormat="1" ht="24" customHeight="1" x14ac:dyDescent="0.25">
      <c r="A116" s="147">
        <v>866</v>
      </c>
      <c r="B116" s="146" t="s">
        <v>435</v>
      </c>
      <c r="C116" s="145">
        <v>3504</v>
      </c>
      <c r="D116" s="187">
        <f t="shared" si="21"/>
        <v>488399</v>
      </c>
      <c r="E116" s="144">
        <v>488399</v>
      </c>
      <c r="F116" s="144">
        <v>81162</v>
      </c>
      <c r="G116" s="144">
        <v>337339</v>
      </c>
      <c r="H116" s="38">
        <v>65721</v>
      </c>
      <c r="I116" s="144">
        <v>4177</v>
      </c>
      <c r="J116" s="144">
        <v>0</v>
      </c>
      <c r="K116" s="144">
        <v>0</v>
      </c>
      <c r="L116" s="143">
        <v>0</v>
      </c>
      <c r="M116" s="142" t="s">
        <v>50</v>
      </c>
    </row>
    <row r="117" spans="1:13" s="37" customFormat="1" ht="24" customHeight="1" x14ac:dyDescent="0.25">
      <c r="A117" s="147">
        <v>868</v>
      </c>
      <c r="B117" s="146" t="s">
        <v>436</v>
      </c>
      <c r="C117" s="145">
        <v>3570</v>
      </c>
      <c r="D117" s="187">
        <f t="shared" si="21"/>
        <v>235176</v>
      </c>
      <c r="E117" s="144">
        <v>235176</v>
      </c>
      <c r="F117" s="144">
        <v>0</v>
      </c>
      <c r="G117" s="144">
        <v>135126</v>
      </c>
      <c r="H117" s="38">
        <v>40303</v>
      </c>
      <c r="I117" s="144">
        <v>31136</v>
      </c>
      <c r="J117" s="144">
        <v>28611</v>
      </c>
      <c r="K117" s="144">
        <v>0</v>
      </c>
      <c r="L117" s="143">
        <v>0</v>
      </c>
      <c r="M117" s="142" t="s">
        <v>50</v>
      </c>
    </row>
    <row r="118" spans="1:13" s="37" customFormat="1" ht="15.75" customHeight="1" thickBot="1" x14ac:dyDescent="0.3">
      <c r="A118" s="532" t="s">
        <v>55</v>
      </c>
      <c r="B118" s="533"/>
      <c r="C118" s="202">
        <f>COUNT(C111:C117)</f>
        <v>7</v>
      </c>
      <c r="D118" s="202"/>
      <c r="E118" s="39">
        <f>SUM(E111:E117)</f>
        <v>1203377</v>
      </c>
      <c r="F118" s="39">
        <f t="shared" ref="F118:L118" si="22">SUM(F111:F117)</f>
        <v>135435.53</v>
      </c>
      <c r="G118" s="39">
        <f t="shared" si="22"/>
        <v>532367.85</v>
      </c>
      <c r="H118" s="39">
        <f t="shared" si="22"/>
        <v>131963</v>
      </c>
      <c r="I118" s="39">
        <f t="shared" si="22"/>
        <v>57759</v>
      </c>
      <c r="J118" s="39">
        <f t="shared" si="22"/>
        <v>49442</v>
      </c>
      <c r="K118" s="39">
        <f t="shared" si="22"/>
        <v>21097</v>
      </c>
      <c r="L118" s="39">
        <f t="shared" si="22"/>
        <v>49908</v>
      </c>
      <c r="M118" s="40"/>
    </row>
    <row r="119" spans="1:13" s="37" customFormat="1" ht="9" customHeight="1" thickBot="1" x14ac:dyDescent="0.3">
      <c r="A119" s="270"/>
      <c r="B119" s="271"/>
      <c r="C119" s="271"/>
      <c r="D119" s="271"/>
      <c r="E119" s="272"/>
      <c r="F119" s="272"/>
      <c r="G119" s="272"/>
      <c r="H119" s="272"/>
      <c r="I119" s="271"/>
      <c r="J119" s="271"/>
      <c r="K119" s="271"/>
      <c r="L119" s="271"/>
      <c r="M119" s="273"/>
    </row>
    <row r="120" spans="1:13" s="37" customFormat="1" ht="18" customHeight="1" thickBot="1" x14ac:dyDescent="0.3">
      <c r="A120" s="530" t="s">
        <v>32</v>
      </c>
      <c r="B120" s="531"/>
      <c r="C120" s="188">
        <f>C118+C109+C103+C100+C82+C54+C46+C34+C31+C26+C8+C60</f>
        <v>90</v>
      </c>
      <c r="D120" s="188"/>
      <c r="E120" s="41">
        <f t="shared" ref="E120:L120" si="23">E118+E109+E103+E100+E82+E54+E46+E34+E31+E26+E8+E60</f>
        <v>11330312.140000001</v>
      </c>
      <c r="F120" s="41">
        <f t="shared" si="23"/>
        <v>824830.75000000012</v>
      </c>
      <c r="G120" s="41">
        <f t="shared" si="23"/>
        <v>1345976.07</v>
      </c>
      <c r="H120" s="41">
        <f t="shared" si="23"/>
        <v>2542295</v>
      </c>
      <c r="I120" s="41">
        <f t="shared" si="23"/>
        <v>3080221</v>
      </c>
      <c r="J120" s="41">
        <f t="shared" si="23"/>
        <v>2543490</v>
      </c>
      <c r="K120" s="41">
        <f t="shared" si="23"/>
        <v>777686</v>
      </c>
      <c r="L120" s="41">
        <f t="shared" si="23"/>
        <v>58838</v>
      </c>
      <c r="M120" s="42"/>
    </row>
    <row r="121" spans="1:13" s="33" customFormat="1" x14ac:dyDescent="0.25">
      <c r="A121" s="274"/>
    </row>
    <row r="122" spans="1:13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</sheetData>
  <mergeCells count="23">
    <mergeCell ref="A54:B54"/>
    <mergeCell ref="A1:M1"/>
    <mergeCell ref="A3:A4"/>
    <mergeCell ref="B3:B4"/>
    <mergeCell ref="C3:C4"/>
    <mergeCell ref="E3:E4"/>
    <mergeCell ref="F3:F4"/>
    <mergeCell ref="G3:G4"/>
    <mergeCell ref="H3:H4"/>
    <mergeCell ref="I3:L3"/>
    <mergeCell ref="M3:M4"/>
    <mergeCell ref="A8:B8"/>
    <mergeCell ref="A26:B26"/>
    <mergeCell ref="A31:B31"/>
    <mergeCell ref="A34:B34"/>
    <mergeCell ref="A46:B46"/>
    <mergeCell ref="A120:B120"/>
    <mergeCell ref="A60:B60"/>
    <mergeCell ref="A82:B82"/>
    <mergeCell ref="A100:B100"/>
    <mergeCell ref="A103:B103"/>
    <mergeCell ref="A109:B109"/>
    <mergeCell ref="A118:B118"/>
  </mergeCells>
  <printOptions horizontalCentered="1"/>
  <pageMargins left="0.39370078740157483" right="0.39370078740157483" top="0.78740157480314965" bottom="0.39370078740157483" header="0.31496062992125984" footer="0.11811023622047245"/>
  <pageSetup paperSize="9" scale="83" firstPageNumber="4" fitToHeight="0" orientation="landscape" useFirstPageNumber="1" r:id="rId1"/>
  <headerFooter>
    <oddHeader>&amp;L&amp;"Tahoma,Kurzíva"&amp;10Návrh rozpočtu na rok 2024
Příloha č. 10&amp;R&amp;"Tahoma,Kurzíva"&amp;10Přehled akcí spolufinancovaných z evropských finančních zdrojů v návrhu rozpočtu kraje na rok 2024
včetně závazků kraje vyvolaných pro rok 2025 a další léta</oddHeader>
    <oddFooter>&amp;C&amp;"Tahoma,Obyčejné"&amp;10&amp;P</oddFooter>
  </headerFooter>
  <rowBreaks count="2" manualBreakCount="2">
    <brk id="60" max="12" man="1"/>
    <brk id="87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C9FD2-8718-4D98-92FD-C65FEF94F27C}">
  <sheetPr>
    <pageSetUpPr fitToPage="1"/>
  </sheetPr>
  <dimension ref="A1:O93"/>
  <sheetViews>
    <sheetView zoomScaleNormal="100" zoomScaleSheetLayoutView="100" workbookViewId="0">
      <pane xSplit="3" ySplit="4" topLeftCell="D5" activePane="bottomRight" state="frozen"/>
      <selection activeCell="H3" sqref="H3"/>
      <selection pane="topRight" activeCell="H3" sqref="H3"/>
      <selection pane="bottomLeft" activeCell="H3" sqref="H3"/>
      <selection pane="bottomRight" activeCell="H3" sqref="H3:I3"/>
    </sheetView>
  </sheetViews>
  <sheetFormatPr defaultColWidth="9.140625" defaultRowHeight="12.75" x14ac:dyDescent="0.2"/>
  <cols>
    <col min="1" max="1" width="50.7109375" style="43" customWidth="1"/>
    <col min="2" max="2" width="0" style="243" hidden="1" customWidth="1"/>
    <col min="3" max="3" width="0" style="244" hidden="1" customWidth="1"/>
    <col min="4" max="12" width="12.7109375" style="153" customWidth="1"/>
    <col min="13" max="16384" width="9.140625" style="43"/>
  </cols>
  <sheetData>
    <row r="1" spans="1:12" s="155" customFormat="1" ht="23.25" customHeight="1" x14ac:dyDescent="0.25">
      <c r="A1" s="560" t="s">
        <v>529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</row>
    <row r="2" spans="1:12" ht="13.5" thickBot="1" x14ac:dyDescent="0.25">
      <c r="A2" s="154"/>
      <c r="B2" s="229"/>
      <c r="C2" s="230"/>
      <c r="D2" s="154"/>
      <c r="E2" s="154"/>
      <c r="F2" s="154"/>
      <c r="G2" s="154"/>
      <c r="H2" s="154"/>
      <c r="I2" s="154"/>
      <c r="J2" s="154"/>
      <c r="L2" s="167" t="s">
        <v>31</v>
      </c>
    </row>
    <row r="3" spans="1:12" ht="29.25" customHeight="1" x14ac:dyDescent="0.2">
      <c r="A3" s="561" t="s">
        <v>35</v>
      </c>
      <c r="B3" s="231"/>
      <c r="C3" s="232"/>
      <c r="D3" s="563" t="s">
        <v>58</v>
      </c>
      <c r="E3" s="563" t="s">
        <v>530</v>
      </c>
      <c r="F3" s="565" t="s">
        <v>59</v>
      </c>
      <c r="G3" s="566"/>
      <c r="H3" s="567" t="s">
        <v>60</v>
      </c>
      <c r="I3" s="568"/>
      <c r="J3" s="565" t="s">
        <v>531</v>
      </c>
      <c r="K3" s="569"/>
      <c r="L3" s="570"/>
    </row>
    <row r="4" spans="1:12" ht="60" customHeight="1" thickBot="1" x14ac:dyDescent="0.25">
      <c r="A4" s="562"/>
      <c r="B4" s="233" t="s">
        <v>340</v>
      </c>
      <c r="C4" s="234" t="s">
        <v>341</v>
      </c>
      <c r="D4" s="564"/>
      <c r="E4" s="564"/>
      <c r="F4" s="168" t="s">
        <v>101</v>
      </c>
      <c r="G4" s="169" t="s">
        <v>208</v>
      </c>
      <c r="H4" s="168" t="s">
        <v>101</v>
      </c>
      <c r="I4" s="169" t="s">
        <v>622</v>
      </c>
      <c r="J4" s="166" t="s">
        <v>101</v>
      </c>
      <c r="K4" s="423" t="s">
        <v>532</v>
      </c>
      <c r="L4" s="484" t="s">
        <v>623</v>
      </c>
    </row>
    <row r="5" spans="1:12" s="174" customFormat="1" ht="21" customHeight="1" x14ac:dyDescent="0.25">
      <c r="A5" s="554" t="s">
        <v>61</v>
      </c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6"/>
    </row>
    <row r="6" spans="1:12" s="173" customFormat="1" ht="18" customHeight="1" x14ac:dyDescent="0.25">
      <c r="A6" s="395" t="s">
        <v>533</v>
      </c>
      <c r="B6" s="396"/>
      <c r="C6" s="396"/>
      <c r="D6" s="396"/>
      <c r="E6" s="396"/>
      <c r="F6" s="396"/>
      <c r="G6" s="396"/>
      <c r="H6" s="396"/>
      <c r="I6" s="396"/>
      <c r="J6" s="396"/>
      <c r="K6" s="396"/>
      <c r="L6" s="397"/>
    </row>
    <row r="7" spans="1:12" s="173" customFormat="1" ht="15" customHeight="1" x14ac:dyDescent="0.25">
      <c r="A7" s="249" t="s">
        <v>305</v>
      </c>
      <c r="B7" s="398">
        <v>3519</v>
      </c>
      <c r="C7" s="235">
        <v>14</v>
      </c>
      <c r="D7" s="131">
        <v>230000</v>
      </c>
      <c r="E7" s="131">
        <v>20000</v>
      </c>
      <c r="F7" s="131">
        <v>3000</v>
      </c>
      <c r="G7" s="44">
        <v>0</v>
      </c>
      <c r="H7" s="131">
        <v>17000</v>
      </c>
      <c r="I7" s="44">
        <v>16500</v>
      </c>
      <c r="J7" s="131">
        <f>K7+L7</f>
        <v>0</v>
      </c>
      <c r="K7" s="422">
        <v>0</v>
      </c>
      <c r="L7" s="178">
        <v>0</v>
      </c>
    </row>
    <row r="8" spans="1:12" s="173" customFormat="1" ht="16.5" customHeight="1" x14ac:dyDescent="0.25">
      <c r="A8" s="179" t="s">
        <v>534</v>
      </c>
      <c r="B8" s="418"/>
      <c r="C8" s="236"/>
      <c r="D8" s="419" t="s">
        <v>535</v>
      </c>
      <c r="E8" s="419">
        <f>SUM(E7)</f>
        <v>20000</v>
      </c>
      <c r="F8" s="419">
        <f t="shared" ref="F8" si="0">SUM(F7)</f>
        <v>3000</v>
      </c>
      <c r="G8" s="419">
        <f>SUM(G7)</f>
        <v>0</v>
      </c>
      <c r="H8" s="419">
        <f t="shared" ref="H8:K8" si="1">SUM(H7)</f>
        <v>17000</v>
      </c>
      <c r="I8" s="419">
        <f t="shared" si="1"/>
        <v>16500</v>
      </c>
      <c r="J8" s="419">
        <f t="shared" si="1"/>
        <v>0</v>
      </c>
      <c r="K8" s="420">
        <f t="shared" si="1"/>
        <v>0</v>
      </c>
      <c r="L8" s="421">
        <f>SUM(L7)</f>
        <v>0</v>
      </c>
    </row>
    <row r="9" spans="1:12" ht="18" customHeight="1" x14ac:dyDescent="0.2">
      <c r="A9" s="399" t="s">
        <v>198</v>
      </c>
      <c r="B9" s="485"/>
      <c r="C9" s="433"/>
      <c r="D9" s="486"/>
      <c r="E9" s="486"/>
      <c r="F9" s="486"/>
      <c r="G9" s="486"/>
      <c r="H9" s="486"/>
      <c r="I9" s="486"/>
      <c r="J9" s="486"/>
      <c r="K9" s="486"/>
      <c r="L9" s="400"/>
    </row>
    <row r="10" spans="1:12" s="173" customFormat="1" ht="24" customHeight="1" x14ac:dyDescent="0.25">
      <c r="A10" s="249" t="s">
        <v>137</v>
      </c>
      <c r="B10" s="398">
        <v>3424</v>
      </c>
      <c r="C10" s="235">
        <v>14</v>
      </c>
      <c r="D10" s="131">
        <v>65916.13</v>
      </c>
      <c r="E10" s="131">
        <v>0</v>
      </c>
      <c r="F10" s="131">
        <v>0</v>
      </c>
      <c r="G10" s="44">
        <v>0</v>
      </c>
      <c r="H10" s="131">
        <v>0</v>
      </c>
      <c r="I10" s="44">
        <v>0</v>
      </c>
      <c r="J10" s="131">
        <f t="shared" ref="J10:J18" si="2">K10+L10</f>
        <v>27448</v>
      </c>
      <c r="K10" s="422">
        <v>27448</v>
      </c>
      <c r="L10" s="178">
        <v>0</v>
      </c>
    </row>
    <row r="11" spans="1:12" s="173" customFormat="1" ht="15" customHeight="1" x14ac:dyDescent="0.25">
      <c r="A11" s="250" t="s">
        <v>298</v>
      </c>
      <c r="B11" s="398">
        <v>3529</v>
      </c>
      <c r="C11" s="235">
        <v>14</v>
      </c>
      <c r="D11" s="131">
        <v>37000.53</v>
      </c>
      <c r="E11" s="131">
        <v>0</v>
      </c>
      <c r="F11" s="131">
        <v>0</v>
      </c>
      <c r="G11" s="44">
        <v>0</v>
      </c>
      <c r="H11" s="131">
        <v>0</v>
      </c>
      <c r="I11" s="44">
        <v>0</v>
      </c>
      <c r="J11" s="131">
        <f t="shared" si="2"/>
        <v>30000</v>
      </c>
      <c r="K11" s="422">
        <v>30000</v>
      </c>
      <c r="L11" s="178">
        <v>0</v>
      </c>
    </row>
    <row r="12" spans="1:12" s="173" customFormat="1" ht="15.95" customHeight="1" x14ac:dyDescent="0.25">
      <c r="A12" s="250" t="s">
        <v>392</v>
      </c>
      <c r="B12" s="398">
        <v>3527</v>
      </c>
      <c r="C12" s="235">
        <v>14</v>
      </c>
      <c r="D12" s="131">
        <v>59000</v>
      </c>
      <c r="E12" s="131">
        <v>58700</v>
      </c>
      <c r="F12" s="131">
        <v>20705</v>
      </c>
      <c r="G12" s="44">
        <v>0</v>
      </c>
      <c r="H12" s="131">
        <v>37995</v>
      </c>
      <c r="I12" s="44">
        <v>37700</v>
      </c>
      <c r="J12" s="131">
        <f t="shared" si="2"/>
        <v>0</v>
      </c>
      <c r="K12" s="422">
        <v>0</v>
      </c>
      <c r="L12" s="178">
        <v>0</v>
      </c>
    </row>
    <row r="13" spans="1:12" s="173" customFormat="1" ht="15.95" customHeight="1" x14ac:dyDescent="0.25">
      <c r="A13" s="250" t="s">
        <v>390</v>
      </c>
      <c r="B13" s="398">
        <v>3528</v>
      </c>
      <c r="C13" s="235">
        <v>14</v>
      </c>
      <c r="D13" s="131">
        <v>59000</v>
      </c>
      <c r="E13" s="131">
        <v>58700</v>
      </c>
      <c r="F13" s="131">
        <v>11313</v>
      </c>
      <c r="G13" s="44">
        <v>0</v>
      </c>
      <c r="H13" s="131">
        <v>47387</v>
      </c>
      <c r="I13" s="44">
        <v>36400</v>
      </c>
      <c r="J13" s="131">
        <f t="shared" si="2"/>
        <v>0</v>
      </c>
      <c r="K13" s="422">
        <v>0</v>
      </c>
      <c r="L13" s="178">
        <v>0</v>
      </c>
    </row>
    <row r="14" spans="1:12" s="173" customFormat="1" ht="15.95" customHeight="1" x14ac:dyDescent="0.25">
      <c r="A14" s="250" t="s">
        <v>296</v>
      </c>
      <c r="B14" s="398">
        <v>3533</v>
      </c>
      <c r="C14" s="235">
        <v>14</v>
      </c>
      <c r="D14" s="131">
        <v>101100.43</v>
      </c>
      <c r="E14" s="131">
        <v>0</v>
      </c>
      <c r="F14" s="131">
        <v>0</v>
      </c>
      <c r="G14" s="44">
        <v>0</v>
      </c>
      <c r="H14" s="131">
        <v>0</v>
      </c>
      <c r="I14" s="44">
        <v>0</v>
      </c>
      <c r="J14" s="131">
        <f t="shared" si="2"/>
        <v>25761</v>
      </c>
      <c r="K14" s="422">
        <v>25761</v>
      </c>
      <c r="L14" s="178">
        <v>0</v>
      </c>
    </row>
    <row r="15" spans="1:12" s="173" customFormat="1" ht="15.95" customHeight="1" x14ac:dyDescent="0.25">
      <c r="A15" s="250" t="s">
        <v>297</v>
      </c>
      <c r="B15" s="398">
        <v>3534</v>
      </c>
      <c r="C15" s="235">
        <v>14</v>
      </c>
      <c r="D15" s="131">
        <v>29130</v>
      </c>
      <c r="E15" s="131">
        <v>0</v>
      </c>
      <c r="F15" s="131">
        <v>0</v>
      </c>
      <c r="G15" s="44">
        <v>0</v>
      </c>
      <c r="H15" s="131">
        <v>0</v>
      </c>
      <c r="I15" s="44">
        <v>0</v>
      </c>
      <c r="J15" s="131">
        <f t="shared" si="2"/>
        <v>23414</v>
      </c>
      <c r="K15" s="422">
        <v>23414</v>
      </c>
      <c r="L15" s="178">
        <v>0</v>
      </c>
    </row>
    <row r="16" spans="1:12" s="173" customFormat="1" ht="15.95" customHeight="1" x14ac:dyDescent="0.25">
      <c r="A16" s="250" t="s">
        <v>301</v>
      </c>
      <c r="B16" s="398">
        <v>3536</v>
      </c>
      <c r="C16" s="235">
        <v>14</v>
      </c>
      <c r="D16" s="131">
        <v>11200</v>
      </c>
      <c r="E16" s="131">
        <v>10900</v>
      </c>
      <c r="F16" s="131">
        <v>1635</v>
      </c>
      <c r="G16" s="44">
        <v>0</v>
      </c>
      <c r="H16" s="131">
        <v>9265</v>
      </c>
      <c r="I16" s="44">
        <v>9000</v>
      </c>
      <c r="J16" s="131">
        <f t="shared" si="2"/>
        <v>0</v>
      </c>
      <c r="K16" s="422">
        <v>0</v>
      </c>
      <c r="L16" s="178">
        <v>0</v>
      </c>
    </row>
    <row r="17" spans="1:12" s="173" customFormat="1" ht="15" customHeight="1" x14ac:dyDescent="0.25">
      <c r="A17" s="250" t="s">
        <v>300</v>
      </c>
      <c r="B17" s="398">
        <v>3537</v>
      </c>
      <c r="C17" s="235">
        <v>14</v>
      </c>
      <c r="D17" s="131">
        <v>38500</v>
      </c>
      <c r="E17" s="131">
        <v>38200</v>
      </c>
      <c r="F17" s="131">
        <v>5730</v>
      </c>
      <c r="G17" s="44">
        <v>0</v>
      </c>
      <c r="H17" s="131">
        <v>32470</v>
      </c>
      <c r="I17" s="44">
        <v>32200</v>
      </c>
      <c r="J17" s="131">
        <f t="shared" si="2"/>
        <v>0</v>
      </c>
      <c r="K17" s="422">
        <v>0</v>
      </c>
      <c r="L17" s="178">
        <v>0</v>
      </c>
    </row>
    <row r="18" spans="1:12" s="173" customFormat="1" ht="24" customHeight="1" x14ac:dyDescent="0.25">
      <c r="A18" s="250" t="s">
        <v>398</v>
      </c>
      <c r="B18" s="398">
        <v>3564</v>
      </c>
      <c r="C18" s="235">
        <v>14</v>
      </c>
      <c r="D18" s="131">
        <v>23000</v>
      </c>
      <c r="E18" s="131">
        <v>22700</v>
      </c>
      <c r="F18" s="131">
        <v>3405</v>
      </c>
      <c r="G18" s="44">
        <v>0</v>
      </c>
      <c r="H18" s="131">
        <v>19295</v>
      </c>
      <c r="I18" s="44">
        <v>18500</v>
      </c>
      <c r="J18" s="131">
        <f t="shared" si="2"/>
        <v>18500</v>
      </c>
      <c r="K18" s="422">
        <v>0</v>
      </c>
      <c r="L18" s="178">
        <v>18500</v>
      </c>
    </row>
    <row r="19" spans="1:12" s="174" customFormat="1" ht="16.5" customHeight="1" x14ac:dyDescent="0.25">
      <c r="A19" s="179" t="s">
        <v>197</v>
      </c>
      <c r="B19" s="418"/>
      <c r="C19" s="236"/>
      <c r="D19" s="419" t="s">
        <v>290</v>
      </c>
      <c r="E19" s="419">
        <f>SUM(E10:E18)</f>
        <v>189200</v>
      </c>
      <c r="F19" s="419">
        <f t="shared" ref="F19:L19" si="3">SUM(F10:F18)</f>
        <v>42788</v>
      </c>
      <c r="G19" s="419">
        <f t="shared" si="3"/>
        <v>0</v>
      </c>
      <c r="H19" s="419">
        <f t="shared" si="3"/>
        <v>146412</v>
      </c>
      <c r="I19" s="419">
        <f t="shared" si="3"/>
        <v>133800</v>
      </c>
      <c r="J19" s="421">
        <f t="shared" si="3"/>
        <v>125123</v>
      </c>
      <c r="K19" s="420">
        <f t="shared" si="3"/>
        <v>106623</v>
      </c>
      <c r="L19" s="421">
        <f t="shared" si="3"/>
        <v>18500</v>
      </c>
    </row>
    <row r="20" spans="1:12" s="172" customFormat="1" ht="18" customHeight="1" x14ac:dyDescent="0.25">
      <c r="A20" s="399" t="s">
        <v>40</v>
      </c>
      <c r="B20" s="485"/>
      <c r="C20" s="433"/>
      <c r="D20" s="486"/>
      <c r="E20" s="486"/>
      <c r="F20" s="486"/>
      <c r="G20" s="486"/>
      <c r="H20" s="486"/>
      <c r="I20" s="486"/>
      <c r="J20" s="486"/>
      <c r="K20" s="486"/>
      <c r="L20" s="400"/>
    </row>
    <row r="21" spans="1:12" s="173" customFormat="1" ht="15" customHeight="1" x14ac:dyDescent="0.25">
      <c r="A21" s="248" t="s">
        <v>235</v>
      </c>
      <c r="B21" s="398">
        <v>3505</v>
      </c>
      <c r="C21" s="235">
        <v>14</v>
      </c>
      <c r="D21" s="131">
        <v>2599999.75</v>
      </c>
      <c r="E21" s="131">
        <v>417000</v>
      </c>
      <c r="F21" s="131">
        <v>209517</v>
      </c>
      <c r="G21" s="44">
        <v>0</v>
      </c>
      <c r="H21" s="131">
        <v>207483</v>
      </c>
      <c r="I21" s="44">
        <v>0</v>
      </c>
      <c r="J21" s="131">
        <f t="shared" ref="J21:J27" si="4">K21+L21</f>
        <v>17640</v>
      </c>
      <c r="K21" s="422">
        <v>17640</v>
      </c>
      <c r="L21" s="178">
        <v>0</v>
      </c>
    </row>
    <row r="22" spans="1:12" s="173" customFormat="1" ht="15" customHeight="1" x14ac:dyDescent="0.25">
      <c r="A22" s="248" t="s">
        <v>236</v>
      </c>
      <c r="B22" s="398">
        <v>3514</v>
      </c>
      <c r="C22" s="235">
        <v>14</v>
      </c>
      <c r="D22" s="131">
        <v>122073</v>
      </c>
      <c r="E22" s="131">
        <v>44000</v>
      </c>
      <c r="F22" s="131">
        <v>21945</v>
      </c>
      <c r="G22" s="44">
        <v>0</v>
      </c>
      <c r="H22" s="131">
        <v>22055</v>
      </c>
      <c r="I22" s="44">
        <v>21500</v>
      </c>
      <c r="J22" s="131">
        <f t="shared" si="4"/>
        <v>0</v>
      </c>
      <c r="K22" s="422">
        <v>0</v>
      </c>
      <c r="L22" s="178">
        <v>0</v>
      </c>
    </row>
    <row r="23" spans="1:12" s="173" customFormat="1" ht="15" customHeight="1" x14ac:dyDescent="0.25">
      <c r="A23" s="248" t="s">
        <v>536</v>
      </c>
      <c r="B23" s="398">
        <v>3524</v>
      </c>
      <c r="C23" s="235">
        <v>14</v>
      </c>
      <c r="D23" s="131">
        <v>165101</v>
      </c>
      <c r="E23" s="131">
        <v>47800</v>
      </c>
      <c r="F23" s="131">
        <v>8494</v>
      </c>
      <c r="G23" s="44">
        <v>0</v>
      </c>
      <c r="H23" s="131">
        <v>39306</v>
      </c>
      <c r="I23" s="44">
        <v>38800</v>
      </c>
      <c r="J23" s="131">
        <f t="shared" si="4"/>
        <v>0</v>
      </c>
      <c r="K23" s="422">
        <v>0</v>
      </c>
      <c r="L23" s="178">
        <v>0</v>
      </c>
    </row>
    <row r="24" spans="1:12" s="173" customFormat="1" ht="15" customHeight="1" x14ac:dyDescent="0.25">
      <c r="A24" s="248" t="s">
        <v>537</v>
      </c>
      <c r="B24" s="398">
        <v>3550</v>
      </c>
      <c r="C24" s="235">
        <v>14</v>
      </c>
      <c r="D24" s="131">
        <v>30499.69</v>
      </c>
      <c r="E24" s="131">
        <v>25140</v>
      </c>
      <c r="F24" s="131">
        <v>3771</v>
      </c>
      <c r="G24" s="44">
        <v>0</v>
      </c>
      <c r="H24" s="131">
        <v>21369</v>
      </c>
      <c r="I24" s="44">
        <v>21000</v>
      </c>
      <c r="J24" s="131">
        <f t="shared" si="4"/>
        <v>10110</v>
      </c>
      <c r="K24" s="422">
        <v>0</v>
      </c>
      <c r="L24" s="178">
        <v>10110</v>
      </c>
    </row>
    <row r="25" spans="1:12" s="173" customFormat="1" ht="15" customHeight="1" x14ac:dyDescent="0.25">
      <c r="A25" s="401" t="s">
        <v>309</v>
      </c>
      <c r="B25" s="398">
        <v>3555</v>
      </c>
      <c r="C25" s="235">
        <v>14</v>
      </c>
      <c r="D25" s="131">
        <v>249999.99</v>
      </c>
      <c r="E25" s="131">
        <v>68000</v>
      </c>
      <c r="F25" s="131">
        <v>22950</v>
      </c>
      <c r="G25" s="44">
        <v>15850</v>
      </c>
      <c r="H25" s="131">
        <v>45050</v>
      </c>
      <c r="I25" s="44">
        <v>44500</v>
      </c>
      <c r="J25" s="131">
        <f t="shared" si="4"/>
        <v>0</v>
      </c>
      <c r="K25" s="422">
        <v>0</v>
      </c>
      <c r="L25" s="178">
        <v>0</v>
      </c>
    </row>
    <row r="26" spans="1:12" s="173" customFormat="1" ht="15" customHeight="1" x14ac:dyDescent="0.25">
      <c r="A26" s="401" t="s">
        <v>400</v>
      </c>
      <c r="B26" s="402">
        <v>3577</v>
      </c>
      <c r="C26" s="235">
        <v>14</v>
      </c>
      <c r="D26" s="131">
        <v>58000</v>
      </c>
      <c r="E26" s="131">
        <v>25000</v>
      </c>
      <c r="F26" s="131">
        <v>3750</v>
      </c>
      <c r="G26" s="44">
        <v>0</v>
      </c>
      <c r="H26" s="131">
        <v>21250</v>
      </c>
      <c r="I26" s="44">
        <v>15000</v>
      </c>
      <c r="J26" s="131">
        <f t="shared" si="4"/>
        <v>0</v>
      </c>
      <c r="K26" s="422">
        <v>0</v>
      </c>
      <c r="L26" s="178">
        <v>0</v>
      </c>
    </row>
    <row r="27" spans="1:12" s="173" customFormat="1" ht="15" customHeight="1" x14ac:dyDescent="0.25">
      <c r="A27" s="251" t="s">
        <v>401</v>
      </c>
      <c r="B27" s="242">
        <v>3568</v>
      </c>
      <c r="C27" s="235">
        <v>14</v>
      </c>
      <c r="D27" s="131">
        <v>23500</v>
      </c>
      <c r="E27" s="131">
        <v>20000</v>
      </c>
      <c r="F27" s="131">
        <v>3000</v>
      </c>
      <c r="G27" s="44">
        <v>0</v>
      </c>
      <c r="H27" s="131">
        <v>17000</v>
      </c>
      <c r="I27" s="44">
        <v>16745</v>
      </c>
      <c r="J27" s="131">
        <f t="shared" si="4"/>
        <v>7745</v>
      </c>
      <c r="K27" s="422">
        <v>0</v>
      </c>
      <c r="L27" s="178">
        <v>7745</v>
      </c>
    </row>
    <row r="28" spans="1:12" s="174" customFormat="1" ht="16.5" customHeight="1" x14ac:dyDescent="0.25">
      <c r="A28" s="179" t="s">
        <v>41</v>
      </c>
      <c r="B28" s="418"/>
      <c r="C28" s="236"/>
      <c r="D28" s="419" t="s">
        <v>290</v>
      </c>
      <c r="E28" s="419">
        <f>SUM(E21:E27)</f>
        <v>646940</v>
      </c>
      <c r="F28" s="419">
        <f t="shared" ref="F28" si="5">SUM(F21:F27)</f>
        <v>273427</v>
      </c>
      <c r="G28" s="419">
        <f>SUM(G21:G27)</f>
        <v>15850</v>
      </c>
      <c r="H28" s="419">
        <f t="shared" ref="H28:K28" si="6">SUM(H21:H27)</f>
        <v>373513</v>
      </c>
      <c r="I28" s="419">
        <f t="shared" si="6"/>
        <v>157545</v>
      </c>
      <c r="J28" s="419">
        <f>SUM(J21:J27)</f>
        <v>35495</v>
      </c>
      <c r="K28" s="424">
        <f t="shared" si="6"/>
        <v>17640</v>
      </c>
      <c r="L28" s="421">
        <f>SUM(L21:L27)</f>
        <v>17855</v>
      </c>
    </row>
    <row r="29" spans="1:12" s="172" customFormat="1" ht="18" customHeight="1" x14ac:dyDescent="0.25">
      <c r="A29" s="399" t="s">
        <v>42</v>
      </c>
      <c r="B29" s="433"/>
      <c r="C29" s="433"/>
      <c r="D29" s="486"/>
      <c r="E29" s="486"/>
      <c r="F29" s="486"/>
      <c r="G29" s="486"/>
      <c r="H29" s="486"/>
      <c r="I29" s="486"/>
      <c r="J29" s="486"/>
      <c r="K29" s="486"/>
      <c r="L29" s="400"/>
    </row>
    <row r="30" spans="1:12" s="173" customFormat="1" ht="15.95" customHeight="1" x14ac:dyDescent="0.25">
      <c r="A30" s="249" t="s">
        <v>138</v>
      </c>
      <c r="B30" s="402">
        <v>3402</v>
      </c>
      <c r="C30" s="235">
        <v>14</v>
      </c>
      <c r="D30" s="131">
        <v>315999.99</v>
      </c>
      <c r="E30" s="131">
        <v>143000</v>
      </c>
      <c r="F30" s="131">
        <v>143000</v>
      </c>
      <c r="G30" s="44">
        <v>108000</v>
      </c>
      <c r="H30" s="131">
        <v>0</v>
      </c>
      <c r="I30" s="44">
        <v>0</v>
      </c>
      <c r="J30" s="131">
        <f t="shared" ref="J30:J39" si="7">K30+L30</f>
        <v>0</v>
      </c>
      <c r="K30" s="422">
        <v>0</v>
      </c>
      <c r="L30" s="178">
        <v>0</v>
      </c>
    </row>
    <row r="31" spans="1:12" s="173" customFormat="1" ht="24" customHeight="1" x14ac:dyDescent="0.25">
      <c r="A31" s="249" t="s">
        <v>181</v>
      </c>
      <c r="B31" s="402">
        <v>3425</v>
      </c>
      <c r="C31" s="235">
        <v>14</v>
      </c>
      <c r="D31" s="131">
        <v>102004</v>
      </c>
      <c r="E31" s="131">
        <v>26000</v>
      </c>
      <c r="F31" s="131">
        <v>26000</v>
      </c>
      <c r="G31" s="44">
        <v>10000</v>
      </c>
      <c r="H31" s="131">
        <v>0</v>
      </c>
      <c r="I31" s="44">
        <v>0</v>
      </c>
      <c r="J31" s="131">
        <f t="shared" si="7"/>
        <v>0</v>
      </c>
      <c r="K31" s="422">
        <v>0</v>
      </c>
      <c r="L31" s="178">
        <v>0</v>
      </c>
    </row>
    <row r="32" spans="1:12" s="173" customFormat="1" ht="15.95" customHeight="1" x14ac:dyDescent="0.25">
      <c r="A32" s="249" t="s">
        <v>237</v>
      </c>
      <c r="B32" s="402">
        <v>3512</v>
      </c>
      <c r="C32" s="235">
        <v>14</v>
      </c>
      <c r="D32" s="131">
        <v>38828</v>
      </c>
      <c r="E32" s="131">
        <v>21300</v>
      </c>
      <c r="F32" s="131">
        <v>3090</v>
      </c>
      <c r="G32" s="44">
        <v>0</v>
      </c>
      <c r="H32" s="131">
        <v>18210</v>
      </c>
      <c r="I32" s="44">
        <v>17500</v>
      </c>
      <c r="J32" s="131">
        <f t="shared" si="7"/>
        <v>0</v>
      </c>
      <c r="K32" s="422">
        <v>0</v>
      </c>
      <c r="L32" s="178">
        <v>0</v>
      </c>
    </row>
    <row r="33" spans="1:12" s="173" customFormat="1" ht="15.95" customHeight="1" x14ac:dyDescent="0.25">
      <c r="A33" s="249" t="s">
        <v>422</v>
      </c>
      <c r="B33" s="245">
        <v>3543</v>
      </c>
      <c r="C33" s="235">
        <v>14</v>
      </c>
      <c r="D33" s="131">
        <v>107848</v>
      </c>
      <c r="E33" s="131">
        <v>35000</v>
      </c>
      <c r="F33" s="131">
        <v>8870</v>
      </c>
      <c r="G33" s="44">
        <v>0</v>
      </c>
      <c r="H33" s="131">
        <v>26130</v>
      </c>
      <c r="I33" s="44">
        <v>25800</v>
      </c>
      <c r="J33" s="131">
        <f t="shared" si="7"/>
        <v>0</v>
      </c>
      <c r="K33" s="422">
        <v>0</v>
      </c>
      <c r="L33" s="178">
        <v>0</v>
      </c>
    </row>
    <row r="34" spans="1:12" s="173" customFormat="1" ht="15.95" customHeight="1" x14ac:dyDescent="0.25">
      <c r="A34" s="249" t="s">
        <v>421</v>
      </c>
      <c r="B34" s="245">
        <v>3544</v>
      </c>
      <c r="C34" s="235">
        <v>14</v>
      </c>
      <c r="D34" s="131">
        <v>35700</v>
      </c>
      <c r="E34" s="131">
        <v>20000</v>
      </c>
      <c r="F34" s="131">
        <v>3600</v>
      </c>
      <c r="G34" s="44">
        <v>0</v>
      </c>
      <c r="H34" s="131">
        <v>16400</v>
      </c>
      <c r="I34" s="44">
        <v>16000</v>
      </c>
      <c r="J34" s="131">
        <f t="shared" si="7"/>
        <v>0</v>
      </c>
      <c r="K34" s="422">
        <v>0</v>
      </c>
      <c r="L34" s="178">
        <v>0</v>
      </c>
    </row>
    <row r="35" spans="1:12" s="173" customFormat="1" ht="24" customHeight="1" x14ac:dyDescent="0.25">
      <c r="A35" s="249" t="s">
        <v>419</v>
      </c>
      <c r="B35" s="245">
        <v>3545</v>
      </c>
      <c r="C35" s="235">
        <v>14</v>
      </c>
      <c r="D35" s="131">
        <v>63721</v>
      </c>
      <c r="E35" s="131">
        <v>10000</v>
      </c>
      <c r="F35" s="131">
        <v>6000</v>
      </c>
      <c r="G35" s="44">
        <v>0</v>
      </c>
      <c r="H35" s="131">
        <v>4000</v>
      </c>
      <c r="I35" s="44">
        <v>3500</v>
      </c>
      <c r="J35" s="131">
        <f t="shared" si="7"/>
        <v>0</v>
      </c>
      <c r="K35" s="422">
        <v>0</v>
      </c>
      <c r="L35" s="178">
        <v>0</v>
      </c>
    </row>
    <row r="36" spans="1:12" s="173" customFormat="1" ht="15.95" customHeight="1" x14ac:dyDescent="0.25">
      <c r="A36" s="249" t="s">
        <v>413</v>
      </c>
      <c r="B36" s="402">
        <v>3591</v>
      </c>
      <c r="C36" s="235">
        <v>14</v>
      </c>
      <c r="D36" s="131">
        <v>42697</v>
      </c>
      <c r="E36" s="131">
        <v>15000</v>
      </c>
      <c r="F36" s="131">
        <v>2700</v>
      </c>
      <c r="G36" s="44">
        <v>0</v>
      </c>
      <c r="H36" s="131">
        <v>12300</v>
      </c>
      <c r="I36" s="44">
        <v>12000</v>
      </c>
      <c r="J36" s="131">
        <f t="shared" si="7"/>
        <v>0</v>
      </c>
      <c r="K36" s="422">
        <v>0</v>
      </c>
      <c r="L36" s="178">
        <v>0</v>
      </c>
    </row>
    <row r="37" spans="1:12" s="173" customFormat="1" ht="15.95" customHeight="1" x14ac:dyDescent="0.25">
      <c r="A37" s="249" t="s">
        <v>414</v>
      </c>
      <c r="B37" s="402">
        <v>3592</v>
      </c>
      <c r="C37" s="235">
        <v>14</v>
      </c>
      <c r="D37" s="131">
        <v>65220</v>
      </c>
      <c r="E37" s="131">
        <v>15000</v>
      </c>
      <c r="F37" s="131">
        <v>2700</v>
      </c>
      <c r="G37" s="44">
        <v>0</v>
      </c>
      <c r="H37" s="131">
        <v>12300</v>
      </c>
      <c r="I37" s="44">
        <v>12000</v>
      </c>
      <c r="J37" s="131">
        <f t="shared" si="7"/>
        <v>0</v>
      </c>
      <c r="K37" s="422">
        <v>0</v>
      </c>
      <c r="L37" s="178">
        <v>0</v>
      </c>
    </row>
    <row r="38" spans="1:12" s="173" customFormat="1" ht="15.95" customHeight="1" x14ac:dyDescent="0.25">
      <c r="A38" s="249" t="s">
        <v>420</v>
      </c>
      <c r="B38" s="402">
        <v>3581</v>
      </c>
      <c r="C38" s="235">
        <v>14</v>
      </c>
      <c r="D38" s="131">
        <v>175000</v>
      </c>
      <c r="E38" s="131">
        <v>10000</v>
      </c>
      <c r="F38" s="131">
        <v>2350</v>
      </c>
      <c r="G38" s="44">
        <v>0</v>
      </c>
      <c r="H38" s="131">
        <v>7650</v>
      </c>
      <c r="I38" s="44">
        <v>7000</v>
      </c>
      <c r="J38" s="131">
        <f t="shared" si="7"/>
        <v>0</v>
      </c>
      <c r="K38" s="422">
        <v>0</v>
      </c>
      <c r="L38" s="178">
        <v>0</v>
      </c>
    </row>
    <row r="39" spans="1:12" s="173" customFormat="1" ht="15.95" customHeight="1" x14ac:dyDescent="0.25">
      <c r="A39" s="249" t="s">
        <v>418</v>
      </c>
      <c r="B39" s="245">
        <v>3557</v>
      </c>
      <c r="C39" s="235">
        <v>14</v>
      </c>
      <c r="D39" s="131">
        <v>94793</v>
      </c>
      <c r="E39" s="131">
        <v>10100</v>
      </c>
      <c r="F39" s="131">
        <v>3650</v>
      </c>
      <c r="G39" s="44">
        <v>0</v>
      </c>
      <c r="H39" s="131">
        <v>6450</v>
      </c>
      <c r="I39" s="44">
        <v>6000</v>
      </c>
      <c r="J39" s="131">
        <f t="shared" si="7"/>
        <v>0</v>
      </c>
      <c r="K39" s="422">
        <v>0</v>
      </c>
      <c r="L39" s="178">
        <v>0</v>
      </c>
    </row>
    <row r="40" spans="1:12" s="174" customFormat="1" ht="16.5" customHeight="1" x14ac:dyDescent="0.25">
      <c r="A40" s="179" t="s">
        <v>43</v>
      </c>
      <c r="B40" s="236"/>
      <c r="C40" s="236"/>
      <c r="D40" s="419" t="s">
        <v>290</v>
      </c>
      <c r="E40" s="419">
        <f>SUM(E30:E39)</f>
        <v>305400</v>
      </c>
      <c r="F40" s="419">
        <f t="shared" ref="F40" si="8">SUM(F30:F39)</f>
        <v>201960</v>
      </c>
      <c r="G40" s="419">
        <f>SUM(G30:G39)</f>
        <v>118000</v>
      </c>
      <c r="H40" s="419">
        <f t="shared" ref="H40:J40" si="9">SUM(H30:H39)</f>
        <v>103440</v>
      </c>
      <c r="I40" s="419">
        <f>SUM(I30:I39)</f>
        <v>99800</v>
      </c>
      <c r="J40" s="419">
        <f t="shared" si="9"/>
        <v>0</v>
      </c>
      <c r="K40" s="420">
        <f>SUM(K30:K39)</f>
        <v>0</v>
      </c>
      <c r="L40" s="421">
        <f>SUM(L30:L39)</f>
        <v>0</v>
      </c>
    </row>
    <row r="41" spans="1:12" s="172" customFormat="1" ht="18" customHeight="1" x14ac:dyDescent="0.25">
      <c r="A41" s="399" t="s">
        <v>44</v>
      </c>
      <c r="B41" s="433"/>
      <c r="C41" s="433"/>
      <c r="D41" s="434"/>
      <c r="E41" s="434"/>
      <c r="F41" s="434"/>
      <c r="G41" s="434"/>
      <c r="H41" s="434"/>
      <c r="I41" s="434"/>
      <c r="J41" s="434"/>
      <c r="K41" s="434"/>
      <c r="L41" s="400"/>
    </row>
    <row r="42" spans="1:12" s="173" customFormat="1" ht="24" customHeight="1" x14ac:dyDescent="0.25">
      <c r="A42" s="249" t="s">
        <v>322</v>
      </c>
      <c r="B42" s="402">
        <v>3515</v>
      </c>
      <c r="C42" s="235">
        <v>14</v>
      </c>
      <c r="D42" s="131">
        <v>9075</v>
      </c>
      <c r="E42" s="131">
        <v>25000</v>
      </c>
      <c r="F42" s="131">
        <v>6100</v>
      </c>
      <c r="G42" s="44">
        <v>0</v>
      </c>
      <c r="H42" s="131">
        <v>18900</v>
      </c>
      <c r="I42" s="44">
        <v>18600</v>
      </c>
      <c r="J42" s="131">
        <f t="shared" ref="J42:J48" si="10">K42+L42</f>
        <v>0</v>
      </c>
      <c r="K42" s="422">
        <v>0</v>
      </c>
      <c r="L42" s="178">
        <v>0</v>
      </c>
    </row>
    <row r="43" spans="1:12" s="173" customFormat="1" ht="21.75" customHeight="1" x14ac:dyDescent="0.25">
      <c r="A43" s="249" t="s">
        <v>323</v>
      </c>
      <c r="B43" s="402">
        <v>3516</v>
      </c>
      <c r="C43" s="235">
        <v>14</v>
      </c>
      <c r="D43" s="131">
        <v>140127</v>
      </c>
      <c r="E43" s="131">
        <v>26000</v>
      </c>
      <c r="F43" s="131">
        <v>2600</v>
      </c>
      <c r="G43" s="44">
        <v>0</v>
      </c>
      <c r="H43" s="131">
        <v>23400</v>
      </c>
      <c r="I43" s="44">
        <v>22200</v>
      </c>
      <c r="J43" s="131">
        <f t="shared" si="10"/>
        <v>0</v>
      </c>
      <c r="K43" s="422">
        <v>0</v>
      </c>
      <c r="L43" s="178">
        <v>0</v>
      </c>
    </row>
    <row r="44" spans="1:12" s="173" customFormat="1" ht="24" customHeight="1" x14ac:dyDescent="0.25">
      <c r="A44" s="249" t="s">
        <v>324</v>
      </c>
      <c r="B44" s="402">
        <v>3517</v>
      </c>
      <c r="C44" s="235">
        <v>14</v>
      </c>
      <c r="D44" s="131">
        <v>77527</v>
      </c>
      <c r="E44" s="131">
        <v>25200</v>
      </c>
      <c r="F44" s="131">
        <v>2520</v>
      </c>
      <c r="G44" s="44">
        <v>0</v>
      </c>
      <c r="H44" s="131">
        <v>22680</v>
      </c>
      <c r="I44" s="44">
        <v>22300</v>
      </c>
      <c r="J44" s="131">
        <f t="shared" si="10"/>
        <v>0</v>
      </c>
      <c r="K44" s="422">
        <v>0</v>
      </c>
      <c r="L44" s="178">
        <v>0</v>
      </c>
    </row>
    <row r="45" spans="1:12" s="173" customFormat="1" ht="15" customHeight="1" x14ac:dyDescent="0.25">
      <c r="A45" s="249" t="s">
        <v>325</v>
      </c>
      <c r="B45" s="398">
        <v>3520</v>
      </c>
      <c r="C45" s="235">
        <v>14</v>
      </c>
      <c r="D45" s="131">
        <v>70000</v>
      </c>
      <c r="E45" s="131">
        <v>35000</v>
      </c>
      <c r="F45" s="131">
        <v>8900</v>
      </c>
      <c r="G45" s="44">
        <v>0</v>
      </c>
      <c r="H45" s="131">
        <v>26100</v>
      </c>
      <c r="I45" s="44">
        <v>4000</v>
      </c>
      <c r="J45" s="131">
        <f t="shared" si="10"/>
        <v>0</v>
      </c>
      <c r="K45" s="422">
        <v>0</v>
      </c>
      <c r="L45" s="178">
        <v>0</v>
      </c>
    </row>
    <row r="46" spans="1:12" s="173" customFormat="1" ht="15" customHeight="1" x14ac:dyDescent="0.25">
      <c r="A46" s="249" t="s">
        <v>342</v>
      </c>
      <c r="B46" s="398">
        <v>3525</v>
      </c>
      <c r="C46" s="235">
        <v>14</v>
      </c>
      <c r="D46" s="131">
        <v>10000</v>
      </c>
      <c r="E46" s="131">
        <v>9800</v>
      </c>
      <c r="F46" s="131">
        <v>980</v>
      </c>
      <c r="G46" s="44">
        <v>0</v>
      </c>
      <c r="H46" s="131">
        <v>8820</v>
      </c>
      <c r="I46" s="44">
        <v>8600</v>
      </c>
      <c r="J46" s="131">
        <f t="shared" si="10"/>
        <v>0</v>
      </c>
      <c r="K46" s="422">
        <v>0</v>
      </c>
      <c r="L46" s="178">
        <v>0</v>
      </c>
    </row>
    <row r="47" spans="1:12" s="173" customFormat="1" ht="15" customHeight="1" x14ac:dyDescent="0.25">
      <c r="A47" s="403" t="s">
        <v>326</v>
      </c>
      <c r="B47" s="402">
        <v>3502</v>
      </c>
      <c r="C47" s="235">
        <v>14</v>
      </c>
      <c r="D47" s="131">
        <v>1219622.77</v>
      </c>
      <c r="E47" s="131">
        <v>73000</v>
      </c>
      <c r="F47" s="131">
        <v>11800</v>
      </c>
      <c r="G47" s="44">
        <v>0</v>
      </c>
      <c r="H47" s="131">
        <v>61200</v>
      </c>
      <c r="I47" s="44">
        <v>0</v>
      </c>
      <c r="J47" s="131">
        <f t="shared" si="10"/>
        <v>690</v>
      </c>
      <c r="K47" s="422">
        <v>690</v>
      </c>
      <c r="L47" s="178">
        <v>0</v>
      </c>
    </row>
    <row r="48" spans="1:12" s="173" customFormat="1" ht="15" customHeight="1" x14ac:dyDescent="0.25">
      <c r="A48" s="403" t="s">
        <v>426</v>
      </c>
      <c r="B48" s="402">
        <v>3569</v>
      </c>
      <c r="C48" s="235">
        <v>14</v>
      </c>
      <c r="D48" s="131">
        <v>16000</v>
      </c>
      <c r="E48" s="131">
        <v>15800</v>
      </c>
      <c r="F48" s="131">
        <v>3774</v>
      </c>
      <c r="G48" s="44">
        <v>0</v>
      </c>
      <c r="H48" s="131">
        <v>12026</v>
      </c>
      <c r="I48" s="44">
        <v>11400</v>
      </c>
      <c r="J48" s="131">
        <f t="shared" si="10"/>
        <v>0</v>
      </c>
      <c r="K48" s="422">
        <v>0</v>
      </c>
      <c r="L48" s="178">
        <v>0</v>
      </c>
    </row>
    <row r="49" spans="1:12" s="174" customFormat="1" ht="16.5" customHeight="1" x14ac:dyDescent="0.25">
      <c r="A49" s="425" t="s">
        <v>45</v>
      </c>
      <c r="B49" s="426"/>
      <c r="C49" s="236"/>
      <c r="D49" s="419" t="s">
        <v>290</v>
      </c>
      <c r="E49" s="419">
        <f>SUM(E42:E48)</f>
        <v>209800</v>
      </c>
      <c r="F49" s="419">
        <f t="shared" ref="F49" si="11">SUM(F42:F48)</f>
        <v>36674</v>
      </c>
      <c r="G49" s="419">
        <f>SUM(G42:G48)</f>
        <v>0</v>
      </c>
      <c r="H49" s="419">
        <f t="shared" ref="H49:J49" si="12">SUM(H42:H48)</f>
        <v>173126</v>
      </c>
      <c r="I49" s="419">
        <f>SUM(I42:I48)</f>
        <v>87100</v>
      </c>
      <c r="J49" s="419">
        <f t="shared" si="12"/>
        <v>690</v>
      </c>
      <c r="K49" s="420">
        <f>SUM(K42:K48)</f>
        <v>690</v>
      </c>
      <c r="L49" s="421">
        <f>SUM(L42:L48)</f>
        <v>0</v>
      </c>
    </row>
    <row r="50" spans="1:12" s="172" customFormat="1" ht="18" customHeight="1" x14ac:dyDescent="0.25">
      <c r="A50" s="399" t="s">
        <v>260</v>
      </c>
      <c r="B50" s="433"/>
      <c r="C50" s="433"/>
      <c r="D50" s="486"/>
      <c r="E50" s="486"/>
      <c r="F50" s="486"/>
      <c r="G50" s="486"/>
      <c r="H50" s="486"/>
      <c r="I50" s="486"/>
      <c r="J50" s="486"/>
      <c r="K50" s="486"/>
      <c r="L50" s="400"/>
    </row>
    <row r="51" spans="1:12" s="173" customFormat="1" ht="15" customHeight="1" x14ac:dyDescent="0.25">
      <c r="A51" s="252" t="s">
        <v>431</v>
      </c>
      <c r="B51" s="404">
        <v>3572</v>
      </c>
      <c r="C51" s="237">
        <v>14</v>
      </c>
      <c r="D51" s="131">
        <v>95000</v>
      </c>
      <c r="E51" s="131">
        <v>44250</v>
      </c>
      <c r="F51" s="131">
        <v>10000</v>
      </c>
      <c r="G51" s="44">
        <v>0</v>
      </c>
      <c r="H51" s="131">
        <v>34250</v>
      </c>
      <c r="I51" s="44">
        <v>33500</v>
      </c>
      <c r="J51" s="131">
        <f>K51+L51</f>
        <v>0</v>
      </c>
      <c r="K51" s="422">
        <v>0</v>
      </c>
      <c r="L51" s="178">
        <v>0</v>
      </c>
    </row>
    <row r="52" spans="1:12" s="174" customFormat="1" ht="16.5" customHeight="1" x14ac:dyDescent="0.25">
      <c r="A52" s="425" t="s">
        <v>261</v>
      </c>
      <c r="B52" s="427"/>
      <c r="C52" s="236"/>
      <c r="D52" s="419" t="s">
        <v>290</v>
      </c>
      <c r="E52" s="419">
        <f>SUM(E51)</f>
        <v>44250</v>
      </c>
      <c r="F52" s="419">
        <f t="shared" ref="F52" si="13">SUM(F51)</f>
        <v>10000</v>
      </c>
      <c r="G52" s="419">
        <f>SUM(G51)</f>
        <v>0</v>
      </c>
      <c r="H52" s="419">
        <f t="shared" ref="H52:K52" si="14">SUM(H51)</f>
        <v>34250</v>
      </c>
      <c r="I52" s="419">
        <f t="shared" si="14"/>
        <v>33500</v>
      </c>
      <c r="J52" s="419">
        <f t="shared" si="14"/>
        <v>0</v>
      </c>
      <c r="K52" s="420">
        <f t="shared" si="14"/>
        <v>0</v>
      </c>
      <c r="L52" s="421">
        <f>SUM(L51)</f>
        <v>0</v>
      </c>
    </row>
    <row r="53" spans="1:12" s="172" customFormat="1" ht="18" customHeight="1" x14ac:dyDescent="0.25">
      <c r="A53" s="405" t="s">
        <v>46</v>
      </c>
      <c r="B53" s="406"/>
      <c r="C53" s="406"/>
      <c r="D53" s="407"/>
      <c r="E53" s="407"/>
      <c r="F53" s="486"/>
      <c r="G53" s="486"/>
      <c r="H53" s="486"/>
      <c r="I53" s="486"/>
      <c r="J53" s="407"/>
      <c r="K53" s="407"/>
      <c r="L53" s="400"/>
    </row>
    <row r="54" spans="1:12" s="173" customFormat="1" ht="15" customHeight="1" x14ac:dyDescent="0.25">
      <c r="A54" s="253" t="s">
        <v>538</v>
      </c>
      <c r="B54" s="402">
        <v>3292</v>
      </c>
      <c r="C54" s="235">
        <v>14</v>
      </c>
      <c r="D54" s="131">
        <v>249999.6</v>
      </c>
      <c r="E54" s="131">
        <v>53835</v>
      </c>
      <c r="F54" s="131">
        <v>8075</v>
      </c>
      <c r="G54" s="44">
        <v>0</v>
      </c>
      <c r="H54" s="131">
        <v>45760</v>
      </c>
      <c r="I54" s="44">
        <v>45000</v>
      </c>
      <c r="J54" s="131">
        <f t="shared" ref="J54:J55" si="15">K54+L54</f>
        <v>0</v>
      </c>
      <c r="K54" s="422">
        <v>0</v>
      </c>
      <c r="L54" s="178">
        <v>0</v>
      </c>
    </row>
    <row r="55" spans="1:12" s="173" customFormat="1" ht="15" customHeight="1" x14ac:dyDescent="0.25">
      <c r="A55" s="253" t="s">
        <v>243</v>
      </c>
      <c r="B55" s="398">
        <v>3498</v>
      </c>
      <c r="C55" s="235">
        <v>14</v>
      </c>
      <c r="D55" s="131">
        <v>21550</v>
      </c>
      <c r="E55" s="131">
        <v>0</v>
      </c>
      <c r="F55" s="131">
        <v>0</v>
      </c>
      <c r="G55" s="44">
        <v>0</v>
      </c>
      <c r="H55" s="131">
        <v>0</v>
      </c>
      <c r="I55" s="44">
        <v>0</v>
      </c>
      <c r="J55" s="131">
        <f t="shared" si="15"/>
        <v>9056</v>
      </c>
      <c r="K55" s="422">
        <v>9056</v>
      </c>
      <c r="L55" s="178">
        <v>0</v>
      </c>
    </row>
    <row r="56" spans="1:12" s="174" customFormat="1" ht="16.5" customHeight="1" thickBot="1" x14ac:dyDescent="0.3">
      <c r="A56" s="179" t="s">
        <v>47</v>
      </c>
      <c r="B56" s="236"/>
      <c r="C56" s="236"/>
      <c r="D56" s="170" t="s">
        <v>290</v>
      </c>
      <c r="E56" s="170">
        <f>SUM(E54:E55)</f>
        <v>53835</v>
      </c>
      <c r="F56" s="170">
        <f t="shared" ref="F56:K56" si="16">SUM(F54:F55)</f>
        <v>8075</v>
      </c>
      <c r="G56" s="170">
        <f t="shared" si="16"/>
        <v>0</v>
      </c>
      <c r="H56" s="170">
        <f t="shared" si="16"/>
        <v>45760</v>
      </c>
      <c r="I56" s="170">
        <f>SUM(I54:I55)</f>
        <v>45000</v>
      </c>
      <c r="J56" s="170">
        <f t="shared" si="16"/>
        <v>9056</v>
      </c>
      <c r="K56" s="428">
        <f t="shared" si="16"/>
        <v>9056</v>
      </c>
      <c r="L56" s="180">
        <f>SUM(L54:L55)</f>
        <v>0</v>
      </c>
    </row>
    <row r="57" spans="1:12" s="174" customFormat="1" ht="25.5" customHeight="1" thickBot="1" x14ac:dyDescent="0.3">
      <c r="A57" s="175" t="s">
        <v>215</v>
      </c>
      <c r="B57" s="239"/>
      <c r="C57" s="239"/>
      <c r="D57" s="176" t="s">
        <v>290</v>
      </c>
      <c r="E57" s="176">
        <f>E19+E8+E28+E40+E49+E52+E56</f>
        <v>1469425</v>
      </c>
      <c r="F57" s="176">
        <f>F19+F8+F28+F40+F49+F52+F56</f>
        <v>575924</v>
      </c>
      <c r="G57" s="176">
        <f>G19+G8+G28+G40+G49+G52+G56</f>
        <v>133850</v>
      </c>
      <c r="H57" s="176">
        <f>H19+H8+H28+H40+H49+H52+H56</f>
        <v>893501</v>
      </c>
      <c r="I57" s="176">
        <f t="shared" ref="I57" si="17">I19+I8+I28+I40+I49+I52+I56</f>
        <v>573245</v>
      </c>
      <c r="J57" s="176">
        <f>J19+J8+J28+J40+J49+J52+J56</f>
        <v>170364</v>
      </c>
      <c r="K57" s="176">
        <f>K19+K8+K28+K40+K49+K52+K56</f>
        <v>134009</v>
      </c>
      <c r="L57" s="177">
        <f>L19+L8+L28+L40+L49+L52+L56</f>
        <v>36355</v>
      </c>
    </row>
    <row r="58" spans="1:12" s="174" customFormat="1" ht="24" customHeight="1" thickBot="1" x14ac:dyDescent="0.3">
      <c r="A58" s="182"/>
      <c r="B58" s="435"/>
      <c r="C58" s="435"/>
      <c r="D58" s="436"/>
      <c r="E58" s="436"/>
      <c r="F58" s="436"/>
      <c r="G58" s="436"/>
      <c r="H58" s="436"/>
      <c r="I58" s="436"/>
      <c r="J58" s="261"/>
      <c r="K58" s="436"/>
      <c r="L58" s="400"/>
    </row>
    <row r="59" spans="1:12" s="174" customFormat="1" ht="21" customHeight="1" x14ac:dyDescent="0.25">
      <c r="A59" s="557" t="s">
        <v>213</v>
      </c>
      <c r="B59" s="558"/>
      <c r="C59" s="558"/>
      <c r="D59" s="558"/>
      <c r="E59" s="558"/>
      <c r="F59" s="558"/>
      <c r="G59" s="558"/>
      <c r="H59" s="558"/>
      <c r="I59" s="558"/>
      <c r="J59" s="558"/>
      <c r="K59" s="558"/>
      <c r="L59" s="559"/>
    </row>
    <row r="60" spans="1:12" ht="18" customHeight="1" x14ac:dyDescent="0.2">
      <c r="A60" s="399" t="s">
        <v>198</v>
      </c>
      <c r="B60" s="433"/>
      <c r="C60" s="433"/>
      <c r="D60" s="434"/>
      <c r="E60" s="434"/>
      <c r="F60" s="434"/>
      <c r="G60" s="434"/>
      <c r="H60" s="434"/>
      <c r="I60" s="434"/>
      <c r="J60" s="434"/>
      <c r="K60" s="434"/>
      <c r="L60" s="408"/>
    </row>
    <row r="61" spans="1:12" s="172" customFormat="1" ht="15" customHeight="1" x14ac:dyDescent="0.25">
      <c r="A61" s="254" t="s">
        <v>207</v>
      </c>
      <c r="B61" s="246">
        <v>4081</v>
      </c>
      <c r="C61" s="409">
        <v>7</v>
      </c>
      <c r="D61" s="131">
        <v>322439</v>
      </c>
      <c r="E61" s="131">
        <v>191530</v>
      </c>
      <c r="F61" s="131">
        <v>191530</v>
      </c>
      <c r="G61" s="171">
        <v>191530</v>
      </c>
      <c r="H61" s="131">
        <v>0</v>
      </c>
      <c r="I61" s="432">
        <v>0</v>
      </c>
      <c r="J61" s="131">
        <f>L61+K61</f>
        <v>0</v>
      </c>
      <c r="K61" s="432">
        <v>0</v>
      </c>
      <c r="L61" s="181">
        <v>0</v>
      </c>
    </row>
    <row r="62" spans="1:12" s="172" customFormat="1" ht="24" customHeight="1" x14ac:dyDescent="0.25">
      <c r="A62" s="254" t="s">
        <v>344</v>
      </c>
      <c r="B62" s="246">
        <v>4079</v>
      </c>
      <c r="C62" s="409">
        <v>7</v>
      </c>
      <c r="D62" s="131">
        <v>83300</v>
      </c>
      <c r="E62" s="131">
        <v>8000</v>
      </c>
      <c r="F62" s="131">
        <v>8000</v>
      </c>
      <c r="G62" s="171">
        <v>8000</v>
      </c>
      <c r="H62" s="131">
        <v>0</v>
      </c>
      <c r="I62" s="432">
        <v>0</v>
      </c>
      <c r="J62" s="131">
        <f>L62+K62</f>
        <v>0</v>
      </c>
      <c r="K62" s="432">
        <v>0</v>
      </c>
      <c r="L62" s="181">
        <v>0</v>
      </c>
    </row>
    <row r="63" spans="1:12" s="174" customFormat="1" ht="15.75" customHeight="1" x14ac:dyDescent="0.25">
      <c r="A63" s="179" t="s">
        <v>197</v>
      </c>
      <c r="B63" s="236"/>
      <c r="C63" s="236"/>
      <c r="D63" s="419">
        <f>SUM(D61:D62)</f>
        <v>405739</v>
      </c>
      <c r="E63" s="419">
        <f t="shared" ref="E63:K63" si="18">SUM(E61:E62)</f>
        <v>199530</v>
      </c>
      <c r="F63" s="419">
        <f t="shared" si="18"/>
        <v>199530</v>
      </c>
      <c r="G63" s="419">
        <f t="shared" si="18"/>
        <v>199530</v>
      </c>
      <c r="H63" s="419">
        <f t="shared" si="18"/>
        <v>0</v>
      </c>
      <c r="I63" s="419">
        <f t="shared" si="18"/>
        <v>0</v>
      </c>
      <c r="J63" s="419">
        <f t="shared" si="18"/>
        <v>0</v>
      </c>
      <c r="K63" s="420">
        <f t="shared" si="18"/>
        <v>0</v>
      </c>
      <c r="L63" s="421">
        <f>SUM(L61:L62)</f>
        <v>0</v>
      </c>
    </row>
    <row r="64" spans="1:12" s="172" customFormat="1" ht="18" customHeight="1" x14ac:dyDescent="0.25">
      <c r="A64" s="410" t="s">
        <v>40</v>
      </c>
      <c r="B64" s="411"/>
      <c r="C64" s="411"/>
      <c r="D64" s="412"/>
      <c r="E64" s="412"/>
      <c r="F64" s="412"/>
      <c r="G64" s="412"/>
      <c r="H64" s="412"/>
      <c r="I64" s="412"/>
      <c r="J64" s="412"/>
      <c r="K64" s="412"/>
      <c r="L64" s="400"/>
    </row>
    <row r="65" spans="1:12" s="172" customFormat="1" ht="15.95" customHeight="1" x14ac:dyDescent="0.25">
      <c r="A65" s="254" t="s">
        <v>539</v>
      </c>
      <c r="B65" s="413">
        <v>5955</v>
      </c>
      <c r="C65" s="414">
        <v>7</v>
      </c>
      <c r="D65" s="195">
        <v>145199.70000000001</v>
      </c>
      <c r="E65" s="131">
        <v>45000</v>
      </c>
      <c r="F65" s="195">
        <v>45000</v>
      </c>
      <c r="G65" s="171">
        <v>45000</v>
      </c>
      <c r="H65" s="131">
        <v>0</v>
      </c>
      <c r="I65" s="171">
        <v>0</v>
      </c>
      <c r="J65" s="131">
        <f>L65+K65</f>
        <v>0</v>
      </c>
      <c r="K65" s="171">
        <v>0</v>
      </c>
      <c r="L65" s="181">
        <v>0</v>
      </c>
    </row>
    <row r="66" spans="1:12" s="174" customFormat="1" ht="15.75" customHeight="1" x14ac:dyDescent="0.25">
      <c r="A66" s="179" t="s">
        <v>41</v>
      </c>
      <c r="B66" s="236"/>
      <c r="C66" s="236"/>
      <c r="D66" s="419" t="s">
        <v>290</v>
      </c>
      <c r="E66" s="419">
        <f t="shared" ref="E66:K66" si="19">E65</f>
        <v>45000</v>
      </c>
      <c r="F66" s="419">
        <f t="shared" si="19"/>
        <v>45000</v>
      </c>
      <c r="G66" s="419">
        <f>G65</f>
        <v>45000</v>
      </c>
      <c r="H66" s="419">
        <f t="shared" si="19"/>
        <v>0</v>
      </c>
      <c r="I66" s="419">
        <f t="shared" si="19"/>
        <v>0</v>
      </c>
      <c r="J66" s="419">
        <f t="shared" si="19"/>
        <v>0</v>
      </c>
      <c r="K66" s="420">
        <f t="shared" si="19"/>
        <v>0</v>
      </c>
      <c r="L66" s="421">
        <f>L65</f>
        <v>0</v>
      </c>
    </row>
    <row r="67" spans="1:12" s="172" customFormat="1" ht="18" customHeight="1" x14ac:dyDescent="0.25">
      <c r="A67" s="410" t="s">
        <v>42</v>
      </c>
      <c r="B67" s="411"/>
      <c r="C67" s="411"/>
      <c r="D67" s="412"/>
      <c r="E67" s="412"/>
      <c r="F67" s="412"/>
      <c r="G67" s="412"/>
      <c r="H67" s="412"/>
      <c r="I67" s="412"/>
      <c r="J67" s="412"/>
      <c r="K67" s="412"/>
      <c r="L67" s="400"/>
    </row>
    <row r="68" spans="1:12" s="172" customFormat="1" ht="24" customHeight="1" x14ac:dyDescent="0.25">
      <c r="A68" s="255" t="s">
        <v>206</v>
      </c>
      <c r="B68" s="415">
        <v>5758</v>
      </c>
      <c r="C68" s="416">
        <v>14</v>
      </c>
      <c r="D68" s="195">
        <v>300000.33</v>
      </c>
      <c r="E68" s="131">
        <v>132379</v>
      </c>
      <c r="F68" s="195">
        <v>112379</v>
      </c>
      <c r="G68" s="171">
        <v>47537</v>
      </c>
      <c r="H68" s="131">
        <v>20000</v>
      </c>
      <c r="I68" s="171">
        <v>0</v>
      </c>
      <c r="J68" s="131">
        <f>L68+K68</f>
        <v>15431</v>
      </c>
      <c r="K68" s="171">
        <v>15431</v>
      </c>
      <c r="L68" s="181">
        <v>0</v>
      </c>
    </row>
    <row r="69" spans="1:12" s="172" customFormat="1" ht="24" customHeight="1" x14ac:dyDescent="0.25">
      <c r="A69" s="255" t="s">
        <v>345</v>
      </c>
      <c r="B69" s="402">
        <v>5737</v>
      </c>
      <c r="C69" s="402">
        <v>14</v>
      </c>
      <c r="D69" s="195">
        <v>329999.85321000003</v>
      </c>
      <c r="E69" s="131">
        <v>16795</v>
      </c>
      <c r="F69" s="195">
        <v>16795</v>
      </c>
      <c r="G69" s="171">
        <v>15000</v>
      </c>
      <c r="H69" s="131">
        <v>0</v>
      </c>
      <c r="I69" s="171">
        <v>0</v>
      </c>
      <c r="J69" s="131">
        <f>L69+K69</f>
        <v>0</v>
      </c>
      <c r="K69" s="171">
        <v>0</v>
      </c>
      <c r="L69" s="181">
        <v>0</v>
      </c>
    </row>
    <row r="70" spans="1:12" s="174" customFormat="1" ht="15.75" customHeight="1" x14ac:dyDescent="0.25">
      <c r="A70" s="179" t="s">
        <v>43</v>
      </c>
      <c r="B70" s="236"/>
      <c r="C70" s="236"/>
      <c r="D70" s="419" t="s">
        <v>290</v>
      </c>
      <c r="E70" s="419">
        <f t="shared" ref="E70:K70" si="20">E68+E69</f>
        <v>149174</v>
      </c>
      <c r="F70" s="419">
        <f t="shared" si="20"/>
        <v>129174</v>
      </c>
      <c r="G70" s="419">
        <f>G68+G69</f>
        <v>62537</v>
      </c>
      <c r="H70" s="419">
        <f t="shared" si="20"/>
        <v>20000</v>
      </c>
      <c r="I70" s="419">
        <f t="shared" si="20"/>
        <v>0</v>
      </c>
      <c r="J70" s="419">
        <f t="shared" si="20"/>
        <v>15431</v>
      </c>
      <c r="K70" s="419">
        <f t="shared" si="20"/>
        <v>15431</v>
      </c>
      <c r="L70" s="421">
        <f>L68+L69</f>
        <v>0</v>
      </c>
    </row>
    <row r="71" spans="1:12" s="172" customFormat="1" ht="18" customHeight="1" x14ac:dyDescent="0.25">
      <c r="A71" s="410" t="s">
        <v>44</v>
      </c>
      <c r="B71" s="411"/>
      <c r="C71" s="411"/>
      <c r="D71" s="412"/>
      <c r="E71" s="412"/>
      <c r="F71" s="412"/>
      <c r="G71" s="412"/>
      <c r="H71" s="412"/>
      <c r="I71" s="412"/>
      <c r="J71" s="412"/>
      <c r="K71" s="412"/>
      <c r="L71" s="400"/>
    </row>
    <row r="72" spans="1:12" s="172" customFormat="1" ht="24" customHeight="1" x14ac:dyDescent="0.25">
      <c r="A72" s="254" t="s">
        <v>202</v>
      </c>
      <c r="B72" s="413">
        <v>5867</v>
      </c>
      <c r="C72" s="414">
        <v>7</v>
      </c>
      <c r="D72" s="195">
        <v>149100.25</v>
      </c>
      <c r="E72" s="131">
        <v>101339</v>
      </c>
      <c r="F72" s="195">
        <v>101339</v>
      </c>
      <c r="G72" s="171">
        <v>41951</v>
      </c>
      <c r="H72" s="131">
        <v>0</v>
      </c>
      <c r="I72" s="171">
        <v>0</v>
      </c>
      <c r="J72" s="131">
        <f>L72+K72</f>
        <v>0</v>
      </c>
      <c r="K72" s="171">
        <v>0</v>
      </c>
      <c r="L72" s="181">
        <v>0</v>
      </c>
    </row>
    <row r="73" spans="1:12" s="172" customFormat="1" ht="24" customHeight="1" x14ac:dyDescent="0.25">
      <c r="A73" s="254" t="s">
        <v>512</v>
      </c>
      <c r="B73" s="413">
        <v>4162</v>
      </c>
      <c r="C73" s="414">
        <v>7</v>
      </c>
      <c r="D73" s="195">
        <v>50095.636859999999</v>
      </c>
      <c r="E73" s="131">
        <v>24100</v>
      </c>
      <c r="F73" s="195">
        <v>24100</v>
      </c>
      <c r="G73" s="171">
        <v>16614</v>
      </c>
      <c r="H73" s="131">
        <v>0</v>
      </c>
      <c r="I73" s="171">
        <v>0</v>
      </c>
      <c r="J73" s="131">
        <f>L73+K73</f>
        <v>0</v>
      </c>
      <c r="K73" s="171">
        <v>0</v>
      </c>
      <c r="L73" s="181">
        <v>0</v>
      </c>
    </row>
    <row r="74" spans="1:12" s="172" customFormat="1" ht="24" customHeight="1" x14ac:dyDescent="0.25">
      <c r="A74" s="254" t="s">
        <v>513</v>
      </c>
      <c r="B74" s="413">
        <v>4390</v>
      </c>
      <c r="C74" s="414">
        <v>7</v>
      </c>
      <c r="D74" s="195">
        <v>24326</v>
      </c>
      <c r="E74" s="131">
        <v>24000</v>
      </c>
      <c r="F74" s="195">
        <v>24000</v>
      </c>
      <c r="G74" s="171">
        <v>12000</v>
      </c>
      <c r="H74" s="131">
        <v>0</v>
      </c>
      <c r="I74" s="171">
        <v>0</v>
      </c>
      <c r="J74" s="131">
        <f>L74+K74</f>
        <v>0</v>
      </c>
      <c r="K74" s="171">
        <v>0</v>
      </c>
      <c r="L74" s="181">
        <v>0</v>
      </c>
    </row>
    <row r="75" spans="1:12" s="172" customFormat="1" ht="24" customHeight="1" x14ac:dyDescent="0.25">
      <c r="A75" s="254" t="s">
        <v>514</v>
      </c>
      <c r="B75" s="413">
        <v>4272</v>
      </c>
      <c r="C75" s="414">
        <v>7</v>
      </c>
      <c r="D75" s="195">
        <v>38055</v>
      </c>
      <c r="E75" s="131">
        <v>36500</v>
      </c>
      <c r="F75" s="195">
        <v>36500</v>
      </c>
      <c r="G75" s="171">
        <v>36500</v>
      </c>
      <c r="H75" s="131">
        <v>0</v>
      </c>
      <c r="I75" s="171">
        <v>0</v>
      </c>
      <c r="J75" s="131">
        <f>L75+K75</f>
        <v>0</v>
      </c>
      <c r="K75" s="171">
        <v>0</v>
      </c>
      <c r="L75" s="181">
        <v>0</v>
      </c>
    </row>
    <row r="76" spans="1:12" s="172" customFormat="1" ht="24" customHeight="1" x14ac:dyDescent="0.25">
      <c r="A76" s="254" t="s">
        <v>540</v>
      </c>
      <c r="B76" s="413">
        <v>5999</v>
      </c>
      <c r="C76" s="414">
        <v>14</v>
      </c>
      <c r="D76" s="195">
        <v>166000.198</v>
      </c>
      <c r="E76" s="131">
        <v>90339</v>
      </c>
      <c r="F76" s="195">
        <v>30322</v>
      </c>
      <c r="G76" s="171">
        <v>0</v>
      </c>
      <c r="H76" s="131">
        <v>60017</v>
      </c>
      <c r="I76" s="171">
        <v>30017</v>
      </c>
      <c r="J76" s="131">
        <f>L76+K76</f>
        <v>0</v>
      </c>
      <c r="K76" s="171">
        <v>0</v>
      </c>
      <c r="L76" s="181">
        <v>0</v>
      </c>
    </row>
    <row r="77" spans="1:12" s="174" customFormat="1" ht="15.75" customHeight="1" x14ac:dyDescent="0.25">
      <c r="A77" s="425" t="s">
        <v>45</v>
      </c>
      <c r="B77" s="426"/>
      <c r="C77" s="427"/>
      <c r="D77" s="419" t="s">
        <v>290</v>
      </c>
      <c r="E77" s="419">
        <f>SUM(E72:E76)</f>
        <v>276278</v>
      </c>
      <c r="F77" s="419">
        <f t="shared" ref="F77:K77" si="21">SUM(F72:F76)</f>
        <v>216261</v>
      </c>
      <c r="G77" s="419">
        <f>SUM(G72:G76)</f>
        <v>107065</v>
      </c>
      <c r="H77" s="419">
        <f t="shared" si="21"/>
        <v>60017</v>
      </c>
      <c r="I77" s="419">
        <f>SUM(I72:I76)</f>
        <v>30017</v>
      </c>
      <c r="J77" s="419">
        <f t="shared" si="21"/>
        <v>0</v>
      </c>
      <c r="K77" s="419">
        <f t="shared" si="21"/>
        <v>0</v>
      </c>
      <c r="L77" s="421">
        <f>SUM(L72:L76)</f>
        <v>0</v>
      </c>
    </row>
    <row r="78" spans="1:12" s="172" customFormat="1" ht="18" customHeight="1" x14ac:dyDescent="0.25">
      <c r="A78" s="410" t="s">
        <v>46</v>
      </c>
      <c r="B78" s="411"/>
      <c r="C78" s="411"/>
      <c r="D78" s="412"/>
      <c r="E78" s="412"/>
      <c r="F78" s="412"/>
      <c r="G78" s="412"/>
      <c r="H78" s="412"/>
      <c r="I78" s="412"/>
      <c r="J78" s="412"/>
      <c r="K78" s="412"/>
      <c r="L78" s="400"/>
    </row>
    <row r="79" spans="1:12" s="172" customFormat="1" ht="24" customHeight="1" x14ac:dyDescent="0.25">
      <c r="A79" s="255" t="s">
        <v>347</v>
      </c>
      <c r="B79" s="413">
        <v>5482</v>
      </c>
      <c r="C79" s="240">
        <v>7</v>
      </c>
      <c r="D79" s="195">
        <v>151153.234</v>
      </c>
      <c r="E79" s="131">
        <v>128209</v>
      </c>
      <c r="F79" s="195">
        <v>128209</v>
      </c>
      <c r="G79" s="171">
        <v>128208.52</v>
      </c>
      <c r="H79" s="131">
        <v>0</v>
      </c>
      <c r="I79" s="171">
        <v>0</v>
      </c>
      <c r="J79" s="131">
        <f>L79+K79</f>
        <v>0</v>
      </c>
      <c r="K79" s="432">
        <v>0</v>
      </c>
      <c r="L79" s="181">
        <v>0</v>
      </c>
    </row>
    <row r="80" spans="1:12" s="172" customFormat="1" ht="24" customHeight="1" x14ac:dyDescent="0.25">
      <c r="A80" s="248" t="s">
        <v>343</v>
      </c>
      <c r="B80" s="413">
        <v>4485</v>
      </c>
      <c r="C80" s="240">
        <v>7</v>
      </c>
      <c r="D80" s="195">
        <v>50087</v>
      </c>
      <c r="E80" s="131">
        <v>40770</v>
      </c>
      <c r="F80" s="195">
        <v>40770</v>
      </c>
      <c r="G80" s="171">
        <v>10500</v>
      </c>
      <c r="H80" s="131">
        <v>0</v>
      </c>
      <c r="I80" s="171">
        <v>0</v>
      </c>
      <c r="J80" s="131">
        <f>L80+K80</f>
        <v>0</v>
      </c>
      <c r="K80" s="432">
        <v>0</v>
      </c>
      <c r="L80" s="181">
        <v>0</v>
      </c>
    </row>
    <row r="81" spans="1:15" s="174" customFormat="1" ht="16.5" customHeight="1" thickBot="1" x14ac:dyDescent="0.3">
      <c r="A81" s="257" t="s">
        <v>47</v>
      </c>
      <c r="B81" s="262"/>
      <c r="C81" s="258"/>
      <c r="D81" s="259" t="s">
        <v>290</v>
      </c>
      <c r="E81" s="259">
        <f>SUM(E79:E80)</f>
        <v>168979</v>
      </c>
      <c r="F81" s="259">
        <f t="shared" ref="F81:J81" si="22">SUM(F79:F80)</f>
        <v>168979</v>
      </c>
      <c r="G81" s="259">
        <f t="shared" si="22"/>
        <v>138708.52000000002</v>
      </c>
      <c r="H81" s="259">
        <f t="shared" si="22"/>
        <v>0</v>
      </c>
      <c r="I81" s="259">
        <f>SUM(I79:I80)</f>
        <v>0</v>
      </c>
      <c r="J81" s="259">
        <f t="shared" si="22"/>
        <v>0</v>
      </c>
      <c r="K81" s="429">
        <f>SUM(K79:K80)</f>
        <v>0</v>
      </c>
      <c r="L81" s="260">
        <f>SUM(L79:L80)</f>
        <v>0</v>
      </c>
    </row>
    <row r="82" spans="1:15" s="174" customFormat="1" ht="25.5" customHeight="1" thickBot="1" x14ac:dyDescent="0.3">
      <c r="A82" s="175" t="s">
        <v>216</v>
      </c>
      <c r="B82" s="238"/>
      <c r="C82" s="239"/>
      <c r="D82" s="176" t="s">
        <v>290</v>
      </c>
      <c r="E82" s="176">
        <f t="shared" ref="E82:K82" si="23">E63+E66+E70+E77+E81</f>
        <v>838961</v>
      </c>
      <c r="F82" s="176">
        <f>F63+F66+F70+F77+F81</f>
        <v>758944</v>
      </c>
      <c r="G82" s="176">
        <f t="shared" si="23"/>
        <v>552840.52</v>
      </c>
      <c r="H82" s="176">
        <f t="shared" si="23"/>
        <v>80017</v>
      </c>
      <c r="I82" s="176">
        <f t="shared" si="23"/>
        <v>30017</v>
      </c>
      <c r="J82" s="176">
        <f t="shared" si="23"/>
        <v>15431</v>
      </c>
      <c r="K82" s="430">
        <f t="shared" si="23"/>
        <v>15431</v>
      </c>
      <c r="L82" s="177">
        <f>L63+L66+L70+L77+L81</f>
        <v>0</v>
      </c>
    </row>
    <row r="83" spans="1:15" s="174" customFormat="1" ht="18.75" customHeight="1" thickBot="1" x14ac:dyDescent="0.3">
      <c r="A83" s="182"/>
      <c r="B83" s="437"/>
      <c r="C83" s="435"/>
      <c r="D83" s="436"/>
      <c r="E83" s="436"/>
      <c r="F83" s="436"/>
      <c r="G83" s="436"/>
      <c r="H83" s="436"/>
      <c r="I83" s="436"/>
      <c r="J83" s="436"/>
      <c r="K83" s="261"/>
      <c r="L83" s="400"/>
    </row>
    <row r="84" spans="1:15" s="174" customFormat="1" ht="21" customHeight="1" x14ac:dyDescent="0.25">
      <c r="A84" s="554" t="s">
        <v>62</v>
      </c>
      <c r="B84" s="555"/>
      <c r="C84" s="555"/>
      <c r="D84" s="555"/>
      <c r="E84" s="555"/>
      <c r="F84" s="555"/>
      <c r="G84" s="555"/>
      <c r="H84" s="555"/>
      <c r="I84" s="555"/>
      <c r="J84" s="555"/>
      <c r="K84" s="555"/>
      <c r="L84" s="556"/>
    </row>
    <row r="85" spans="1:15" s="247" customFormat="1" ht="15.95" customHeight="1" x14ac:dyDescent="0.25">
      <c r="A85" s="256" t="s">
        <v>63</v>
      </c>
      <c r="B85" s="241"/>
      <c r="C85" s="241">
        <v>17</v>
      </c>
      <c r="D85" s="131">
        <v>5913</v>
      </c>
      <c r="E85" s="131">
        <v>0</v>
      </c>
      <c r="F85" s="131">
        <v>0</v>
      </c>
      <c r="G85" s="44">
        <v>0</v>
      </c>
      <c r="H85" s="131">
        <v>0</v>
      </c>
      <c r="I85" s="44">
        <v>0</v>
      </c>
      <c r="J85" s="131">
        <f>L85+K85</f>
        <v>5913</v>
      </c>
      <c r="K85" s="422">
        <v>5913</v>
      </c>
      <c r="L85" s="178">
        <v>0</v>
      </c>
    </row>
    <row r="86" spans="1:15" s="247" customFormat="1" ht="24.75" customHeight="1" thickBot="1" x14ac:dyDescent="0.3">
      <c r="A86" s="263" t="s">
        <v>64</v>
      </c>
      <c r="B86" s="264"/>
      <c r="C86" s="264">
        <v>9</v>
      </c>
      <c r="D86" s="265">
        <v>1697.77</v>
      </c>
      <c r="E86" s="131">
        <v>0</v>
      </c>
      <c r="F86" s="265">
        <v>0</v>
      </c>
      <c r="G86" s="266">
        <v>0</v>
      </c>
      <c r="H86" s="131">
        <v>0</v>
      </c>
      <c r="I86" s="44">
        <v>0</v>
      </c>
      <c r="J86" s="131">
        <f>L86+K86</f>
        <v>1697.77</v>
      </c>
      <c r="K86" s="431">
        <v>1697.77</v>
      </c>
      <c r="L86" s="178">
        <v>0</v>
      </c>
    </row>
    <row r="87" spans="1:15" s="174" customFormat="1" ht="35.25" customHeight="1" thickBot="1" x14ac:dyDescent="0.3">
      <c r="A87" s="175" t="s">
        <v>214</v>
      </c>
      <c r="B87" s="238"/>
      <c r="C87" s="239"/>
      <c r="D87" s="176" t="s">
        <v>290</v>
      </c>
      <c r="E87" s="176">
        <f>SUM(E85:E86)</f>
        <v>0</v>
      </c>
      <c r="F87" s="176">
        <f t="shared" ref="F87:K87" si="24">SUM(F85:F86)</f>
        <v>0</v>
      </c>
      <c r="G87" s="176">
        <f t="shared" si="24"/>
        <v>0</v>
      </c>
      <c r="H87" s="176">
        <f t="shared" si="24"/>
        <v>0</v>
      </c>
      <c r="I87" s="176">
        <f t="shared" si="24"/>
        <v>0</v>
      </c>
      <c r="J87" s="176">
        <f>SUM(J85:J86)</f>
        <v>7610.77</v>
      </c>
      <c r="K87" s="430">
        <f t="shared" si="24"/>
        <v>7610.77</v>
      </c>
      <c r="L87" s="177">
        <f>SUM(L85:L86)</f>
        <v>0</v>
      </c>
    </row>
    <row r="88" spans="1:15" s="174" customFormat="1" ht="13.5" customHeight="1" thickBot="1" x14ac:dyDescent="0.3">
      <c r="A88" s="182"/>
      <c r="B88" s="437"/>
      <c r="C88" s="435"/>
      <c r="D88" s="436"/>
      <c r="E88" s="436"/>
      <c r="F88" s="436"/>
      <c r="G88" s="436"/>
      <c r="H88" s="436"/>
      <c r="I88" s="436"/>
      <c r="J88" s="436"/>
      <c r="K88" s="436"/>
      <c r="L88" s="400"/>
    </row>
    <row r="89" spans="1:15" s="174" customFormat="1" ht="24" customHeight="1" thickBot="1" x14ac:dyDescent="0.3">
      <c r="A89" s="175" t="s">
        <v>32</v>
      </c>
      <c r="B89" s="238"/>
      <c r="C89" s="239"/>
      <c r="D89" s="176" t="s">
        <v>290</v>
      </c>
      <c r="E89" s="176">
        <f>E57+E82+E87</f>
        <v>2308386</v>
      </c>
      <c r="F89" s="176">
        <f>F57+F82+F87</f>
        <v>1334868</v>
      </c>
      <c r="G89" s="176">
        <f t="shared" ref="G89:K89" si="25">G57+G82+G87</f>
        <v>686690.52</v>
      </c>
      <c r="H89" s="176">
        <f>H57+H82+H87</f>
        <v>973518</v>
      </c>
      <c r="I89" s="176">
        <f t="shared" si="25"/>
        <v>603262</v>
      </c>
      <c r="J89" s="176">
        <f>J57+J82+J87</f>
        <v>193405.77</v>
      </c>
      <c r="K89" s="430">
        <f t="shared" si="25"/>
        <v>157050.76999999999</v>
      </c>
      <c r="L89" s="177">
        <f>L57+L82+L87</f>
        <v>36355</v>
      </c>
    </row>
    <row r="93" spans="1:15" s="153" customFormat="1" x14ac:dyDescent="0.2">
      <c r="A93" s="43"/>
      <c r="B93" s="243"/>
      <c r="C93" s="244"/>
      <c r="J93" s="417"/>
      <c r="K93" s="417"/>
      <c r="M93" s="43"/>
      <c r="N93" s="43"/>
      <c r="O93" s="43"/>
    </row>
  </sheetData>
  <mergeCells count="10">
    <mergeCell ref="A5:L5"/>
    <mergeCell ref="A59:L59"/>
    <mergeCell ref="A84:L84"/>
    <mergeCell ref="A1:L1"/>
    <mergeCell ref="A3:A4"/>
    <mergeCell ref="D3:D4"/>
    <mergeCell ref="E3:E4"/>
    <mergeCell ref="F3:G3"/>
    <mergeCell ref="H3:I3"/>
    <mergeCell ref="J3:L3"/>
  </mergeCells>
  <pageMargins left="0.39370078740157483" right="0.39370078740157483" top="0.78740157480314965" bottom="0.39370078740157483" header="0.31496062992125984" footer="0.11811023622047245"/>
  <pageSetup paperSize="9" scale="84" firstPageNumber="9" fitToHeight="0" orientation="landscape" useFirstPageNumber="1" r:id="rId1"/>
  <headerFooter>
    <oddHeader>&amp;L&amp;"Tahoma,Kurzíva"&amp;9Návrh rozpočtu na rok 2024
Příloha č. 10&amp;R&amp;"Tahoma,Kurzíva"&amp;9Přehled akcí financovaných z úvěrových zdrojů v návrhu rozpočtu kraje na rok 2024</oddHeader>
    <oddFooter>&amp;C&amp;"Tahoma,Obyčejné"&amp;10&amp;P</oddFooter>
  </headerFooter>
  <rowBreaks count="2" manualBreakCount="2">
    <brk id="32" max="16383" man="1"/>
    <brk id="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D6DF-98D8-40A2-9359-8FF53363A2BE}">
  <sheetPr>
    <pageSetUpPr fitToPage="1"/>
  </sheetPr>
  <dimension ref="A1:N108"/>
  <sheetViews>
    <sheetView zoomScaleNormal="100" zoomScaleSheetLayoutView="100" workbookViewId="0">
      <pane ySplit="4" topLeftCell="A5" activePane="bottomLeft" state="frozen"/>
      <selection activeCell="H3" sqref="H3"/>
      <selection pane="bottomLeft" activeCell="H3" sqref="H3:H4"/>
    </sheetView>
  </sheetViews>
  <sheetFormatPr defaultColWidth="9.140625" defaultRowHeight="12.75" x14ac:dyDescent="0.25"/>
  <cols>
    <col min="1" max="1" width="50.7109375" style="307" customWidth="1"/>
    <col min="2" max="3" width="9.140625" style="375" hidden="1" customWidth="1"/>
    <col min="4" max="5" width="12.7109375" style="376" customWidth="1"/>
    <col min="6" max="6" width="12.7109375" style="377" customWidth="1"/>
    <col min="7" max="7" width="12.7109375" style="378" customWidth="1"/>
    <col min="8" max="8" width="14.140625" style="378" customWidth="1"/>
    <col min="9" max="9" width="9.140625" style="307"/>
    <col min="10" max="16" width="17.5703125" style="307" customWidth="1"/>
    <col min="17" max="16384" width="9.140625" style="307"/>
  </cols>
  <sheetData>
    <row r="1" spans="1:13" ht="23.25" customHeight="1" x14ac:dyDescent="0.25">
      <c r="A1" s="580" t="s">
        <v>470</v>
      </c>
      <c r="B1" s="580"/>
      <c r="C1" s="580"/>
      <c r="D1" s="580"/>
      <c r="E1" s="580"/>
      <c r="F1" s="580"/>
      <c r="G1" s="580"/>
      <c r="H1" s="580"/>
    </row>
    <row r="2" spans="1:13" s="155" customFormat="1" ht="12.75" customHeight="1" thickBot="1" x14ac:dyDescent="0.2">
      <c r="A2" s="308"/>
      <c r="B2" s="309"/>
      <c r="C2" s="309"/>
      <c r="D2" s="310"/>
      <c r="E2" s="310"/>
      <c r="F2" s="311"/>
      <c r="G2" s="310"/>
      <c r="H2" s="383" t="s">
        <v>31</v>
      </c>
    </row>
    <row r="3" spans="1:13" ht="21" customHeight="1" x14ac:dyDescent="0.25">
      <c r="A3" s="581" t="s">
        <v>35</v>
      </c>
      <c r="B3" s="381" t="s">
        <v>471</v>
      </c>
      <c r="C3" s="382"/>
      <c r="D3" s="585" t="s">
        <v>527</v>
      </c>
      <c r="E3" s="586"/>
      <c r="F3" s="586"/>
      <c r="G3" s="587"/>
      <c r="H3" s="583" t="s">
        <v>101</v>
      </c>
    </row>
    <row r="4" spans="1:13" ht="21" customHeight="1" thickBot="1" x14ac:dyDescent="0.3">
      <c r="A4" s="582"/>
      <c r="B4" s="312" t="s">
        <v>472</v>
      </c>
      <c r="C4" s="312" t="s">
        <v>473</v>
      </c>
      <c r="D4" s="313">
        <v>2021</v>
      </c>
      <c r="E4" s="314">
        <v>2022</v>
      </c>
      <c r="F4" s="315">
        <v>2023</v>
      </c>
      <c r="G4" s="315">
        <v>2024</v>
      </c>
      <c r="H4" s="584"/>
    </row>
    <row r="5" spans="1:13" ht="21" customHeight="1" x14ac:dyDescent="0.25">
      <c r="A5" s="588" t="s">
        <v>474</v>
      </c>
      <c r="B5" s="589"/>
      <c r="C5" s="589"/>
      <c r="D5" s="589"/>
      <c r="E5" s="589"/>
      <c r="F5" s="589"/>
      <c r="G5" s="589"/>
      <c r="H5" s="590"/>
    </row>
    <row r="6" spans="1:13" s="317" customFormat="1" ht="18" customHeight="1" x14ac:dyDescent="0.25">
      <c r="A6" s="328" t="s">
        <v>40</v>
      </c>
      <c r="B6" s="384"/>
      <c r="C6" s="384"/>
      <c r="D6" s="384"/>
      <c r="E6" s="384"/>
      <c r="F6" s="384"/>
      <c r="G6" s="384"/>
      <c r="H6" s="385"/>
    </row>
    <row r="7" spans="1:13" ht="15" customHeight="1" x14ac:dyDescent="0.25">
      <c r="A7" s="318" t="s">
        <v>309</v>
      </c>
      <c r="B7" s="319">
        <v>3555</v>
      </c>
      <c r="C7" s="320" t="s">
        <v>475</v>
      </c>
      <c r="D7" s="321">
        <v>0</v>
      </c>
      <c r="E7" s="321">
        <v>0</v>
      </c>
      <c r="F7" s="322">
        <v>0</v>
      </c>
      <c r="G7" s="323">
        <v>15850</v>
      </c>
      <c r="H7" s="324">
        <f>D7+E7+F7+G7</f>
        <v>15850</v>
      </c>
    </row>
    <row r="8" spans="1:13" s="327" customFormat="1" ht="15.95" customHeight="1" x14ac:dyDescent="0.25">
      <c r="A8" s="571" t="s">
        <v>41</v>
      </c>
      <c r="B8" s="572"/>
      <c r="C8" s="573"/>
      <c r="D8" s="325">
        <f>SUM(D7)</f>
        <v>0</v>
      </c>
      <c r="E8" s="325">
        <f>SUM(E7)</f>
        <v>0</v>
      </c>
      <c r="F8" s="325">
        <f t="shared" ref="F8" si="0">SUM(F7)</f>
        <v>0</v>
      </c>
      <c r="G8" s="325">
        <f>SUM(G7)</f>
        <v>15850</v>
      </c>
      <c r="H8" s="326">
        <f>H7</f>
        <v>15850</v>
      </c>
    </row>
    <row r="9" spans="1:13" s="317" customFormat="1" ht="18" customHeight="1" x14ac:dyDescent="0.25">
      <c r="A9" s="591" t="s">
        <v>42</v>
      </c>
      <c r="B9" s="592"/>
      <c r="C9" s="592"/>
      <c r="D9" s="592"/>
      <c r="E9" s="592"/>
      <c r="F9" s="592"/>
      <c r="G9" s="592"/>
      <c r="H9" s="593"/>
    </row>
    <row r="10" spans="1:13" ht="15" customHeight="1" x14ac:dyDescent="0.25">
      <c r="A10" s="332" t="s">
        <v>138</v>
      </c>
      <c r="B10" s="319">
        <v>3402</v>
      </c>
      <c r="C10" s="320" t="s">
        <v>475</v>
      </c>
      <c r="D10" s="321">
        <v>5576.1411900000003</v>
      </c>
      <c r="E10" s="321">
        <v>35366.094799999999</v>
      </c>
      <c r="F10" s="333">
        <v>49772.06</v>
      </c>
      <c r="G10" s="323">
        <v>108000</v>
      </c>
      <c r="H10" s="324">
        <f>D10+E10+F10+G10</f>
        <v>198714.29599000001</v>
      </c>
    </row>
    <row r="11" spans="1:13" s="327" customFormat="1" ht="24" customHeight="1" x14ac:dyDescent="0.25">
      <c r="A11" s="318" t="s">
        <v>181</v>
      </c>
      <c r="B11" s="319">
        <v>3425</v>
      </c>
      <c r="C11" s="320" t="s">
        <v>475</v>
      </c>
      <c r="D11" s="321">
        <v>3541.7672400000001</v>
      </c>
      <c r="E11" s="321">
        <v>15139.03263</v>
      </c>
      <c r="F11" s="333">
        <v>21823.200000000001</v>
      </c>
      <c r="G11" s="323">
        <v>10000</v>
      </c>
      <c r="H11" s="324">
        <f>D11+E11+F11+G11</f>
        <v>50503.99987</v>
      </c>
      <c r="M11" s="327" t="s">
        <v>476</v>
      </c>
    </row>
    <row r="12" spans="1:13" s="327" customFormat="1" ht="15.95" customHeight="1" x14ac:dyDescent="0.25">
      <c r="A12" s="571" t="s">
        <v>43</v>
      </c>
      <c r="B12" s="572"/>
      <c r="C12" s="573"/>
      <c r="D12" s="325">
        <f>SUM(D10:D11)</f>
        <v>9117.9084299999995</v>
      </c>
      <c r="E12" s="325">
        <f t="shared" ref="E12:G12" si="1">SUM(E10:E11)</f>
        <v>50505.12743</v>
      </c>
      <c r="F12" s="325">
        <f t="shared" si="1"/>
        <v>71595.259999999995</v>
      </c>
      <c r="G12" s="325">
        <f t="shared" si="1"/>
        <v>118000</v>
      </c>
      <c r="H12" s="326">
        <f>SUM(H10:H11)</f>
        <v>249218.29586000001</v>
      </c>
    </row>
    <row r="13" spans="1:13" s="317" customFormat="1" ht="18" customHeight="1" x14ac:dyDescent="0.25">
      <c r="A13" s="328" t="s">
        <v>44</v>
      </c>
      <c r="B13" s="329"/>
      <c r="C13" s="329"/>
      <c r="D13" s="330"/>
      <c r="E13" s="330"/>
      <c r="F13" s="330"/>
      <c r="G13" s="330"/>
      <c r="H13" s="331"/>
    </row>
    <row r="14" spans="1:13" ht="15" customHeight="1" x14ac:dyDescent="0.25">
      <c r="A14" s="318" t="s">
        <v>239</v>
      </c>
      <c r="B14" s="319">
        <v>3445</v>
      </c>
      <c r="C14" s="320" t="s">
        <v>475</v>
      </c>
      <c r="D14" s="321">
        <v>0</v>
      </c>
      <c r="E14" s="321">
        <v>12240.953</v>
      </c>
      <c r="F14" s="334">
        <v>13029.04</v>
      </c>
      <c r="G14" s="323">
        <v>0</v>
      </c>
      <c r="H14" s="324">
        <f>D14+E14+F14+G14</f>
        <v>25269.993000000002</v>
      </c>
    </row>
    <row r="15" spans="1:13" s="327" customFormat="1" ht="15" customHeight="1" x14ac:dyDescent="0.25">
      <c r="A15" s="318" t="s">
        <v>240</v>
      </c>
      <c r="B15" s="319">
        <v>3450</v>
      </c>
      <c r="C15" s="320" t="s">
        <v>475</v>
      </c>
      <c r="D15" s="321">
        <v>0</v>
      </c>
      <c r="E15" s="321">
        <v>1146.6377500000001</v>
      </c>
      <c r="F15" s="334">
        <v>8824.68</v>
      </c>
      <c r="G15" s="323">
        <v>0</v>
      </c>
      <c r="H15" s="324">
        <f t="shared" ref="H15:H16" si="2">D15+E15+F15+G15</f>
        <v>9971.3177500000002</v>
      </c>
    </row>
    <row r="16" spans="1:13" s="327" customFormat="1" ht="15" customHeight="1" x14ac:dyDescent="0.25">
      <c r="A16" s="318" t="s">
        <v>241</v>
      </c>
      <c r="B16" s="319">
        <v>3448</v>
      </c>
      <c r="C16" s="320" t="s">
        <v>475</v>
      </c>
      <c r="D16" s="321">
        <v>0</v>
      </c>
      <c r="E16" s="321">
        <v>10946.249320000001</v>
      </c>
      <c r="F16" s="334">
        <v>10274.15</v>
      </c>
      <c r="G16" s="323">
        <v>0</v>
      </c>
      <c r="H16" s="324">
        <f t="shared" si="2"/>
        <v>21220.39932</v>
      </c>
    </row>
    <row r="17" spans="1:8" s="327" customFormat="1" ht="15" customHeight="1" x14ac:dyDescent="0.25">
      <c r="A17" s="318" t="s">
        <v>477</v>
      </c>
      <c r="B17" s="319">
        <v>3449</v>
      </c>
      <c r="C17" s="320" t="s">
        <v>475</v>
      </c>
      <c r="D17" s="321">
        <v>0</v>
      </c>
      <c r="E17" s="321">
        <v>59.375120000000003</v>
      </c>
      <c r="F17" s="334">
        <v>50782.62</v>
      </c>
      <c r="G17" s="323">
        <v>0</v>
      </c>
      <c r="H17" s="324">
        <f>D17+E17+F17+G17</f>
        <v>50841.99512</v>
      </c>
    </row>
    <row r="18" spans="1:8" s="327" customFormat="1" ht="15.95" customHeight="1" x14ac:dyDescent="0.25">
      <c r="A18" s="571" t="s">
        <v>45</v>
      </c>
      <c r="B18" s="572"/>
      <c r="C18" s="573"/>
      <c r="D18" s="325">
        <f>SUM(D14:D17)</f>
        <v>0</v>
      </c>
      <c r="E18" s="325">
        <f>SUM(E14:E17)</f>
        <v>24393.215189999999</v>
      </c>
      <c r="F18" s="325">
        <f t="shared" ref="F18:G18" si="3">SUM(F14:F17)</f>
        <v>82910.490000000005</v>
      </c>
      <c r="G18" s="325">
        <f t="shared" si="3"/>
        <v>0</v>
      </c>
      <c r="H18" s="326">
        <f>SUM(H14:H17)</f>
        <v>107303.70519000001</v>
      </c>
    </row>
    <row r="19" spans="1:8" s="317" customFormat="1" ht="18" customHeight="1" x14ac:dyDescent="0.25">
      <c r="A19" s="328" t="s">
        <v>187</v>
      </c>
      <c r="B19" s="329"/>
      <c r="C19" s="329"/>
      <c r="D19" s="330"/>
      <c r="E19" s="330"/>
      <c r="F19" s="330"/>
      <c r="G19" s="330"/>
      <c r="H19" s="331"/>
    </row>
    <row r="20" spans="1:8" ht="15" customHeight="1" x14ac:dyDescent="0.25">
      <c r="A20" s="318" t="s">
        <v>327</v>
      </c>
      <c r="B20" s="319">
        <v>3468</v>
      </c>
      <c r="C20" s="320" t="s">
        <v>475</v>
      </c>
      <c r="D20" s="321">
        <v>0</v>
      </c>
      <c r="E20" s="321">
        <v>5994.8141100000003</v>
      </c>
      <c r="F20" s="334">
        <v>26947.47</v>
      </c>
      <c r="G20" s="323">
        <v>0</v>
      </c>
      <c r="H20" s="324">
        <f>D20+E20+F20+G20</f>
        <v>32942.284110000001</v>
      </c>
    </row>
    <row r="21" spans="1:8" s="327" customFormat="1" ht="15.95" customHeight="1" thickBot="1" x14ac:dyDescent="0.3">
      <c r="A21" s="574" t="s">
        <v>188</v>
      </c>
      <c r="B21" s="575"/>
      <c r="C21" s="576"/>
      <c r="D21" s="335">
        <v>0</v>
      </c>
      <c r="E21" s="335">
        <f>E20</f>
        <v>5994.8141100000003</v>
      </c>
      <c r="F21" s="335">
        <f t="shared" ref="F21" si="4">F20</f>
        <v>26947.47</v>
      </c>
      <c r="G21" s="335">
        <v>0</v>
      </c>
      <c r="H21" s="336">
        <f>H20</f>
        <v>32942.284110000001</v>
      </c>
    </row>
    <row r="22" spans="1:8" s="317" customFormat="1" ht="25.5" customHeight="1" thickBot="1" x14ac:dyDescent="0.3">
      <c r="A22" s="577" t="s">
        <v>478</v>
      </c>
      <c r="B22" s="578"/>
      <c r="C22" s="579"/>
      <c r="D22" s="337">
        <f>SUM(D8+D12+D18+D21)</f>
        <v>9117.9084299999995</v>
      </c>
      <c r="E22" s="337">
        <f t="shared" ref="E22:F22" si="5">SUM(E8+E12+E18+E21)</f>
        <v>80893.156730000002</v>
      </c>
      <c r="F22" s="337">
        <f t="shared" si="5"/>
        <v>181453.22</v>
      </c>
      <c r="G22" s="337">
        <f>SUM(G8+G12+G18+G21)</f>
        <v>133850</v>
      </c>
      <c r="H22" s="338">
        <f>SUM(H8+H12+H18+H21)</f>
        <v>405314.28516000003</v>
      </c>
    </row>
    <row r="23" spans="1:8" s="317" customFormat="1" ht="13.5" thickBot="1" x14ac:dyDescent="0.3">
      <c r="A23" s="339" t="s">
        <v>479</v>
      </c>
      <c r="B23" s="340"/>
      <c r="C23" s="340"/>
      <c r="D23" s="341"/>
      <c r="E23" s="341"/>
      <c r="F23" s="342" t="s">
        <v>479</v>
      </c>
      <c r="G23" s="341"/>
      <c r="H23" s="343"/>
    </row>
    <row r="24" spans="1:8" s="317" customFormat="1" ht="21" customHeight="1" x14ac:dyDescent="0.25">
      <c r="A24" s="588" t="s">
        <v>480</v>
      </c>
      <c r="B24" s="589"/>
      <c r="C24" s="589"/>
      <c r="D24" s="589"/>
      <c r="E24" s="589"/>
      <c r="F24" s="589"/>
      <c r="G24" s="589"/>
      <c r="H24" s="590"/>
    </row>
    <row r="25" spans="1:8" s="317" customFormat="1" ht="18" customHeight="1" x14ac:dyDescent="0.25">
      <c r="A25" s="328" t="s">
        <v>46</v>
      </c>
      <c r="B25" s="384"/>
      <c r="C25" s="384"/>
      <c r="D25" s="384"/>
      <c r="E25" s="384"/>
      <c r="F25" s="384"/>
      <c r="G25" s="384"/>
      <c r="H25" s="316"/>
    </row>
    <row r="26" spans="1:8" ht="34.5" customHeight="1" x14ac:dyDescent="0.25">
      <c r="A26" s="318" t="s">
        <v>525</v>
      </c>
      <c r="B26" s="344">
        <v>7056</v>
      </c>
      <c r="C26" s="320" t="s">
        <v>481</v>
      </c>
      <c r="D26" s="321">
        <v>0</v>
      </c>
      <c r="E26" s="321">
        <v>0</v>
      </c>
      <c r="F26" s="345">
        <v>15000</v>
      </c>
      <c r="G26" s="346">
        <v>0</v>
      </c>
      <c r="H26" s="324">
        <f>D26+E26+F26+G26</f>
        <v>15000</v>
      </c>
    </row>
    <row r="27" spans="1:8" s="327" customFormat="1" ht="15.75" customHeight="1" thickBot="1" x14ac:dyDescent="0.3">
      <c r="A27" s="574" t="s">
        <v>47</v>
      </c>
      <c r="B27" s="575"/>
      <c r="C27" s="576"/>
      <c r="D27" s="347">
        <f t="shared" ref="D27:E27" si="6">SUM(D26)</f>
        <v>0</v>
      </c>
      <c r="E27" s="347">
        <f t="shared" si="6"/>
        <v>0</v>
      </c>
      <c r="F27" s="347">
        <f>SUM(F26)</f>
        <v>15000</v>
      </c>
      <c r="G27" s="347">
        <f>SUM(G26)</f>
        <v>0</v>
      </c>
      <c r="H27" s="326">
        <f>H26</f>
        <v>15000</v>
      </c>
    </row>
    <row r="28" spans="1:8" s="327" customFormat="1" ht="36.75" customHeight="1" thickBot="1" x14ac:dyDescent="0.3">
      <c r="A28" s="577" t="s">
        <v>482</v>
      </c>
      <c r="B28" s="578"/>
      <c r="C28" s="579"/>
      <c r="D28" s="337">
        <f t="shared" ref="D28:E28" si="7">D27</f>
        <v>0</v>
      </c>
      <c r="E28" s="337">
        <f t="shared" si="7"/>
        <v>0</v>
      </c>
      <c r="F28" s="337">
        <f>F27</f>
        <v>15000</v>
      </c>
      <c r="G28" s="337">
        <f>G27</f>
        <v>0</v>
      </c>
      <c r="H28" s="338">
        <f>H27</f>
        <v>15000</v>
      </c>
    </row>
    <row r="29" spans="1:8" s="327" customFormat="1" ht="13.5" thickBot="1" x14ac:dyDescent="0.3">
      <c r="A29" s="339" t="s">
        <v>479</v>
      </c>
      <c r="B29" s="340"/>
      <c r="C29" s="340"/>
      <c r="D29" s="341"/>
      <c r="E29" s="341"/>
      <c r="F29" s="342" t="s">
        <v>479</v>
      </c>
      <c r="G29" s="341"/>
      <c r="H29" s="348"/>
    </row>
    <row r="30" spans="1:8" s="327" customFormat="1" ht="21" customHeight="1" x14ac:dyDescent="0.25">
      <c r="A30" s="588" t="s">
        <v>213</v>
      </c>
      <c r="B30" s="589"/>
      <c r="C30" s="589"/>
      <c r="D30" s="589"/>
      <c r="E30" s="589"/>
      <c r="F30" s="589"/>
      <c r="G30" s="589"/>
      <c r="H30" s="590"/>
    </row>
    <row r="31" spans="1:8" s="327" customFormat="1" ht="18" customHeight="1" x14ac:dyDescent="0.25">
      <c r="A31" s="328" t="s">
        <v>198</v>
      </c>
      <c r="B31" s="384"/>
      <c r="C31" s="384"/>
      <c r="D31" s="384"/>
      <c r="E31" s="384"/>
      <c r="F31" s="384"/>
      <c r="G31" s="384"/>
      <c r="H31" s="316"/>
    </row>
    <row r="32" spans="1:8" s="317" customFormat="1" ht="24.75" customHeight="1" x14ac:dyDescent="0.25">
      <c r="A32" s="349" t="s">
        <v>255</v>
      </c>
      <c r="B32" s="319">
        <v>4190</v>
      </c>
      <c r="C32" s="320" t="s">
        <v>483</v>
      </c>
      <c r="D32" s="321">
        <v>0</v>
      </c>
      <c r="E32" s="321">
        <v>26500</v>
      </c>
      <c r="F32" s="350">
        <v>65500</v>
      </c>
      <c r="G32" s="346">
        <v>0</v>
      </c>
      <c r="H32" s="324">
        <f>D32+E32+F32+G32</f>
        <v>92000</v>
      </c>
    </row>
    <row r="33" spans="1:8" ht="22.5" customHeight="1" x14ac:dyDescent="0.25">
      <c r="A33" s="318" t="s">
        <v>484</v>
      </c>
      <c r="B33" s="319">
        <v>4192</v>
      </c>
      <c r="C33" s="320" t="s">
        <v>483</v>
      </c>
      <c r="D33" s="321">
        <v>0</v>
      </c>
      <c r="E33" s="321">
        <v>60000</v>
      </c>
      <c r="F33" s="351">
        <v>0</v>
      </c>
      <c r="G33" s="346">
        <v>0</v>
      </c>
      <c r="H33" s="324">
        <f t="shared" ref="H33:H36" si="8">D33+E33+F33+G33</f>
        <v>60000</v>
      </c>
    </row>
    <row r="34" spans="1:8" s="327" customFormat="1" ht="24" customHeight="1" x14ac:dyDescent="0.25">
      <c r="A34" s="318" t="s">
        <v>344</v>
      </c>
      <c r="B34" s="320">
        <v>4079</v>
      </c>
      <c r="C34" s="320" t="s">
        <v>485</v>
      </c>
      <c r="D34" s="321">
        <v>0</v>
      </c>
      <c r="E34" s="321">
        <v>0</v>
      </c>
      <c r="F34" s="350">
        <v>75300</v>
      </c>
      <c r="G34" s="323">
        <v>8000</v>
      </c>
      <c r="H34" s="324">
        <f t="shared" si="8"/>
        <v>83300</v>
      </c>
    </row>
    <row r="35" spans="1:8" s="327" customFormat="1" ht="15" customHeight="1" x14ac:dyDescent="0.25">
      <c r="A35" s="332" t="s">
        <v>207</v>
      </c>
      <c r="B35" s="319">
        <v>4081</v>
      </c>
      <c r="C35" s="320" t="s">
        <v>485</v>
      </c>
      <c r="D35" s="321">
        <v>0</v>
      </c>
      <c r="E35" s="321">
        <v>421.08</v>
      </c>
      <c r="F35" s="350">
        <v>77056.92</v>
      </c>
      <c r="G35" s="352">
        <f>191777-247</f>
        <v>191530</v>
      </c>
      <c r="H35" s="324">
        <f t="shared" si="8"/>
        <v>269008</v>
      </c>
    </row>
    <row r="36" spans="1:8" s="355" customFormat="1" ht="24.75" customHeight="1" x14ac:dyDescent="0.25">
      <c r="A36" s="353" t="s">
        <v>348</v>
      </c>
      <c r="B36" s="319">
        <v>5954</v>
      </c>
      <c r="C36" s="319" t="s">
        <v>485</v>
      </c>
      <c r="D36" s="354">
        <v>0</v>
      </c>
      <c r="E36" s="321">
        <v>23024.390660000001</v>
      </c>
      <c r="F36" s="350">
        <v>33777</v>
      </c>
      <c r="G36" s="323">
        <v>0</v>
      </c>
      <c r="H36" s="324">
        <f t="shared" si="8"/>
        <v>56801.390660000005</v>
      </c>
    </row>
    <row r="37" spans="1:8" ht="15.95" customHeight="1" x14ac:dyDescent="0.25">
      <c r="A37" s="571" t="s">
        <v>197</v>
      </c>
      <c r="B37" s="572"/>
      <c r="C37" s="573"/>
      <c r="D37" s="356">
        <f t="shared" ref="D37:H37" si="9" xml:space="preserve"> SUM(D32:D36)</f>
        <v>0</v>
      </c>
      <c r="E37" s="325">
        <f t="shared" si="9"/>
        <v>109945.47066000001</v>
      </c>
      <c r="F37" s="325">
        <f t="shared" si="9"/>
        <v>251633.91999999998</v>
      </c>
      <c r="G37" s="325">
        <f t="shared" si="9"/>
        <v>199530</v>
      </c>
      <c r="H37" s="357">
        <f t="shared" si="9"/>
        <v>561109.39066000003</v>
      </c>
    </row>
    <row r="38" spans="1:8" s="327" customFormat="1" ht="15.95" customHeight="1" x14ac:dyDescent="0.25">
      <c r="A38" s="328" t="s">
        <v>40</v>
      </c>
      <c r="B38" s="384"/>
      <c r="C38" s="384"/>
      <c r="D38" s="386"/>
      <c r="E38" s="384"/>
      <c r="F38" s="384"/>
      <c r="G38" s="384"/>
      <c r="H38" s="316"/>
    </row>
    <row r="39" spans="1:8" s="327" customFormat="1" ht="24.75" customHeight="1" x14ac:dyDescent="0.25">
      <c r="A39" s="358" t="s">
        <v>486</v>
      </c>
      <c r="B39" s="344">
        <v>5955</v>
      </c>
      <c r="C39" s="320" t="s">
        <v>485</v>
      </c>
      <c r="D39" s="321">
        <v>375.1</v>
      </c>
      <c r="E39" s="321">
        <v>0</v>
      </c>
      <c r="F39" s="350">
        <v>0</v>
      </c>
      <c r="G39" s="323">
        <v>45000</v>
      </c>
      <c r="H39" s="324">
        <f>D39+E39+F39+G39</f>
        <v>45375.1</v>
      </c>
    </row>
    <row r="40" spans="1:8" s="327" customFormat="1" ht="24.75" customHeight="1" x14ac:dyDescent="0.25">
      <c r="A40" s="358" t="s">
        <v>487</v>
      </c>
      <c r="B40" s="359">
        <v>5748</v>
      </c>
      <c r="C40" s="320" t="s">
        <v>485</v>
      </c>
      <c r="D40" s="354">
        <v>615</v>
      </c>
      <c r="E40" s="321">
        <v>89.54</v>
      </c>
      <c r="F40" s="350">
        <v>50310.46</v>
      </c>
      <c r="G40" s="346">
        <v>0</v>
      </c>
      <c r="H40" s="324">
        <f>D40+E40+F40+G40</f>
        <v>51015</v>
      </c>
    </row>
    <row r="41" spans="1:8" s="327" customFormat="1" ht="15.95" customHeight="1" x14ac:dyDescent="0.25">
      <c r="A41" s="571" t="s">
        <v>41</v>
      </c>
      <c r="B41" s="572"/>
      <c r="C41" s="573"/>
      <c r="D41" s="356">
        <f>SUM(D39:D40)</f>
        <v>990.1</v>
      </c>
      <c r="E41" s="325">
        <f>SUM(E39:E40)</f>
        <v>89.54</v>
      </c>
      <c r="F41" s="325">
        <f t="shared" ref="F41" si="10">SUM(F39:F40)</f>
        <v>50310.46</v>
      </c>
      <c r="G41" s="325">
        <v>45000</v>
      </c>
      <c r="H41" s="357">
        <f>SUM(H39:H40)</f>
        <v>96390.1</v>
      </c>
    </row>
    <row r="42" spans="1:8" s="327" customFormat="1" ht="18" customHeight="1" x14ac:dyDescent="0.25">
      <c r="A42" s="328" t="s">
        <v>42</v>
      </c>
      <c r="B42" s="384"/>
      <c r="C42" s="384"/>
      <c r="D42" s="386"/>
      <c r="E42" s="384"/>
      <c r="F42" s="384"/>
      <c r="G42" s="384"/>
      <c r="H42" s="316"/>
    </row>
    <row r="43" spans="1:8" s="327" customFormat="1" ht="24.75" customHeight="1" x14ac:dyDescent="0.25">
      <c r="A43" s="318" t="s">
        <v>488</v>
      </c>
      <c r="B43" s="319">
        <v>4051</v>
      </c>
      <c r="C43" s="320" t="s">
        <v>485</v>
      </c>
      <c r="D43" s="321">
        <v>11814</v>
      </c>
      <c r="E43" s="360">
        <v>0</v>
      </c>
      <c r="F43" s="350">
        <v>0</v>
      </c>
      <c r="G43" s="346">
        <v>0</v>
      </c>
      <c r="H43" s="324">
        <f>D43+E43+F43+G43</f>
        <v>11814</v>
      </c>
    </row>
    <row r="44" spans="1:8" s="317" customFormat="1" ht="24.75" customHeight="1" x14ac:dyDescent="0.25">
      <c r="A44" s="318" t="s">
        <v>489</v>
      </c>
      <c r="B44" s="319">
        <v>5851</v>
      </c>
      <c r="C44" s="320" t="s">
        <v>485</v>
      </c>
      <c r="D44" s="321">
        <v>6329.8834699999998</v>
      </c>
      <c r="E44" s="360">
        <v>0</v>
      </c>
      <c r="F44" s="350">
        <v>0</v>
      </c>
      <c r="G44" s="346">
        <v>0</v>
      </c>
      <c r="H44" s="324">
        <f t="shared" ref="H44:H48" si="11">D44+E44+F44+G44</f>
        <v>6329.8834699999998</v>
      </c>
    </row>
    <row r="45" spans="1:8" ht="23.25" customHeight="1" x14ac:dyDescent="0.25">
      <c r="A45" s="318" t="s">
        <v>490</v>
      </c>
      <c r="B45" s="319">
        <v>5957</v>
      </c>
      <c r="C45" s="320" t="s">
        <v>485</v>
      </c>
      <c r="D45" s="321">
        <v>12143.58058</v>
      </c>
      <c r="E45" s="360">
        <v>1042.1151</v>
      </c>
      <c r="F45" s="350">
        <v>0</v>
      </c>
      <c r="G45" s="346">
        <v>0</v>
      </c>
      <c r="H45" s="324">
        <f t="shared" si="11"/>
        <v>13185.695680000001</v>
      </c>
    </row>
    <row r="46" spans="1:8" ht="24" customHeight="1" x14ac:dyDescent="0.25">
      <c r="A46" s="318" t="s">
        <v>491</v>
      </c>
      <c r="B46" s="319">
        <v>4139</v>
      </c>
      <c r="C46" s="320" t="s">
        <v>485</v>
      </c>
      <c r="D46" s="321">
        <v>10650</v>
      </c>
      <c r="E46" s="360">
        <v>0</v>
      </c>
      <c r="F46" s="350">
        <v>2850</v>
      </c>
      <c r="G46" s="346">
        <v>0</v>
      </c>
      <c r="H46" s="324">
        <f t="shared" si="11"/>
        <v>13500</v>
      </c>
    </row>
    <row r="47" spans="1:8" ht="24.75" customHeight="1" x14ac:dyDescent="0.25">
      <c r="A47" s="387" t="s">
        <v>206</v>
      </c>
      <c r="B47" s="388">
        <v>5758</v>
      </c>
      <c r="C47" s="389" t="s">
        <v>475</v>
      </c>
      <c r="D47" s="390">
        <v>0</v>
      </c>
      <c r="E47" s="391">
        <v>0</v>
      </c>
      <c r="F47" s="392">
        <v>69955</v>
      </c>
      <c r="G47" s="393">
        <v>47537</v>
      </c>
      <c r="H47" s="394">
        <f t="shared" si="11"/>
        <v>117492</v>
      </c>
    </row>
    <row r="48" spans="1:8" ht="15" customHeight="1" x14ac:dyDescent="0.25">
      <c r="A48" s="318" t="s">
        <v>492</v>
      </c>
      <c r="B48" s="319">
        <v>5737</v>
      </c>
      <c r="C48" s="320" t="s">
        <v>475</v>
      </c>
      <c r="D48" s="354">
        <v>1446.18</v>
      </c>
      <c r="E48" s="321">
        <v>14564.74171</v>
      </c>
      <c r="F48" s="361">
        <v>225235.1</v>
      </c>
      <c r="G48" s="323">
        <v>15000</v>
      </c>
      <c r="H48" s="324">
        <f t="shared" si="11"/>
        <v>256246.02171</v>
      </c>
    </row>
    <row r="49" spans="1:8" ht="15.95" customHeight="1" x14ac:dyDescent="0.25">
      <c r="A49" s="571" t="s">
        <v>43</v>
      </c>
      <c r="B49" s="572"/>
      <c r="C49" s="573"/>
      <c r="D49" s="356">
        <f xml:space="preserve"> SUM(D43:D48)</f>
        <v>42383.644050000003</v>
      </c>
      <c r="E49" s="356">
        <f t="shared" ref="E49:H49" si="12" xml:space="preserve"> SUM(E43:E48)</f>
        <v>15606.856810000001</v>
      </c>
      <c r="F49" s="356">
        <f t="shared" si="12"/>
        <v>298040.09999999998</v>
      </c>
      <c r="G49" s="356">
        <f t="shared" si="12"/>
        <v>62537</v>
      </c>
      <c r="H49" s="362">
        <f t="shared" si="12"/>
        <v>418567.60086000001</v>
      </c>
    </row>
    <row r="50" spans="1:8" ht="18" customHeight="1" x14ac:dyDescent="0.25">
      <c r="A50" s="328" t="s">
        <v>44</v>
      </c>
      <c r="B50" s="384"/>
      <c r="C50" s="384"/>
      <c r="D50" s="386"/>
      <c r="E50" s="384"/>
      <c r="F50" s="384"/>
      <c r="G50" s="384"/>
      <c r="H50" s="316"/>
    </row>
    <row r="51" spans="1:8" ht="24.75" customHeight="1" x14ac:dyDescent="0.25">
      <c r="A51" s="318" t="s">
        <v>493</v>
      </c>
      <c r="B51" s="320">
        <v>4013</v>
      </c>
      <c r="C51" s="320" t="s">
        <v>485</v>
      </c>
      <c r="D51" s="321">
        <v>95.59</v>
      </c>
      <c r="E51" s="321">
        <v>44904.41</v>
      </c>
      <c r="F51" s="350">
        <v>0</v>
      </c>
      <c r="G51" s="346">
        <v>0</v>
      </c>
      <c r="H51" s="324">
        <f>D51+E51+F51+G51</f>
        <v>45000</v>
      </c>
    </row>
    <row r="52" spans="1:8" ht="23.25" customHeight="1" x14ac:dyDescent="0.25">
      <c r="A52" s="318" t="s">
        <v>494</v>
      </c>
      <c r="B52" s="320">
        <v>5905</v>
      </c>
      <c r="C52" s="320" t="s">
        <v>485</v>
      </c>
      <c r="D52" s="321">
        <v>50386.472900000001</v>
      </c>
      <c r="E52" s="360">
        <v>3269.5270999999998</v>
      </c>
      <c r="F52" s="350">
        <v>0</v>
      </c>
      <c r="G52" s="346">
        <v>0</v>
      </c>
      <c r="H52" s="324">
        <f t="shared" ref="H52:H78" si="13">D52+E52+F52+G52</f>
        <v>53656</v>
      </c>
    </row>
    <row r="53" spans="1:8" ht="24.75" customHeight="1" x14ac:dyDescent="0.25">
      <c r="A53" s="318" t="s">
        <v>495</v>
      </c>
      <c r="B53" s="320">
        <v>5754</v>
      </c>
      <c r="C53" s="320" t="s">
        <v>485</v>
      </c>
      <c r="D53" s="321">
        <v>30678.003519999998</v>
      </c>
      <c r="E53" s="321">
        <v>0</v>
      </c>
      <c r="F53" s="350">
        <v>0</v>
      </c>
      <c r="G53" s="346">
        <v>0</v>
      </c>
      <c r="H53" s="324">
        <f t="shared" si="13"/>
        <v>30678.003519999998</v>
      </c>
    </row>
    <row r="54" spans="1:8" ht="24.75" customHeight="1" x14ac:dyDescent="0.25">
      <c r="A54" s="318" t="s">
        <v>496</v>
      </c>
      <c r="B54" s="320">
        <v>5866</v>
      </c>
      <c r="C54" s="320" t="s">
        <v>485</v>
      </c>
      <c r="D54" s="321">
        <v>40000</v>
      </c>
      <c r="E54" s="321">
        <v>0</v>
      </c>
      <c r="F54" s="350">
        <v>0</v>
      </c>
      <c r="G54" s="346">
        <v>0</v>
      </c>
      <c r="H54" s="324">
        <f t="shared" si="13"/>
        <v>40000</v>
      </c>
    </row>
    <row r="55" spans="1:8" ht="34.5" customHeight="1" x14ac:dyDescent="0.25">
      <c r="A55" s="318" t="s">
        <v>497</v>
      </c>
      <c r="B55" s="320">
        <v>4028</v>
      </c>
      <c r="C55" s="320" t="s">
        <v>485</v>
      </c>
      <c r="D55" s="321">
        <v>6200</v>
      </c>
      <c r="E55" s="321">
        <v>0</v>
      </c>
      <c r="F55" s="350">
        <v>0</v>
      </c>
      <c r="G55" s="346">
        <v>0</v>
      </c>
      <c r="H55" s="324">
        <f t="shared" si="13"/>
        <v>6200</v>
      </c>
    </row>
    <row r="56" spans="1:8" ht="24.75" customHeight="1" x14ac:dyDescent="0.25">
      <c r="A56" s="318" t="s">
        <v>498</v>
      </c>
      <c r="B56" s="320">
        <v>4036</v>
      </c>
      <c r="C56" s="320" t="s">
        <v>485</v>
      </c>
      <c r="D56" s="321">
        <v>7025.0520500000002</v>
      </c>
      <c r="E56" s="321">
        <v>2094.9479500000002</v>
      </c>
      <c r="F56" s="350">
        <v>0</v>
      </c>
      <c r="G56" s="346">
        <v>0</v>
      </c>
      <c r="H56" s="324">
        <f t="shared" si="13"/>
        <v>9120</v>
      </c>
    </row>
    <row r="57" spans="1:8" ht="24.75" customHeight="1" x14ac:dyDescent="0.25">
      <c r="A57" s="318" t="s">
        <v>499</v>
      </c>
      <c r="B57" s="320">
        <v>5914</v>
      </c>
      <c r="C57" s="320" t="s">
        <v>485</v>
      </c>
      <c r="D57" s="321">
        <v>7949.6720999999998</v>
      </c>
      <c r="E57" s="321">
        <v>0</v>
      </c>
      <c r="F57" s="350">
        <v>0</v>
      </c>
      <c r="G57" s="346">
        <v>0</v>
      </c>
      <c r="H57" s="324">
        <f t="shared" si="13"/>
        <v>7949.6720999999998</v>
      </c>
    </row>
    <row r="58" spans="1:8" ht="23.25" customHeight="1" x14ac:dyDescent="0.25">
      <c r="A58" s="318" t="s">
        <v>500</v>
      </c>
      <c r="B58" s="320">
        <v>5947</v>
      </c>
      <c r="C58" s="320" t="s">
        <v>485</v>
      </c>
      <c r="D58" s="321">
        <v>0</v>
      </c>
      <c r="E58" s="321">
        <v>13942.72262</v>
      </c>
      <c r="F58" s="350">
        <v>0</v>
      </c>
      <c r="G58" s="346">
        <v>0</v>
      </c>
      <c r="H58" s="324">
        <f t="shared" si="13"/>
        <v>13942.72262</v>
      </c>
    </row>
    <row r="59" spans="1:8" ht="24.75" customHeight="1" x14ac:dyDescent="0.25">
      <c r="A59" s="318" t="s">
        <v>501</v>
      </c>
      <c r="B59" s="363">
        <v>5879</v>
      </c>
      <c r="C59" s="320" t="s">
        <v>485</v>
      </c>
      <c r="D59" s="321">
        <v>0</v>
      </c>
      <c r="E59" s="321">
        <v>325.27999999999997</v>
      </c>
      <c r="F59" s="350">
        <v>387.2</v>
      </c>
      <c r="G59" s="346">
        <v>0</v>
      </c>
      <c r="H59" s="324">
        <f t="shared" si="13"/>
        <v>712.48</v>
      </c>
    </row>
    <row r="60" spans="1:8" ht="24.75" customHeight="1" x14ac:dyDescent="0.25">
      <c r="A60" s="318" t="s">
        <v>502</v>
      </c>
      <c r="B60" s="319">
        <v>5884</v>
      </c>
      <c r="C60" s="320" t="s">
        <v>485</v>
      </c>
      <c r="D60" s="321">
        <v>43980.063670000003</v>
      </c>
      <c r="E60" s="321">
        <v>1584.91535</v>
      </c>
      <c r="F60" s="350">
        <v>12135.02</v>
      </c>
      <c r="G60" s="346">
        <v>0</v>
      </c>
      <c r="H60" s="324">
        <f t="shared" si="13"/>
        <v>57699.999020000003</v>
      </c>
    </row>
    <row r="61" spans="1:8" ht="24.75" customHeight="1" x14ac:dyDescent="0.25">
      <c r="A61" s="318" t="s">
        <v>202</v>
      </c>
      <c r="B61" s="319">
        <v>5867</v>
      </c>
      <c r="C61" s="320" t="s">
        <v>485</v>
      </c>
      <c r="D61" s="321">
        <v>500</v>
      </c>
      <c r="E61" s="321">
        <v>196.96</v>
      </c>
      <c r="F61" s="350">
        <v>30703.040000000001</v>
      </c>
      <c r="G61" s="323">
        <v>41951</v>
      </c>
      <c r="H61" s="324">
        <f t="shared" si="13"/>
        <v>73351</v>
      </c>
    </row>
    <row r="62" spans="1:8" ht="34.5" customHeight="1" x14ac:dyDescent="0.25">
      <c r="A62" s="318" t="s">
        <v>503</v>
      </c>
      <c r="B62" s="319">
        <v>5750</v>
      </c>
      <c r="C62" s="320" t="s">
        <v>504</v>
      </c>
      <c r="D62" s="321">
        <v>18811.418180000001</v>
      </c>
      <c r="E62" s="321">
        <v>25877.71342</v>
      </c>
      <c r="F62" s="350">
        <v>268.05</v>
      </c>
      <c r="G62" s="346">
        <v>0</v>
      </c>
      <c r="H62" s="324">
        <f t="shared" si="13"/>
        <v>44957.181600000004</v>
      </c>
    </row>
    <row r="63" spans="1:8" ht="34.5" customHeight="1" x14ac:dyDescent="0.25">
      <c r="A63" s="318" t="s">
        <v>505</v>
      </c>
      <c r="B63" s="319">
        <v>4105</v>
      </c>
      <c r="C63" s="320" t="s">
        <v>506</v>
      </c>
      <c r="D63" s="321">
        <v>0</v>
      </c>
      <c r="E63" s="321">
        <v>0</v>
      </c>
      <c r="F63" s="350">
        <v>6500</v>
      </c>
      <c r="G63" s="346">
        <v>0</v>
      </c>
      <c r="H63" s="324">
        <f t="shared" si="13"/>
        <v>6500</v>
      </c>
    </row>
    <row r="64" spans="1:8" ht="24.75" customHeight="1" x14ac:dyDescent="0.25">
      <c r="A64" s="332" t="s">
        <v>204</v>
      </c>
      <c r="B64" s="319">
        <v>5730</v>
      </c>
      <c r="C64" s="320" t="s">
        <v>485</v>
      </c>
      <c r="D64" s="321">
        <v>803.35040000000004</v>
      </c>
      <c r="E64" s="321">
        <v>51491.672209999997</v>
      </c>
      <c r="F64" s="350">
        <v>165705.62</v>
      </c>
      <c r="G64" s="346">
        <v>0</v>
      </c>
      <c r="H64" s="324">
        <f t="shared" si="13"/>
        <v>218000.64260999998</v>
      </c>
    </row>
    <row r="65" spans="1:8" ht="34.5" customHeight="1" x14ac:dyDescent="0.25">
      <c r="A65" s="349" t="s">
        <v>203</v>
      </c>
      <c r="B65" s="319">
        <v>4002</v>
      </c>
      <c r="C65" s="320" t="s">
        <v>485</v>
      </c>
      <c r="D65" s="321">
        <v>0</v>
      </c>
      <c r="E65" s="321">
        <v>0</v>
      </c>
      <c r="F65" s="350">
        <v>28000</v>
      </c>
      <c r="G65" s="346">
        <v>0</v>
      </c>
      <c r="H65" s="324">
        <f t="shared" si="13"/>
        <v>28000</v>
      </c>
    </row>
    <row r="66" spans="1:8" s="327" customFormat="1" ht="24" customHeight="1" x14ac:dyDescent="0.25">
      <c r="A66" s="318" t="s">
        <v>257</v>
      </c>
      <c r="B66" s="319">
        <v>4012</v>
      </c>
      <c r="C66" s="320" t="s">
        <v>485</v>
      </c>
      <c r="D66" s="321">
        <v>0</v>
      </c>
      <c r="E66" s="321">
        <v>263.57</v>
      </c>
      <c r="F66" s="350">
        <v>18583.439999999999</v>
      </c>
      <c r="G66" s="346">
        <v>0</v>
      </c>
      <c r="H66" s="324">
        <f t="shared" si="13"/>
        <v>18847.009999999998</v>
      </c>
    </row>
    <row r="67" spans="1:8" ht="24" customHeight="1" x14ac:dyDescent="0.25">
      <c r="A67" s="318" t="s">
        <v>507</v>
      </c>
      <c r="B67" s="319">
        <v>5456</v>
      </c>
      <c r="C67" s="320" t="s">
        <v>485</v>
      </c>
      <c r="D67" s="321">
        <v>0</v>
      </c>
      <c r="E67" s="321">
        <v>188.41300000000001</v>
      </c>
      <c r="F67" s="350">
        <v>623.75</v>
      </c>
      <c r="G67" s="346">
        <v>0</v>
      </c>
      <c r="H67" s="324">
        <f t="shared" si="13"/>
        <v>812.16300000000001</v>
      </c>
    </row>
    <row r="68" spans="1:8" ht="24" customHeight="1" x14ac:dyDescent="0.25">
      <c r="A68" s="318" t="s">
        <v>508</v>
      </c>
      <c r="B68" s="319">
        <v>5971</v>
      </c>
      <c r="C68" s="320" t="s">
        <v>485</v>
      </c>
      <c r="D68" s="321">
        <v>0</v>
      </c>
      <c r="E68" s="360">
        <v>24042.860769999999</v>
      </c>
      <c r="F68" s="350">
        <v>957.14</v>
      </c>
      <c r="G68" s="346">
        <v>0</v>
      </c>
      <c r="H68" s="324">
        <f t="shared" si="13"/>
        <v>25000.000769999999</v>
      </c>
    </row>
    <row r="69" spans="1:8" ht="34.5" customHeight="1" x14ac:dyDescent="0.25">
      <c r="A69" s="318" t="s">
        <v>205</v>
      </c>
      <c r="B69" s="319">
        <v>4027</v>
      </c>
      <c r="C69" s="320" t="s">
        <v>485</v>
      </c>
      <c r="D69" s="321">
        <v>0</v>
      </c>
      <c r="E69" s="321">
        <v>9.1709999999999994</v>
      </c>
      <c r="F69" s="350">
        <v>11125.82</v>
      </c>
      <c r="G69" s="346">
        <v>0</v>
      </c>
      <c r="H69" s="324">
        <f t="shared" si="13"/>
        <v>11134.991</v>
      </c>
    </row>
    <row r="70" spans="1:8" ht="24" customHeight="1" x14ac:dyDescent="0.25">
      <c r="A70" s="318" t="s">
        <v>256</v>
      </c>
      <c r="B70" s="319">
        <v>5681</v>
      </c>
      <c r="C70" s="320" t="s">
        <v>485</v>
      </c>
      <c r="D70" s="321">
        <v>28.590489999999999</v>
      </c>
      <c r="E70" s="321">
        <v>62.500129999999999</v>
      </c>
      <c r="F70" s="350">
        <v>2199.7800000000002</v>
      </c>
      <c r="G70" s="346">
        <v>0</v>
      </c>
      <c r="H70" s="324">
        <f t="shared" si="13"/>
        <v>2290.8706200000001</v>
      </c>
    </row>
    <row r="71" spans="1:8" ht="15" customHeight="1" x14ac:dyDescent="0.25">
      <c r="A71" s="318" t="s">
        <v>258</v>
      </c>
      <c r="B71" s="344">
        <v>5834</v>
      </c>
      <c r="C71" s="320" t="s">
        <v>485</v>
      </c>
      <c r="D71" s="321">
        <v>0</v>
      </c>
      <c r="E71" s="321">
        <v>0</v>
      </c>
      <c r="F71" s="350">
        <v>70500</v>
      </c>
      <c r="G71" s="346">
        <v>0</v>
      </c>
      <c r="H71" s="324">
        <f t="shared" si="13"/>
        <v>70500</v>
      </c>
    </row>
    <row r="72" spans="1:8" s="317" customFormat="1" ht="24" customHeight="1" x14ac:dyDescent="0.25">
      <c r="A72" s="318" t="s">
        <v>259</v>
      </c>
      <c r="B72" s="319">
        <v>4004</v>
      </c>
      <c r="C72" s="320" t="s">
        <v>485</v>
      </c>
      <c r="D72" s="321">
        <v>127.05</v>
      </c>
      <c r="E72" s="321">
        <v>554.17999999999995</v>
      </c>
      <c r="F72" s="350">
        <v>20818.82</v>
      </c>
      <c r="G72" s="346">
        <v>0</v>
      </c>
      <c r="H72" s="324">
        <f t="shared" si="13"/>
        <v>21500.05</v>
      </c>
    </row>
    <row r="73" spans="1:8" ht="24" customHeight="1" x14ac:dyDescent="0.25">
      <c r="A73" s="318" t="s">
        <v>509</v>
      </c>
      <c r="B73" s="319">
        <v>4007</v>
      </c>
      <c r="C73" s="320" t="s">
        <v>485</v>
      </c>
      <c r="D73" s="321">
        <v>17970.753359999999</v>
      </c>
      <c r="E73" s="321">
        <v>7029.2466400000003</v>
      </c>
      <c r="F73" s="350">
        <v>0</v>
      </c>
      <c r="G73" s="346">
        <v>0</v>
      </c>
      <c r="H73" s="324">
        <f t="shared" si="13"/>
        <v>25000</v>
      </c>
    </row>
    <row r="74" spans="1:8" ht="24" customHeight="1" x14ac:dyDescent="0.25">
      <c r="A74" s="318" t="s">
        <v>510</v>
      </c>
      <c r="B74" s="319">
        <v>4096</v>
      </c>
      <c r="C74" s="320" t="s">
        <v>485</v>
      </c>
      <c r="D74" s="321">
        <v>0</v>
      </c>
      <c r="E74" s="321">
        <v>11095.038860000001</v>
      </c>
      <c r="F74" s="350">
        <v>0</v>
      </c>
      <c r="G74" s="346">
        <v>0</v>
      </c>
      <c r="H74" s="324">
        <f t="shared" si="13"/>
        <v>11095.038860000001</v>
      </c>
    </row>
    <row r="75" spans="1:8" ht="24" customHeight="1" x14ac:dyDescent="0.25">
      <c r="A75" s="318" t="s">
        <v>511</v>
      </c>
      <c r="B75" s="319">
        <v>4252</v>
      </c>
      <c r="C75" s="320" t="s">
        <v>485</v>
      </c>
      <c r="D75" s="321">
        <v>0</v>
      </c>
      <c r="E75" s="321">
        <v>9081.3629999999994</v>
      </c>
      <c r="F75" s="350">
        <v>0</v>
      </c>
      <c r="G75" s="346">
        <v>0</v>
      </c>
      <c r="H75" s="324">
        <f t="shared" si="13"/>
        <v>9081.3629999999994</v>
      </c>
    </row>
    <row r="76" spans="1:8" ht="24" customHeight="1" x14ac:dyDescent="0.25">
      <c r="A76" s="318" t="s">
        <v>512</v>
      </c>
      <c r="B76" s="319">
        <v>4162</v>
      </c>
      <c r="C76" s="320" t="s">
        <v>485</v>
      </c>
      <c r="D76" s="321">
        <v>0</v>
      </c>
      <c r="E76" s="321">
        <v>0</v>
      </c>
      <c r="F76" s="350">
        <v>0</v>
      </c>
      <c r="G76" s="323">
        <v>16614</v>
      </c>
      <c r="H76" s="324">
        <f t="shared" si="13"/>
        <v>16614</v>
      </c>
    </row>
    <row r="77" spans="1:8" ht="24" customHeight="1" x14ac:dyDescent="0.25">
      <c r="A77" s="318" t="s">
        <v>513</v>
      </c>
      <c r="B77" s="364">
        <v>4390</v>
      </c>
      <c r="C77" s="320" t="s">
        <v>485</v>
      </c>
      <c r="D77" s="321">
        <v>0</v>
      </c>
      <c r="E77" s="321">
        <v>0</v>
      </c>
      <c r="F77" s="365">
        <v>0</v>
      </c>
      <c r="G77" s="366">
        <v>12000</v>
      </c>
      <c r="H77" s="324">
        <f t="shared" si="13"/>
        <v>12000</v>
      </c>
    </row>
    <row r="78" spans="1:8" ht="24" customHeight="1" x14ac:dyDescent="0.25">
      <c r="A78" s="318" t="s">
        <v>514</v>
      </c>
      <c r="B78" s="367">
        <v>4272</v>
      </c>
      <c r="C78" s="320" t="s">
        <v>485</v>
      </c>
      <c r="D78" s="321">
        <v>0</v>
      </c>
      <c r="E78" s="321">
        <v>0</v>
      </c>
      <c r="F78" s="365">
        <v>0</v>
      </c>
      <c r="G78" s="366">
        <v>36500</v>
      </c>
      <c r="H78" s="324">
        <f t="shared" si="13"/>
        <v>36500</v>
      </c>
    </row>
    <row r="79" spans="1:8" ht="15.95" customHeight="1" x14ac:dyDescent="0.25">
      <c r="A79" s="594" t="s">
        <v>45</v>
      </c>
      <c r="B79" s="595"/>
      <c r="C79" s="596"/>
      <c r="D79" s="356">
        <f>SUM(D51:D78)</f>
        <v>224556.01666999998</v>
      </c>
      <c r="E79" s="356">
        <f t="shared" ref="E79:H79" si="14">SUM(E51:E78)</f>
        <v>196014.49205000003</v>
      </c>
      <c r="F79" s="356">
        <f t="shared" si="14"/>
        <v>368507.68000000005</v>
      </c>
      <c r="G79" s="356">
        <f t="shared" si="14"/>
        <v>107065</v>
      </c>
      <c r="H79" s="362">
        <f t="shared" si="14"/>
        <v>896143.18871999998</v>
      </c>
    </row>
    <row r="80" spans="1:8" ht="18" customHeight="1" x14ac:dyDescent="0.25">
      <c r="A80" s="328" t="s">
        <v>46</v>
      </c>
      <c r="B80" s="384"/>
      <c r="C80" s="384"/>
      <c r="D80" s="384"/>
      <c r="E80" s="384"/>
      <c r="F80" s="384"/>
      <c r="G80" s="384"/>
      <c r="H80" s="316"/>
    </row>
    <row r="81" spans="1:8" ht="24" customHeight="1" x14ac:dyDescent="0.25">
      <c r="A81" s="358" t="s">
        <v>515</v>
      </c>
      <c r="B81" s="359">
        <v>4301</v>
      </c>
      <c r="C81" s="320" t="s">
        <v>485</v>
      </c>
      <c r="D81" s="321">
        <v>14723.48013</v>
      </c>
      <c r="E81" s="321">
        <v>6976.5198700000001</v>
      </c>
      <c r="F81" s="350">
        <v>0</v>
      </c>
      <c r="G81" s="346">
        <v>0</v>
      </c>
      <c r="H81" s="324">
        <f>D81+E81+F81+G81</f>
        <v>21700</v>
      </c>
    </row>
    <row r="82" spans="1:8" ht="22.5" customHeight="1" x14ac:dyDescent="0.25">
      <c r="A82" s="358" t="s">
        <v>516</v>
      </c>
      <c r="B82" s="359">
        <v>5988</v>
      </c>
      <c r="C82" s="320" t="s">
        <v>485</v>
      </c>
      <c r="D82" s="321">
        <v>22241.63523</v>
      </c>
      <c r="E82" s="321">
        <v>0</v>
      </c>
      <c r="F82" s="368">
        <v>0</v>
      </c>
      <c r="G82" s="346">
        <v>0</v>
      </c>
      <c r="H82" s="324">
        <f t="shared" ref="H82:H97" si="15">D82+E82+F82+G82</f>
        <v>22241.63523</v>
      </c>
    </row>
    <row r="83" spans="1:8" ht="24" customHeight="1" x14ac:dyDescent="0.25">
      <c r="A83" s="358" t="s">
        <v>517</v>
      </c>
      <c r="B83" s="359">
        <v>5594</v>
      </c>
      <c r="C83" s="320" t="s">
        <v>485</v>
      </c>
      <c r="D83" s="321">
        <v>20898.257420000002</v>
      </c>
      <c r="E83" s="321">
        <v>0</v>
      </c>
      <c r="F83" s="350">
        <v>0</v>
      </c>
      <c r="G83" s="346">
        <v>0</v>
      </c>
      <c r="H83" s="324">
        <f t="shared" si="15"/>
        <v>20898.257420000002</v>
      </c>
    </row>
    <row r="84" spans="1:8" ht="24.75" customHeight="1" x14ac:dyDescent="0.25">
      <c r="A84" s="358" t="s">
        <v>518</v>
      </c>
      <c r="B84" s="359">
        <v>5984</v>
      </c>
      <c r="C84" s="320" t="s">
        <v>485</v>
      </c>
      <c r="D84" s="321">
        <v>28727.632860000002</v>
      </c>
      <c r="E84" s="321">
        <v>0</v>
      </c>
      <c r="F84" s="350">
        <v>0</v>
      </c>
      <c r="G84" s="346">
        <v>0</v>
      </c>
      <c r="H84" s="324">
        <f t="shared" si="15"/>
        <v>28727.632860000002</v>
      </c>
    </row>
    <row r="85" spans="1:8" ht="24.75" customHeight="1" x14ac:dyDescent="0.25">
      <c r="A85" s="358" t="s">
        <v>519</v>
      </c>
      <c r="B85" s="359">
        <v>5921</v>
      </c>
      <c r="C85" s="320" t="s">
        <v>485</v>
      </c>
      <c r="D85" s="321">
        <v>11437.7</v>
      </c>
      <c r="E85" s="321">
        <v>0</v>
      </c>
      <c r="F85" s="350">
        <v>0</v>
      </c>
      <c r="G85" s="346">
        <v>0</v>
      </c>
      <c r="H85" s="324">
        <f t="shared" si="15"/>
        <v>11437.7</v>
      </c>
    </row>
    <row r="86" spans="1:8" ht="24.75" customHeight="1" x14ac:dyDescent="0.25">
      <c r="A86" s="358" t="s">
        <v>520</v>
      </c>
      <c r="B86" s="359">
        <v>5765</v>
      </c>
      <c r="C86" s="320" t="s">
        <v>485</v>
      </c>
      <c r="D86" s="321">
        <v>11567.778399999999</v>
      </c>
      <c r="E86" s="321">
        <v>0</v>
      </c>
      <c r="F86" s="350">
        <v>0</v>
      </c>
      <c r="G86" s="346">
        <v>0</v>
      </c>
      <c r="H86" s="324">
        <f t="shared" si="15"/>
        <v>11567.778399999999</v>
      </c>
    </row>
    <row r="87" spans="1:8" s="327" customFormat="1" ht="15.95" customHeight="1" x14ac:dyDescent="0.25">
      <c r="A87" s="358" t="s">
        <v>521</v>
      </c>
      <c r="B87" s="344">
        <v>5761</v>
      </c>
      <c r="C87" s="320" t="s">
        <v>485</v>
      </c>
      <c r="D87" s="321">
        <v>1099.146</v>
      </c>
      <c r="E87" s="321">
        <v>0</v>
      </c>
      <c r="F87" s="350">
        <v>22900.85</v>
      </c>
      <c r="G87" s="346">
        <v>0</v>
      </c>
      <c r="H87" s="324">
        <f t="shared" si="15"/>
        <v>23999.995999999999</v>
      </c>
    </row>
    <row r="88" spans="1:8" s="327" customFormat="1" ht="24" customHeight="1" x14ac:dyDescent="0.25">
      <c r="A88" s="358" t="s">
        <v>200</v>
      </c>
      <c r="B88" s="344">
        <v>5690</v>
      </c>
      <c r="C88" s="320" t="s">
        <v>485</v>
      </c>
      <c r="D88" s="321">
        <v>34.11</v>
      </c>
      <c r="E88" s="321">
        <v>93382</v>
      </c>
      <c r="F88" s="350">
        <v>50000</v>
      </c>
      <c r="G88" s="346">
        <v>0</v>
      </c>
      <c r="H88" s="324">
        <f t="shared" si="15"/>
        <v>143416.10999999999</v>
      </c>
    </row>
    <row r="89" spans="1:8" s="327" customFormat="1" ht="24" customHeight="1" x14ac:dyDescent="0.25">
      <c r="A89" s="358" t="s">
        <v>201</v>
      </c>
      <c r="B89" s="344">
        <v>4496</v>
      </c>
      <c r="C89" s="320" t="s">
        <v>485</v>
      </c>
      <c r="D89" s="321">
        <v>29.04</v>
      </c>
      <c r="E89" s="321">
        <v>262.20699999999999</v>
      </c>
      <c r="F89" s="350">
        <v>98258.76</v>
      </c>
      <c r="G89" s="346">
        <v>0</v>
      </c>
      <c r="H89" s="324">
        <f t="shared" si="15"/>
        <v>98550.006999999998</v>
      </c>
    </row>
    <row r="90" spans="1:8" s="317" customFormat="1" ht="23.25" customHeight="1" x14ac:dyDescent="0.25">
      <c r="A90" s="358" t="s">
        <v>346</v>
      </c>
      <c r="B90" s="344">
        <v>4372</v>
      </c>
      <c r="C90" s="320" t="s">
        <v>485</v>
      </c>
      <c r="D90" s="321">
        <v>0</v>
      </c>
      <c r="E90" s="321">
        <v>1073.91875</v>
      </c>
      <c r="F90" s="350">
        <v>27228</v>
      </c>
      <c r="G90" s="346">
        <v>0</v>
      </c>
      <c r="H90" s="324">
        <f t="shared" si="15"/>
        <v>28301.918750000001</v>
      </c>
    </row>
    <row r="91" spans="1:8" s="317" customFormat="1" ht="24" customHeight="1" x14ac:dyDescent="0.25">
      <c r="A91" s="358" t="s">
        <v>347</v>
      </c>
      <c r="B91" s="344">
        <v>5482</v>
      </c>
      <c r="C91" s="320" t="s">
        <v>485</v>
      </c>
      <c r="D91" s="321">
        <v>0</v>
      </c>
      <c r="E91" s="321">
        <v>25.52</v>
      </c>
      <c r="F91" s="350">
        <f>20000.48</f>
        <v>20000.48</v>
      </c>
      <c r="G91" s="323">
        <v>128208.52</v>
      </c>
      <c r="H91" s="324">
        <f t="shared" si="15"/>
        <v>148234.52000000002</v>
      </c>
    </row>
    <row r="92" spans="1:8" s="317" customFormat="1" ht="24" customHeight="1" x14ac:dyDescent="0.25">
      <c r="A92" s="358" t="s">
        <v>528</v>
      </c>
      <c r="B92" s="344">
        <v>4490</v>
      </c>
      <c r="C92" s="320" t="s">
        <v>485</v>
      </c>
      <c r="D92" s="321">
        <v>0</v>
      </c>
      <c r="E92" s="321">
        <v>0</v>
      </c>
      <c r="F92" s="350">
        <v>9000</v>
      </c>
      <c r="G92" s="346">
        <v>0</v>
      </c>
      <c r="H92" s="324">
        <f t="shared" si="15"/>
        <v>9000</v>
      </c>
    </row>
    <row r="93" spans="1:8" s="317" customFormat="1" ht="24" customHeight="1" x14ac:dyDescent="0.25">
      <c r="A93" s="358" t="s">
        <v>526</v>
      </c>
      <c r="B93" s="344">
        <v>4491</v>
      </c>
      <c r="C93" s="320" t="s">
        <v>485</v>
      </c>
      <c r="D93" s="321">
        <v>0</v>
      </c>
      <c r="E93" s="321">
        <v>0</v>
      </c>
      <c r="F93" s="350">
        <v>2400</v>
      </c>
      <c r="G93" s="346">
        <v>0</v>
      </c>
      <c r="H93" s="324">
        <f t="shared" si="15"/>
        <v>2400</v>
      </c>
    </row>
    <row r="94" spans="1:8" ht="24" customHeight="1" x14ac:dyDescent="0.25">
      <c r="A94" s="358" t="s">
        <v>522</v>
      </c>
      <c r="B94" s="344">
        <v>4492</v>
      </c>
      <c r="C94" s="320" t="s">
        <v>485</v>
      </c>
      <c r="D94" s="321">
        <v>0</v>
      </c>
      <c r="E94" s="321">
        <v>0</v>
      </c>
      <c r="F94" s="350">
        <v>1500</v>
      </c>
      <c r="G94" s="346">
        <v>0</v>
      </c>
      <c r="H94" s="324">
        <f t="shared" si="15"/>
        <v>1500</v>
      </c>
    </row>
    <row r="95" spans="1:8" ht="24" customHeight="1" x14ac:dyDescent="0.25">
      <c r="A95" s="358" t="s">
        <v>523</v>
      </c>
      <c r="B95" s="319">
        <v>4408</v>
      </c>
      <c r="C95" s="320" t="s">
        <v>485</v>
      </c>
      <c r="D95" s="321">
        <v>0</v>
      </c>
      <c r="E95" s="321">
        <v>0</v>
      </c>
      <c r="F95" s="350">
        <v>2000</v>
      </c>
      <c r="G95" s="346">
        <v>0</v>
      </c>
      <c r="H95" s="324">
        <f t="shared" si="15"/>
        <v>2000</v>
      </c>
    </row>
    <row r="96" spans="1:8" ht="24" customHeight="1" x14ac:dyDescent="0.25">
      <c r="A96" s="358" t="s">
        <v>524</v>
      </c>
      <c r="B96" s="319">
        <v>4410</v>
      </c>
      <c r="C96" s="320" t="s">
        <v>485</v>
      </c>
      <c r="D96" s="321">
        <v>0</v>
      </c>
      <c r="E96" s="321">
        <v>18000</v>
      </c>
      <c r="F96" s="369">
        <v>0</v>
      </c>
      <c r="G96" s="346">
        <v>0</v>
      </c>
      <c r="H96" s="324">
        <f t="shared" si="15"/>
        <v>18000</v>
      </c>
    </row>
    <row r="97" spans="1:14" ht="24" customHeight="1" x14ac:dyDescent="0.25">
      <c r="A97" s="358" t="s">
        <v>343</v>
      </c>
      <c r="B97" s="319">
        <v>4485</v>
      </c>
      <c r="C97" s="320" t="s">
        <v>485</v>
      </c>
      <c r="D97" s="321">
        <v>0</v>
      </c>
      <c r="E97" s="321">
        <v>0</v>
      </c>
      <c r="F97" s="369">
        <v>5000</v>
      </c>
      <c r="G97" s="323">
        <v>10500</v>
      </c>
      <c r="H97" s="324">
        <f t="shared" si="15"/>
        <v>15500</v>
      </c>
    </row>
    <row r="98" spans="1:14" ht="15.95" customHeight="1" thickBot="1" x14ac:dyDescent="0.3">
      <c r="A98" s="574" t="s">
        <v>47</v>
      </c>
      <c r="B98" s="575"/>
      <c r="C98" s="576"/>
      <c r="D98" s="370">
        <f>SUM(D81:D97)</f>
        <v>110758.78003999998</v>
      </c>
      <c r="E98" s="370">
        <f t="shared" ref="E98:H98" si="16">SUM(E81:E97)</f>
        <v>119720.16562</v>
      </c>
      <c r="F98" s="370">
        <f t="shared" si="16"/>
        <v>238288.09</v>
      </c>
      <c r="G98" s="370">
        <f t="shared" si="16"/>
        <v>138708.52000000002</v>
      </c>
      <c r="H98" s="371">
        <f t="shared" si="16"/>
        <v>607475.55566000007</v>
      </c>
    </row>
    <row r="99" spans="1:14" ht="23.45" customHeight="1" thickBot="1" x14ac:dyDescent="0.3">
      <c r="A99" s="577" t="s">
        <v>216</v>
      </c>
      <c r="B99" s="578"/>
      <c r="C99" s="579"/>
      <c r="D99" s="337">
        <f>D98+D79+D49+D41+D37</f>
        <v>378688.54075999995</v>
      </c>
      <c r="E99" s="337">
        <f t="shared" ref="E99:H99" si="17">E98+E79+E49+E41+E37</f>
        <v>441376.52514000004</v>
      </c>
      <c r="F99" s="337">
        <f t="shared" si="17"/>
        <v>1206780.25</v>
      </c>
      <c r="G99" s="337">
        <f t="shared" si="17"/>
        <v>552840.52</v>
      </c>
      <c r="H99" s="338">
        <f t="shared" si="17"/>
        <v>2579685.8359000003</v>
      </c>
    </row>
    <row r="100" spans="1:14" ht="13.5" thickBot="1" x14ac:dyDescent="0.3">
      <c r="A100" s="339" t="s">
        <v>479</v>
      </c>
      <c r="B100" s="340"/>
      <c r="C100" s="340"/>
      <c r="D100" s="372"/>
      <c r="E100" s="372"/>
      <c r="F100" s="373" t="s">
        <v>479</v>
      </c>
      <c r="G100" s="372"/>
      <c r="H100" s="374"/>
    </row>
    <row r="101" spans="1:14" ht="21" customHeight="1" thickBot="1" x14ac:dyDescent="0.3">
      <c r="A101" s="577" t="s">
        <v>32</v>
      </c>
      <c r="B101" s="578"/>
      <c r="C101" s="579"/>
      <c r="D101" s="337">
        <f>D99+D28+D22</f>
        <v>387806.44918999996</v>
      </c>
      <c r="E101" s="337">
        <f t="shared" ref="E101:G101" si="18">E99+E28+E22</f>
        <v>522269.68187000003</v>
      </c>
      <c r="F101" s="337">
        <f t="shared" si="18"/>
        <v>1403233.47</v>
      </c>
      <c r="G101" s="337">
        <f t="shared" si="18"/>
        <v>686690.52</v>
      </c>
      <c r="H101" s="338">
        <f>H99+H28+H22</f>
        <v>3000000.1210600003</v>
      </c>
    </row>
    <row r="105" spans="1:14" x14ac:dyDescent="0.25">
      <c r="J105" s="379"/>
      <c r="K105" s="379"/>
      <c r="L105" s="379"/>
      <c r="M105" s="379"/>
      <c r="N105" s="379"/>
    </row>
    <row r="107" spans="1:14" x14ac:dyDescent="0.25">
      <c r="C107" s="376"/>
      <c r="N107" s="380"/>
    </row>
    <row r="108" spans="1:14" x14ac:dyDescent="0.25">
      <c r="N108" s="379"/>
    </row>
  </sheetData>
  <mergeCells count="22">
    <mergeCell ref="A98:C98"/>
    <mergeCell ref="A99:C99"/>
    <mergeCell ref="A101:C101"/>
    <mergeCell ref="H3:H4"/>
    <mergeCell ref="D3:G3"/>
    <mergeCell ref="A24:H24"/>
    <mergeCell ref="A5:H5"/>
    <mergeCell ref="A30:H30"/>
    <mergeCell ref="A9:H9"/>
    <mergeCell ref="A41:C41"/>
    <mergeCell ref="A49:C49"/>
    <mergeCell ref="A79:C79"/>
    <mergeCell ref="A27:C27"/>
    <mergeCell ref="A28:C28"/>
    <mergeCell ref="A37:C37"/>
    <mergeCell ref="A12:C12"/>
    <mergeCell ref="A18:C18"/>
    <mergeCell ref="A21:C21"/>
    <mergeCell ref="A22:C22"/>
    <mergeCell ref="A1:H1"/>
    <mergeCell ref="A3:A4"/>
    <mergeCell ref="A8:C8"/>
  </mergeCells>
  <pageMargins left="0.39370078740157483" right="0.39370078740157483" top="0.98425196850393704" bottom="0.39370078740157483" header="0.31496062992125984" footer="0.11811023622047245"/>
  <pageSetup paperSize="9" scale="82" firstPageNumber="13" fitToHeight="0" orientation="portrait" useFirstPageNumber="1" r:id="rId1"/>
  <headerFooter>
    <oddHeader>&amp;L&amp;"Tahoma,Kurzíva"&amp;10Návrh rozpočtu na rok 2024
Příloha č. 10&amp;R&amp;"Tahoma,Kurzíva"&amp;10Přehled akcí financovaných z úvěru České spořitelny, a. s.</oddHeader>
    <oddFooter>&amp;C&amp;"Tahoma,Obyčejné"&amp;10&amp;P</oddFooter>
  </headerFooter>
  <rowBreaks count="2" manualBreakCount="2">
    <brk id="46" max="7" man="1"/>
    <brk id="8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ABE69-285B-4AD4-8679-8BF775C1100C}">
  <sheetPr>
    <pageSetUpPr fitToPage="1"/>
  </sheetPr>
  <dimension ref="A1:H36"/>
  <sheetViews>
    <sheetView zoomScaleNormal="100" zoomScaleSheetLayoutView="100" workbookViewId="0">
      <selection activeCell="G32" sqref="G32"/>
    </sheetView>
  </sheetViews>
  <sheetFormatPr defaultColWidth="9.140625" defaultRowHeight="11.25" x14ac:dyDescent="0.15"/>
  <cols>
    <col min="1" max="1" width="14" style="438" customWidth="1"/>
    <col min="2" max="3" width="6.42578125" style="438" hidden="1" customWidth="1"/>
    <col min="4" max="4" width="6.85546875" style="438" hidden="1" customWidth="1"/>
    <col min="5" max="5" width="45.7109375" style="439" customWidth="1"/>
    <col min="6" max="6" width="13" style="243" customWidth="1"/>
    <col min="7" max="7" width="40.7109375" style="439" customWidth="1"/>
    <col min="8" max="8" width="11.140625" style="439" customWidth="1"/>
    <col min="9" max="16384" width="9.140625" style="439"/>
  </cols>
  <sheetData>
    <row r="1" spans="1:8" ht="23.25" customHeight="1" x14ac:dyDescent="0.15">
      <c r="A1" s="600" t="s">
        <v>621</v>
      </c>
      <c r="B1" s="600"/>
      <c r="C1" s="600"/>
      <c r="D1" s="600"/>
      <c r="E1" s="600"/>
      <c r="F1" s="600"/>
      <c r="G1" s="600"/>
    </row>
    <row r="2" spans="1:8" ht="12" thickBot="1" x14ac:dyDescent="0.2">
      <c r="A2" s="442"/>
      <c r="B2" s="442"/>
      <c r="C2" s="442"/>
      <c r="D2" s="442"/>
      <c r="E2" s="443"/>
      <c r="F2" s="444"/>
      <c r="G2" s="449" t="s">
        <v>31</v>
      </c>
    </row>
    <row r="3" spans="1:8" ht="26.25" customHeight="1" x14ac:dyDescent="0.15">
      <c r="A3" s="460" t="s">
        <v>541</v>
      </c>
      <c r="B3" s="3" t="s">
        <v>473</v>
      </c>
      <c r="C3" s="3" t="s">
        <v>341</v>
      </c>
      <c r="D3" s="3" t="s">
        <v>542</v>
      </c>
      <c r="E3" s="3" t="s">
        <v>35</v>
      </c>
      <c r="F3" s="3" t="s">
        <v>362</v>
      </c>
      <c r="G3" s="4" t="s">
        <v>36</v>
      </c>
    </row>
    <row r="4" spans="1:8" ht="18" customHeight="1" x14ac:dyDescent="0.15">
      <c r="A4" s="461" t="s">
        <v>543</v>
      </c>
      <c r="B4" s="455"/>
      <c r="C4" s="455"/>
      <c r="D4" s="455"/>
      <c r="E4" s="455"/>
      <c r="F4" s="453"/>
      <c r="G4" s="462"/>
    </row>
    <row r="5" spans="1:8" ht="24" customHeight="1" x14ac:dyDescent="0.15">
      <c r="A5" s="463" t="s">
        <v>544</v>
      </c>
      <c r="B5" s="451" t="s">
        <v>483</v>
      </c>
      <c r="C5" s="451">
        <v>16</v>
      </c>
      <c r="D5" s="451">
        <v>1614</v>
      </c>
      <c r="E5" s="452" t="s">
        <v>545</v>
      </c>
      <c r="F5" s="450">
        <v>3000</v>
      </c>
      <c r="G5" s="464" t="s">
        <v>546</v>
      </c>
      <c r="H5" s="482"/>
    </row>
    <row r="6" spans="1:8" ht="24" customHeight="1" x14ac:dyDescent="0.15">
      <c r="A6" s="465" t="s">
        <v>547</v>
      </c>
      <c r="B6" s="445" t="s">
        <v>548</v>
      </c>
      <c r="C6" s="445">
        <v>19</v>
      </c>
      <c r="D6" s="445">
        <v>1617</v>
      </c>
      <c r="E6" s="446" t="s">
        <v>549</v>
      </c>
      <c r="F6" s="450">
        <v>2500</v>
      </c>
      <c r="G6" s="466" t="s">
        <v>613</v>
      </c>
      <c r="H6" s="483"/>
    </row>
    <row r="7" spans="1:8" ht="24" customHeight="1" x14ac:dyDescent="0.15">
      <c r="A7" s="465" t="s">
        <v>550</v>
      </c>
      <c r="B7" s="445" t="s">
        <v>551</v>
      </c>
      <c r="C7" s="445">
        <v>1</v>
      </c>
      <c r="D7" s="445">
        <v>102</v>
      </c>
      <c r="E7" s="446" t="s">
        <v>552</v>
      </c>
      <c r="F7" s="450">
        <v>4100</v>
      </c>
      <c r="G7" s="467" t="s">
        <v>553</v>
      </c>
      <c r="H7" s="483"/>
    </row>
    <row r="8" spans="1:8" ht="45" customHeight="1" x14ac:dyDescent="0.15">
      <c r="A8" s="465" t="s">
        <v>554</v>
      </c>
      <c r="B8" s="445" t="s">
        <v>555</v>
      </c>
      <c r="C8" s="445">
        <v>11</v>
      </c>
      <c r="D8" s="445">
        <v>1110</v>
      </c>
      <c r="E8" s="446" t="s">
        <v>556</v>
      </c>
      <c r="F8" s="450">
        <v>50000</v>
      </c>
      <c r="G8" s="467" t="s">
        <v>557</v>
      </c>
    </row>
    <row r="9" spans="1:8" ht="34.5" customHeight="1" x14ac:dyDescent="0.15">
      <c r="A9" s="465" t="s">
        <v>554</v>
      </c>
      <c r="B9" s="445" t="s">
        <v>555</v>
      </c>
      <c r="C9" s="445">
        <v>11</v>
      </c>
      <c r="D9" s="445" t="s">
        <v>558</v>
      </c>
      <c r="E9" s="446" t="s">
        <v>559</v>
      </c>
      <c r="F9" s="450">
        <v>1057</v>
      </c>
      <c r="G9" s="468" t="s">
        <v>560</v>
      </c>
      <c r="H9" s="440"/>
    </row>
    <row r="10" spans="1:8" ht="24" customHeight="1" x14ac:dyDescent="0.15">
      <c r="A10" s="465" t="s">
        <v>561</v>
      </c>
      <c r="B10" s="445" t="s">
        <v>475</v>
      </c>
      <c r="C10" s="445">
        <v>14</v>
      </c>
      <c r="D10" s="445">
        <v>3452</v>
      </c>
      <c r="E10" s="446" t="s">
        <v>433</v>
      </c>
      <c r="F10" s="450">
        <v>6300</v>
      </c>
      <c r="G10" s="468" t="s">
        <v>562</v>
      </c>
    </row>
    <row r="11" spans="1:8" ht="15.75" customHeight="1" x14ac:dyDescent="0.15">
      <c r="A11" s="601" t="s">
        <v>606</v>
      </c>
      <c r="B11" s="602"/>
      <c r="C11" s="602"/>
      <c r="D11" s="602"/>
      <c r="E11" s="603"/>
      <c r="F11" s="458">
        <f>SUM(F5:F10)</f>
        <v>66957</v>
      </c>
      <c r="G11" s="394"/>
    </row>
    <row r="12" spans="1:8" ht="18" customHeight="1" x14ac:dyDescent="0.15">
      <c r="A12" s="469" t="s">
        <v>563</v>
      </c>
      <c r="B12" s="454"/>
      <c r="C12" s="454"/>
      <c r="D12" s="454"/>
      <c r="E12" s="454"/>
      <c r="F12" s="459"/>
      <c r="G12" s="470"/>
    </row>
    <row r="13" spans="1:8" ht="34.5" customHeight="1" x14ac:dyDescent="0.15">
      <c r="A13" s="463" t="s">
        <v>554</v>
      </c>
      <c r="B13" s="451" t="s">
        <v>555</v>
      </c>
      <c r="C13" s="451">
        <v>11</v>
      </c>
      <c r="D13" s="451" t="s">
        <v>564</v>
      </c>
      <c r="E13" s="457" t="s">
        <v>565</v>
      </c>
      <c r="F13" s="450">
        <v>12000</v>
      </c>
      <c r="G13" s="468" t="s">
        <v>566</v>
      </c>
    </row>
    <row r="14" spans="1:8" ht="24" customHeight="1" x14ac:dyDescent="0.15">
      <c r="A14" s="465" t="s">
        <v>561</v>
      </c>
      <c r="B14" s="445" t="s">
        <v>475</v>
      </c>
      <c r="C14" s="445">
        <v>14</v>
      </c>
      <c r="D14" s="445">
        <v>3452</v>
      </c>
      <c r="E14" s="446" t="s">
        <v>433</v>
      </c>
      <c r="F14" s="450">
        <v>3500</v>
      </c>
      <c r="G14" s="468" t="s">
        <v>562</v>
      </c>
    </row>
    <row r="15" spans="1:8" ht="15.75" customHeight="1" x14ac:dyDescent="0.15">
      <c r="A15" s="604" t="s">
        <v>607</v>
      </c>
      <c r="B15" s="605"/>
      <c r="C15" s="605"/>
      <c r="D15" s="605"/>
      <c r="E15" s="606"/>
      <c r="F15" s="456">
        <f>SUM(F13:F14)</f>
        <v>15500</v>
      </c>
      <c r="G15" s="471"/>
    </row>
    <row r="16" spans="1:8" ht="18" customHeight="1" x14ac:dyDescent="0.15">
      <c r="A16" s="469" t="s">
        <v>567</v>
      </c>
      <c r="B16" s="454"/>
      <c r="C16" s="454"/>
      <c r="D16" s="454"/>
      <c r="E16" s="454"/>
      <c r="F16" s="459"/>
      <c r="G16" s="470"/>
    </row>
    <row r="17" spans="1:7" ht="31.5" x14ac:dyDescent="0.15">
      <c r="A17" s="465" t="s">
        <v>544</v>
      </c>
      <c r="B17" s="445" t="s">
        <v>483</v>
      </c>
      <c r="C17" s="445" t="s">
        <v>568</v>
      </c>
      <c r="D17" s="445" t="s">
        <v>569</v>
      </c>
      <c r="E17" s="446" t="s">
        <v>570</v>
      </c>
      <c r="F17" s="450">
        <v>75800</v>
      </c>
      <c r="G17" s="468" t="s">
        <v>571</v>
      </c>
    </row>
    <row r="18" spans="1:7" ht="45" customHeight="1" x14ac:dyDescent="0.15">
      <c r="A18" s="465" t="s">
        <v>544</v>
      </c>
      <c r="B18" s="445" t="s">
        <v>483</v>
      </c>
      <c r="C18" s="445" t="s">
        <v>568</v>
      </c>
      <c r="D18" s="445" t="s">
        <v>572</v>
      </c>
      <c r="E18" s="446" t="s">
        <v>573</v>
      </c>
      <c r="F18" s="450">
        <v>34000</v>
      </c>
      <c r="G18" s="468" t="s">
        <v>574</v>
      </c>
    </row>
    <row r="19" spans="1:7" ht="24" customHeight="1" x14ac:dyDescent="0.15">
      <c r="A19" s="465" t="s">
        <v>544</v>
      </c>
      <c r="B19" s="445" t="s">
        <v>485</v>
      </c>
      <c r="C19" s="445" t="s">
        <v>575</v>
      </c>
      <c r="D19" s="445" t="s">
        <v>576</v>
      </c>
      <c r="E19" s="446" t="s">
        <v>207</v>
      </c>
      <c r="F19" s="450">
        <v>191530</v>
      </c>
      <c r="G19" s="468" t="s">
        <v>577</v>
      </c>
    </row>
    <row r="20" spans="1:7" ht="34.5" customHeight="1" x14ac:dyDescent="0.15">
      <c r="A20" s="465" t="s">
        <v>544</v>
      </c>
      <c r="B20" s="445" t="s">
        <v>485</v>
      </c>
      <c r="C20" s="445" t="s">
        <v>575</v>
      </c>
      <c r="D20" s="445" t="s">
        <v>578</v>
      </c>
      <c r="E20" s="446" t="s">
        <v>579</v>
      </c>
      <c r="F20" s="450">
        <v>5702</v>
      </c>
      <c r="G20" s="468" t="s">
        <v>580</v>
      </c>
    </row>
    <row r="21" spans="1:7" ht="45" customHeight="1" x14ac:dyDescent="0.15">
      <c r="A21" s="465" t="s">
        <v>544</v>
      </c>
      <c r="B21" s="445" t="s">
        <v>485</v>
      </c>
      <c r="C21" s="445">
        <v>7</v>
      </c>
      <c r="D21" s="445">
        <v>5752</v>
      </c>
      <c r="E21" s="446" t="s">
        <v>581</v>
      </c>
      <c r="F21" s="450">
        <v>8954</v>
      </c>
      <c r="G21" s="468" t="s">
        <v>582</v>
      </c>
    </row>
    <row r="22" spans="1:7" ht="34.5" customHeight="1" x14ac:dyDescent="0.15">
      <c r="A22" s="465" t="s">
        <v>583</v>
      </c>
      <c r="B22" s="445" t="s">
        <v>551</v>
      </c>
      <c r="C22" s="445" t="s">
        <v>584</v>
      </c>
      <c r="D22" s="445" t="s">
        <v>585</v>
      </c>
      <c r="E22" s="446" t="s">
        <v>586</v>
      </c>
      <c r="F22" s="450">
        <v>18345</v>
      </c>
      <c r="G22" s="468" t="s">
        <v>587</v>
      </c>
    </row>
    <row r="23" spans="1:7" ht="57" customHeight="1" x14ac:dyDescent="0.15">
      <c r="A23" s="465" t="s">
        <v>588</v>
      </c>
      <c r="B23" s="445" t="s">
        <v>483</v>
      </c>
      <c r="C23" s="445" t="s">
        <v>568</v>
      </c>
      <c r="D23" s="445" t="s">
        <v>589</v>
      </c>
      <c r="E23" s="446" t="s">
        <v>590</v>
      </c>
      <c r="F23" s="450">
        <v>8000</v>
      </c>
      <c r="G23" s="468" t="s">
        <v>591</v>
      </c>
    </row>
    <row r="24" spans="1:7" ht="15.75" customHeight="1" x14ac:dyDescent="0.15">
      <c r="A24" s="604" t="s">
        <v>608</v>
      </c>
      <c r="B24" s="605"/>
      <c r="C24" s="605"/>
      <c r="D24" s="605"/>
      <c r="E24" s="606"/>
      <c r="F24" s="456">
        <f>SUM(F17:F23)</f>
        <v>342331</v>
      </c>
      <c r="G24" s="471"/>
    </row>
    <row r="25" spans="1:7" s="441" customFormat="1" ht="18" customHeight="1" x14ac:dyDescent="0.25">
      <c r="A25" s="469" t="s">
        <v>609</v>
      </c>
      <c r="B25" s="454"/>
      <c r="C25" s="454"/>
      <c r="D25" s="454"/>
      <c r="E25" s="454"/>
      <c r="F25" s="459"/>
      <c r="G25" s="470"/>
    </row>
    <row r="26" spans="1:7" ht="34.5" customHeight="1" x14ac:dyDescent="0.15">
      <c r="A26" s="472" t="s">
        <v>547</v>
      </c>
      <c r="B26" s="448" t="s">
        <v>548</v>
      </c>
      <c r="C26" s="448">
        <v>19</v>
      </c>
      <c r="D26" s="448">
        <v>8007</v>
      </c>
      <c r="E26" s="447" t="s">
        <v>592</v>
      </c>
      <c r="F26" s="450">
        <v>29069</v>
      </c>
      <c r="G26" s="468" t="s">
        <v>593</v>
      </c>
    </row>
    <row r="27" spans="1:7" ht="34.5" customHeight="1" x14ac:dyDescent="0.15">
      <c r="A27" s="472" t="s">
        <v>547</v>
      </c>
      <c r="B27" s="448" t="s">
        <v>548</v>
      </c>
      <c r="C27" s="448">
        <v>19</v>
      </c>
      <c r="D27" s="448">
        <v>7043</v>
      </c>
      <c r="E27" s="447" t="s">
        <v>594</v>
      </c>
      <c r="F27" s="450">
        <v>10241</v>
      </c>
      <c r="G27" s="468" t="s">
        <v>595</v>
      </c>
    </row>
    <row r="28" spans="1:7" ht="34.5" customHeight="1" x14ac:dyDescent="0.15">
      <c r="A28" s="472" t="s">
        <v>547</v>
      </c>
      <c r="B28" s="448" t="s">
        <v>548</v>
      </c>
      <c r="C28" s="448">
        <v>19</v>
      </c>
      <c r="D28" s="448">
        <v>8997</v>
      </c>
      <c r="E28" s="447" t="s">
        <v>596</v>
      </c>
      <c r="F28" s="450">
        <v>58027</v>
      </c>
      <c r="G28" s="468" t="s">
        <v>597</v>
      </c>
    </row>
    <row r="29" spans="1:7" ht="24" customHeight="1" x14ac:dyDescent="0.15">
      <c r="A29" s="465" t="s">
        <v>561</v>
      </c>
      <c r="B29" s="445" t="s">
        <v>475</v>
      </c>
      <c r="C29" s="445">
        <v>14</v>
      </c>
      <c r="D29" s="445">
        <v>3452</v>
      </c>
      <c r="E29" s="446" t="s">
        <v>433</v>
      </c>
      <c r="F29" s="450">
        <v>9500</v>
      </c>
      <c r="G29" s="468" t="s">
        <v>562</v>
      </c>
    </row>
    <row r="30" spans="1:7" s="441" customFormat="1" ht="24.75" customHeight="1" x14ac:dyDescent="0.25">
      <c r="A30" s="631" t="s">
        <v>611</v>
      </c>
      <c r="B30" s="632"/>
      <c r="C30" s="632"/>
      <c r="D30" s="632"/>
      <c r="E30" s="633"/>
      <c r="F30" s="458">
        <f>SUM(F26:F29)</f>
        <v>106837</v>
      </c>
      <c r="G30" s="394"/>
    </row>
    <row r="31" spans="1:7" s="441" customFormat="1" ht="18" customHeight="1" x14ac:dyDescent="0.25">
      <c r="A31" s="469" t="s">
        <v>610</v>
      </c>
      <c r="B31" s="454"/>
      <c r="C31" s="454"/>
      <c r="D31" s="454"/>
      <c r="E31" s="454"/>
      <c r="F31" s="459"/>
      <c r="G31" s="470"/>
    </row>
    <row r="32" spans="1:7" ht="34.5" customHeight="1" x14ac:dyDescent="0.15">
      <c r="A32" s="472" t="s">
        <v>547</v>
      </c>
      <c r="B32" s="448" t="s">
        <v>548</v>
      </c>
      <c r="C32" s="448">
        <v>19</v>
      </c>
      <c r="D32" s="448">
        <v>8007</v>
      </c>
      <c r="E32" s="447" t="s">
        <v>592</v>
      </c>
      <c r="F32" s="450">
        <v>36955</v>
      </c>
      <c r="G32" s="468" t="s">
        <v>593</v>
      </c>
    </row>
    <row r="33" spans="1:7" ht="34.5" customHeight="1" x14ac:dyDescent="0.15">
      <c r="A33" s="472" t="s">
        <v>547</v>
      </c>
      <c r="B33" s="448" t="s">
        <v>548</v>
      </c>
      <c r="C33" s="448">
        <v>19</v>
      </c>
      <c r="D33" s="448">
        <v>4769</v>
      </c>
      <c r="E33" s="447" t="s">
        <v>598</v>
      </c>
      <c r="F33" s="450">
        <v>60</v>
      </c>
      <c r="G33" s="468" t="s">
        <v>599</v>
      </c>
    </row>
    <row r="34" spans="1:7" ht="42" x14ac:dyDescent="0.15">
      <c r="A34" s="472" t="s">
        <v>547</v>
      </c>
      <c r="B34" s="448" t="s">
        <v>548</v>
      </c>
      <c r="C34" s="448">
        <v>19</v>
      </c>
      <c r="D34" s="448">
        <v>5878</v>
      </c>
      <c r="E34" s="447" t="s">
        <v>600</v>
      </c>
      <c r="F34" s="450">
        <v>19259</v>
      </c>
      <c r="G34" s="468" t="s">
        <v>601</v>
      </c>
    </row>
    <row r="35" spans="1:7" ht="24" customHeight="1" x14ac:dyDescent="0.15">
      <c r="A35" s="472" t="s">
        <v>602</v>
      </c>
      <c r="B35" s="445" t="s">
        <v>603</v>
      </c>
      <c r="C35" s="448">
        <v>9.19</v>
      </c>
      <c r="D35" s="448">
        <v>8503</v>
      </c>
      <c r="E35" s="447" t="s">
        <v>604</v>
      </c>
      <c r="F35" s="450">
        <f>14845+34000</f>
        <v>48845</v>
      </c>
      <c r="G35" s="468" t="s">
        <v>605</v>
      </c>
    </row>
    <row r="36" spans="1:7" s="441" customFormat="1" ht="24.75" customHeight="1" thickBot="1" x14ac:dyDescent="0.3">
      <c r="A36" s="597" t="s">
        <v>612</v>
      </c>
      <c r="B36" s="598"/>
      <c r="C36" s="598"/>
      <c r="D36" s="598"/>
      <c r="E36" s="599"/>
      <c r="F36" s="473">
        <f>SUM(F32:F35)</f>
        <v>105119</v>
      </c>
      <c r="G36" s="474"/>
    </row>
  </sheetData>
  <mergeCells count="6">
    <mergeCell ref="A36:E36"/>
    <mergeCell ref="A1:G1"/>
    <mergeCell ref="A11:E11"/>
    <mergeCell ref="A15:E15"/>
    <mergeCell ref="A24:E24"/>
    <mergeCell ref="A30:E30"/>
  </mergeCells>
  <pageMargins left="0.31496062992125984" right="0.31496062992125984" top="0.98425196850393704" bottom="0.39370078740157483" header="0.31496062992125984" footer="0.11811023622047245"/>
  <pageSetup paperSize="9" scale="85" firstPageNumber="16" fitToHeight="0" orientation="portrait" useFirstPageNumber="1" r:id="rId1"/>
  <headerFooter>
    <oddHeader>&amp;L&amp;"Tahoma,Kurzíva"&amp;10Návrh rozpočtu na rok 2024
Příloha č. 10&amp;R&amp;"Tahoma,Kurzíva"&amp;10Přehled financování vybraných (tzv. průřezových) organizací kraje</oddHeader>
    <oddFooter>&amp;C&amp;"Tahoma,Obyčejné"&amp;10&amp;P</oddFooter>
  </headerFooter>
  <rowBreaks count="1" manualBreakCount="1">
    <brk id="30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BEAA4-DEBE-445C-81F1-47412D8172A2}">
  <sheetPr>
    <pageSetUpPr fitToPage="1"/>
  </sheetPr>
  <dimension ref="A1:I124"/>
  <sheetViews>
    <sheetView zoomScaleNormal="100" zoomScaleSheetLayoutView="100" workbookViewId="0">
      <selection activeCell="D87" sqref="D87"/>
    </sheetView>
  </sheetViews>
  <sheetFormatPr defaultRowHeight="10.5" x14ac:dyDescent="0.15"/>
  <cols>
    <col min="1" max="1" width="7" style="302" customWidth="1"/>
    <col min="2" max="2" width="30" style="280" customWidth="1"/>
    <col min="3" max="3" width="12.140625" style="301" customWidth="1"/>
    <col min="4" max="4" width="52.7109375" style="220" customWidth="1"/>
    <col min="5" max="5" width="9.7109375" style="279" customWidth="1"/>
    <col min="6" max="6" width="11.5703125" style="222" customWidth="1"/>
    <col min="7" max="7" width="14.28515625" style="280" customWidth="1"/>
    <col min="8" max="16384" width="9.140625" style="280"/>
  </cols>
  <sheetData>
    <row r="1" spans="1:6" s="277" customFormat="1" ht="24" customHeight="1" x14ac:dyDescent="0.2">
      <c r="A1" s="627" t="s">
        <v>438</v>
      </c>
      <c r="B1" s="627"/>
      <c r="C1" s="627"/>
      <c r="D1" s="627"/>
      <c r="E1" s="275"/>
      <c r="F1" s="276"/>
    </row>
    <row r="2" spans="1:6" s="277" customFormat="1" ht="18" customHeight="1" x14ac:dyDescent="0.2">
      <c r="A2" s="141"/>
      <c r="B2" s="141"/>
      <c r="C2" s="141"/>
      <c r="D2" s="141"/>
      <c r="E2" s="275"/>
      <c r="F2" s="276"/>
    </row>
    <row r="3" spans="1:6" ht="15" customHeight="1" thickBot="1" x14ac:dyDescent="0.2">
      <c r="A3" s="132" t="s">
        <v>65</v>
      </c>
      <c r="B3" s="222"/>
      <c r="C3" s="278"/>
      <c r="D3" s="221"/>
    </row>
    <row r="4" spans="1:6" s="222" customFormat="1" ht="26.25" customHeight="1" thickBot="1" x14ac:dyDescent="0.2">
      <c r="A4" s="487" t="s">
        <v>142</v>
      </c>
      <c r="B4" s="488" t="s">
        <v>143</v>
      </c>
      <c r="C4" s="489" t="s">
        <v>144</v>
      </c>
      <c r="D4" s="490" t="s">
        <v>145</v>
      </c>
      <c r="E4" s="281"/>
    </row>
    <row r="5" spans="1:6" s="222" customFormat="1" ht="24" customHeight="1" thickTop="1" x14ac:dyDescent="0.15">
      <c r="A5" s="227">
        <v>1111</v>
      </c>
      <c r="B5" s="228" t="s">
        <v>262</v>
      </c>
      <c r="C5" s="491">
        <v>1600000</v>
      </c>
      <c r="D5" s="163" t="s">
        <v>146</v>
      </c>
      <c r="E5" s="156"/>
    </row>
    <row r="6" spans="1:6" s="222" customFormat="1" ht="24" customHeight="1" x14ac:dyDescent="0.15">
      <c r="A6" s="227">
        <v>1112</v>
      </c>
      <c r="B6" s="228" t="s">
        <v>263</v>
      </c>
      <c r="C6" s="450">
        <v>100000</v>
      </c>
      <c r="D6" s="163" t="s">
        <v>147</v>
      </c>
      <c r="E6" s="156"/>
    </row>
    <row r="7" spans="1:6" s="222" customFormat="1" ht="34.5" customHeight="1" x14ac:dyDescent="0.15">
      <c r="A7" s="227">
        <v>1113</v>
      </c>
      <c r="B7" s="228" t="s">
        <v>264</v>
      </c>
      <c r="C7" s="491">
        <v>300000</v>
      </c>
      <c r="D7" s="163" t="s">
        <v>148</v>
      </c>
      <c r="E7" s="215"/>
      <c r="F7" s="215"/>
    </row>
    <row r="8" spans="1:6" s="222" customFormat="1" ht="24" customHeight="1" x14ac:dyDescent="0.15">
      <c r="A8" s="227">
        <v>1121</v>
      </c>
      <c r="B8" s="228" t="s">
        <v>265</v>
      </c>
      <c r="C8" s="491">
        <v>2600000</v>
      </c>
      <c r="D8" s="163" t="s">
        <v>149</v>
      </c>
      <c r="E8" s="215"/>
      <c r="F8" s="215"/>
    </row>
    <row r="9" spans="1:6" s="222" customFormat="1" ht="45" customHeight="1" x14ac:dyDescent="0.15">
      <c r="A9" s="227">
        <v>1123</v>
      </c>
      <c r="B9" s="228" t="s">
        <v>266</v>
      </c>
      <c r="C9" s="491">
        <v>80000</v>
      </c>
      <c r="D9" s="163" t="s">
        <v>150</v>
      </c>
      <c r="E9" s="215"/>
      <c r="F9" s="215"/>
    </row>
    <row r="10" spans="1:6" s="222" customFormat="1" ht="24" customHeight="1" x14ac:dyDescent="0.15">
      <c r="A10" s="227">
        <v>1211</v>
      </c>
      <c r="B10" s="228" t="s">
        <v>267</v>
      </c>
      <c r="C10" s="492">
        <v>5400000</v>
      </c>
      <c r="D10" s="163" t="s">
        <v>151</v>
      </c>
      <c r="E10" s="215"/>
      <c r="F10" s="215"/>
    </row>
    <row r="11" spans="1:6" ht="45" customHeight="1" x14ac:dyDescent="0.15">
      <c r="A11" s="225">
        <v>1332</v>
      </c>
      <c r="B11" s="223" t="s">
        <v>268</v>
      </c>
      <c r="C11" s="491">
        <v>4000</v>
      </c>
      <c r="D11" s="163" t="s">
        <v>251</v>
      </c>
      <c r="E11" s="282"/>
      <c r="F11" s="215"/>
    </row>
    <row r="12" spans="1:6" ht="45" customHeight="1" x14ac:dyDescent="0.15">
      <c r="A12" s="227">
        <v>1357</v>
      </c>
      <c r="B12" s="228" t="s">
        <v>269</v>
      </c>
      <c r="C12" s="491">
        <v>15000</v>
      </c>
      <c r="D12" s="163" t="s">
        <v>212</v>
      </c>
      <c r="E12" s="282"/>
      <c r="F12" s="215"/>
    </row>
    <row r="13" spans="1:6" s="222" customFormat="1" ht="70.5" customHeight="1" thickBot="1" x14ac:dyDescent="0.2">
      <c r="A13" s="209">
        <v>1361</v>
      </c>
      <c r="B13" s="210" t="s">
        <v>270</v>
      </c>
      <c r="C13" s="492">
        <v>1900</v>
      </c>
      <c r="D13" s="189" t="s">
        <v>211</v>
      </c>
      <c r="E13" s="215"/>
      <c r="F13" s="215"/>
    </row>
    <row r="14" spans="1:6" s="212" customFormat="1" ht="15.75" customHeight="1" thickTop="1" thickBot="1" x14ac:dyDescent="0.2">
      <c r="A14" s="507" t="s">
        <v>152</v>
      </c>
      <c r="B14" s="505"/>
      <c r="C14" s="493">
        <f>SUM(C5:C13)</f>
        <v>10100900</v>
      </c>
      <c r="D14" s="506"/>
      <c r="E14" s="282"/>
      <c r="F14" s="215"/>
    </row>
    <row r="15" spans="1:6" s="212" customFormat="1" ht="15" customHeight="1" x14ac:dyDescent="0.15">
      <c r="A15" s="211"/>
      <c r="C15" s="213"/>
      <c r="D15" s="214"/>
      <c r="E15" s="282"/>
      <c r="F15" s="215"/>
    </row>
    <row r="16" spans="1:6" s="212" customFormat="1" ht="15" customHeight="1" x14ac:dyDescent="0.15">
      <c r="A16" s="211"/>
      <c r="C16" s="213"/>
      <c r="D16" s="214"/>
      <c r="E16" s="282"/>
      <c r="F16" s="215"/>
    </row>
    <row r="17" spans="1:9" s="212" customFormat="1" ht="15" customHeight="1" thickBot="1" x14ac:dyDescent="0.2">
      <c r="A17" s="132" t="s">
        <v>66</v>
      </c>
      <c r="B17" s="158"/>
      <c r="C17" s="213"/>
      <c r="D17" s="214"/>
      <c r="E17" s="282"/>
      <c r="F17" s="215"/>
    </row>
    <row r="18" spans="1:9" ht="26.25" customHeight="1" thickBot="1" x14ac:dyDescent="0.2">
      <c r="A18" s="487" t="s">
        <v>142</v>
      </c>
      <c r="B18" s="488" t="s">
        <v>143</v>
      </c>
      <c r="C18" s="494" t="s">
        <v>144</v>
      </c>
      <c r="D18" s="490" t="s">
        <v>145</v>
      </c>
      <c r="E18" s="215"/>
      <c r="F18" s="215"/>
    </row>
    <row r="19" spans="1:9" ht="15" customHeight="1" thickTop="1" x14ac:dyDescent="0.15">
      <c r="A19" s="628">
        <v>2111</v>
      </c>
      <c r="B19" s="629" t="s">
        <v>439</v>
      </c>
      <c r="C19" s="495">
        <v>1</v>
      </c>
      <c r="D19" s="157" t="s">
        <v>440</v>
      </c>
      <c r="E19" s="215"/>
      <c r="F19" s="215"/>
    </row>
    <row r="20" spans="1:9" s="222" customFormat="1" ht="15" customHeight="1" x14ac:dyDescent="0.15">
      <c r="A20" s="615"/>
      <c r="B20" s="625"/>
      <c r="C20" s="496">
        <v>150</v>
      </c>
      <c r="D20" s="157" t="s">
        <v>441</v>
      </c>
      <c r="E20" s="215"/>
      <c r="F20" s="215"/>
    </row>
    <row r="21" spans="1:9" ht="34.5" customHeight="1" x14ac:dyDescent="0.15">
      <c r="A21" s="615"/>
      <c r="B21" s="625"/>
      <c r="C21" s="496">
        <v>2402</v>
      </c>
      <c r="D21" s="157" t="s">
        <v>153</v>
      </c>
      <c r="E21" s="215"/>
      <c r="F21" s="215"/>
    </row>
    <row r="22" spans="1:9" ht="15" customHeight="1" x14ac:dyDescent="0.15">
      <c r="A22" s="227">
        <v>2119</v>
      </c>
      <c r="B22" s="228" t="s">
        <v>155</v>
      </c>
      <c r="C22" s="491">
        <v>2500</v>
      </c>
      <c r="D22" s="157" t="s">
        <v>156</v>
      </c>
      <c r="E22" s="215"/>
      <c r="F22" s="215"/>
    </row>
    <row r="23" spans="1:9" ht="15" customHeight="1" x14ac:dyDescent="0.25">
      <c r="A23" s="617">
        <v>2131</v>
      </c>
      <c r="B23" s="624" t="s">
        <v>271</v>
      </c>
      <c r="C23" s="491">
        <v>26</v>
      </c>
      <c r="D23" s="157" t="s">
        <v>468</v>
      </c>
      <c r="E23" s="283"/>
      <c r="F23" s="217"/>
    </row>
    <row r="24" spans="1:9" ht="24" customHeight="1" x14ac:dyDescent="0.25">
      <c r="A24" s="619"/>
      <c r="B24" s="626"/>
      <c r="C24" s="496">
        <v>55</v>
      </c>
      <c r="D24" s="157" t="s">
        <v>332</v>
      </c>
      <c r="E24" s="283"/>
      <c r="F24" s="217"/>
    </row>
    <row r="25" spans="1:9" ht="34.5" customHeight="1" x14ac:dyDescent="0.15">
      <c r="A25" s="617">
        <v>2132</v>
      </c>
      <c r="B25" s="624" t="s">
        <v>272</v>
      </c>
      <c r="C25" s="496">
        <v>8972</v>
      </c>
      <c r="D25" s="157" t="s">
        <v>189</v>
      </c>
      <c r="E25" s="282"/>
      <c r="F25" s="215"/>
    </row>
    <row r="26" spans="1:9" ht="34.5" customHeight="1" x14ac:dyDescent="0.15">
      <c r="A26" s="618"/>
      <c r="B26" s="625"/>
      <c r="C26" s="496">
        <v>19489</v>
      </c>
      <c r="D26" s="157" t="s">
        <v>190</v>
      </c>
      <c r="E26" s="282"/>
      <c r="F26" s="215"/>
    </row>
    <row r="27" spans="1:9" ht="15" customHeight="1" x14ac:dyDescent="0.25">
      <c r="A27" s="619"/>
      <c r="B27" s="626"/>
      <c r="C27" s="496">
        <v>80</v>
      </c>
      <c r="D27" s="157" t="s">
        <v>246</v>
      </c>
      <c r="E27" s="283"/>
      <c r="F27" s="217"/>
      <c r="G27" s="284"/>
      <c r="H27" s="283"/>
      <c r="I27" s="285"/>
    </row>
    <row r="28" spans="1:9" ht="31.5" x14ac:dyDescent="0.25">
      <c r="A28" s="226">
        <v>2139</v>
      </c>
      <c r="B28" s="224" t="s">
        <v>273</v>
      </c>
      <c r="C28" s="496">
        <v>2</v>
      </c>
      <c r="D28" s="157" t="s">
        <v>333</v>
      </c>
      <c r="E28" s="283"/>
      <c r="F28" s="217"/>
    </row>
    <row r="29" spans="1:9" s="222" customFormat="1" ht="24" customHeight="1" x14ac:dyDescent="0.15">
      <c r="A29" s="227">
        <v>2141</v>
      </c>
      <c r="B29" s="228" t="s">
        <v>274</v>
      </c>
      <c r="C29" s="491">
        <v>120000</v>
      </c>
      <c r="D29" s="157" t="s">
        <v>157</v>
      </c>
      <c r="E29" s="215"/>
      <c r="F29" s="215"/>
    </row>
    <row r="30" spans="1:9" ht="24" customHeight="1" x14ac:dyDescent="0.25">
      <c r="A30" s="227">
        <v>2211</v>
      </c>
      <c r="B30" s="228" t="s">
        <v>275</v>
      </c>
      <c r="C30" s="491">
        <v>5</v>
      </c>
      <c r="D30" s="157" t="s">
        <v>220</v>
      </c>
      <c r="E30" s="283"/>
      <c r="F30" s="215"/>
    </row>
    <row r="31" spans="1:9" ht="67.5" customHeight="1" x14ac:dyDescent="0.25">
      <c r="A31" s="622">
        <v>2212</v>
      </c>
      <c r="B31" s="623" t="s">
        <v>442</v>
      </c>
      <c r="C31" s="491">
        <v>30</v>
      </c>
      <c r="D31" s="157" t="s">
        <v>158</v>
      </c>
      <c r="E31" s="283"/>
      <c r="F31" s="217"/>
    </row>
    <row r="32" spans="1:9" ht="57" customHeight="1" x14ac:dyDescent="0.15">
      <c r="A32" s="622"/>
      <c r="B32" s="623"/>
      <c r="C32" s="491">
        <v>8000</v>
      </c>
      <c r="D32" s="157" t="s">
        <v>159</v>
      </c>
      <c r="F32" s="215"/>
    </row>
    <row r="33" spans="1:6" ht="34.5" customHeight="1" x14ac:dyDescent="0.15">
      <c r="A33" s="225">
        <v>2223</v>
      </c>
      <c r="B33" s="223" t="s">
        <v>334</v>
      </c>
      <c r="C33" s="491">
        <v>372</v>
      </c>
      <c r="D33" s="157" t="s">
        <v>335</v>
      </c>
      <c r="F33" s="215"/>
    </row>
    <row r="34" spans="1:6" ht="24" customHeight="1" x14ac:dyDescent="0.2">
      <c r="A34" s="617">
        <v>2324</v>
      </c>
      <c r="B34" s="624" t="s">
        <v>276</v>
      </c>
      <c r="C34" s="491">
        <v>15</v>
      </c>
      <c r="D34" s="157" t="s">
        <v>210</v>
      </c>
      <c r="E34" s="286"/>
      <c r="F34" s="215"/>
    </row>
    <row r="35" spans="1:6" ht="45" customHeight="1" x14ac:dyDescent="0.2">
      <c r="A35" s="618"/>
      <c r="B35" s="625"/>
      <c r="C35" s="491">
        <v>13050</v>
      </c>
      <c r="D35" s="157" t="s">
        <v>247</v>
      </c>
      <c r="E35" s="286"/>
      <c r="F35" s="215"/>
    </row>
    <row r="36" spans="1:6" ht="34.5" customHeight="1" x14ac:dyDescent="0.2">
      <c r="A36" s="618"/>
      <c r="B36" s="626"/>
      <c r="C36" s="496">
        <v>650</v>
      </c>
      <c r="D36" s="157" t="s">
        <v>154</v>
      </c>
      <c r="E36" s="286"/>
      <c r="F36" s="215"/>
    </row>
    <row r="37" spans="1:6" ht="34.5" customHeight="1" x14ac:dyDescent="0.2">
      <c r="A37" s="225">
        <v>2329</v>
      </c>
      <c r="B37" s="223" t="s">
        <v>160</v>
      </c>
      <c r="C37" s="491">
        <v>7000</v>
      </c>
      <c r="D37" s="157" t="s">
        <v>336</v>
      </c>
      <c r="E37" s="286"/>
      <c r="F37" s="218"/>
    </row>
    <row r="38" spans="1:6" ht="34.5" customHeight="1" x14ac:dyDescent="0.2">
      <c r="A38" s="225">
        <v>2412</v>
      </c>
      <c r="B38" s="223" t="s">
        <v>277</v>
      </c>
      <c r="C38" s="491">
        <v>11580</v>
      </c>
      <c r="D38" s="157" t="s">
        <v>161</v>
      </c>
      <c r="E38" s="286"/>
      <c r="F38" s="218"/>
    </row>
    <row r="39" spans="1:6" ht="34.5" customHeight="1" x14ac:dyDescent="0.2">
      <c r="A39" s="617" t="s">
        <v>162</v>
      </c>
      <c r="B39" s="624" t="s">
        <v>278</v>
      </c>
      <c r="C39" s="491">
        <v>2000</v>
      </c>
      <c r="D39" s="157" t="s">
        <v>443</v>
      </c>
      <c r="E39" s="286"/>
      <c r="F39" s="218"/>
    </row>
    <row r="40" spans="1:6" ht="24" customHeight="1" x14ac:dyDescent="0.2">
      <c r="A40" s="619"/>
      <c r="B40" s="626"/>
      <c r="C40" s="491">
        <v>199869</v>
      </c>
      <c r="D40" s="157" t="s">
        <v>444</v>
      </c>
      <c r="E40" s="286"/>
      <c r="F40" s="218"/>
    </row>
    <row r="41" spans="1:6" ht="24" customHeight="1" x14ac:dyDescent="0.2">
      <c r="A41" s="622">
        <v>2441</v>
      </c>
      <c r="B41" s="623" t="s">
        <v>163</v>
      </c>
      <c r="C41" s="491">
        <v>3545</v>
      </c>
      <c r="D41" s="157" t="s">
        <v>161</v>
      </c>
      <c r="E41" s="286"/>
      <c r="F41" s="218"/>
    </row>
    <row r="42" spans="1:6" ht="15" customHeight="1" x14ac:dyDescent="0.2">
      <c r="A42" s="622"/>
      <c r="B42" s="623"/>
      <c r="C42" s="491">
        <v>4978</v>
      </c>
      <c r="D42" s="157" t="s">
        <v>209</v>
      </c>
      <c r="E42" s="286"/>
      <c r="F42" s="218"/>
    </row>
    <row r="43" spans="1:6" ht="15" customHeight="1" x14ac:dyDescent="0.2">
      <c r="A43" s="622"/>
      <c r="B43" s="623"/>
      <c r="C43" s="491">
        <v>6958</v>
      </c>
      <c r="D43" s="157" t="s">
        <v>445</v>
      </c>
      <c r="E43" s="286"/>
      <c r="F43" s="218"/>
    </row>
    <row r="44" spans="1:6" ht="34.5" customHeight="1" x14ac:dyDescent="0.2">
      <c r="A44" s="622"/>
      <c r="B44" s="623"/>
      <c r="C44" s="491">
        <v>5000</v>
      </c>
      <c r="D44" s="157" t="s">
        <v>446</v>
      </c>
      <c r="E44" s="286"/>
      <c r="F44" s="218"/>
    </row>
    <row r="45" spans="1:6" ht="24" customHeight="1" x14ac:dyDescent="0.15">
      <c r="A45" s="613">
        <v>2451</v>
      </c>
      <c r="B45" s="623" t="s">
        <v>164</v>
      </c>
      <c r="C45" s="491">
        <v>191000</v>
      </c>
      <c r="D45" s="157" t="s">
        <v>217</v>
      </c>
      <c r="E45" s="282"/>
      <c r="F45" s="215"/>
    </row>
    <row r="46" spans="1:6" ht="45" customHeight="1" x14ac:dyDescent="0.2">
      <c r="A46" s="613"/>
      <c r="B46" s="623"/>
      <c r="C46" s="491">
        <v>10860</v>
      </c>
      <c r="D46" s="157" t="s">
        <v>447</v>
      </c>
      <c r="E46" s="286"/>
      <c r="F46" s="218"/>
    </row>
    <row r="47" spans="1:6" ht="57" customHeight="1" x14ac:dyDescent="0.2">
      <c r="A47" s="613"/>
      <c r="B47" s="623"/>
      <c r="C47" s="491">
        <v>5913</v>
      </c>
      <c r="D47" s="157" t="s">
        <v>448</v>
      </c>
      <c r="E47" s="286"/>
      <c r="F47" s="218"/>
    </row>
    <row r="48" spans="1:6" ht="34.5" customHeight="1" x14ac:dyDescent="0.15">
      <c r="A48" s="613"/>
      <c r="B48" s="623"/>
      <c r="C48" s="491">
        <v>1698</v>
      </c>
      <c r="D48" s="157" t="s">
        <v>165</v>
      </c>
      <c r="E48" s="282"/>
      <c r="F48" s="215"/>
    </row>
    <row r="49" spans="1:7" ht="52.5" x14ac:dyDescent="0.15">
      <c r="A49" s="287">
        <v>2459</v>
      </c>
      <c r="B49" s="228" t="s">
        <v>449</v>
      </c>
      <c r="C49" s="491">
        <v>1400</v>
      </c>
      <c r="D49" s="157" t="s">
        <v>450</v>
      </c>
      <c r="E49" s="282"/>
      <c r="F49" s="215"/>
    </row>
    <row r="50" spans="1:7" ht="45.75" customHeight="1" thickBot="1" x14ac:dyDescent="0.2">
      <c r="A50" s="288">
        <v>2470</v>
      </c>
      <c r="B50" s="159" t="s">
        <v>451</v>
      </c>
      <c r="C50" s="497">
        <v>1272</v>
      </c>
      <c r="D50" s="190" t="s">
        <v>452</v>
      </c>
      <c r="E50" s="282"/>
      <c r="F50" s="215"/>
    </row>
    <row r="51" spans="1:7" ht="15.75" customHeight="1" thickTop="1" thickBot="1" x14ac:dyDescent="0.2">
      <c r="A51" s="508" t="s">
        <v>166</v>
      </c>
      <c r="B51" s="509"/>
      <c r="C51" s="498">
        <f>SUM(C19:C50)</f>
        <v>628872</v>
      </c>
      <c r="D51" s="510"/>
      <c r="E51" s="282"/>
      <c r="F51" s="215"/>
    </row>
    <row r="52" spans="1:7" ht="15" customHeight="1" x14ac:dyDescent="0.15">
      <c r="A52" s="211"/>
      <c r="B52" s="212"/>
      <c r="C52" s="289"/>
      <c r="D52" s="290"/>
      <c r="E52" s="282"/>
      <c r="F52" s="215"/>
    </row>
    <row r="53" spans="1:7" ht="15" customHeight="1" x14ac:dyDescent="0.15">
      <c r="A53" s="219"/>
      <c r="B53" s="212"/>
      <c r="C53" s="213"/>
      <c r="E53" s="282"/>
      <c r="F53" s="215"/>
    </row>
    <row r="54" spans="1:7" ht="15" customHeight="1" thickBot="1" x14ac:dyDescent="0.2">
      <c r="A54" s="162" t="s">
        <v>67</v>
      </c>
      <c r="B54" s="291"/>
      <c r="C54" s="292"/>
      <c r="D54" s="293"/>
      <c r="E54" s="282"/>
      <c r="F54" s="215"/>
    </row>
    <row r="55" spans="1:7" s="212" customFormat="1" ht="26.25" customHeight="1" thickBot="1" x14ac:dyDescent="0.2">
      <c r="A55" s="487" t="s">
        <v>142</v>
      </c>
      <c r="B55" s="488" t="s">
        <v>143</v>
      </c>
      <c r="C55" s="494" t="s">
        <v>144</v>
      </c>
      <c r="D55" s="490" t="s">
        <v>145</v>
      </c>
      <c r="E55" s="282"/>
      <c r="F55" s="215"/>
    </row>
    <row r="56" spans="1:7" s="212" customFormat="1" ht="24.75" customHeight="1" thickTop="1" x14ac:dyDescent="0.15">
      <c r="A56" s="164">
        <v>3111</v>
      </c>
      <c r="B56" s="165" t="s">
        <v>279</v>
      </c>
      <c r="C56" s="495">
        <v>34797</v>
      </c>
      <c r="D56" s="161" t="s">
        <v>167</v>
      </c>
      <c r="E56" s="282"/>
      <c r="F56" s="215"/>
    </row>
    <row r="57" spans="1:7" s="212" customFormat="1" ht="24.75" customHeight="1" x14ac:dyDescent="0.15">
      <c r="A57" s="227">
        <v>3112</v>
      </c>
      <c r="B57" s="228" t="s">
        <v>280</v>
      </c>
      <c r="C57" s="491">
        <v>946</v>
      </c>
      <c r="D57" s="157" t="s">
        <v>248</v>
      </c>
      <c r="E57" s="282"/>
      <c r="F57" s="215"/>
    </row>
    <row r="58" spans="1:7" ht="35.25" customHeight="1" thickBot="1" x14ac:dyDescent="0.2">
      <c r="A58" s="160">
        <v>3129</v>
      </c>
      <c r="B58" s="159" t="s">
        <v>453</v>
      </c>
      <c r="C58" s="497">
        <v>18250</v>
      </c>
      <c r="D58" s="190" t="s">
        <v>336</v>
      </c>
      <c r="E58" s="282"/>
      <c r="F58" s="215"/>
    </row>
    <row r="59" spans="1:7" ht="15.75" customHeight="1" thickTop="1" thickBot="1" x14ac:dyDescent="0.2">
      <c r="A59" s="508" t="s">
        <v>168</v>
      </c>
      <c r="B59" s="509"/>
      <c r="C59" s="498">
        <f>SUM(C56:C58)</f>
        <v>53993</v>
      </c>
      <c r="D59" s="511"/>
      <c r="E59" s="282"/>
      <c r="F59" s="215"/>
    </row>
    <row r="60" spans="1:7" ht="15" customHeight="1" x14ac:dyDescent="0.15">
      <c r="A60" s="211"/>
      <c r="B60" s="212"/>
      <c r="C60" s="213"/>
      <c r="D60" s="214"/>
      <c r="E60" s="282"/>
      <c r="F60" s="215"/>
    </row>
    <row r="61" spans="1:7" ht="15" customHeight="1" x14ac:dyDescent="0.15">
      <c r="A61" s="219"/>
      <c r="B61" s="212"/>
      <c r="C61" s="213"/>
      <c r="E61" s="294"/>
    </row>
    <row r="62" spans="1:7" ht="15" customHeight="1" thickBot="1" x14ac:dyDescent="0.2">
      <c r="A62" s="132" t="s">
        <v>68</v>
      </c>
      <c r="B62" s="212"/>
      <c r="C62" s="213"/>
      <c r="E62" s="294"/>
    </row>
    <row r="63" spans="1:7" ht="26.25" customHeight="1" thickBot="1" x14ac:dyDescent="0.2">
      <c r="A63" s="499" t="s">
        <v>142</v>
      </c>
      <c r="B63" s="500" t="s">
        <v>143</v>
      </c>
      <c r="C63" s="501" t="s">
        <v>144</v>
      </c>
      <c r="D63" s="490" t="s">
        <v>145</v>
      </c>
      <c r="E63" s="295"/>
    </row>
    <row r="64" spans="1:7" s="212" customFormat="1" ht="24" customHeight="1" thickTop="1" x14ac:dyDescent="0.25">
      <c r="A64" s="226">
        <v>4111</v>
      </c>
      <c r="B64" s="296" t="s">
        <v>454</v>
      </c>
      <c r="C64" s="491">
        <v>2200</v>
      </c>
      <c r="D64" s="191" t="s">
        <v>466</v>
      </c>
      <c r="E64"/>
      <c r="F64" s="216"/>
      <c r="G64" s="285"/>
    </row>
    <row r="65" spans="1:7" s="212" customFormat="1" ht="34.5" customHeight="1" x14ac:dyDescent="0.25">
      <c r="A65" s="226">
        <v>4112</v>
      </c>
      <c r="B65" s="296" t="s">
        <v>169</v>
      </c>
      <c r="C65" s="491">
        <v>200411</v>
      </c>
      <c r="D65" s="191" t="s">
        <v>170</v>
      </c>
      <c r="E65"/>
      <c r="F65" s="216"/>
      <c r="G65" s="285"/>
    </row>
    <row r="66" spans="1:7" s="212" customFormat="1" ht="24" customHeight="1" x14ac:dyDescent="0.25">
      <c r="A66" s="225">
        <v>4113</v>
      </c>
      <c r="B66" s="297" t="s">
        <v>249</v>
      </c>
      <c r="C66" s="491">
        <v>2710</v>
      </c>
      <c r="D66" s="192" t="s">
        <v>244</v>
      </c>
      <c r="E66"/>
      <c r="F66" s="216"/>
      <c r="G66" s="285"/>
    </row>
    <row r="67" spans="1:7" ht="15" x14ac:dyDescent="0.25">
      <c r="A67" s="617">
        <v>4116</v>
      </c>
      <c r="B67" s="609" t="s">
        <v>171</v>
      </c>
      <c r="C67" s="491">
        <v>396047</v>
      </c>
      <c r="D67" s="192" t="s">
        <v>172</v>
      </c>
      <c r="E67"/>
      <c r="F67" s="216"/>
      <c r="G67" s="285"/>
    </row>
    <row r="68" spans="1:7" ht="24" customHeight="1" x14ac:dyDescent="0.25">
      <c r="A68" s="618"/>
      <c r="B68" s="616"/>
      <c r="C68" s="491">
        <v>3800</v>
      </c>
      <c r="D68" s="192" t="s">
        <v>337</v>
      </c>
      <c r="E68"/>
      <c r="F68" s="216"/>
      <c r="G68" s="285"/>
    </row>
    <row r="69" spans="1:7" ht="24" customHeight="1" x14ac:dyDescent="0.25">
      <c r="A69" s="618"/>
      <c r="B69" s="616"/>
      <c r="C69" s="491">
        <v>12.33</v>
      </c>
      <c r="D69" s="192" t="s">
        <v>455</v>
      </c>
      <c r="E69"/>
      <c r="F69" s="216"/>
      <c r="G69" s="285"/>
    </row>
    <row r="70" spans="1:7" ht="24" customHeight="1" x14ac:dyDescent="0.25">
      <c r="A70" s="618"/>
      <c r="B70" s="616"/>
      <c r="C70" s="491">
        <v>2626</v>
      </c>
      <c r="D70" s="192" t="s">
        <v>311</v>
      </c>
      <c r="E70"/>
      <c r="F70" s="216"/>
      <c r="G70" s="285"/>
    </row>
    <row r="71" spans="1:7" ht="15" x14ac:dyDescent="0.25">
      <c r="A71" s="618"/>
      <c r="B71" s="616"/>
      <c r="C71" s="491">
        <v>4097</v>
      </c>
      <c r="D71" s="192" t="s">
        <v>330</v>
      </c>
      <c r="E71"/>
      <c r="F71" s="216"/>
      <c r="G71" s="285"/>
    </row>
    <row r="72" spans="1:7" ht="15" x14ac:dyDescent="0.25">
      <c r="A72" s="618"/>
      <c r="B72" s="616"/>
      <c r="C72" s="491">
        <v>228076</v>
      </c>
      <c r="D72" s="192" t="s">
        <v>317</v>
      </c>
      <c r="E72"/>
      <c r="F72" s="216"/>
      <c r="G72" s="285"/>
    </row>
    <row r="73" spans="1:7" ht="15" x14ac:dyDescent="0.25">
      <c r="A73" s="618"/>
      <c r="B73" s="616"/>
      <c r="C73" s="491">
        <v>2573</v>
      </c>
      <c r="D73" s="192" t="s">
        <v>456</v>
      </c>
      <c r="E73"/>
      <c r="F73" s="216"/>
      <c r="G73" s="285"/>
    </row>
    <row r="74" spans="1:7" ht="15" x14ac:dyDescent="0.25">
      <c r="A74" s="618"/>
      <c r="B74" s="616"/>
      <c r="C74" s="491">
        <v>2397</v>
      </c>
      <c r="D74" s="192" t="s">
        <v>457</v>
      </c>
      <c r="E74"/>
      <c r="F74" s="216"/>
      <c r="G74" s="285"/>
    </row>
    <row r="75" spans="1:7" ht="24" customHeight="1" x14ac:dyDescent="0.25">
      <c r="A75" s="618"/>
      <c r="B75" s="616"/>
      <c r="C75" s="491">
        <v>10000</v>
      </c>
      <c r="D75" s="192" t="s">
        <v>458</v>
      </c>
      <c r="E75"/>
      <c r="F75" s="216"/>
      <c r="G75" s="285"/>
    </row>
    <row r="76" spans="1:7" ht="24" customHeight="1" x14ac:dyDescent="0.25">
      <c r="A76" s="618"/>
      <c r="B76" s="616"/>
      <c r="C76" s="491">
        <v>1220</v>
      </c>
      <c r="D76" s="192" t="s">
        <v>459</v>
      </c>
      <c r="E76"/>
      <c r="F76" s="216"/>
      <c r="G76" s="285"/>
    </row>
    <row r="77" spans="1:7" ht="15" x14ac:dyDescent="0.25">
      <c r="A77" s="618"/>
      <c r="B77" s="616"/>
      <c r="C77" s="491">
        <v>3004982</v>
      </c>
      <c r="D77" s="192" t="s">
        <v>460</v>
      </c>
      <c r="E77"/>
      <c r="F77" s="216"/>
      <c r="G77" s="285"/>
    </row>
    <row r="78" spans="1:7" ht="15" x14ac:dyDescent="0.25">
      <c r="A78" s="618"/>
      <c r="B78" s="616"/>
      <c r="C78" s="502">
        <v>20971758</v>
      </c>
      <c r="D78" s="192" t="s">
        <v>461</v>
      </c>
      <c r="E78"/>
      <c r="F78" s="216"/>
      <c r="G78" s="285"/>
    </row>
    <row r="79" spans="1:7" ht="15" x14ac:dyDescent="0.25">
      <c r="A79" s="617">
        <v>4118</v>
      </c>
      <c r="B79" s="609" t="s">
        <v>173</v>
      </c>
      <c r="C79" s="491">
        <v>15997</v>
      </c>
      <c r="D79" s="192" t="s">
        <v>462</v>
      </c>
      <c r="E79"/>
      <c r="F79" s="216"/>
      <c r="G79" s="285"/>
    </row>
    <row r="80" spans="1:7" ht="24" customHeight="1" x14ac:dyDescent="0.25">
      <c r="A80" s="618"/>
      <c r="B80" s="616"/>
      <c r="C80" s="491">
        <v>209.67</v>
      </c>
      <c r="D80" s="192" t="s">
        <v>455</v>
      </c>
      <c r="E80"/>
      <c r="F80" s="216"/>
      <c r="G80" s="285"/>
    </row>
    <row r="81" spans="1:7" ht="24" customHeight="1" x14ac:dyDescent="0.25">
      <c r="A81" s="619"/>
      <c r="B81" s="620"/>
      <c r="C81" s="491">
        <v>276</v>
      </c>
      <c r="D81" s="192" t="s">
        <v>463</v>
      </c>
      <c r="E81"/>
      <c r="F81" s="216"/>
      <c r="G81" s="285"/>
    </row>
    <row r="82" spans="1:7" ht="15" x14ac:dyDescent="0.25">
      <c r="A82" s="607">
        <v>4121</v>
      </c>
      <c r="B82" s="609" t="s">
        <v>174</v>
      </c>
      <c r="C82" s="491">
        <v>9485</v>
      </c>
      <c r="D82" s="192" t="s">
        <v>464</v>
      </c>
      <c r="E82"/>
      <c r="F82" s="216"/>
      <c r="G82" s="285"/>
    </row>
    <row r="83" spans="1:7" ht="15" x14ac:dyDescent="0.25">
      <c r="A83" s="621"/>
      <c r="B83" s="620"/>
      <c r="C83" s="491">
        <v>80823</v>
      </c>
      <c r="D83" s="192" t="s">
        <v>175</v>
      </c>
      <c r="E83"/>
      <c r="F83" s="216"/>
      <c r="G83" s="285"/>
    </row>
    <row r="84" spans="1:7" ht="15" x14ac:dyDescent="0.25">
      <c r="A84" s="607">
        <v>4122</v>
      </c>
      <c r="B84" s="609" t="s">
        <v>180</v>
      </c>
      <c r="C84" s="491">
        <v>24251</v>
      </c>
      <c r="D84" s="192" t="s">
        <v>172</v>
      </c>
      <c r="E84"/>
      <c r="F84" s="216"/>
      <c r="G84" s="285"/>
    </row>
    <row r="85" spans="1:7" ht="15" x14ac:dyDescent="0.25">
      <c r="A85" s="621"/>
      <c r="B85" s="620"/>
      <c r="C85" s="491">
        <v>18300</v>
      </c>
      <c r="D85" s="191" t="s">
        <v>175</v>
      </c>
      <c r="E85"/>
      <c r="F85" s="216"/>
      <c r="G85" s="285"/>
    </row>
    <row r="86" spans="1:7" ht="34.5" customHeight="1" x14ac:dyDescent="0.25">
      <c r="A86" s="287">
        <v>4152</v>
      </c>
      <c r="B86" s="298" t="s">
        <v>281</v>
      </c>
      <c r="C86" s="491">
        <v>680</v>
      </c>
      <c r="D86" s="191" t="s">
        <v>467</v>
      </c>
      <c r="E86"/>
      <c r="F86" s="216"/>
      <c r="G86" s="285"/>
    </row>
    <row r="87" spans="1:7" ht="15" x14ac:dyDescent="0.25">
      <c r="A87" s="613">
        <v>4213</v>
      </c>
      <c r="B87" s="614" t="s">
        <v>338</v>
      </c>
      <c r="C87" s="496">
        <v>68000</v>
      </c>
      <c r="D87" s="192" t="s">
        <v>326</v>
      </c>
      <c r="E87"/>
      <c r="F87" s="216"/>
      <c r="G87" s="285"/>
    </row>
    <row r="88" spans="1:7" ht="15" x14ac:dyDescent="0.25">
      <c r="A88" s="613"/>
      <c r="B88" s="614"/>
      <c r="C88" s="496">
        <v>24865</v>
      </c>
      <c r="D88" s="192" t="s">
        <v>306</v>
      </c>
      <c r="E88"/>
      <c r="F88" s="216"/>
      <c r="G88" s="285"/>
    </row>
    <row r="89" spans="1:7" ht="24" customHeight="1" x14ac:dyDescent="0.25">
      <c r="A89" s="607">
        <v>4216</v>
      </c>
      <c r="B89" s="609" t="s">
        <v>176</v>
      </c>
      <c r="C89" s="491">
        <v>1533</v>
      </c>
      <c r="D89" s="192" t="s">
        <v>137</v>
      </c>
      <c r="E89"/>
      <c r="F89" s="216"/>
      <c r="G89" s="285"/>
    </row>
    <row r="90" spans="1:7" ht="15" x14ac:dyDescent="0.25">
      <c r="A90" s="615"/>
      <c r="B90" s="616"/>
      <c r="C90" s="491">
        <v>9125</v>
      </c>
      <c r="D90" s="192" t="s">
        <v>243</v>
      </c>
      <c r="E90"/>
      <c r="F90" s="216"/>
      <c r="G90" s="285"/>
    </row>
    <row r="91" spans="1:7" ht="15" x14ac:dyDescent="0.25">
      <c r="A91" s="615"/>
      <c r="B91" s="616"/>
      <c r="C91" s="491">
        <v>54624</v>
      </c>
      <c r="D91" s="192" t="s">
        <v>330</v>
      </c>
      <c r="E91"/>
      <c r="F91" s="216"/>
      <c r="G91" s="285"/>
    </row>
    <row r="92" spans="1:7" ht="24" customHeight="1" x14ac:dyDescent="0.25">
      <c r="A92" s="615"/>
      <c r="B92" s="616"/>
      <c r="C92" s="491">
        <v>8491</v>
      </c>
      <c r="D92" s="192" t="s">
        <v>294</v>
      </c>
      <c r="E92"/>
      <c r="F92" s="216"/>
      <c r="G92" s="285"/>
    </row>
    <row r="93" spans="1:7" ht="15" x14ac:dyDescent="0.25">
      <c r="A93" s="615"/>
      <c r="B93" s="616"/>
      <c r="C93" s="491">
        <v>30779</v>
      </c>
      <c r="D93" s="192" t="s">
        <v>298</v>
      </c>
      <c r="E93"/>
      <c r="F93" s="216"/>
      <c r="G93" s="285"/>
    </row>
    <row r="94" spans="1:7" ht="15" x14ac:dyDescent="0.25">
      <c r="A94" s="615"/>
      <c r="B94" s="616"/>
      <c r="C94" s="491">
        <v>80019</v>
      </c>
      <c r="D94" s="192" t="s">
        <v>296</v>
      </c>
      <c r="E94"/>
      <c r="F94" s="216"/>
      <c r="G94" s="285"/>
    </row>
    <row r="95" spans="1:7" ht="15" x14ac:dyDescent="0.25">
      <c r="A95" s="615"/>
      <c r="B95" s="616"/>
      <c r="C95" s="491">
        <v>23769</v>
      </c>
      <c r="D95" s="192" t="s">
        <v>297</v>
      </c>
      <c r="E95"/>
      <c r="F95" s="216"/>
      <c r="G95" s="285"/>
    </row>
    <row r="96" spans="1:7" ht="15" x14ac:dyDescent="0.25">
      <c r="A96" s="615"/>
      <c r="B96" s="616"/>
      <c r="C96" s="491">
        <v>10510</v>
      </c>
      <c r="D96" s="192" t="s">
        <v>307</v>
      </c>
      <c r="E96"/>
      <c r="F96" s="216"/>
      <c r="G96" s="285"/>
    </row>
    <row r="97" spans="1:7" ht="15" x14ac:dyDescent="0.25">
      <c r="A97" s="615"/>
      <c r="B97" s="616"/>
      <c r="C97" s="491">
        <v>2850</v>
      </c>
      <c r="D97" s="192" t="s">
        <v>313</v>
      </c>
      <c r="E97"/>
      <c r="F97" s="216"/>
      <c r="G97" s="285"/>
    </row>
    <row r="98" spans="1:7" ht="15" x14ac:dyDescent="0.25">
      <c r="A98" s="615"/>
      <c r="B98" s="616"/>
      <c r="C98" s="491">
        <v>2500</v>
      </c>
      <c r="D98" s="192" t="s">
        <v>293</v>
      </c>
      <c r="E98"/>
      <c r="F98" s="216"/>
      <c r="G98" s="285"/>
    </row>
    <row r="99" spans="1:7" ht="15" x14ac:dyDescent="0.25">
      <c r="A99" s="615"/>
      <c r="B99" s="616"/>
      <c r="C99" s="491">
        <v>8000</v>
      </c>
      <c r="D99" s="192" t="s">
        <v>401</v>
      </c>
      <c r="E99"/>
      <c r="F99" s="216"/>
      <c r="G99" s="285"/>
    </row>
    <row r="100" spans="1:7" ht="15" x14ac:dyDescent="0.25">
      <c r="A100" s="615"/>
      <c r="B100" s="616"/>
      <c r="C100" s="491">
        <v>31965</v>
      </c>
      <c r="D100" s="192" t="s">
        <v>457</v>
      </c>
      <c r="E100"/>
      <c r="F100" s="216"/>
      <c r="G100" s="285"/>
    </row>
    <row r="101" spans="1:7" ht="24" customHeight="1" x14ac:dyDescent="0.25">
      <c r="A101" s="615"/>
      <c r="B101" s="616"/>
      <c r="C101" s="491">
        <v>15431</v>
      </c>
      <c r="D101" s="192" t="s">
        <v>206</v>
      </c>
      <c r="E101"/>
      <c r="F101" s="216"/>
      <c r="G101" s="285"/>
    </row>
    <row r="102" spans="1:7" ht="24" customHeight="1" x14ac:dyDescent="0.25">
      <c r="A102" s="607">
        <v>4221</v>
      </c>
      <c r="B102" s="609" t="s">
        <v>177</v>
      </c>
      <c r="C102" s="491">
        <v>418</v>
      </c>
      <c r="D102" s="192" t="s">
        <v>250</v>
      </c>
      <c r="E102"/>
      <c r="F102" s="216"/>
      <c r="G102" s="285"/>
    </row>
    <row r="103" spans="1:7" ht="15" x14ac:dyDescent="0.25">
      <c r="A103" s="615"/>
      <c r="B103" s="616"/>
      <c r="C103" s="492">
        <v>708</v>
      </c>
      <c r="D103" s="192" t="s">
        <v>139</v>
      </c>
      <c r="E103"/>
      <c r="F103" s="216"/>
      <c r="G103" s="285"/>
    </row>
    <row r="104" spans="1:7" ht="15" x14ac:dyDescent="0.25">
      <c r="A104" s="615"/>
      <c r="B104" s="616"/>
      <c r="C104" s="492">
        <v>3500</v>
      </c>
      <c r="D104" s="192" t="s">
        <v>330</v>
      </c>
      <c r="E104"/>
      <c r="F104" s="216"/>
      <c r="G104" s="285"/>
    </row>
    <row r="105" spans="1:7" ht="15" x14ac:dyDescent="0.25">
      <c r="A105" s="615"/>
      <c r="B105" s="616"/>
      <c r="C105" s="492">
        <v>50000</v>
      </c>
      <c r="D105" s="192" t="s">
        <v>306</v>
      </c>
      <c r="E105"/>
      <c r="F105" s="216"/>
      <c r="G105" s="285"/>
    </row>
    <row r="106" spans="1:7" ht="15" x14ac:dyDescent="0.25">
      <c r="A106" s="615"/>
      <c r="B106" s="616"/>
      <c r="C106" s="492">
        <v>2500</v>
      </c>
      <c r="D106" s="192" t="s">
        <v>457</v>
      </c>
      <c r="E106"/>
      <c r="F106" s="216"/>
      <c r="G106" s="285"/>
    </row>
    <row r="107" spans="1:7" ht="24" customHeight="1" x14ac:dyDescent="0.25">
      <c r="A107" s="607">
        <v>4231</v>
      </c>
      <c r="B107" s="609" t="s">
        <v>339</v>
      </c>
      <c r="C107" s="492">
        <v>26062</v>
      </c>
      <c r="D107" s="192" t="s">
        <v>137</v>
      </c>
      <c r="E107"/>
      <c r="F107" s="216"/>
      <c r="G107" s="285"/>
    </row>
    <row r="108" spans="1:7" ht="24.75" customHeight="1" thickBot="1" x14ac:dyDescent="0.3">
      <c r="A108" s="608"/>
      <c r="B108" s="610"/>
      <c r="C108" s="492">
        <v>19550</v>
      </c>
      <c r="D108" s="192" t="s">
        <v>465</v>
      </c>
      <c r="E108"/>
      <c r="F108" s="216"/>
      <c r="G108" s="285"/>
    </row>
    <row r="109" spans="1:7" ht="15.75" customHeight="1" thickTop="1" thickBot="1" x14ac:dyDescent="0.2">
      <c r="A109" s="507" t="s">
        <v>178</v>
      </c>
      <c r="B109" s="512"/>
      <c r="C109" s="493">
        <f>SUM(C64:C108)</f>
        <v>25458130</v>
      </c>
      <c r="D109" s="513"/>
      <c r="E109" s="299"/>
    </row>
    <row r="110" spans="1:7" ht="13.5" thickBot="1" x14ac:dyDescent="0.25">
      <c r="A110" s="132"/>
      <c r="B110" s="300"/>
      <c r="C110" s="280"/>
      <c r="D110" s="214"/>
      <c r="E110" s="299"/>
    </row>
    <row r="111" spans="1:7" ht="16.5" customHeight="1" thickBot="1" x14ac:dyDescent="0.2">
      <c r="A111" s="611" t="s">
        <v>179</v>
      </c>
      <c r="B111" s="612"/>
      <c r="C111" s="503">
        <f>SUM(C109,C59,C51,C14)</f>
        <v>36241895</v>
      </c>
      <c r="D111" s="504"/>
      <c r="E111" s="299"/>
    </row>
    <row r="112" spans="1:7" x14ac:dyDescent="0.15">
      <c r="A112" s="212"/>
      <c r="B112" s="212"/>
      <c r="E112" s="299"/>
    </row>
    <row r="113" spans="1:6" x14ac:dyDescent="0.15">
      <c r="E113" s="299"/>
    </row>
    <row r="114" spans="1:6" ht="24" customHeight="1" x14ac:dyDescent="0.15">
      <c r="E114" s="299"/>
    </row>
    <row r="115" spans="1:6" x14ac:dyDescent="0.15">
      <c r="E115" s="299"/>
    </row>
    <row r="116" spans="1:6" x14ac:dyDescent="0.15">
      <c r="E116" s="299"/>
    </row>
    <row r="117" spans="1:6" x14ac:dyDescent="0.15">
      <c r="E117" s="294"/>
    </row>
    <row r="118" spans="1:6" ht="24" customHeight="1" x14ac:dyDescent="0.15">
      <c r="E118" s="294"/>
    </row>
    <row r="119" spans="1:6" x14ac:dyDescent="0.15">
      <c r="E119" s="294"/>
    </row>
    <row r="120" spans="1:6" x14ac:dyDescent="0.15">
      <c r="E120" s="295"/>
    </row>
    <row r="121" spans="1:6" ht="15.75" customHeight="1" x14ac:dyDescent="0.15">
      <c r="E121" s="295"/>
    </row>
    <row r="122" spans="1:6" ht="15.75" customHeight="1" x14ac:dyDescent="0.15">
      <c r="E122" s="295"/>
    </row>
    <row r="123" spans="1:6" s="212" customFormat="1" ht="16.5" customHeight="1" x14ac:dyDescent="0.15">
      <c r="A123" s="302"/>
      <c r="B123" s="280"/>
      <c r="C123" s="301"/>
      <c r="D123" s="220"/>
      <c r="E123" s="279"/>
      <c r="F123" s="158"/>
    </row>
    <row r="124" spans="1:6" s="212" customFormat="1" ht="15.75" customHeight="1" x14ac:dyDescent="0.15">
      <c r="A124" s="302"/>
      <c r="B124" s="280"/>
      <c r="C124" s="301"/>
      <c r="D124" s="220"/>
      <c r="E124" s="279"/>
      <c r="F124" s="158"/>
    </row>
  </sheetData>
  <mergeCells count="34">
    <mergeCell ref="A25:A27"/>
    <mergeCell ref="B25:B27"/>
    <mergeCell ref="A1:D1"/>
    <mergeCell ref="A19:A21"/>
    <mergeCell ref="B19:B21"/>
    <mergeCell ref="A23:A24"/>
    <mergeCell ref="B23:B24"/>
    <mergeCell ref="A31:A32"/>
    <mergeCell ref="B31:B32"/>
    <mergeCell ref="A34:A36"/>
    <mergeCell ref="B34:B36"/>
    <mergeCell ref="A39:A40"/>
    <mergeCell ref="B39:B40"/>
    <mergeCell ref="A41:A44"/>
    <mergeCell ref="B41:B44"/>
    <mergeCell ref="A45:A48"/>
    <mergeCell ref="B45:B48"/>
    <mergeCell ref="A67:A78"/>
    <mergeCell ref="B67:B78"/>
    <mergeCell ref="A79:A81"/>
    <mergeCell ref="B79:B81"/>
    <mergeCell ref="A82:A83"/>
    <mergeCell ref="B82:B83"/>
    <mergeCell ref="A84:A85"/>
    <mergeCell ref="B84:B85"/>
    <mergeCell ref="A107:A108"/>
    <mergeCell ref="B107:B108"/>
    <mergeCell ref="A111:B111"/>
    <mergeCell ref="A87:A88"/>
    <mergeCell ref="B87:B88"/>
    <mergeCell ref="A89:A101"/>
    <mergeCell ref="B89:B101"/>
    <mergeCell ref="A102:A106"/>
    <mergeCell ref="B102:B106"/>
  </mergeCells>
  <pageMargins left="0.39370078740157483" right="0.39370078740157483" top="0.98425196850393704" bottom="0.39370078740157483" header="0.51181102362204722" footer="0.11811023622047245"/>
  <pageSetup paperSize="9" scale="93" firstPageNumber="18" fitToHeight="0" orientation="portrait" useFirstPageNumber="1" r:id="rId1"/>
  <headerFooter scaleWithDoc="0">
    <oddHeader>&amp;L&amp;"Tahoma,Kurzíva"&amp;9Návrh rozpočtu na rok 2024
Příloha č. 10&amp;R&amp;"Tahoma,Kurzíva"&amp;9Přehled příjmů</oddHeader>
    <oddFooter>&amp;C&amp;"Tahoma,Obyčejné"&amp;10&amp;P&amp;</oddFooter>
  </headerFooter>
  <rowBreaks count="3" manualBreakCount="3">
    <brk id="29" max="3" man="1"/>
    <brk id="49" max="3" man="1"/>
    <brk id="85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35"/>
  </sheetPr>
  <dimension ref="A2:Y32"/>
  <sheetViews>
    <sheetView topLeftCell="A7" workbookViewId="0">
      <selection activeCell="R39" sqref="R39"/>
    </sheetView>
  </sheetViews>
  <sheetFormatPr defaultColWidth="10.28515625" defaultRowHeight="15.75" outlineLevelRow="1" x14ac:dyDescent="0.25"/>
  <cols>
    <col min="1" max="1" width="21" style="45" customWidth="1"/>
    <col min="2" max="3" width="10.28515625" style="46" hidden="1" customWidth="1"/>
    <col min="4" max="4" width="11.28515625" style="46" hidden="1" customWidth="1"/>
    <col min="5" max="5" width="13.28515625" style="46" hidden="1" customWidth="1"/>
    <col min="6" max="6" width="12.85546875" style="46" hidden="1" customWidth="1"/>
    <col min="7" max="8" width="11.28515625" style="46" hidden="1" customWidth="1"/>
    <col min="9" max="10" width="11" style="45" hidden="1" customWidth="1"/>
    <col min="11" max="11" width="11.7109375" style="45" hidden="1" customWidth="1"/>
    <col min="12" max="12" width="12.5703125" style="45" hidden="1" customWidth="1"/>
    <col min="13" max="17" width="12.5703125" style="45" customWidth="1"/>
    <col min="18" max="18" width="14.140625" style="45" bestFit="1" customWidth="1"/>
    <col min="19" max="20" width="12.5703125" style="45" customWidth="1"/>
    <col min="21" max="25" width="13" style="45" customWidth="1"/>
    <col min="26" max="16384" width="10.28515625" style="45"/>
  </cols>
  <sheetData>
    <row r="2" spans="1:25" x14ac:dyDescent="0.25">
      <c r="A2" s="57" t="s">
        <v>95</v>
      </c>
    </row>
    <row r="3" spans="1:25" s="57" customFormat="1" ht="23.25" customHeight="1" x14ac:dyDescent="0.25">
      <c r="A3" s="62"/>
      <c r="B3" s="64">
        <v>2001</v>
      </c>
      <c r="C3" s="64">
        <v>2002</v>
      </c>
      <c r="D3" s="64">
        <v>2003</v>
      </c>
      <c r="E3" s="64" t="s">
        <v>92</v>
      </c>
      <c r="F3" s="64" t="s">
        <v>91</v>
      </c>
      <c r="G3" s="64"/>
      <c r="H3" s="64"/>
      <c r="I3" s="62"/>
    </row>
    <row r="4" spans="1:25" ht="23.25" customHeight="1" x14ac:dyDescent="0.25">
      <c r="A4" s="62" t="s">
        <v>75</v>
      </c>
      <c r="B4" s="60">
        <v>84275</v>
      </c>
      <c r="C4" s="60">
        <v>3999376</v>
      </c>
      <c r="D4" s="60">
        <v>6078276</v>
      </c>
      <c r="E4" s="60">
        <v>2912785</v>
      </c>
      <c r="F4" s="60">
        <v>3466158</v>
      </c>
      <c r="G4" s="60"/>
      <c r="H4" s="60"/>
      <c r="I4" s="58"/>
    </row>
    <row r="5" spans="1:25" ht="23.25" customHeight="1" x14ac:dyDescent="0.25">
      <c r="A5" s="62" t="s">
        <v>76</v>
      </c>
      <c r="B5" s="60">
        <v>84275</v>
      </c>
      <c r="C5" s="60">
        <v>3999376</v>
      </c>
      <c r="D5" s="60">
        <v>6078276</v>
      </c>
      <c r="E5" s="60"/>
      <c r="F5" s="60"/>
      <c r="G5" s="60"/>
      <c r="H5" s="60"/>
      <c r="I5" s="58"/>
    </row>
    <row r="6" spans="1:25" x14ac:dyDescent="0.25">
      <c r="O6" s="45" t="s">
        <v>94</v>
      </c>
      <c r="Q6" s="45" t="s">
        <v>93</v>
      </c>
    </row>
    <row r="8" spans="1:25" ht="20.25" customHeight="1" x14ac:dyDescent="0.25">
      <c r="A8" s="62"/>
      <c r="B8" s="64">
        <v>2001</v>
      </c>
      <c r="C8" s="64">
        <v>2002</v>
      </c>
      <c r="D8" s="64">
        <v>2003</v>
      </c>
      <c r="E8" s="64" t="s">
        <v>92</v>
      </c>
      <c r="F8" s="64" t="s">
        <v>91</v>
      </c>
      <c r="G8" s="64">
        <v>2006</v>
      </c>
      <c r="H8" s="64" t="s">
        <v>90</v>
      </c>
      <c r="I8" s="64">
        <v>2008</v>
      </c>
      <c r="J8" s="64">
        <v>2009</v>
      </c>
      <c r="K8" s="64" t="s">
        <v>89</v>
      </c>
      <c r="L8" s="64" t="s">
        <v>88</v>
      </c>
      <c r="M8" s="64" t="s">
        <v>87</v>
      </c>
      <c r="N8" s="64" t="s">
        <v>86</v>
      </c>
      <c r="O8" s="64" t="s">
        <v>85</v>
      </c>
      <c r="P8" s="64" t="s">
        <v>84</v>
      </c>
      <c r="Q8" s="64" t="s">
        <v>83</v>
      </c>
      <c r="R8" s="64" t="s">
        <v>82</v>
      </c>
      <c r="S8" s="64" t="s">
        <v>81</v>
      </c>
      <c r="T8" s="64" t="s">
        <v>37</v>
      </c>
      <c r="U8" s="64" t="s">
        <v>49</v>
      </c>
      <c r="V8" s="64" t="s">
        <v>218</v>
      </c>
      <c r="W8" s="64" t="s">
        <v>253</v>
      </c>
      <c r="X8" s="64" t="s">
        <v>186</v>
      </c>
      <c r="Y8" s="64" t="s">
        <v>199</v>
      </c>
    </row>
    <row r="9" spans="1:25" ht="20.25" customHeight="1" x14ac:dyDescent="0.25">
      <c r="A9" s="62" t="s">
        <v>71</v>
      </c>
      <c r="B9" s="60">
        <v>84275</v>
      </c>
      <c r="C9" s="60">
        <v>3999376</v>
      </c>
      <c r="D9" s="60">
        <v>6078276</v>
      </c>
      <c r="E9" s="60">
        <v>2912785</v>
      </c>
      <c r="F9" s="60">
        <v>3466158</v>
      </c>
      <c r="G9" s="60">
        <v>5192836</v>
      </c>
      <c r="H9" s="60">
        <v>5317944</v>
      </c>
      <c r="I9" s="58">
        <v>7592570</v>
      </c>
      <c r="J9" s="58">
        <v>7540749</v>
      </c>
      <c r="K9" s="58">
        <v>7428164</v>
      </c>
      <c r="L9" s="58">
        <v>8304059</v>
      </c>
      <c r="M9" s="63">
        <v>9019403</v>
      </c>
      <c r="N9" s="63">
        <v>7609322</v>
      </c>
      <c r="O9" s="63">
        <v>8278538</v>
      </c>
      <c r="P9" s="63">
        <v>9696615</v>
      </c>
      <c r="Q9" s="63">
        <v>8053332</v>
      </c>
      <c r="R9" s="63">
        <v>7886430</v>
      </c>
      <c r="S9" s="63">
        <v>9352498</v>
      </c>
      <c r="T9" s="63">
        <v>10284570</v>
      </c>
      <c r="U9" s="63">
        <v>10787896</v>
      </c>
      <c r="V9" s="63">
        <v>9863084</v>
      </c>
      <c r="W9" s="63">
        <v>11993157</v>
      </c>
      <c r="X9" s="63">
        <v>14892238</v>
      </c>
      <c r="Y9" s="63">
        <v>15502013</v>
      </c>
    </row>
    <row r="10" spans="1:25" ht="20.25" customHeight="1" x14ac:dyDescent="0.25">
      <c r="A10" s="62" t="s">
        <v>614</v>
      </c>
      <c r="B10" s="60"/>
      <c r="C10" s="60"/>
      <c r="D10" s="60"/>
      <c r="E10" s="60"/>
      <c r="F10" s="60"/>
      <c r="G10" s="60"/>
      <c r="H10" s="60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>
        <v>23978940</v>
      </c>
    </row>
    <row r="11" spans="1:25" ht="20.25" customHeight="1" x14ac:dyDescent="0.25">
      <c r="A11" s="62" t="s">
        <v>70</v>
      </c>
      <c r="B11" s="60">
        <v>1725409</v>
      </c>
      <c r="C11" s="60">
        <v>359422</v>
      </c>
      <c r="D11" s="60">
        <v>5867132</v>
      </c>
      <c r="E11" s="60">
        <f>12367232-2912785</f>
        <v>9454447</v>
      </c>
      <c r="F11" s="60">
        <v>10982426.800000001</v>
      </c>
      <c r="G11" s="60">
        <v>11172923.619999999</v>
      </c>
      <c r="H11" s="60">
        <v>10466523.800000001</v>
      </c>
      <c r="I11" s="58">
        <v>10151456.390000001</v>
      </c>
      <c r="J11" s="58">
        <v>11166878</v>
      </c>
      <c r="K11" s="58">
        <v>10908903</v>
      </c>
      <c r="L11" s="58">
        <v>10288015</v>
      </c>
      <c r="M11" s="58">
        <v>9686464</v>
      </c>
      <c r="N11" s="58">
        <v>10919480</v>
      </c>
      <c r="O11" s="58">
        <v>11432941</v>
      </c>
      <c r="P11" s="58">
        <v>12535240</v>
      </c>
      <c r="Q11" s="58">
        <v>12351887</v>
      </c>
      <c r="R11" s="58">
        <v>14595144</v>
      </c>
      <c r="S11" s="58">
        <v>16794678</v>
      </c>
      <c r="T11" s="58">
        <v>19321422</v>
      </c>
      <c r="U11" s="58">
        <v>21851874</v>
      </c>
      <c r="V11" s="58">
        <v>25796612</v>
      </c>
      <c r="W11" s="58">
        <v>27157982</v>
      </c>
      <c r="X11" s="134">
        <v>28958484</v>
      </c>
      <c r="Y11" s="207"/>
    </row>
    <row r="12" spans="1:25" x14ac:dyDescent="0.25">
      <c r="A12" s="61" t="s">
        <v>80</v>
      </c>
      <c r="B12" s="60"/>
      <c r="C12" s="60"/>
      <c r="D12" s="60"/>
      <c r="E12" s="60"/>
      <c r="F12" s="60"/>
      <c r="G12" s="60"/>
      <c r="H12" s="59"/>
      <c r="I12" s="59"/>
      <c r="J12" s="59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267">
        <v>4537430</v>
      </c>
    </row>
    <row r="13" spans="1:25" x14ac:dyDescent="0.25">
      <c r="A13" s="57" t="s">
        <v>79</v>
      </c>
    </row>
    <row r="14" spans="1:25" x14ac:dyDescent="0.25">
      <c r="X14" s="45">
        <v>43850722</v>
      </c>
      <c r="Y14" s="45">
        <f>SUM(Y9:Y12)</f>
        <v>44018383</v>
      </c>
    </row>
    <row r="15" spans="1:25" x14ac:dyDescent="0.25">
      <c r="H15" s="56">
        <f>H9+H11</f>
        <v>15784467.800000001</v>
      </c>
      <c r="I15" s="56">
        <f>I9+I11</f>
        <v>17744026.390000001</v>
      </c>
      <c r="J15" s="56"/>
      <c r="K15" s="55"/>
      <c r="M15" s="54" t="s">
        <v>78</v>
      </c>
      <c r="N15" s="45" t="s">
        <v>77</v>
      </c>
      <c r="X15" s="45">
        <f>X14-X9</f>
        <v>28958484</v>
      </c>
    </row>
    <row r="16" spans="1:25" x14ac:dyDescent="0.25">
      <c r="N16" s="183">
        <v>3937262</v>
      </c>
      <c r="O16" s="184">
        <v>460672</v>
      </c>
      <c r="P16" s="184">
        <v>0</v>
      </c>
      <c r="Q16" s="184">
        <v>139496</v>
      </c>
    </row>
    <row r="17" spans="1:8" ht="22.5" hidden="1" customHeight="1" outlineLevel="1" x14ac:dyDescent="0.25">
      <c r="A17" s="52" t="s">
        <v>74</v>
      </c>
      <c r="B17" s="47"/>
      <c r="C17" s="47"/>
      <c r="D17" s="47"/>
      <c r="E17" s="47"/>
      <c r="F17" s="47"/>
      <c r="G17" s="47"/>
      <c r="H17" s="47"/>
    </row>
    <row r="18" spans="1:8" ht="22.5" hidden="1" customHeight="1" outlineLevel="1" x14ac:dyDescent="0.25">
      <c r="A18" s="53"/>
      <c r="B18" s="51">
        <v>2001</v>
      </c>
      <c r="C18" s="51">
        <v>2002</v>
      </c>
      <c r="D18" s="51">
        <v>2003</v>
      </c>
      <c r="E18" s="51" t="s">
        <v>73</v>
      </c>
      <c r="F18" s="51" t="s">
        <v>72</v>
      </c>
      <c r="G18" s="51"/>
      <c r="H18" s="51"/>
    </row>
    <row r="19" spans="1:8" ht="21.75" hidden="1" customHeight="1" outlineLevel="1" x14ac:dyDescent="0.25">
      <c r="A19" s="50" t="s">
        <v>76</v>
      </c>
      <c r="B19" s="49">
        <v>1809684</v>
      </c>
      <c r="C19" s="49">
        <v>4349169</v>
      </c>
      <c r="D19" s="49">
        <v>10942261</v>
      </c>
      <c r="E19" s="49">
        <v>2908920</v>
      </c>
      <c r="F19" s="49">
        <v>4223860</v>
      </c>
      <c r="G19" s="49"/>
      <c r="H19" s="49"/>
    </row>
    <row r="20" spans="1:8" ht="21.75" hidden="1" customHeight="1" outlineLevel="1" x14ac:dyDescent="0.25">
      <c r="A20" s="50" t="s">
        <v>75</v>
      </c>
      <c r="B20" s="49">
        <v>1809684</v>
      </c>
      <c r="C20" s="49">
        <v>4358798</v>
      </c>
      <c r="D20" s="49">
        <v>11025324</v>
      </c>
      <c r="E20" s="49">
        <v>2908920</v>
      </c>
      <c r="F20" s="49">
        <v>4223860</v>
      </c>
      <c r="G20" s="49"/>
      <c r="H20" s="49"/>
    </row>
    <row r="21" spans="1:8" hidden="1" outlineLevel="1" x14ac:dyDescent="0.25">
      <c r="A21" s="52"/>
      <c r="B21" s="47"/>
      <c r="C21" s="47">
        <f>C19-C20</f>
        <v>-9629</v>
      </c>
      <c r="D21" s="47">
        <f>D19-D20</f>
        <v>-83063</v>
      </c>
      <c r="E21" s="47"/>
      <c r="F21" s="47"/>
      <c r="G21" s="47"/>
      <c r="H21" s="47"/>
    </row>
    <row r="22" spans="1:8" hidden="1" outlineLevel="1" x14ac:dyDescent="0.25">
      <c r="A22" s="52"/>
      <c r="B22" s="47"/>
      <c r="C22" s="47"/>
      <c r="D22" s="47"/>
      <c r="E22" s="47"/>
      <c r="F22" s="47"/>
      <c r="G22" s="47"/>
      <c r="H22" s="47"/>
    </row>
    <row r="23" spans="1:8" ht="24.75" hidden="1" customHeight="1" outlineLevel="1" x14ac:dyDescent="0.25">
      <c r="A23" s="50"/>
      <c r="B23" s="51">
        <v>2001</v>
      </c>
      <c r="C23" s="51">
        <v>2002</v>
      </c>
      <c r="D23" s="51">
        <v>2003</v>
      </c>
      <c r="E23" s="51" t="s">
        <v>73</v>
      </c>
      <c r="F23" s="51" t="s">
        <v>72</v>
      </c>
      <c r="G23" s="51"/>
      <c r="H23" s="51"/>
    </row>
    <row r="24" spans="1:8" ht="24.75" hidden="1" customHeight="1" outlineLevel="1" x14ac:dyDescent="0.25">
      <c r="A24" s="50" t="s">
        <v>71</v>
      </c>
      <c r="B24" s="49">
        <v>84275</v>
      </c>
      <c r="C24" s="49">
        <v>3999376</v>
      </c>
      <c r="D24" s="49">
        <v>6078276</v>
      </c>
      <c r="E24" s="49">
        <v>2911420</v>
      </c>
      <c r="F24" s="49">
        <v>4226360</v>
      </c>
      <c r="G24" s="49"/>
      <c r="H24" s="49"/>
    </row>
    <row r="25" spans="1:8" ht="24.75" hidden="1" customHeight="1" outlineLevel="1" x14ac:dyDescent="0.25">
      <c r="A25" s="50" t="s">
        <v>74</v>
      </c>
      <c r="B25" s="49">
        <v>1809684</v>
      </c>
      <c r="C25" s="49">
        <v>4358798</v>
      </c>
      <c r="D25" s="49">
        <v>11055594</v>
      </c>
      <c r="E25" s="49">
        <v>8367041</v>
      </c>
      <c r="F25" s="49">
        <v>7528049</v>
      </c>
      <c r="G25" s="49"/>
      <c r="H25" s="49"/>
    </row>
    <row r="26" spans="1:8" ht="21" hidden="1" customHeight="1" outlineLevel="1" x14ac:dyDescent="0.25">
      <c r="A26" s="50" t="s">
        <v>70</v>
      </c>
      <c r="B26" s="49">
        <f>B25-B24</f>
        <v>1725409</v>
      </c>
      <c r="C26" s="49">
        <f>C25-C24</f>
        <v>359422</v>
      </c>
      <c r="D26" s="49">
        <f>D25-D24</f>
        <v>4977318</v>
      </c>
      <c r="E26" s="49">
        <v>8367041</v>
      </c>
      <c r="F26" s="49">
        <v>7528049</v>
      </c>
      <c r="G26" s="49"/>
      <c r="H26" s="49"/>
    </row>
    <row r="27" spans="1:8" hidden="1" outlineLevel="1" x14ac:dyDescent="0.25">
      <c r="A27" s="52"/>
      <c r="B27" s="47"/>
      <c r="C27" s="47"/>
      <c r="D27" s="47"/>
      <c r="E27" s="47"/>
      <c r="F27" s="47"/>
      <c r="G27" s="47"/>
      <c r="H27" s="47"/>
    </row>
    <row r="28" spans="1:8" ht="25.5" hidden="1" customHeight="1" outlineLevel="1" x14ac:dyDescent="0.25">
      <c r="A28" s="50"/>
      <c r="B28" s="51">
        <v>2001</v>
      </c>
      <c r="C28" s="51">
        <v>2002</v>
      </c>
      <c r="D28" s="51">
        <v>2003</v>
      </c>
      <c r="E28" s="51" t="s">
        <v>73</v>
      </c>
      <c r="F28" s="51" t="s">
        <v>72</v>
      </c>
      <c r="G28" s="51"/>
      <c r="H28" s="51"/>
    </row>
    <row r="29" spans="1:8" ht="21" hidden="1" customHeight="1" outlineLevel="1" x14ac:dyDescent="0.25">
      <c r="A29" s="50" t="s">
        <v>71</v>
      </c>
      <c r="B29" s="49">
        <v>84275</v>
      </c>
      <c r="C29" s="49">
        <v>3999376</v>
      </c>
      <c r="D29" s="49">
        <v>6078276</v>
      </c>
      <c r="E29" s="49">
        <v>2911420</v>
      </c>
      <c r="F29" s="49">
        <v>4226360</v>
      </c>
      <c r="G29" s="49"/>
      <c r="H29" s="49"/>
    </row>
    <row r="30" spans="1:8" ht="23.25" hidden="1" customHeight="1" outlineLevel="1" x14ac:dyDescent="0.25">
      <c r="A30" s="50" t="s">
        <v>70</v>
      </c>
      <c r="B30" s="49">
        <v>1725409</v>
      </c>
      <c r="C30" s="49">
        <v>359422</v>
      </c>
      <c r="D30" s="49">
        <v>4977318</v>
      </c>
      <c r="E30" s="49">
        <v>8367041</v>
      </c>
      <c r="F30" s="49">
        <v>7528049</v>
      </c>
      <c r="G30" s="49"/>
      <c r="H30" s="49"/>
    </row>
    <row r="31" spans="1:8" hidden="1" outlineLevel="1" x14ac:dyDescent="0.25">
      <c r="A31" s="48" t="s">
        <v>69</v>
      </c>
      <c r="B31" s="47"/>
      <c r="C31" s="47"/>
      <c r="D31" s="47"/>
      <c r="E31" s="47"/>
      <c r="F31" s="47"/>
      <c r="G31" s="47"/>
      <c r="H31" s="47"/>
    </row>
    <row r="32" spans="1:8" collapsed="1" x14ac:dyDescent="0.25"/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35"/>
  </sheetPr>
  <dimension ref="A1:Y17"/>
  <sheetViews>
    <sheetView zoomScale="85" workbookViewId="0">
      <selection activeCell="Y19" sqref="Y19"/>
    </sheetView>
  </sheetViews>
  <sheetFormatPr defaultColWidth="10.28515625" defaultRowHeight="15.75" x14ac:dyDescent="0.25"/>
  <cols>
    <col min="1" max="1" width="25.140625" style="65" customWidth="1"/>
    <col min="2" max="2" width="11.42578125" style="65" hidden="1" customWidth="1"/>
    <col min="3" max="3" width="14.28515625" style="65" hidden="1" customWidth="1"/>
    <col min="4" max="4" width="13.42578125" style="65" hidden="1" customWidth="1"/>
    <col min="5" max="5" width="12.7109375" style="65" hidden="1" customWidth="1"/>
    <col min="6" max="6" width="13.140625" style="65" hidden="1" customWidth="1"/>
    <col min="7" max="7" width="13" style="65" hidden="1" customWidth="1"/>
    <col min="8" max="8" width="12.7109375" style="65" hidden="1" customWidth="1"/>
    <col min="9" max="10" width="15" style="65" hidden="1" customWidth="1"/>
    <col min="11" max="15" width="14.42578125" style="65" hidden="1" customWidth="1"/>
    <col min="16" max="17" width="14.42578125" style="65" customWidth="1"/>
    <col min="18" max="25" width="14.7109375" style="65" customWidth="1"/>
    <col min="26" max="16384" width="10.28515625" style="65"/>
  </cols>
  <sheetData>
    <row r="1" spans="1:25" x14ac:dyDescent="0.25">
      <c r="A1" s="630" t="s">
        <v>95</v>
      </c>
      <c r="B1" s="630"/>
      <c r="C1" s="630"/>
      <c r="D1" s="630"/>
      <c r="E1" s="630"/>
      <c r="F1" s="630"/>
    </row>
    <row r="2" spans="1:25" ht="22.5" customHeight="1" x14ac:dyDescent="0.25">
      <c r="A2" s="85"/>
      <c r="B2" s="84">
        <v>2001</v>
      </c>
      <c r="C2" s="84">
        <v>2002</v>
      </c>
      <c r="D2" s="84">
        <v>2003</v>
      </c>
      <c r="E2" s="84">
        <v>2004</v>
      </c>
      <c r="F2" s="84">
        <v>2005</v>
      </c>
      <c r="G2" s="84">
        <v>2006</v>
      </c>
      <c r="H2" s="84">
        <v>2007</v>
      </c>
      <c r="I2" s="76">
        <v>2008</v>
      </c>
      <c r="J2" s="75">
        <v>2009</v>
      </c>
      <c r="K2" s="75">
        <v>2010</v>
      </c>
      <c r="L2" s="75">
        <v>2011</v>
      </c>
      <c r="M2" s="75">
        <v>2012</v>
      </c>
      <c r="N2" s="75">
        <v>2013</v>
      </c>
      <c r="O2" s="75">
        <v>2014</v>
      </c>
      <c r="P2" s="75">
        <v>2015</v>
      </c>
      <c r="Q2" s="75">
        <v>2016</v>
      </c>
      <c r="R2" s="75">
        <v>2017</v>
      </c>
      <c r="S2" s="75">
        <v>2018</v>
      </c>
      <c r="T2" s="75">
        <v>2019</v>
      </c>
      <c r="U2" s="75">
        <v>2020</v>
      </c>
      <c r="V2" s="75">
        <v>2021</v>
      </c>
      <c r="W2" s="75">
        <v>2022</v>
      </c>
      <c r="X2" s="75">
        <v>2023</v>
      </c>
      <c r="Y2" s="75">
        <v>2024</v>
      </c>
    </row>
    <row r="3" spans="1:25" ht="22.5" customHeight="1" x14ac:dyDescent="0.25">
      <c r="A3" s="83" t="s">
        <v>100</v>
      </c>
      <c r="B3" s="82">
        <v>84275</v>
      </c>
      <c r="C3" s="81">
        <v>3960026</v>
      </c>
      <c r="D3" s="81">
        <v>5976481</v>
      </c>
      <c r="E3" s="81">
        <v>2622083</v>
      </c>
      <c r="F3" s="81">
        <v>2804755</v>
      </c>
      <c r="G3" s="81">
        <v>3835304</v>
      </c>
      <c r="H3" s="81">
        <v>3597607</v>
      </c>
      <c r="I3" s="58">
        <v>4148674</v>
      </c>
      <c r="J3" s="63">
        <v>4386633</v>
      </c>
      <c r="K3" s="63">
        <v>4426857</v>
      </c>
      <c r="L3" s="63">
        <v>4548788</v>
      </c>
      <c r="M3" s="63">
        <v>4787612</v>
      </c>
      <c r="N3" s="63">
        <v>4674368</v>
      </c>
      <c r="O3" s="63">
        <v>4749050</v>
      </c>
      <c r="P3" s="63">
        <v>5225653</v>
      </c>
      <c r="Q3" s="63">
        <v>5123867</v>
      </c>
      <c r="R3" s="63">
        <v>5704252</v>
      </c>
      <c r="S3" s="63">
        <v>6456472</v>
      </c>
      <c r="T3" s="63">
        <v>6996283</v>
      </c>
      <c r="U3" s="63">
        <v>7490726</v>
      </c>
      <c r="V3" s="63">
        <v>7002032</v>
      </c>
      <c r="W3" s="63">
        <v>7846903</v>
      </c>
      <c r="X3" s="63">
        <v>9973858</v>
      </c>
      <c r="Y3" s="305">
        <v>34408612</v>
      </c>
    </row>
    <row r="4" spans="1:25" ht="22.5" customHeight="1" x14ac:dyDescent="0.25">
      <c r="A4" s="83" t="s">
        <v>99</v>
      </c>
      <c r="B4" s="82">
        <v>0</v>
      </c>
      <c r="C4" s="81">
        <v>39350</v>
      </c>
      <c r="D4" s="81">
        <v>101795</v>
      </c>
      <c r="E4" s="81">
        <v>290702</v>
      </c>
      <c r="F4" s="81">
        <v>661403</v>
      </c>
      <c r="G4" s="81">
        <v>1357532</v>
      </c>
      <c r="H4" s="81">
        <v>1720337</v>
      </c>
      <c r="I4" s="58">
        <v>3443896</v>
      </c>
      <c r="J4" s="63">
        <v>3154116</v>
      </c>
      <c r="K4" s="63">
        <v>3001307</v>
      </c>
      <c r="L4" s="63">
        <v>3755271</v>
      </c>
      <c r="M4" s="63">
        <v>4231791</v>
      </c>
      <c r="N4" s="63">
        <v>2934954</v>
      </c>
      <c r="O4" s="63">
        <v>3529488</v>
      </c>
      <c r="P4" s="63">
        <v>4470962</v>
      </c>
      <c r="Q4" s="63">
        <v>1689119</v>
      </c>
      <c r="R4" s="63">
        <v>2182178</v>
      </c>
      <c r="S4" s="63">
        <v>2896026</v>
      </c>
      <c r="T4" s="63">
        <v>3288287</v>
      </c>
      <c r="U4" s="63">
        <v>3297170</v>
      </c>
      <c r="V4" s="63">
        <v>2861052</v>
      </c>
      <c r="W4" s="63">
        <v>4146254</v>
      </c>
      <c r="X4" s="63">
        <v>4918380</v>
      </c>
      <c r="Y4" s="63">
        <v>5072341</v>
      </c>
    </row>
    <row r="5" spans="1:25" ht="22.5" customHeight="1" x14ac:dyDescent="0.25">
      <c r="A5" s="80" t="s">
        <v>98</v>
      </c>
      <c r="B5" s="79">
        <f t="shared" ref="B5:S5" si="0">SUM(B3:B4)</f>
        <v>84275</v>
      </c>
      <c r="C5" s="79">
        <f t="shared" si="0"/>
        <v>3999376</v>
      </c>
      <c r="D5" s="79">
        <f t="shared" si="0"/>
        <v>6078276</v>
      </c>
      <c r="E5" s="79">
        <f t="shared" si="0"/>
        <v>2912785</v>
      </c>
      <c r="F5" s="79">
        <f t="shared" si="0"/>
        <v>3466158</v>
      </c>
      <c r="G5" s="79">
        <f t="shared" si="0"/>
        <v>5192836</v>
      </c>
      <c r="H5" s="79">
        <f t="shared" si="0"/>
        <v>5317944</v>
      </c>
      <c r="I5" s="67">
        <f t="shared" si="0"/>
        <v>7592570</v>
      </c>
      <c r="J5" s="66">
        <f t="shared" si="0"/>
        <v>7540749</v>
      </c>
      <c r="K5" s="66">
        <f t="shared" si="0"/>
        <v>7428164</v>
      </c>
      <c r="L5" s="66">
        <f t="shared" si="0"/>
        <v>8304059</v>
      </c>
      <c r="M5" s="66">
        <f t="shared" si="0"/>
        <v>9019403</v>
      </c>
      <c r="N5" s="66">
        <f t="shared" si="0"/>
        <v>7609322</v>
      </c>
      <c r="O5" s="66">
        <f t="shared" si="0"/>
        <v>8278538</v>
      </c>
      <c r="P5" s="66">
        <f t="shared" si="0"/>
        <v>9696615</v>
      </c>
      <c r="Q5" s="66">
        <f t="shared" si="0"/>
        <v>6812986</v>
      </c>
      <c r="R5" s="66">
        <f t="shared" si="0"/>
        <v>7886430</v>
      </c>
      <c r="S5" s="66">
        <f t="shared" si="0"/>
        <v>9352498</v>
      </c>
      <c r="T5" s="66">
        <f t="shared" ref="T5:Y5" si="1">SUM(T3:T4)</f>
        <v>10284570</v>
      </c>
      <c r="U5" s="66">
        <f t="shared" si="1"/>
        <v>10787896</v>
      </c>
      <c r="V5" s="66">
        <f t="shared" si="1"/>
        <v>9863084</v>
      </c>
      <c r="W5" s="66">
        <f t="shared" si="1"/>
        <v>11993157</v>
      </c>
      <c r="X5" s="66">
        <f t="shared" si="1"/>
        <v>14892238</v>
      </c>
      <c r="Y5" s="66">
        <f t="shared" si="1"/>
        <v>39480953</v>
      </c>
    </row>
    <row r="9" spans="1:25" x14ac:dyDescent="0.25">
      <c r="A9" s="78"/>
      <c r="B9" s="77">
        <v>2001</v>
      </c>
      <c r="C9" s="77">
        <v>2002</v>
      </c>
      <c r="D9" s="77">
        <v>2003</v>
      </c>
      <c r="E9" s="77">
        <v>2004</v>
      </c>
      <c r="F9" s="77">
        <v>2005</v>
      </c>
      <c r="G9" s="77">
        <v>2006</v>
      </c>
      <c r="H9" s="77">
        <v>2007</v>
      </c>
      <c r="I9" s="76">
        <v>2008</v>
      </c>
      <c r="J9" s="75">
        <v>2009</v>
      </c>
      <c r="K9" s="75">
        <v>2010</v>
      </c>
      <c r="L9" s="75">
        <v>2011</v>
      </c>
      <c r="M9" s="75">
        <v>2012</v>
      </c>
      <c r="N9" s="75">
        <v>2013</v>
      </c>
      <c r="O9" s="75">
        <v>2014</v>
      </c>
      <c r="P9" s="75">
        <v>2015</v>
      </c>
      <c r="Q9" s="75">
        <v>2016</v>
      </c>
      <c r="R9" s="75">
        <v>2017</v>
      </c>
      <c r="S9" s="75">
        <v>2018</v>
      </c>
      <c r="T9" s="75">
        <v>2019</v>
      </c>
      <c r="U9" s="75">
        <v>2020</v>
      </c>
      <c r="V9" s="75">
        <v>2021</v>
      </c>
      <c r="W9" s="75">
        <v>2022</v>
      </c>
      <c r="X9" s="75">
        <v>2023</v>
      </c>
      <c r="Y9" s="75">
        <v>2024</v>
      </c>
    </row>
    <row r="10" spans="1:25" x14ac:dyDescent="0.25">
      <c r="A10" s="73" t="s">
        <v>97</v>
      </c>
      <c r="B10" s="72">
        <v>10</v>
      </c>
      <c r="C10" s="71">
        <v>1033100</v>
      </c>
      <c r="D10" s="70">
        <v>1139600</v>
      </c>
      <c r="E10" s="58">
        <v>1152642</v>
      </c>
      <c r="F10" s="58">
        <v>1245018</v>
      </c>
      <c r="G10" s="58">
        <v>3847124</v>
      </c>
      <c r="H10" s="58">
        <v>4045313</v>
      </c>
      <c r="I10" s="58">
        <v>4328690</v>
      </c>
      <c r="J10" s="63">
        <v>4532498</v>
      </c>
      <c r="K10" s="63">
        <v>4121475</v>
      </c>
      <c r="L10" s="63">
        <v>4416300</v>
      </c>
      <c r="M10" s="63">
        <v>4543700</v>
      </c>
      <c r="N10" s="63">
        <v>4302600</v>
      </c>
      <c r="O10" s="63">
        <v>4498900</v>
      </c>
      <c r="P10" s="63">
        <v>4776650</v>
      </c>
      <c r="Q10" s="63">
        <v>5330950</v>
      </c>
      <c r="R10" s="63">
        <v>5771300</v>
      </c>
      <c r="S10" s="63">
        <v>6427050</v>
      </c>
      <c r="T10" s="63">
        <v>7030550</v>
      </c>
      <c r="U10" s="63">
        <v>7340300</v>
      </c>
      <c r="V10" s="63">
        <v>6307200</v>
      </c>
      <c r="W10" s="63">
        <v>7283700</v>
      </c>
      <c r="X10" s="63">
        <v>8580950</v>
      </c>
      <c r="Y10" s="63">
        <v>10100900</v>
      </c>
    </row>
    <row r="11" spans="1:25" x14ac:dyDescent="0.25">
      <c r="A11" s="73" t="s">
        <v>66</v>
      </c>
      <c r="B11" s="72">
        <v>90</v>
      </c>
      <c r="C11" s="71">
        <v>5899</v>
      </c>
      <c r="D11" s="70">
        <v>36891</v>
      </c>
      <c r="E11" s="58">
        <v>45708</v>
      </c>
      <c r="F11" s="58">
        <v>85840</v>
      </c>
      <c r="G11" s="58">
        <v>131499</v>
      </c>
      <c r="H11" s="58">
        <v>208296</v>
      </c>
      <c r="I11" s="58">
        <v>97807</v>
      </c>
      <c r="J11" s="63">
        <v>183697</v>
      </c>
      <c r="K11" s="63">
        <v>169579</v>
      </c>
      <c r="L11" s="63">
        <v>291031</v>
      </c>
      <c r="M11" s="63">
        <v>169400</v>
      </c>
      <c r="N11" s="63">
        <v>184620</v>
      </c>
      <c r="O11" s="63">
        <v>191852</v>
      </c>
      <c r="P11" s="63">
        <v>162937</v>
      </c>
      <c r="Q11" s="63">
        <v>140391</v>
      </c>
      <c r="R11" s="63">
        <v>164820</v>
      </c>
      <c r="S11" s="63">
        <v>613120</v>
      </c>
      <c r="T11" s="63">
        <v>563161</v>
      </c>
      <c r="U11" s="63">
        <v>585252</v>
      </c>
      <c r="V11" s="63">
        <v>581497</v>
      </c>
      <c r="W11" s="63">
        <v>597999</v>
      </c>
      <c r="X11" s="63">
        <v>755536</v>
      </c>
      <c r="Y11" s="63">
        <v>628872</v>
      </c>
    </row>
    <row r="12" spans="1:25" x14ac:dyDescent="0.25">
      <c r="A12" s="73" t="s">
        <v>67</v>
      </c>
      <c r="B12" s="72">
        <v>0</v>
      </c>
      <c r="C12" s="74">
        <v>0</v>
      </c>
      <c r="D12" s="70">
        <v>20000</v>
      </c>
      <c r="E12" s="58">
        <v>10000</v>
      </c>
      <c r="F12" s="58">
        <v>10300</v>
      </c>
      <c r="G12" s="58">
        <v>40000</v>
      </c>
      <c r="H12" s="58">
        <v>40000</v>
      </c>
      <c r="I12" s="58">
        <v>40500</v>
      </c>
      <c r="J12" s="63">
        <v>58500</v>
      </c>
      <c r="K12" s="63">
        <v>45730</v>
      </c>
      <c r="L12" s="63">
        <v>60230</v>
      </c>
      <c r="M12" s="63">
        <v>79409</v>
      </c>
      <c r="N12" s="63">
        <v>85980</v>
      </c>
      <c r="O12" s="63">
        <v>85980</v>
      </c>
      <c r="P12" s="63">
        <v>55980</v>
      </c>
      <c r="Q12" s="63">
        <v>40980</v>
      </c>
      <c r="R12" s="63">
        <v>55000</v>
      </c>
      <c r="S12" s="63">
        <v>66000</v>
      </c>
      <c r="T12" s="63">
        <v>41450</v>
      </c>
      <c r="U12" s="63">
        <v>36450</v>
      </c>
      <c r="V12" s="63">
        <v>65658</v>
      </c>
      <c r="W12" s="63">
        <v>74079</v>
      </c>
      <c r="X12" s="63">
        <v>52476</v>
      </c>
      <c r="Y12" s="63">
        <v>53993</v>
      </c>
    </row>
    <row r="13" spans="1:25" x14ac:dyDescent="0.25">
      <c r="A13" s="73" t="s">
        <v>68</v>
      </c>
      <c r="B13" s="72">
        <v>84175</v>
      </c>
      <c r="C13" s="71">
        <v>2960377</v>
      </c>
      <c r="D13" s="70">
        <v>4881785</v>
      </c>
      <c r="E13" s="58">
        <v>1704435</v>
      </c>
      <c r="F13" s="58">
        <v>2089000</v>
      </c>
      <c r="G13" s="58">
        <v>680213</v>
      </c>
      <c r="H13" s="58">
        <v>774335</v>
      </c>
      <c r="I13" s="58">
        <v>1925572.7</v>
      </c>
      <c r="J13" s="63">
        <v>2098388</v>
      </c>
      <c r="K13" s="63">
        <v>1689276</v>
      </c>
      <c r="L13" s="63">
        <v>2313905</v>
      </c>
      <c r="M13" s="63">
        <v>2139590</v>
      </c>
      <c r="N13" s="63">
        <v>1706993</v>
      </c>
      <c r="O13" s="63">
        <v>2169460</v>
      </c>
      <c r="P13" s="63">
        <v>3565454</v>
      </c>
      <c r="Q13" s="63">
        <v>2541011</v>
      </c>
      <c r="R13" s="63">
        <v>974346</v>
      </c>
      <c r="S13" s="63">
        <v>1130957</v>
      </c>
      <c r="T13" s="63">
        <v>1809816</v>
      </c>
      <c r="U13" s="63">
        <v>2233393</v>
      </c>
      <c r="V13" s="63">
        <v>1615456</v>
      </c>
      <c r="W13" s="63">
        <v>1342985</v>
      </c>
      <c r="X13" s="63">
        <v>2454033</v>
      </c>
      <c r="Y13" s="305">
        <v>25458130</v>
      </c>
    </row>
    <row r="14" spans="1:25" ht="20.25" customHeight="1" x14ac:dyDescent="0.25">
      <c r="A14" s="69" t="s">
        <v>96</v>
      </c>
      <c r="B14" s="68">
        <f t="shared" ref="B14:S14" si="2">SUM(B10:B13)</f>
        <v>84275</v>
      </c>
      <c r="C14" s="68">
        <f t="shared" si="2"/>
        <v>3999376</v>
      </c>
      <c r="D14" s="68">
        <f t="shared" si="2"/>
        <v>6078276</v>
      </c>
      <c r="E14" s="62">
        <f t="shared" si="2"/>
        <v>2912785</v>
      </c>
      <c r="F14" s="62">
        <f t="shared" si="2"/>
        <v>3430158</v>
      </c>
      <c r="G14" s="62">
        <f t="shared" si="2"/>
        <v>4698836</v>
      </c>
      <c r="H14" s="62">
        <f t="shared" si="2"/>
        <v>5067944</v>
      </c>
      <c r="I14" s="67">
        <f t="shared" si="2"/>
        <v>6392569.7000000002</v>
      </c>
      <c r="J14" s="66">
        <f t="shared" si="2"/>
        <v>6873083</v>
      </c>
      <c r="K14" s="66">
        <f t="shared" si="2"/>
        <v>6026060</v>
      </c>
      <c r="L14" s="66">
        <f t="shared" si="2"/>
        <v>7081466</v>
      </c>
      <c r="M14" s="66">
        <f t="shared" si="2"/>
        <v>6932099</v>
      </c>
      <c r="N14" s="66">
        <f t="shared" si="2"/>
        <v>6280193</v>
      </c>
      <c r="O14" s="66">
        <f t="shared" si="2"/>
        <v>6946192</v>
      </c>
      <c r="P14" s="66">
        <f t="shared" si="2"/>
        <v>8561021</v>
      </c>
      <c r="Q14" s="66">
        <f t="shared" si="2"/>
        <v>8053332</v>
      </c>
      <c r="R14" s="66">
        <f t="shared" si="2"/>
        <v>6965466</v>
      </c>
      <c r="S14" s="66">
        <f t="shared" si="2"/>
        <v>8237127</v>
      </c>
      <c r="T14" s="66">
        <f t="shared" ref="T14:Y14" si="3">SUM(T10:T13)</f>
        <v>9444977</v>
      </c>
      <c r="U14" s="66">
        <f t="shared" si="3"/>
        <v>10195395</v>
      </c>
      <c r="V14" s="66">
        <f t="shared" si="3"/>
        <v>8569811</v>
      </c>
      <c r="W14" s="66">
        <f t="shared" si="3"/>
        <v>9298763</v>
      </c>
      <c r="X14" s="66">
        <f t="shared" si="3"/>
        <v>11842995</v>
      </c>
      <c r="Y14" s="66">
        <f t="shared" si="3"/>
        <v>36241895</v>
      </c>
    </row>
    <row r="17" spans="2:8" x14ac:dyDescent="0.25">
      <c r="B17" s="45">
        <f>B5-B14</f>
        <v>0</v>
      </c>
      <c r="C17" s="45">
        <f>C5-C14</f>
        <v>0</v>
      </c>
      <c r="D17" s="45">
        <f>D5-D14</f>
        <v>0</v>
      </c>
      <c r="E17" s="45">
        <f>E5-E14</f>
        <v>0</v>
      </c>
      <c r="F17" s="45">
        <f>F5-F14</f>
        <v>36000</v>
      </c>
      <c r="G17" s="45">
        <v>494000</v>
      </c>
      <c r="H17" s="45"/>
    </row>
  </sheetData>
  <mergeCells count="1">
    <mergeCell ref="A1:F1"/>
  </mergeCell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5D6CFB96EBAA4D8EE22DAD62206245" ma:contentTypeVersion="5" ma:contentTypeDescription="Vytvoří nový dokument" ma:contentTypeScope="" ma:versionID="9db02e0f5f8a9c94fb2a6a33d155a9c9">
  <xsd:schema xmlns:xsd="http://www.w3.org/2001/XMLSchema" xmlns:xs="http://www.w3.org/2001/XMLSchema" xmlns:p="http://schemas.microsoft.com/office/2006/metadata/properties" xmlns:ns2="a2fc0c6d-6a99-40dd-8a27-ce2701e7eea6" xmlns:ns3="7be56fcd-e289-43f0-bcc4-807f27d8cd5d" targetNamespace="http://schemas.microsoft.com/office/2006/metadata/properties" ma:root="true" ma:fieldsID="5185c01508a54f52cb0d9627cd54439c" ns2:_="" ns3:_="">
    <xsd:import namespace="a2fc0c6d-6a99-40dd-8a27-ce2701e7eea6"/>
    <xsd:import namespace="7be56fcd-e289-43f0-bcc4-807f27d8cd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fc0c6d-6a99-40dd-8a27-ce2701e7e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e56fcd-e289-43f0-bcc4-807f27d8cd5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810C3B-F47C-4C9D-BDE5-9DB6A1D806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3F92FF-8A05-46EB-BD1B-DEAF6C519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fc0c6d-6a99-40dd-8a27-ce2701e7eea6"/>
    <ds:schemaRef ds:uri="7be56fcd-e289-43f0-bcc4-807f27d8cd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49BF98-9325-433B-844A-82ACD5F9068D}">
  <ds:schemaRefs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  <ds:schemaRef ds:uri="1c884cfb-4f2a-45da-9f70-0953090e428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Listy</vt:lpstr>
      </vt:variant>
      <vt:variant>
        <vt:i4>11</vt:i4>
      </vt:variant>
      <vt:variant>
        <vt:lpstr>Grafy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28" baseType="lpstr">
      <vt:lpstr>OBSAH</vt:lpstr>
      <vt:lpstr>Dotační programy</vt:lpstr>
      <vt:lpstr>Akce spolufin. z evr.fin.zdrojů</vt:lpstr>
      <vt:lpstr>Akce fin. z úvěrových zdrojů</vt:lpstr>
      <vt:lpstr>Akce fin. z úvěru ČS</vt:lpstr>
      <vt:lpstr>Fin. vybraných organizací</vt:lpstr>
      <vt:lpstr>Přehled příjmů 2024</vt:lpstr>
      <vt:lpstr>Zdrojová data I.s</vt:lpstr>
      <vt:lpstr>Zdrojová data II. a III. s</vt:lpstr>
      <vt:lpstr>Zdrojová data IV.</vt:lpstr>
      <vt:lpstr>Zdrojová data V.a VI.</vt:lpstr>
      <vt:lpstr>Graf 1. Rozpočet 2020-2024</vt:lpstr>
      <vt:lpstr>Graf 2. Příjmy 2019-2023</vt:lpstr>
      <vt:lpstr>Graf 3. Výdaje B+K 2019-2023</vt:lpstr>
      <vt:lpstr>Graf 2. Příjmy 2024</vt:lpstr>
      <vt:lpstr>Graf 3. Výdaje 2024</vt:lpstr>
      <vt:lpstr>Graf 4. Výdaje EU 2024</vt:lpstr>
      <vt:lpstr>'Akce fin. z úvěrových zdrojů'!Názvy_tisku</vt:lpstr>
      <vt:lpstr>'Akce fin. z úvěru ČS'!Názvy_tisku</vt:lpstr>
      <vt:lpstr>'Akce spolufin. z evr.fin.zdrojů'!Názvy_tisku</vt:lpstr>
      <vt:lpstr>'Dotační programy'!Názvy_tisku</vt:lpstr>
      <vt:lpstr>'Fin. vybraných organizací'!Názvy_tisku</vt:lpstr>
      <vt:lpstr>'Přehled příjmů 2024'!Názvy_tisku</vt:lpstr>
      <vt:lpstr>'Akce fin. z úvěru ČS'!Oblast_tisku</vt:lpstr>
      <vt:lpstr>'Akce spolufin. z evr.fin.zdrojů'!Oblast_tisku</vt:lpstr>
      <vt:lpstr>'Dotační programy'!Oblast_tisku</vt:lpstr>
      <vt:lpstr>'Fin. vybraných organizací'!Oblast_tisku</vt:lpstr>
      <vt:lpstr>'Přehled příjmů 2024'!Oblast_tisku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2023-11-22T11:20:57Z</cp:lastPrinted>
  <dcterms:created xsi:type="dcterms:W3CDTF">2017-09-20T06:24:12Z</dcterms:created>
  <dcterms:modified xsi:type="dcterms:W3CDTF">2023-11-22T11:22:04Z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  <property fmtid="{D5CDD505-2E9C-101B-9397-08002B2CF9AE}" pid="3" name="MSIP_Label_bc18e8b5-cf04-4356-9f73-4b8f937bc4ae_Enabled">
    <vt:lpwstr>true</vt:lpwstr>
  </property>
  <property fmtid="{D5CDD505-2E9C-101B-9397-08002B2CF9AE}" pid="4" name="MSIP_Label_bc18e8b5-cf04-4356-9f73-4b8f937bc4ae_SetDate">
    <vt:lpwstr>2023-11-10T12:47:29Z</vt:lpwstr>
  </property>
  <property fmtid="{D5CDD505-2E9C-101B-9397-08002B2CF9AE}" pid="5" name="MSIP_Label_bc18e8b5-cf04-4356-9f73-4b8f937bc4ae_Method">
    <vt:lpwstr>Privileged</vt:lpwstr>
  </property>
  <property fmtid="{D5CDD505-2E9C-101B-9397-08002B2CF9AE}" pid="6" name="MSIP_Label_bc18e8b5-cf04-4356-9f73-4b8f937bc4ae_Name">
    <vt:lpwstr>Neveřejná informace (bez označení)</vt:lpwstr>
  </property>
  <property fmtid="{D5CDD505-2E9C-101B-9397-08002B2CF9AE}" pid="7" name="MSIP_Label_bc18e8b5-cf04-4356-9f73-4b8f937bc4ae_SiteId">
    <vt:lpwstr>39f24d0b-aa30-4551-8e81-43c77cf1000e</vt:lpwstr>
  </property>
  <property fmtid="{D5CDD505-2E9C-101B-9397-08002B2CF9AE}" pid="8" name="MSIP_Label_bc18e8b5-cf04-4356-9f73-4b8f937bc4ae_ActionId">
    <vt:lpwstr>cd3f05af-8daa-4574-ae4c-8d4141546412</vt:lpwstr>
  </property>
  <property fmtid="{D5CDD505-2E9C-101B-9397-08002B2CF9AE}" pid="9" name="MSIP_Label_bc18e8b5-cf04-4356-9f73-4b8f937bc4ae_ContentBits">
    <vt:lpwstr>0</vt:lpwstr>
  </property>
</Properties>
</file>