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mskraj-my.sharepoint.com/personal/tomas_metelka_msk_cz/Documents/_N_FINANCE/ROZPOČET 2025/13-MAT do ZK/2MAT do ZK-pro Babku a na FV/"/>
    </mc:Choice>
  </mc:AlternateContent>
  <xr:revisionPtr revIDLastSave="1102" documentId="8_{7405526D-59E3-4C58-86FE-B4A549805AC7}" xr6:coauthVersionLast="47" xr6:coauthVersionMax="47" xr10:uidLastSave="{31A720DD-70C4-4AB4-8809-5C8E6EF4087E}"/>
  <bookViews>
    <workbookView xWindow="-120" yWindow="-120" windowWidth="29040" windowHeight="15840" tabRatio="730" xr2:uid="{54F4A12B-D903-4848-90E6-597CCB8B3524}"/>
  </bookViews>
  <sheets>
    <sheet name="seznam" sheetId="3" r:id="rId1"/>
    <sheet name="Tab. 1 " sheetId="46" r:id="rId2"/>
    <sheet name="Tab. 1 VÝDAJE" sheetId="47" r:id="rId3"/>
    <sheet name="Tab. 2 " sheetId="49" r:id="rId4"/>
    <sheet name="Tab. 3" sheetId="75" r:id="rId5"/>
    <sheet name="Tab. 4" sheetId="77" r:id="rId6"/>
    <sheet name="Tab. 5" sheetId="74" r:id="rId7"/>
    <sheet name="Tab. 6" sheetId="76" r:id="rId8"/>
    <sheet name="Tab. 7" sheetId="72" r:id="rId9"/>
    <sheet name="Tab. 8" sheetId="73" r:id="rId10"/>
  </sheets>
  <externalReferences>
    <externalReference r:id="rId11"/>
    <externalReference r:id="rId12"/>
  </externalReferences>
  <definedNames>
    <definedName name="_xlnm._FilterDatabase" localSheetId="3" hidden="1">'Tab. 2 '!$A$3:$C$48</definedName>
    <definedName name="_xlnm._FilterDatabase" localSheetId="4" hidden="1">'Tab. 3'!$A$2:$H$91</definedName>
    <definedName name="_xlnm._FilterDatabase" localSheetId="5" hidden="1">'Tab. 4'!$A$4:$L$99</definedName>
    <definedName name="_xlnm._FilterDatabase" localSheetId="6" hidden="1">'Tab. 5'!$A$5:$O$167</definedName>
    <definedName name="_xlnm._FilterDatabase" localSheetId="7" hidden="1">'Tab. 6'!$A$2:$J$53</definedName>
    <definedName name="_Hlk169680210" localSheetId="6">'Tab. 5'!#REF!</definedName>
    <definedName name="DF_GRID_1" localSheetId="1">#REF!</definedName>
    <definedName name="DF_GRID_1" localSheetId="2">#REF!</definedName>
    <definedName name="DF_GRID_1" localSheetId="3">#REF!</definedName>
    <definedName name="DF_GRID_1" localSheetId="4">#REF!</definedName>
    <definedName name="DF_GRID_1" localSheetId="5">#REF!</definedName>
    <definedName name="DF_GRID_1" localSheetId="6">#REF!</definedName>
    <definedName name="DF_GRID_1" localSheetId="7">#REF!</definedName>
    <definedName name="DF_GRID_1" localSheetId="8">#REF!</definedName>
    <definedName name="DF_GRID_1" localSheetId="9">#REF!</definedName>
    <definedName name="DF_GRID_1">#REF!</definedName>
    <definedName name="DF_GRID_2" localSheetId="4">#REF!</definedName>
    <definedName name="DF_GRID_2" localSheetId="5">#REF!</definedName>
    <definedName name="DF_GRID_2" localSheetId="6">#REF!</definedName>
    <definedName name="DF_GRID_2" localSheetId="7">#REF!</definedName>
    <definedName name="DF_GRID_2" localSheetId="8">#REF!</definedName>
    <definedName name="DF_GRID_2" localSheetId="9">#REF!</definedName>
    <definedName name="DF_GRID_2">#REF!</definedName>
    <definedName name="DF_GRID_3" localSheetId="4">#REF!</definedName>
    <definedName name="DF_GRID_3" localSheetId="5">#REF!</definedName>
    <definedName name="DF_GRID_3" localSheetId="6">#REF!</definedName>
    <definedName name="DF_GRID_3" localSheetId="7">#REF!</definedName>
    <definedName name="DF_GRID_3" localSheetId="8">#REF!</definedName>
    <definedName name="DF_GRID_3" localSheetId="9">#REF!</definedName>
    <definedName name="DF_GRID_3">#REF!</definedName>
    <definedName name="j">#REF!</definedName>
    <definedName name="kurz" localSheetId="1">[1]rozhodnutí!$N$31</definedName>
    <definedName name="kurz" localSheetId="2">[1]rozhodnutí!$N$31</definedName>
    <definedName name="kurz" localSheetId="3">[1]rozhodnutí!$N$31</definedName>
    <definedName name="kurz" localSheetId="4">[1]rozhodnutí!$N$31</definedName>
    <definedName name="kurz" localSheetId="5">[2]rozhodnutí!$N$31</definedName>
    <definedName name="kurz" localSheetId="6">[1]rozhodnutí!$N$31</definedName>
    <definedName name="kurz" localSheetId="7">[1]rozhodnutí!$N$31</definedName>
    <definedName name="kurz" localSheetId="8">[1]rozhodnutí!$N$31</definedName>
    <definedName name="kurz" localSheetId="9">[1]rozhodnutí!$N$31</definedName>
    <definedName name="kurz">[1]rozhodnutí!$N$31</definedName>
    <definedName name="kurz2">#REF!</definedName>
    <definedName name="_xlnm.Print_Titles" localSheetId="1">'Tab. 1 '!$5:$5</definedName>
    <definedName name="_xlnm.Print_Titles" localSheetId="2">'Tab. 1 VÝDAJE'!$2:$3</definedName>
    <definedName name="_xlnm.Print_Titles" localSheetId="3">'Tab. 2 '!$3:$4</definedName>
    <definedName name="_xlnm.Print_Titles" localSheetId="4">'Tab. 3'!$3:$5</definedName>
    <definedName name="_xlnm.Print_Titles" localSheetId="5">'Tab. 4'!$4:$5</definedName>
    <definedName name="_xlnm.Print_Titles" localSheetId="6">'Tab. 5'!$3:$5</definedName>
    <definedName name="_xlnm.Print_Titles" localSheetId="7">'Tab. 6'!$3:$5</definedName>
    <definedName name="_xlnm.Print_Area" localSheetId="1">'Tab. 1 '!$A$1:$H$59</definedName>
    <definedName name="_xlnm.Print_Area" localSheetId="3">'Tab. 2 '!$A$1:$F$69</definedName>
    <definedName name="_xlnm.Print_Area" localSheetId="4">'Tab. 3'!$A$1:$H$93</definedName>
    <definedName name="_xlnm.Print_Area" localSheetId="5">'Tab. 4'!$A$1:$L$99</definedName>
    <definedName name="_xlnm.Print_Area" localSheetId="6">'Tab. 5'!$B$1:$K$177</definedName>
    <definedName name="_xlnm.Print_Area" localSheetId="8">'Tab. 7'!$A$1:$P$53</definedName>
    <definedName name="_xlnm.Print_Area" localSheetId="9">'Tab. 8'!$A$1:$G$27</definedName>
    <definedName name="SAPBEXhrIndnt" hidden="1">"Wide"</definedName>
    <definedName name="SAPsysID" hidden="1">"708C5W7SBKP804JT78WJ0JNKI"</definedName>
    <definedName name="SAPwbID" hidden="1">"ARS"</definedName>
    <definedName name="Z_011A6C4B_2327_4720_A085_B414162D3D4F_.wvu.PrintTitles" localSheetId="3" hidden="1">'Tab. 2 '!$3:$3</definedName>
    <definedName name="Z_101071BA_2FA5_4A0F_9E83_07DE84746187_.wvu.PrintArea" localSheetId="1" hidden="1">'Tab. 1 '!$A$1:$H$57</definedName>
    <definedName name="Z_101071BA_2FA5_4A0F_9E83_07DE84746187_.wvu.PrintTitles" localSheetId="1" hidden="1">'Tab. 1 '!$5:$5</definedName>
    <definedName name="Z_101071BA_2FA5_4A0F_9E83_07DE84746187_.wvu.PrintTitles" localSheetId="2" hidden="1">'Tab. 1 VÝDAJE'!$2:$3</definedName>
    <definedName name="Z_101071BA_2FA5_4A0F_9E83_07DE84746187_.wvu.Rows" localSheetId="1" hidden="1">'Tab. 1 '!$25:$25</definedName>
    <definedName name="Z_101071BA_2FA5_4A0F_9E83_07DE84746187_.wvu.Rows" localSheetId="2" hidden="1">'Tab. 1 VÝDAJE'!#REF!</definedName>
    <definedName name="Z_49829188_FED5_46AD_A01B_AD023612A570_.wvu.Cols" localSheetId="1" hidden="1">'Tab. 1 '!#REF!</definedName>
    <definedName name="Z_49829188_FED5_46AD_A01B_AD023612A570_.wvu.Cols" localSheetId="2" hidden="1">'Tab. 1 VÝDAJE'!#REF!</definedName>
    <definedName name="Z_49829188_FED5_46AD_A01B_AD023612A570_.wvu.PrintArea" localSheetId="1" hidden="1">'Tab. 1 '!$A$5:$A$34</definedName>
    <definedName name="Z_49829188_FED5_46AD_A01B_AD023612A570_.wvu.PrintArea" localSheetId="2" hidden="1">'Tab. 1 VÝDAJE'!#REF!</definedName>
    <definedName name="Z_49829188_FED5_46AD_A01B_AD023612A570_.wvu.Rows" localSheetId="1" hidden="1">'Tab. 1 '!#REF!</definedName>
    <definedName name="Z_49829188_FED5_46AD_A01B_AD023612A570_.wvu.Rows" localSheetId="2" hidden="1">'Tab. 1 VÝDAJE'!#REF!</definedName>
    <definedName name="Z_6773646E_4FE1_4144_9FDF_4FF97C20B4A9_.wvu.PrintArea" localSheetId="1" hidden="1">'Tab. 1 '!$A$5:$C$34</definedName>
    <definedName name="Z_6773646E_4FE1_4144_9FDF_4FF97C20B4A9_.wvu.PrintArea" localSheetId="2" hidden="1">'Tab. 1 VÝDAJE'!#REF!</definedName>
    <definedName name="Z_6773646E_4FE1_4144_9FDF_4FF97C20B4A9_.wvu.Rows" localSheetId="1" hidden="1">'Tab. 1 '!$25:$25</definedName>
    <definedName name="Z_6773646E_4FE1_4144_9FDF_4FF97C20B4A9_.wvu.Rows" localSheetId="2" hidden="1">'Tab. 1 VÝDAJE'!#REF!</definedName>
    <definedName name="Z_BCCA6061_3DB5_4487_907E_7813A1F1537A_.wvu.PrintArea" localSheetId="1" hidden="1">'Tab. 1 '!$A$5:$C$34</definedName>
    <definedName name="Z_BCCA6061_3DB5_4487_907E_7813A1F1537A_.wvu.PrintArea" localSheetId="2" hidden="1">'Tab. 1 VÝDAJE'!#REF!</definedName>
    <definedName name="Z_BCCA6061_3DB5_4487_907E_7813A1F1537A_.wvu.Rows" localSheetId="1" hidden="1">'Tab. 1 '!$25:$25</definedName>
    <definedName name="Z_BCCA6061_3DB5_4487_907E_7813A1F1537A_.wvu.Rows" localSheetId="2" hidden="1">'Tab. 1 VÝDAJE'!#REF!</definedName>
    <definedName name="Z_E5D11231_1473_4685_9500_D27714D32333_.wvu.Cols" localSheetId="1" hidden="1">'Tab. 1 '!#REF!</definedName>
    <definedName name="Z_E5D11231_1473_4685_9500_D27714D32333_.wvu.Cols" localSheetId="2" hidden="1">'Tab. 1 VÝDAJE'!#REF!</definedName>
    <definedName name="Z_E5D11231_1473_4685_9500_D27714D32333_.wvu.Rows" localSheetId="1" hidden="1">'Tab. 1 '!#REF!</definedName>
    <definedName name="Z_E5D11231_1473_4685_9500_D27714D32333_.wvu.Rows" localSheetId="2" hidden="1">'Tab. 1 VÝDAJE'!#REF!</definedName>
    <definedName name="zzzz">#REF!</definedName>
  </definedNames>
  <calcPr calcId="191029"/>
  <customWorkbookViews>
    <customWorkbookView name="Metelka Tomáš – osobní zobrazení" guid="{101071BA-2FA5-4A0F-9E83-07DE84746187}" mergeInterval="0" personalView="1" maximized="1" xWindow="-8" yWindow="-8" windowWidth="1936" windowHeight="105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4" i="74" l="1"/>
  <c r="D7" i="74"/>
  <c r="D46" i="47" l="1"/>
  <c r="K97" i="77"/>
  <c r="J97" i="77"/>
  <c r="I97" i="77"/>
  <c r="H97" i="77"/>
  <c r="G96" i="77"/>
  <c r="G97" i="77" s="1"/>
  <c r="K94" i="77"/>
  <c r="J94" i="77"/>
  <c r="I94" i="77"/>
  <c r="H94" i="77"/>
  <c r="G93" i="77"/>
  <c r="G92" i="77"/>
  <c r="G91" i="77"/>
  <c r="G90" i="77"/>
  <c r="G89" i="77"/>
  <c r="G88" i="77"/>
  <c r="K86" i="77"/>
  <c r="J86" i="77"/>
  <c r="I86" i="77"/>
  <c r="H86" i="77"/>
  <c r="G85" i="77"/>
  <c r="G84" i="77"/>
  <c r="G83" i="77"/>
  <c r="G82" i="77"/>
  <c r="G81" i="77"/>
  <c r="G80" i="77"/>
  <c r="G79" i="77"/>
  <c r="G78" i="77"/>
  <c r="G77" i="77"/>
  <c r="G76" i="77"/>
  <c r="G75" i="77"/>
  <c r="G74" i="77"/>
  <c r="G73" i="77"/>
  <c r="G72" i="77"/>
  <c r="G71" i="77"/>
  <c r="G70" i="77"/>
  <c r="G69" i="77"/>
  <c r="G68" i="77"/>
  <c r="G67" i="77"/>
  <c r="G66" i="77"/>
  <c r="G65" i="77"/>
  <c r="G64" i="77"/>
  <c r="G63" i="77"/>
  <c r="G62" i="77"/>
  <c r="G61" i="77"/>
  <c r="G60" i="77"/>
  <c r="G59" i="77"/>
  <c r="G58" i="77"/>
  <c r="G57" i="77"/>
  <c r="G56" i="77"/>
  <c r="G55" i="77"/>
  <c r="G54" i="77"/>
  <c r="G53" i="77"/>
  <c r="G52" i="77"/>
  <c r="G51" i="77"/>
  <c r="G50" i="77"/>
  <c r="G49" i="77"/>
  <c r="G48" i="77"/>
  <c r="G47" i="77"/>
  <c r="G46" i="77"/>
  <c r="G45" i="77"/>
  <c r="G44" i="77"/>
  <c r="G43" i="77"/>
  <c r="G42" i="77"/>
  <c r="G41" i="77"/>
  <c r="K39" i="77"/>
  <c r="J39" i="77"/>
  <c r="I39" i="77"/>
  <c r="H39" i="77"/>
  <c r="G38" i="77"/>
  <c r="G37" i="77"/>
  <c r="G36" i="77"/>
  <c r="K34" i="77"/>
  <c r="J34" i="77"/>
  <c r="I34" i="77"/>
  <c r="H34" i="77"/>
  <c r="G33" i="77"/>
  <c r="G32" i="77"/>
  <c r="G31" i="77"/>
  <c r="G30" i="77"/>
  <c r="G29" i="77"/>
  <c r="G28" i="77"/>
  <c r="G27" i="77"/>
  <c r="K25" i="77"/>
  <c r="J25" i="77"/>
  <c r="I25" i="77"/>
  <c r="H25" i="77"/>
  <c r="G24" i="77"/>
  <c r="G23" i="77"/>
  <c r="K21" i="77"/>
  <c r="J21" i="77"/>
  <c r="I21" i="77"/>
  <c r="H21" i="77"/>
  <c r="G20" i="77"/>
  <c r="G19" i="77"/>
  <c r="G18" i="77"/>
  <c r="G17" i="77"/>
  <c r="G16" i="77"/>
  <c r="G15" i="77"/>
  <c r="G14" i="77"/>
  <c r="K12" i="77"/>
  <c r="J12" i="77"/>
  <c r="I12" i="77"/>
  <c r="H12" i="77"/>
  <c r="G11" i="77"/>
  <c r="G12" i="77" s="1"/>
  <c r="K9" i="77"/>
  <c r="J9" i="77"/>
  <c r="I9" i="77"/>
  <c r="H9" i="77"/>
  <c r="G8" i="77"/>
  <c r="G7" i="77"/>
  <c r="G9" i="77" s="1"/>
  <c r="G55" i="76"/>
  <c r="I53" i="76"/>
  <c r="H53" i="76"/>
  <c r="G53" i="76"/>
  <c r="B53" i="76"/>
  <c r="J52" i="76"/>
  <c r="C52" i="76"/>
  <c r="J51" i="76"/>
  <c r="J50" i="76"/>
  <c r="J53" i="76" s="1"/>
  <c r="I48" i="76"/>
  <c r="H48" i="76"/>
  <c r="G48" i="76"/>
  <c r="B48" i="76"/>
  <c r="J47" i="76"/>
  <c r="J48" i="76" s="1"/>
  <c r="I45" i="76"/>
  <c r="H45" i="76"/>
  <c r="G45" i="76"/>
  <c r="B45" i="76"/>
  <c r="J44" i="76"/>
  <c r="J43" i="76"/>
  <c r="J41" i="76"/>
  <c r="J40" i="76"/>
  <c r="J38" i="76"/>
  <c r="J37" i="76"/>
  <c r="J36" i="76"/>
  <c r="I33" i="76"/>
  <c r="H33" i="76"/>
  <c r="G33" i="76"/>
  <c r="B33" i="76"/>
  <c r="J31" i="76"/>
  <c r="J30" i="76"/>
  <c r="J29" i="76"/>
  <c r="J28" i="76"/>
  <c r="J27" i="76"/>
  <c r="J33" i="76" s="1"/>
  <c r="J25" i="76"/>
  <c r="I25" i="76"/>
  <c r="H25" i="76"/>
  <c r="G25" i="76"/>
  <c r="B25" i="76"/>
  <c r="I22" i="76"/>
  <c r="H22" i="76"/>
  <c r="G22" i="76"/>
  <c r="B22" i="76"/>
  <c r="J18" i="76"/>
  <c r="J17" i="76"/>
  <c r="J15" i="76"/>
  <c r="I13" i="76"/>
  <c r="H13" i="76"/>
  <c r="G13" i="76"/>
  <c r="B13" i="76"/>
  <c r="J12" i="76"/>
  <c r="J13" i="76" s="1"/>
  <c r="I10" i="76"/>
  <c r="H10" i="76"/>
  <c r="G10" i="76"/>
  <c r="B10" i="76"/>
  <c r="J9" i="76"/>
  <c r="J8" i="76"/>
  <c r="J7" i="76"/>
  <c r="J10" i="76" s="1"/>
  <c r="G25" i="77" l="1"/>
  <c r="I99" i="77"/>
  <c r="J99" i="77"/>
  <c r="G21" i="77"/>
  <c r="G39" i="77"/>
  <c r="G94" i="77"/>
  <c r="K99" i="77"/>
  <c r="G86" i="77"/>
  <c r="H99" i="77"/>
  <c r="G34" i="77"/>
  <c r="J22" i="76"/>
  <c r="I55" i="76"/>
  <c r="J45" i="76"/>
  <c r="J55" i="76" s="1"/>
  <c r="B55" i="76"/>
  <c r="H55" i="76"/>
  <c r="F91" i="75"/>
  <c r="F93" i="75" s="1"/>
  <c r="E91" i="75"/>
  <c r="E93" i="75" s="1"/>
  <c r="D91" i="75"/>
  <c r="D93" i="75" s="1"/>
  <c r="B91" i="75"/>
  <c r="B93" i="75" s="1"/>
  <c r="C90" i="75"/>
  <c r="C89" i="75"/>
  <c r="G88" i="75"/>
  <c r="C88" i="75"/>
  <c r="G87" i="75"/>
  <c r="C87" i="75" s="1"/>
  <c r="C86" i="75"/>
  <c r="G84" i="75"/>
  <c r="F84" i="75"/>
  <c r="E84" i="75"/>
  <c r="D84" i="75"/>
  <c r="C84" i="75"/>
  <c r="B84" i="75"/>
  <c r="C83" i="75"/>
  <c r="C82" i="75"/>
  <c r="G80" i="75"/>
  <c r="F80" i="75"/>
  <c r="E80" i="75"/>
  <c r="D80" i="75"/>
  <c r="B80" i="75"/>
  <c r="C79" i="75"/>
  <c r="C78" i="75"/>
  <c r="C77" i="75"/>
  <c r="C76" i="75"/>
  <c r="C75" i="75"/>
  <c r="C74" i="75"/>
  <c r="C73" i="75"/>
  <c r="C72" i="75"/>
  <c r="C71" i="75"/>
  <c r="C70" i="75"/>
  <c r="C69" i="75"/>
  <c r="C68" i="75"/>
  <c r="C67" i="75"/>
  <c r="C66" i="75"/>
  <c r="C65" i="75"/>
  <c r="C64" i="75"/>
  <c r="C63" i="75"/>
  <c r="C62" i="75"/>
  <c r="C61" i="75"/>
  <c r="C60" i="75"/>
  <c r="C59" i="75"/>
  <c r="C58" i="75"/>
  <c r="C57" i="75"/>
  <c r="C80" i="75" s="1"/>
  <c r="G55" i="75"/>
  <c r="F55" i="75"/>
  <c r="E55" i="75"/>
  <c r="D55" i="75"/>
  <c r="B55" i="75"/>
  <c r="C54" i="75"/>
  <c r="C53" i="75"/>
  <c r="C52" i="75"/>
  <c r="C51" i="75"/>
  <c r="C50" i="75"/>
  <c r="C49" i="75"/>
  <c r="C48" i="75"/>
  <c r="C47" i="75"/>
  <c r="C46" i="75"/>
  <c r="C45" i="75"/>
  <c r="C44" i="75"/>
  <c r="C43" i="75"/>
  <c r="C42" i="75"/>
  <c r="C41" i="75"/>
  <c r="C40" i="75"/>
  <c r="C39" i="75"/>
  <c r="C55" i="75" s="1"/>
  <c r="G37" i="75"/>
  <c r="F37" i="75"/>
  <c r="E37" i="75"/>
  <c r="D37" i="75"/>
  <c r="B37" i="75"/>
  <c r="C36" i="75"/>
  <c r="C35" i="75"/>
  <c r="C37" i="75" s="1"/>
  <c r="G33" i="75"/>
  <c r="F33" i="75"/>
  <c r="E33" i="75"/>
  <c r="D33" i="75"/>
  <c r="B33" i="75"/>
  <c r="C32" i="75"/>
  <c r="C31" i="75"/>
  <c r="C30" i="75"/>
  <c r="C33" i="75" s="1"/>
  <c r="G28" i="75"/>
  <c r="F28" i="75"/>
  <c r="E28" i="75"/>
  <c r="D28" i="75"/>
  <c r="B28" i="75"/>
  <c r="C27" i="75"/>
  <c r="C26" i="75"/>
  <c r="C25" i="75"/>
  <c r="C24" i="75"/>
  <c r="C23" i="75"/>
  <c r="C22" i="75"/>
  <c r="C21" i="75"/>
  <c r="C28" i="75" s="1"/>
  <c r="G19" i="75"/>
  <c r="F19" i="75"/>
  <c r="E19" i="75"/>
  <c r="D19" i="75"/>
  <c r="C19" i="75"/>
  <c r="B19" i="75"/>
  <c r="C18" i="75"/>
  <c r="G16" i="75"/>
  <c r="F16" i="75"/>
  <c r="E16" i="75"/>
  <c r="D16" i="75"/>
  <c r="B16" i="75"/>
  <c r="C15" i="75"/>
  <c r="C16" i="75" s="1"/>
  <c r="C14" i="75"/>
  <c r="G12" i="75"/>
  <c r="F12" i="75"/>
  <c r="E12" i="75"/>
  <c r="D12" i="75"/>
  <c r="B12" i="75"/>
  <c r="C11" i="75"/>
  <c r="C10" i="75"/>
  <c r="C9" i="75"/>
  <c r="C8" i="75"/>
  <c r="C7" i="75"/>
  <c r="C12" i="75" s="1"/>
  <c r="G99" i="77" l="1"/>
  <c r="C91" i="75"/>
  <c r="C93" i="75" s="1"/>
  <c r="G91" i="75"/>
  <c r="G93" i="75" s="1"/>
  <c r="H173" i="74" l="1"/>
  <c r="G173" i="74"/>
  <c r="F173" i="74"/>
  <c r="E173" i="74"/>
  <c r="D172" i="74"/>
  <c r="D173" i="74" s="1"/>
  <c r="H167" i="74"/>
  <c r="G167" i="74"/>
  <c r="F167" i="74"/>
  <c r="E167" i="74"/>
  <c r="D166" i="74"/>
  <c r="D165" i="74"/>
  <c r="D163" i="74"/>
  <c r="D167" i="74" s="1"/>
  <c r="D162" i="74"/>
  <c r="H160" i="74"/>
  <c r="G160" i="74"/>
  <c r="F160" i="74"/>
  <c r="E160" i="74"/>
  <c r="D159" i="74"/>
  <c r="D160" i="74" s="1"/>
  <c r="D158" i="74"/>
  <c r="D157" i="74"/>
  <c r="D156" i="74"/>
  <c r="D155" i="74"/>
  <c r="D154" i="74"/>
  <c r="D153" i="74"/>
  <c r="D152" i="74"/>
  <c r="H150" i="74"/>
  <c r="G150" i="74"/>
  <c r="F150" i="74"/>
  <c r="E150" i="74"/>
  <c r="D149" i="74"/>
  <c r="D150" i="74" s="1"/>
  <c r="H147" i="74"/>
  <c r="G147" i="74"/>
  <c r="F147" i="74"/>
  <c r="E147" i="74"/>
  <c r="D146" i="74"/>
  <c r="D145" i="74"/>
  <c r="D144" i="74"/>
  <c r="D143" i="74"/>
  <c r="D142" i="74"/>
  <c r="D141" i="74"/>
  <c r="D140" i="74"/>
  <c r="D139" i="74"/>
  <c r="D138" i="74"/>
  <c r="D137" i="74"/>
  <c r="H135" i="74"/>
  <c r="G135" i="74"/>
  <c r="F135" i="74"/>
  <c r="E135" i="74"/>
  <c r="D134" i="74"/>
  <c r="D133" i="74"/>
  <c r="D132" i="74"/>
  <c r="D135" i="74" s="1"/>
  <c r="H130" i="74"/>
  <c r="G130" i="74"/>
  <c r="F130" i="74"/>
  <c r="E130" i="74"/>
  <c r="D129" i="74"/>
  <c r="E128" i="74"/>
  <c r="D128" i="74"/>
  <c r="D127" i="74"/>
  <c r="D126" i="74"/>
  <c r="D125" i="74"/>
  <c r="D124" i="74"/>
  <c r="D123" i="74"/>
  <c r="D122" i="74"/>
  <c r="D121" i="74"/>
  <c r="D120" i="74"/>
  <c r="D119" i="74"/>
  <c r="D118" i="74"/>
  <c r="D117" i="74"/>
  <c r="D116" i="74"/>
  <c r="D115" i="74"/>
  <c r="D114" i="74"/>
  <c r="D113" i="74"/>
  <c r="D112" i="74"/>
  <c r="D111" i="74"/>
  <c r="D130" i="74" s="1"/>
  <c r="H109" i="74"/>
  <c r="G109" i="74"/>
  <c r="F109" i="74"/>
  <c r="D108" i="74"/>
  <c r="D107" i="74"/>
  <c r="D106" i="74"/>
  <c r="D105" i="74"/>
  <c r="D104" i="74"/>
  <c r="D103" i="74"/>
  <c r="D102" i="74"/>
  <c r="D101" i="74"/>
  <c r="E100" i="74"/>
  <c r="D100" i="74"/>
  <c r="D99" i="74"/>
  <c r="E98" i="74"/>
  <c r="E109" i="74" s="1"/>
  <c r="D98" i="74"/>
  <c r="D97" i="74"/>
  <c r="D96" i="74"/>
  <c r="D95" i="74"/>
  <c r="D109" i="74" s="1"/>
  <c r="D94" i="74"/>
  <c r="D93" i="74"/>
  <c r="H91" i="74"/>
  <c r="G91" i="74"/>
  <c r="F91" i="74"/>
  <c r="E91" i="74"/>
  <c r="D90" i="74"/>
  <c r="D91" i="74" s="1"/>
  <c r="H88" i="74"/>
  <c r="G88" i="74"/>
  <c r="F88" i="74"/>
  <c r="E88" i="74"/>
  <c r="D87" i="74"/>
  <c r="D88" i="74" s="1"/>
  <c r="D86" i="74"/>
  <c r="D85" i="74"/>
  <c r="H83" i="74"/>
  <c r="G83" i="74"/>
  <c r="F83" i="74"/>
  <c r="E83" i="74"/>
  <c r="D82" i="74"/>
  <c r="D83" i="74" s="1"/>
  <c r="D81" i="74"/>
  <c r="H79" i="74"/>
  <c r="G79" i="74"/>
  <c r="F79" i="74"/>
  <c r="E79" i="74"/>
  <c r="D78" i="74"/>
  <c r="D77" i="74"/>
  <c r="D76" i="74"/>
  <c r="D75" i="74"/>
  <c r="D79" i="74" s="1"/>
  <c r="D74" i="74"/>
  <c r="D73" i="74"/>
  <c r="H70" i="74"/>
  <c r="G70" i="74"/>
  <c r="F70" i="74"/>
  <c r="E70" i="74"/>
  <c r="D69" i="74"/>
  <c r="D68" i="74"/>
  <c r="D70" i="74" s="1"/>
  <c r="D67" i="74"/>
  <c r="D66" i="74"/>
  <c r="D65" i="74"/>
  <c r="H64" i="74"/>
  <c r="G64" i="74"/>
  <c r="G71" i="74" s="1"/>
  <c r="F64" i="74"/>
  <c r="E64" i="74"/>
  <c r="D64" i="74"/>
  <c r="D63" i="74"/>
  <c r="H62" i="74"/>
  <c r="G62" i="74"/>
  <c r="D61" i="74"/>
  <c r="E60" i="74"/>
  <c r="D60" i="74" s="1"/>
  <c r="D59" i="74"/>
  <c r="D58" i="74"/>
  <c r="D57" i="74"/>
  <c r="D56" i="74"/>
  <c r="D55" i="74"/>
  <c r="D54" i="74"/>
  <c r="D53" i="74"/>
  <c r="D52" i="74"/>
  <c r="D51" i="74"/>
  <c r="D50" i="74"/>
  <c r="D49" i="74"/>
  <c r="D48" i="74"/>
  <c r="D47" i="74"/>
  <c r="D46" i="74"/>
  <c r="D45" i="74"/>
  <c r="D44" i="74"/>
  <c r="D43" i="74"/>
  <c r="D42" i="74"/>
  <c r="D41" i="74"/>
  <c r="D40" i="74"/>
  <c r="D39" i="74"/>
  <c r="F38" i="74"/>
  <c r="F62" i="74" s="1"/>
  <c r="D38" i="74"/>
  <c r="D37" i="74"/>
  <c r="D36" i="74"/>
  <c r="E35" i="74"/>
  <c r="D34" i="74"/>
  <c r="D33" i="74"/>
  <c r="D32" i="74"/>
  <c r="D31" i="74"/>
  <c r="G30" i="74"/>
  <c r="G35" i="74" s="1"/>
  <c r="F30" i="74"/>
  <c r="D30" i="74" s="1"/>
  <c r="H29" i="74"/>
  <c r="H35" i="74" s="1"/>
  <c r="H71" i="74" s="1"/>
  <c r="D29" i="74"/>
  <c r="D35" i="74" s="1"/>
  <c r="D28" i="74"/>
  <c r="D27" i="74"/>
  <c r="H25" i="74"/>
  <c r="G25" i="74"/>
  <c r="F25" i="74"/>
  <c r="E25" i="74"/>
  <c r="D24" i="74"/>
  <c r="D23" i="74"/>
  <c r="D22" i="74"/>
  <c r="D21" i="74"/>
  <c r="D20" i="74"/>
  <c r="D19" i="74"/>
  <c r="D18" i="74"/>
  <c r="D17" i="74"/>
  <c r="D16" i="74"/>
  <c r="D25" i="74" s="1"/>
  <c r="D15" i="74"/>
  <c r="D14" i="74"/>
  <c r="H12" i="74"/>
  <c r="G12" i="74"/>
  <c r="F12" i="74"/>
  <c r="E12" i="74"/>
  <c r="D11" i="74"/>
  <c r="D10" i="74"/>
  <c r="D9" i="74"/>
  <c r="D8" i="74"/>
  <c r="G175" i="74" l="1"/>
  <c r="D147" i="74"/>
  <c r="D12" i="74"/>
  <c r="D62" i="74"/>
  <c r="D71" i="74" s="1"/>
  <c r="H175" i="74"/>
  <c r="E62" i="74"/>
  <c r="E71" i="74" s="1"/>
  <c r="E175" i="74" s="1"/>
  <c r="F35" i="74"/>
  <c r="F71" i="74" s="1"/>
  <c r="F175" i="74" s="1"/>
  <c r="D175" i="74" l="1"/>
  <c r="B24" i="73"/>
  <c r="G23" i="73"/>
  <c r="G24" i="73" s="1"/>
  <c r="F23" i="73"/>
  <c r="F24" i="73" s="1"/>
  <c r="E23" i="73"/>
  <c r="E24" i="73" s="1"/>
  <c r="D23" i="73"/>
  <c r="D24" i="73" s="1"/>
  <c r="C23" i="73"/>
  <c r="C24" i="73" s="1"/>
  <c r="G10" i="73"/>
  <c r="G12" i="73" s="1"/>
  <c r="F10" i="73"/>
  <c r="F12" i="73" s="1"/>
  <c r="E10" i="73"/>
  <c r="E12" i="73" s="1"/>
  <c r="D10" i="73"/>
  <c r="D12" i="73" s="1"/>
  <c r="C10" i="73"/>
  <c r="C12" i="73" s="1"/>
  <c r="B10" i="73"/>
  <c r="B12" i="73" s="1"/>
  <c r="P16" i="72"/>
  <c r="O16" i="72"/>
  <c r="P15" i="72"/>
  <c r="O15" i="72"/>
  <c r="P14" i="72"/>
  <c r="O14" i="72"/>
  <c r="P13" i="72"/>
  <c r="O13" i="72"/>
  <c r="P12" i="72"/>
  <c r="O12" i="72"/>
  <c r="P11" i="72"/>
  <c r="O11" i="72"/>
  <c r="P10" i="72"/>
  <c r="O10" i="72"/>
  <c r="P9" i="72"/>
  <c r="O9" i="72"/>
  <c r="P8" i="72"/>
  <c r="O8" i="72"/>
  <c r="E8" i="72"/>
  <c r="E9" i="72" s="1"/>
  <c r="P7" i="72"/>
  <c r="O7" i="72"/>
  <c r="E7" i="72"/>
  <c r="N7" i="72" s="1"/>
  <c r="P6" i="72"/>
  <c r="O6" i="72"/>
  <c r="N6" i="72"/>
  <c r="N9" i="72" l="1"/>
  <c r="E10" i="72"/>
  <c r="N8" i="72"/>
  <c r="N10" i="72" l="1"/>
  <c r="E11" i="72"/>
  <c r="N11" i="72" l="1"/>
  <c r="E12" i="72"/>
  <c r="E13" i="72" l="1"/>
  <c r="N12" i="72"/>
  <c r="N13" i="72" l="1"/>
  <c r="E14" i="72"/>
  <c r="N14" i="72" l="1"/>
  <c r="E15" i="72"/>
  <c r="N15" i="72" l="1"/>
  <c r="E16" i="72"/>
  <c r="N16" i="72" s="1"/>
  <c r="E46" i="47" l="1"/>
  <c r="C46" i="47"/>
  <c r="F48" i="47"/>
  <c r="F38" i="47"/>
  <c r="G38" i="47"/>
  <c r="B35" i="47"/>
  <c r="E26" i="47"/>
  <c r="D26" i="47"/>
  <c r="C26" i="47"/>
  <c r="B26" i="47"/>
  <c r="E25" i="47"/>
  <c r="D25" i="47"/>
  <c r="C25" i="47"/>
  <c r="B25" i="47"/>
  <c r="E23" i="47"/>
  <c r="D23" i="47"/>
  <c r="C23" i="47"/>
  <c r="B23" i="47"/>
  <c r="E22" i="47" l="1"/>
  <c r="D22" i="47"/>
  <c r="C22" i="47"/>
  <c r="B22" i="47"/>
  <c r="E21" i="47"/>
  <c r="D21" i="47"/>
  <c r="C21" i="47"/>
  <c r="B21" i="47"/>
  <c r="E20" i="47"/>
  <c r="D20" i="47"/>
  <c r="C20" i="47"/>
  <c r="B20" i="47"/>
  <c r="E18" i="47"/>
  <c r="D18" i="47"/>
  <c r="C18" i="47"/>
  <c r="B18" i="47"/>
  <c r="E17" i="47"/>
  <c r="D17" i="47"/>
  <c r="C17" i="47"/>
  <c r="B17" i="47"/>
  <c r="H65" i="47"/>
  <c r="G65" i="47"/>
  <c r="F65" i="47"/>
  <c r="F64" i="47"/>
  <c r="G49" i="46"/>
  <c r="F49" i="46"/>
  <c r="E51" i="46"/>
  <c r="D51" i="46"/>
  <c r="C51" i="46"/>
  <c r="B51" i="46"/>
  <c r="F43" i="46"/>
  <c r="G43" i="46"/>
  <c r="H43" i="46"/>
  <c r="F44" i="46"/>
  <c r="G44" i="46"/>
  <c r="H44" i="46"/>
  <c r="F45" i="46"/>
  <c r="G45" i="46"/>
  <c r="H45" i="46"/>
  <c r="F46" i="46"/>
  <c r="G46" i="46"/>
  <c r="H46" i="46"/>
  <c r="F47" i="46"/>
  <c r="G47" i="46"/>
  <c r="G48" i="46"/>
  <c r="F50" i="46"/>
  <c r="G50" i="46"/>
  <c r="H50" i="46"/>
  <c r="F52" i="46"/>
  <c r="G52" i="46"/>
  <c r="H52" i="46"/>
  <c r="E32" i="46"/>
  <c r="D32" i="46"/>
  <c r="C32" i="46"/>
  <c r="B32" i="46"/>
  <c r="H37" i="46"/>
  <c r="G37" i="46"/>
  <c r="F37" i="46"/>
  <c r="E35" i="47" l="1"/>
  <c r="D35" i="47"/>
  <c r="C35" i="47"/>
  <c r="H39" i="47"/>
  <c r="G39" i="47"/>
  <c r="F39" i="47"/>
  <c r="H34" i="47"/>
  <c r="G34" i="47"/>
  <c r="F34" i="47"/>
  <c r="F23" i="49"/>
  <c r="E23" i="49"/>
  <c r="D23" i="49"/>
  <c r="F67" i="49" l="1"/>
  <c r="E67" i="49"/>
  <c r="D67" i="49"/>
  <c r="C67" i="49"/>
  <c r="F49" i="49"/>
  <c r="E49" i="49"/>
  <c r="D49" i="49"/>
  <c r="C49" i="49"/>
  <c r="F40" i="49"/>
  <c r="E40" i="49"/>
  <c r="D40" i="49"/>
  <c r="C40" i="49"/>
  <c r="E62" i="49"/>
  <c r="E48" i="49"/>
  <c r="E37" i="49"/>
  <c r="E35" i="49"/>
  <c r="E7" i="49"/>
  <c r="E33" i="49" l="1"/>
  <c r="E5" i="49"/>
  <c r="E69" i="49" s="1"/>
  <c r="F7" i="49" l="1"/>
  <c r="D7" i="49"/>
  <c r="C7" i="49"/>
  <c r="F62" i="49" l="1"/>
  <c r="D62" i="49"/>
  <c r="C62" i="49"/>
  <c r="B43" i="47" l="1"/>
  <c r="B21" i="46" s="1"/>
  <c r="F45" i="47"/>
  <c r="G45" i="47"/>
  <c r="H45" i="47"/>
  <c r="F57" i="47"/>
  <c r="G57" i="47"/>
  <c r="F58" i="47"/>
  <c r="G58" i="47"/>
  <c r="F59" i="47"/>
  <c r="G59" i="47"/>
  <c r="H59" i="47"/>
  <c r="F60" i="47"/>
  <c r="G60" i="47"/>
  <c r="H60" i="47"/>
  <c r="F61" i="47"/>
  <c r="G61" i="47"/>
  <c r="H61" i="47"/>
  <c r="F62" i="47"/>
  <c r="G62" i="47"/>
  <c r="H62" i="47"/>
  <c r="F63" i="47"/>
  <c r="G63" i="47"/>
  <c r="H63" i="47"/>
  <c r="F66" i="47"/>
  <c r="G66" i="47"/>
  <c r="H66" i="47"/>
  <c r="E27" i="47"/>
  <c r="D27" i="47"/>
  <c r="C27" i="47"/>
  <c r="B27" i="47"/>
  <c r="H36" i="47"/>
  <c r="G36" i="47"/>
  <c r="C43" i="47" l="1"/>
  <c r="C21" i="46" s="1"/>
  <c r="D43" i="47"/>
  <c r="D21" i="46" s="1"/>
  <c r="E43" i="47"/>
  <c r="E21" i="46" s="1"/>
  <c r="H70" i="47"/>
  <c r="G70" i="47"/>
  <c r="F56" i="47"/>
  <c r="G56" i="47"/>
  <c r="H56" i="47"/>
  <c r="F46" i="47"/>
  <c r="G46" i="47"/>
  <c r="H46" i="47"/>
  <c r="F47" i="47"/>
  <c r="G47" i="47"/>
  <c r="H47" i="47"/>
  <c r="F49" i="47"/>
  <c r="G49" i="47"/>
  <c r="H49" i="47"/>
  <c r="F50" i="47"/>
  <c r="G50" i="47"/>
  <c r="H50" i="47"/>
  <c r="F51" i="47"/>
  <c r="G51" i="47"/>
  <c r="H51" i="47"/>
  <c r="F52" i="47"/>
  <c r="G52" i="47"/>
  <c r="H52" i="47"/>
  <c r="F53" i="47"/>
  <c r="G53" i="47"/>
  <c r="H53" i="47"/>
  <c r="F36" i="47"/>
  <c r="F37" i="47"/>
  <c r="G37" i="47"/>
  <c r="H37" i="47"/>
  <c r="C37" i="49" l="1"/>
  <c r="D37" i="49"/>
  <c r="F37" i="49"/>
  <c r="C16" i="46" l="1"/>
  <c r="D16" i="46"/>
  <c r="E16" i="46"/>
  <c r="C23" i="46"/>
  <c r="D23" i="46"/>
  <c r="E23" i="46"/>
  <c r="C24" i="46"/>
  <c r="D24" i="46"/>
  <c r="E24" i="46"/>
  <c r="B24" i="46"/>
  <c r="B23" i="46"/>
  <c r="B16" i="46"/>
  <c r="F48" i="49" l="1"/>
  <c r="F35" i="49"/>
  <c r="F33" i="49" s="1"/>
  <c r="D35" i="49"/>
  <c r="C35" i="49"/>
  <c r="C23" i="49"/>
  <c r="D48" i="49" l="1"/>
  <c r="D33" i="49" s="1"/>
  <c r="C48" i="49"/>
  <c r="C33" i="49" s="1"/>
  <c r="H68" i="47" l="1"/>
  <c r="G68" i="47"/>
  <c r="F68" i="47"/>
  <c r="E55" i="47"/>
  <c r="D55" i="47"/>
  <c r="D22" i="46" s="1"/>
  <c r="C55" i="47"/>
  <c r="B55" i="47"/>
  <c r="B22" i="46" s="1"/>
  <c r="H44" i="47"/>
  <c r="G44" i="47"/>
  <c r="F44" i="47"/>
  <c r="H41" i="47"/>
  <c r="G41" i="47"/>
  <c r="F41" i="47"/>
  <c r="E20" i="46"/>
  <c r="D20" i="46"/>
  <c r="B20" i="46"/>
  <c r="H33" i="47"/>
  <c r="G33" i="47"/>
  <c r="F33" i="47"/>
  <c r="H32" i="47"/>
  <c r="G32" i="47"/>
  <c r="F32" i="47"/>
  <c r="H31" i="47"/>
  <c r="G31" i="47"/>
  <c r="F31" i="47"/>
  <c r="H30" i="47"/>
  <c r="G30" i="47"/>
  <c r="F30" i="47"/>
  <c r="H29" i="47"/>
  <c r="G29" i="47"/>
  <c r="F29" i="47"/>
  <c r="H28" i="47"/>
  <c r="G28" i="47"/>
  <c r="F28" i="47"/>
  <c r="E19" i="46"/>
  <c r="D19" i="46"/>
  <c r="B19" i="46"/>
  <c r="H26" i="47"/>
  <c r="G26" i="47"/>
  <c r="F26" i="47"/>
  <c r="H25" i="47"/>
  <c r="G25" i="47"/>
  <c r="F25" i="47"/>
  <c r="H24" i="47"/>
  <c r="G24" i="47"/>
  <c r="F24" i="47"/>
  <c r="H23" i="47"/>
  <c r="G23" i="47"/>
  <c r="F23" i="47"/>
  <c r="H22" i="47"/>
  <c r="G22" i="47"/>
  <c r="F22" i="47"/>
  <c r="H21" i="47"/>
  <c r="G21" i="47"/>
  <c r="F21" i="47"/>
  <c r="H20" i="47"/>
  <c r="G20" i="47"/>
  <c r="F20" i="47"/>
  <c r="H19" i="47"/>
  <c r="G19" i="47"/>
  <c r="F19" i="47"/>
  <c r="H18" i="47"/>
  <c r="G18" i="47"/>
  <c r="F18" i="47"/>
  <c r="H17" i="47"/>
  <c r="G17" i="47"/>
  <c r="F17" i="47"/>
  <c r="H16" i="47"/>
  <c r="G16" i="47"/>
  <c r="F16" i="47"/>
  <c r="H15" i="47"/>
  <c r="G15" i="47"/>
  <c r="F15" i="47"/>
  <c r="H14" i="47"/>
  <c r="G14" i="47"/>
  <c r="F14" i="47"/>
  <c r="H13" i="47"/>
  <c r="G13" i="47"/>
  <c r="F13" i="47"/>
  <c r="E12" i="47"/>
  <c r="D12" i="47"/>
  <c r="D18" i="46" s="1"/>
  <c r="C12" i="47"/>
  <c r="C18" i="46" s="1"/>
  <c r="B12" i="47"/>
  <c r="B18" i="46" s="1"/>
  <c r="H11" i="47"/>
  <c r="G11" i="47"/>
  <c r="F11" i="47"/>
  <c r="H10" i="47"/>
  <c r="G10" i="47"/>
  <c r="F10" i="47"/>
  <c r="H9" i="47"/>
  <c r="G9" i="47"/>
  <c r="F9" i="47"/>
  <c r="H8" i="47"/>
  <c r="G8" i="47"/>
  <c r="F8" i="47"/>
  <c r="H7" i="47"/>
  <c r="G7" i="47"/>
  <c r="F7" i="47"/>
  <c r="H6" i="47"/>
  <c r="G6" i="47"/>
  <c r="F6" i="47"/>
  <c r="E5" i="47"/>
  <c r="D5" i="47"/>
  <c r="C5" i="47"/>
  <c r="B5" i="47"/>
  <c r="H4" i="47"/>
  <c r="G4" i="47"/>
  <c r="F4" i="47"/>
  <c r="H58" i="46"/>
  <c r="G58" i="46"/>
  <c r="F58" i="46"/>
  <c r="H57" i="46"/>
  <c r="G57" i="46"/>
  <c r="F57" i="46"/>
  <c r="H56" i="46"/>
  <c r="G56" i="46"/>
  <c r="F56" i="46"/>
  <c r="H55" i="46"/>
  <c r="G55" i="46"/>
  <c r="F55" i="46"/>
  <c r="H54" i="46"/>
  <c r="G54" i="46"/>
  <c r="F54" i="46"/>
  <c r="E53" i="46"/>
  <c r="E10" i="46" s="1"/>
  <c r="D53" i="46"/>
  <c r="D10" i="46" s="1"/>
  <c r="C53" i="46"/>
  <c r="C10" i="46" s="1"/>
  <c r="B53" i="46"/>
  <c r="B10" i="46" s="1"/>
  <c r="G51" i="46"/>
  <c r="H42" i="46"/>
  <c r="G42" i="46"/>
  <c r="F42" i="46"/>
  <c r="H41" i="46"/>
  <c r="G41" i="46"/>
  <c r="F41" i="46"/>
  <c r="H40" i="46"/>
  <c r="G40" i="46"/>
  <c r="F40" i="46"/>
  <c r="E39" i="46"/>
  <c r="E8" i="46" s="1"/>
  <c r="D39" i="46"/>
  <c r="D8" i="46" s="1"/>
  <c r="C39" i="46"/>
  <c r="C8" i="46" s="1"/>
  <c r="B39" i="46"/>
  <c r="B8" i="46" s="1"/>
  <c r="H38" i="46"/>
  <c r="G38" i="46"/>
  <c r="F38" i="46"/>
  <c r="H36" i="46"/>
  <c r="G36" i="46"/>
  <c r="F36" i="46"/>
  <c r="H35" i="46"/>
  <c r="G35" i="46"/>
  <c r="F35" i="46"/>
  <c r="H34" i="46"/>
  <c r="G34" i="46"/>
  <c r="F34" i="46"/>
  <c r="H33" i="46"/>
  <c r="G33" i="46"/>
  <c r="F33" i="46"/>
  <c r="E11" i="46"/>
  <c r="D11" i="46"/>
  <c r="C11" i="46"/>
  <c r="B11" i="46"/>
  <c r="E9" i="46" l="1"/>
  <c r="H51" i="46"/>
  <c r="C9" i="46"/>
  <c r="E59" i="46"/>
  <c r="C59" i="46"/>
  <c r="D59" i="46"/>
  <c r="B72" i="47"/>
  <c r="C72" i="47"/>
  <c r="D72" i="47"/>
  <c r="E72" i="47"/>
  <c r="B17" i="46"/>
  <c r="B15" i="46" s="1"/>
  <c r="D17" i="46"/>
  <c r="D15" i="46" s="1"/>
  <c r="E22" i="46"/>
  <c r="F27" i="47"/>
  <c r="C19" i="46"/>
  <c r="F5" i="47"/>
  <c r="C17" i="46"/>
  <c r="H5" i="47"/>
  <c r="E17" i="46"/>
  <c r="F35" i="47"/>
  <c r="C20" i="46"/>
  <c r="H12" i="47"/>
  <c r="E18" i="46"/>
  <c r="F55" i="47"/>
  <c r="C22" i="46"/>
  <c r="H55" i="47"/>
  <c r="C7" i="46"/>
  <c r="D9" i="46"/>
  <c r="H43" i="47"/>
  <c r="B7" i="46"/>
  <c r="H27" i="47"/>
  <c r="E7" i="46"/>
  <c r="G39" i="46"/>
  <c r="F53" i="46"/>
  <c r="H39" i="46"/>
  <c r="D7" i="46"/>
  <c r="H53" i="46"/>
  <c r="F12" i="47"/>
  <c r="G27" i="47"/>
  <c r="G55" i="47"/>
  <c r="G12" i="47"/>
  <c r="G35" i="47"/>
  <c r="F43" i="47"/>
  <c r="G43" i="47"/>
  <c r="H35" i="47"/>
  <c r="G5" i="47"/>
  <c r="F39" i="46"/>
  <c r="F32" i="46"/>
  <c r="H32" i="46"/>
  <c r="G53" i="46"/>
  <c r="G32" i="46"/>
  <c r="E6" i="46" l="1"/>
  <c r="E15" i="46"/>
  <c r="C15" i="46"/>
  <c r="G59" i="46"/>
  <c r="H59" i="46"/>
  <c r="C6" i="46"/>
  <c r="D6" i="46"/>
  <c r="D25" i="46" s="1"/>
  <c r="H72" i="47"/>
  <c r="F72" i="47"/>
  <c r="G72" i="47"/>
  <c r="E25" i="46" l="1"/>
  <c r="C25" i="46"/>
  <c r="F5" i="49" l="1"/>
  <c r="F69" i="49" s="1"/>
  <c r="C5" i="49"/>
  <c r="C69" i="49" s="1"/>
  <c r="D5" i="49"/>
  <c r="D69" i="49" s="1"/>
  <c r="B59" i="46" l="1"/>
  <c r="F59" i="46" s="1"/>
  <c r="B9" i="46"/>
  <c r="B6" i="46" s="1"/>
  <c r="B25" i="46" s="1"/>
  <c r="F51" i="46"/>
</calcChain>
</file>

<file path=xl/sharedStrings.xml><?xml version="1.0" encoding="utf-8"?>
<sst xmlns="http://schemas.openxmlformats.org/spreadsheetml/2006/main" count="1570" uniqueCount="980">
  <si>
    <t>BILANCE v tis. Kč</t>
  </si>
  <si>
    <t xml:space="preserve">PŘÍJMY CELKEM </t>
  </si>
  <si>
    <t>Daňové příjmy</t>
  </si>
  <si>
    <t>Nedaňové příjmy</t>
  </si>
  <si>
    <t>Kapitálové příjmy</t>
  </si>
  <si>
    <t>FINANCOVÁNÍ CELKEM (další zdroje rozpočtu)</t>
  </si>
  <si>
    <t>x</t>
  </si>
  <si>
    <t>VÝDAJE CELKEM</t>
  </si>
  <si>
    <t>Běžné výdaje na zastupitelstvo kraje a krajský úřad</t>
  </si>
  <si>
    <t>Finance a správa majetku</t>
  </si>
  <si>
    <t>Příspěvek na provoz příspěvkovým organizacím</t>
  </si>
  <si>
    <t>SALDO ROZPOČTU CELKEM</t>
  </si>
  <si>
    <t>PŘÍJMY v tis. Kč</t>
  </si>
  <si>
    <t xml:space="preserve"> - příjmy ze sdílených daní celkem</t>
  </si>
  <si>
    <t xml:space="preserve"> - daň z příjmů právnických osob za kraj</t>
  </si>
  <si>
    <t xml:space="preserve"> - správní poplatky</t>
  </si>
  <si>
    <t xml:space="preserve"> - příjmy z úroků</t>
  </si>
  <si>
    <t xml:space="preserve"> - poplatky za odběr podzemní vody</t>
  </si>
  <si>
    <t xml:space="preserve"> - příjmy za věcná břemena</t>
  </si>
  <si>
    <t xml:space="preserve"> - ostatní nedaňové příjmy</t>
  </si>
  <si>
    <t xml:space="preserve"> - příjmy z prodeje nemovitostí</t>
  </si>
  <si>
    <t>Přijaté transfery</t>
  </si>
  <si>
    <t>VÝDAJE v tis. Kč</t>
  </si>
  <si>
    <t xml:space="preserve"> - platby daní</t>
  </si>
  <si>
    <t xml:space="preserve"> - hrazené úroky z úvěrů</t>
  </si>
  <si>
    <t xml:space="preserve"> - pojištění majetku a odpovědnosti kraje</t>
  </si>
  <si>
    <t xml:space="preserve"> - rezerva na mimořádné akce a akce s nedořešeným financováním</t>
  </si>
  <si>
    <t xml:space="preserve"> - ostatní</t>
  </si>
  <si>
    <t xml:space="preserve"> - krizové řízení</t>
  </si>
  <si>
    <t xml:space="preserve"> - kultura</t>
  </si>
  <si>
    <t xml:space="preserve"> - prezentace kraje a ediční plán</t>
  </si>
  <si>
    <t xml:space="preserve"> - regionální rozvoj</t>
  </si>
  <si>
    <t xml:space="preserve"> - cestovní ruch</t>
  </si>
  <si>
    <t xml:space="preserve"> - sociální věci</t>
  </si>
  <si>
    <t xml:space="preserve"> - školství</t>
  </si>
  <si>
    <t xml:space="preserve"> - územní plánování a stavební řád</t>
  </si>
  <si>
    <t xml:space="preserve"> - zdravotnictví</t>
  </si>
  <si>
    <t xml:space="preserve"> - životní prostředí</t>
  </si>
  <si>
    <t xml:space="preserve">Reprodukce majetku kraje vyjma akcí spolufinancovaných z evr. fin. zdrojů </t>
  </si>
  <si>
    <t xml:space="preserve"> - finance a správa majetku</t>
  </si>
  <si>
    <t xml:space="preserve"> - dotace na akce spolufinancované z evropských fin. zdrojů</t>
  </si>
  <si>
    <t>PŘÍJMY CELKEM</t>
  </si>
  <si>
    <t>Výhled</t>
  </si>
  <si>
    <t>Čerpání úvěrů</t>
  </si>
  <si>
    <t>Splátky úvěrů</t>
  </si>
  <si>
    <t>Ostatní (zapojení zůstatku minulého roku, fondů)</t>
  </si>
  <si>
    <t>Tabulka č. 1</t>
  </si>
  <si>
    <t>Samosprávné a jiné činnosti zajišťované prostřednictvím KÚ</t>
  </si>
  <si>
    <t>Reprodukce majetku kraje vyjma akcí spolufinancovaných z evr.fin.zdrojů</t>
  </si>
  <si>
    <t>Výdaje na akce spolufinancované z evropských finančních zdrojů</t>
  </si>
  <si>
    <t>Návratné finanční výpomoci příspěvkovým organizacím</t>
  </si>
  <si>
    <t>Akce spolufinancované z evropských finančních zdrojů</t>
  </si>
  <si>
    <t xml:space="preserve"> - vrácené prostředky na základě operačních smluv s Fondy rozvoje měst</t>
  </si>
  <si>
    <t xml:space="preserve"> - krajský úřad a zastupitelstvo kraje</t>
  </si>
  <si>
    <t>Střednědobý výhled rozpočtu Moravskoslezského kraje</t>
  </si>
  <si>
    <t>Tabulka č. 2</t>
  </si>
  <si>
    <t>Tabulka č. 3</t>
  </si>
  <si>
    <t>Tabulka č. 4</t>
  </si>
  <si>
    <t>Tabulka č. 5</t>
  </si>
  <si>
    <t>Tabulka č. 6</t>
  </si>
  <si>
    <t>Tabulka č. 7</t>
  </si>
  <si>
    <t>Tabulka č. 8</t>
  </si>
  <si>
    <t>TABULKOVÁ ČÁST</t>
  </si>
  <si>
    <t>Přehled splácení jistiny a úroků z úvěrů čerpaných Moravskoslezským krajem</t>
  </si>
  <si>
    <t>Fiskální pravidlo dle zákona č. 23/2017 Sb., o pravidlech rozpočtové odpovědnosti</t>
  </si>
  <si>
    <t>Účel dotace</t>
  </si>
  <si>
    <t>ÚZ</t>
  </si>
  <si>
    <t>Dotace zahrnuté do schvalovaných rozpočtů MSK celkem</t>
  </si>
  <si>
    <t xml:space="preserve"> - z toho:</t>
  </si>
  <si>
    <t>Podpora koordinátorů romských poradců</t>
  </si>
  <si>
    <t>ÚŘAD VLÁDY</t>
  </si>
  <si>
    <t>Připravenost poskytovatele ZZS na řešení mimořádných událostí a krizových situací</t>
  </si>
  <si>
    <t>Specializační vzdělávání zdravotnických pracovníků - rezidenční místa - neinvestice a Specializační vzdělávání nelékařů</t>
  </si>
  <si>
    <t>35015, 35019</t>
  </si>
  <si>
    <t>MINISTERSTVO ZDRAVOTNICTVÍ</t>
  </si>
  <si>
    <t>Program sociální prevence a prevence kriminality</t>
  </si>
  <si>
    <t>Projekty romské komunity</t>
  </si>
  <si>
    <t>Přímé náklady na vzdělávání - sportovní gymnázia</t>
  </si>
  <si>
    <t>Soutěže</t>
  </si>
  <si>
    <t>Spolupráce s francouzskými, vlámskými a španělskými školami</t>
  </si>
  <si>
    <t>Kulturní aktivity</t>
  </si>
  <si>
    <t>Veřejné informační služby knihoven</t>
  </si>
  <si>
    <t>34053, 34544</t>
  </si>
  <si>
    <t>Program restaurování movitých kulturních památek</t>
  </si>
  <si>
    <t>Program státní podpory profesionálních divadel a stálých profesionálních symfonických orchestrů a pěveckých sborů</t>
  </si>
  <si>
    <t>MINISTERSTVO KULTURY</t>
  </si>
  <si>
    <t xml:space="preserve">CELKEM </t>
  </si>
  <si>
    <t>PŘEHLED VÝDAJŮ NA ZAJIŠTĚNÍ UDRŽITELNOSTI AKCÍ SPOLUFINANCOVANÝCH Z EVROPSKÝCH FINANČNÍCH ZDROJŮ</t>
  </si>
  <si>
    <t>v tis. Kč</t>
  </si>
  <si>
    <t>Celkové výdaje na akci (způsobilé a nezpůsobilé)</t>
  </si>
  <si>
    <t>Výdaje na udržitelnost</t>
  </si>
  <si>
    <t>ODVĚTVÍ FINANCÍ A SPRÁVY MAJETKU:</t>
  </si>
  <si>
    <t>ODVĚTVÍ FINANCÍ A SPRÁVY MAJETKU CELKEM</t>
  </si>
  <si>
    <t>ODVĚTVÍ KULTURY:</t>
  </si>
  <si>
    <t>ODVĚTVÍ KULTURY CELKEM</t>
  </si>
  <si>
    <t>ODVĚTVÍ CESTOVNÍHO RUCHU:</t>
  </si>
  <si>
    <t>ODVĚTVÍ CESTOVNÍHO RUCHU CELKEM</t>
  </si>
  <si>
    <t>ODVĚTVÍ REGIONÁLNÍHO ROZVOJE:</t>
  </si>
  <si>
    <t>ODVĚTVÍ REGIONÁLNÍHO ROZVOJE CELKEM</t>
  </si>
  <si>
    <t>ODVĚTVÍ SOCIÁLNÍCH VĚCÍ:</t>
  </si>
  <si>
    <t>ODVĚTVÍ SOCIÁLNÍCH VĚCÍ CELKEM</t>
  </si>
  <si>
    <t>ODVĚTVÍ ŠKOLSTVÍ:</t>
  </si>
  <si>
    <t>ODVĚTVÍ ŠKOLSTVÍ CELKEM</t>
  </si>
  <si>
    <t>ODVĚTVÍ ZDRAVOTNICTVÍ:</t>
  </si>
  <si>
    <t>ODVĚTVÍ ZDRAVOTNICTVÍ CELKEM</t>
  </si>
  <si>
    <t>ODVĚTVÍ ŽIVOTNÍHO PROSTŘEDÍ CELKEM</t>
  </si>
  <si>
    <t>CELKEM</t>
  </si>
  <si>
    <t>Instituce</t>
  </si>
  <si>
    <t>Celkem</t>
  </si>
  <si>
    <t>rok</t>
  </si>
  <si>
    <t>dlužná částka
na konci roku</t>
  </si>
  <si>
    <t>splátka jistiny</t>
  </si>
  <si>
    <t>úrok</t>
  </si>
  <si>
    <t>dlužná částka na konci roku</t>
  </si>
  <si>
    <t>Název akce</t>
  </si>
  <si>
    <t>Číslo akce</t>
  </si>
  <si>
    <t>Závazky celkem</t>
  </si>
  <si>
    <t>ODVĚTVÍ KRIZOVÉHO ŘÍZENÍ:</t>
  </si>
  <si>
    <t>ODVĚTVÍ KRIZOVÉHO ŘÍZENÍ CELKEM</t>
  </si>
  <si>
    <t>ODVĚTVÍ VLASTNÍ SPRÁVNÍ ČINNOST KRAJE A ČINNOST ZASTUPITELSTVA KRAJE:</t>
  </si>
  <si>
    <t>ODVĚTVÍ VLASTNÍ SPRÁVNÍ ČINNOST KRAJE A ČINNOST ZASTUPITELSTVA KRAJE CELKEM</t>
  </si>
  <si>
    <t>ODVĚTVÍ ŽIVOTNÍHO PROSTŘEDÍ:</t>
  </si>
  <si>
    <t>Zpracovaní ratingu Moravskoslezského kraje</t>
  </si>
  <si>
    <t>Zajištění centrálního pojištění nemovitého, movitého majetku, vozidel a odpovědnosti Moravskoslezského kraje a jeho organizací</t>
  </si>
  <si>
    <t>Zajištění dopravní obslužnosti linkovou dopravou - oblast Českotěšínsko</t>
  </si>
  <si>
    <t>Smlouva o finanční spolupráci ve veřejné linkové dopravě mezi Moravskoslezským krajem a Olomouckým krajem</t>
  </si>
  <si>
    <t>Zajištění dopravní obslužnosti linkovou dopravou - oblast Karvinsko</t>
  </si>
  <si>
    <t>Zajištění dopravní obslužnosti linkovou dopravou - oblast Orlovsko</t>
  </si>
  <si>
    <t>Zajištění dopravní obslužnosti linkovou dopravou - oblast Frýdlantsko</t>
  </si>
  <si>
    <t>Zajištění dopravní obslužnosti linkovou dopravou - oblast Novojičínsko východ</t>
  </si>
  <si>
    <t>Zajištění dopravní obslužnosti linkovou dopravou - oblast Novojičínsko západ</t>
  </si>
  <si>
    <t>Zajištění dopravní obslužnosti linkovou dopravou - oblast Bílovecko</t>
  </si>
  <si>
    <t>Zajištění dopravní obslužnosti linkovou dopravou - oblast Hlučínsko</t>
  </si>
  <si>
    <t>Zajištění dopravní obslužnosti linkovou dopravou - oblast Krnovsko</t>
  </si>
  <si>
    <t>Zajištění dopravní obslužnosti linkovou dopravou - oblast Opavsko</t>
  </si>
  <si>
    <t>Zajištění dopravní obslužnosti linkovou dopravou - oblast Rýmařovsko</t>
  </si>
  <si>
    <t>Zajištění dopravní obslužnosti linkovou dopravou - oblast Vítkovsko</t>
  </si>
  <si>
    <t>Zajištění dopravní obslužnosti linkovou dopravou - oblast Bruntálsko</t>
  </si>
  <si>
    <t>Chráněné části přírody</t>
  </si>
  <si>
    <t>Požadavek na rozpočet kraje</t>
  </si>
  <si>
    <t>Zálohové platby u projektů spolufinancovaných zálohově
z evropských finančních zdrojů</t>
  </si>
  <si>
    <t>Členský příspěvek v zájmovém sdružení právnických osob Trojhalí Karolina</t>
  </si>
  <si>
    <t>Členský příspěvek v zájmovém sdružení právnických osob Evropská kulturní stezka sv. Cyrila a Metoděje</t>
  </si>
  <si>
    <t>PROVOZNÍ PŘÍJMY</t>
  </si>
  <si>
    <t>CELKOVÉ PŘÍJMY k 31.12.</t>
  </si>
  <si>
    <t>Průměr příjmů za poslední 4 roky</t>
  </si>
  <si>
    <t>Obsah:</t>
  </si>
  <si>
    <t>str.</t>
  </si>
  <si>
    <t>v mil. Kč</t>
  </si>
  <si>
    <t>Bankovní poplatky za vedení účtů a provedené bankovní operace u peněžních ústavů, které plynou z uzavřených smluv na dobu neurčitou a všeobecných platebních podmínek.</t>
  </si>
  <si>
    <t>RUČITELSKÉ ZÁVAZKY CELKEM</t>
  </si>
  <si>
    <t xml:space="preserve">Přehled závazků kraje u akcí reprodukce majetku kraje </t>
  </si>
  <si>
    <t>Přehled ostatních dlouhodobých závazků kraje</t>
  </si>
  <si>
    <t xml:space="preserve">PŘEHLED ZÁVAZKŮ KRAJE U AKCÍ SPOLUFINANCOVANÝCH Z EVROPSKÝCH FINANČNÍCH ZDROJŮ </t>
  </si>
  <si>
    <t>Přehled výdajů na zajištění udržitelnosti akcí spolufinancovaných z evropských finančních zdrojů</t>
  </si>
  <si>
    <t xml:space="preserve">Ukazatele zadluženosti </t>
  </si>
  <si>
    <t xml:space="preserve">PŘEHLED ZÁVAZKŮ KRAJE U AKCÍ REPRODUKCE MAJETKU KRAJE </t>
  </si>
  <si>
    <t xml:space="preserve">Přehled závazků kraje u akcí spolufinancovaných z evropských finančních zdrojů </t>
  </si>
  <si>
    <t xml:space="preserve"> - dotace ze státního rozpočtu</t>
  </si>
  <si>
    <t xml:space="preserve"> - dotace od obcí a krajů</t>
  </si>
  <si>
    <t>STÁTNÍ ROZPOČET</t>
  </si>
  <si>
    <t xml:space="preserve">Ministerstvo financí - příspěvek na výkon státní správy </t>
  </si>
  <si>
    <t>Ministerstvo dopravy - příspěvek na ztrátu dopravce z provozu veřejné osobní drážní dopravy</t>
  </si>
  <si>
    <t>Olomoucký a Zlínský kraj - příspěvek na dopravní obslužnost linkovou</t>
  </si>
  <si>
    <t xml:space="preserve">DOTACE NA AKCE SPOLUFINANCOVANÉ Z EVROPSKÝCH FINANČNÍCH ZDROJŮ  </t>
  </si>
  <si>
    <t xml:space="preserve">ISO D Preventivní ochrana před vlivy prostředí </t>
  </si>
  <si>
    <t xml:space="preserve">Záchrana architektonického dědictví - neinvestice </t>
  </si>
  <si>
    <t>Zálohové platby u projektů spolufinancovaných zálohově
z evropských finančních zdrojů celkem</t>
  </si>
  <si>
    <t>Rekonstrukce objektu SŠ a domova mládeže (Střední škola společného stravování, Ostrava-Hrabůvka, příspěvková organizace)</t>
  </si>
  <si>
    <t>Členský příspěvek Asociaci krajů České republiky</t>
  </si>
  <si>
    <t xml:space="preserve">Vypořádání zůstatkové hodnoty technického zhodnocení majetku provedené na vlastní náklady Letiště Ostrava, a. s. </t>
  </si>
  <si>
    <t>Smlouva o poskytnutí finančního příspěvku na zajištění dopravní obslužnosti území Moravskoslezského kraje městskou hromadnou dopravou - Statutární město Frýdek-Místek</t>
  </si>
  <si>
    <t>Smlouva o poskytnutí finančního příspěvku na zajištění dopravní obslužnosti území Moravskoslezského kraje městskou hromadnou dopravou - Statutární město Opava</t>
  </si>
  <si>
    <t>Smlouva o finanční spolupráci ve veřejné linkové dopravě mezi Moravskoslezským krajem a Zlínským krajem</t>
  </si>
  <si>
    <t>Zajištění dopravní obslužnosti linkovou dopravou - oblast Frýdecko-Místecko</t>
  </si>
  <si>
    <t>Technická údržba, podpora a služby k software v odvětví zdravotnictví</t>
  </si>
  <si>
    <t>Obce MSK - příspěvek na dopravní obslužnost linkovou</t>
  </si>
  <si>
    <t>MINISTERSTVO PRO MÍSTNÍ ROZVOJ</t>
  </si>
  <si>
    <t>Subjekt (IČO)</t>
  </si>
  <si>
    <t>Číslo smlouvy</t>
  </si>
  <si>
    <t>0005</t>
  </si>
  <si>
    <t>0004, 0005</t>
  </si>
  <si>
    <t>01547/2006/KŘ</t>
  </si>
  <si>
    <t xml:space="preserve">Provozování železniční dráhy </t>
  </si>
  <si>
    <t>00530/2014/KŘ</t>
  </si>
  <si>
    <t xml:space="preserve">Závazek Moravskoslezského kraje byl schválen usnesením zastupitelstva kraje č. 8/684 ze dne 27.2.2014. Jedná se o smlouvu na dobu neurčitou. </t>
  </si>
  <si>
    <t>0671/2004/POR</t>
  </si>
  <si>
    <t xml:space="preserve">Vypořádání zůstatkové hodnoty technického zhodnocení majetku realizovaného Letištěm Ostrava, a.s.,  z vlastních zdrojů se souhlasem Moravskoslezského kraje v případě realizace majetku. Vyčíslený závazek bude každoročně ponížen o hodnotu odpisů. </t>
  </si>
  <si>
    <t xml:space="preserve">Zajištění provozu leteckého spojení Ostrava – Varšava </t>
  </si>
  <si>
    <t>ČSAD Vsetín, a.s. (45192120)</t>
  </si>
  <si>
    <t>ČSAD Havířov, a.s. (45192081)</t>
  </si>
  <si>
    <t>00865/2016/DSH</t>
  </si>
  <si>
    <t>03415/2017/DSH</t>
  </si>
  <si>
    <t>03411/2017/DSH</t>
  </si>
  <si>
    <t>06336/2018/DSH</t>
  </si>
  <si>
    <t>06337/2018/DSH</t>
  </si>
  <si>
    <t>06335/2018/DSH</t>
  </si>
  <si>
    <t>Transdev Morava s.r.o. (06738346)</t>
  </si>
  <si>
    <t>07928/2018/DSH</t>
  </si>
  <si>
    <t>07173/2018/DSH</t>
  </si>
  <si>
    <t>07174/2018/DSH</t>
  </si>
  <si>
    <t>06626/2018/DSH</t>
  </si>
  <si>
    <t>06334/2018/DSH</t>
  </si>
  <si>
    <t>06279/2018/DSH</t>
  </si>
  <si>
    <t>07172/2018/DSH</t>
  </si>
  <si>
    <t>06227/2019/DSH</t>
  </si>
  <si>
    <t>Statutární město Frýdek-Místek (00296643)</t>
  </si>
  <si>
    <t>08209/2018/DSH</t>
  </si>
  <si>
    <t>07602/2018/DSH</t>
  </si>
  <si>
    <t>00698/2017/DSH</t>
  </si>
  <si>
    <t>05491/2016/DSH</t>
  </si>
  <si>
    <t>0122</t>
  </si>
  <si>
    <t>Služby Moravskoslezského paktu zaměstnanosti, z.s.</t>
  </si>
  <si>
    <t xml:space="preserve">obce  </t>
  </si>
  <si>
    <t>více smluv</t>
  </si>
  <si>
    <t>upravovatelé LBT</t>
  </si>
  <si>
    <t>02262/2011/ZDR</t>
  </si>
  <si>
    <t>Smlouva o zajištění činnosti nezávislých odborných komisí a o úhradě nákladů spojených s jejich činností</t>
  </si>
  <si>
    <t>02135/2013/ZDR</t>
  </si>
  <si>
    <t>ODVĚTVÍ ÚZEMNÍHO PLÁNOVÁNÍ A STAVEBNÍHO ŘÁDU:</t>
  </si>
  <si>
    <t>VaK Bruntál, a.s.                                       (47675861)</t>
  </si>
  <si>
    <t>Podíl MSK  (pouze způsobilé výdaje)</t>
  </si>
  <si>
    <t>-</t>
  </si>
  <si>
    <t>Asociace krajů ČR
(70933146)</t>
  </si>
  <si>
    <t>Ostatní výdaje související s nakládáním s majetkem</t>
  </si>
  <si>
    <t>Slezská univerzita v Opavě
(47813059)</t>
  </si>
  <si>
    <t>UniCredit Bank Czech Republic and Slovakia, a.s.
(64948242)</t>
  </si>
  <si>
    <t>08357/2020/FIN</t>
  </si>
  <si>
    <t>Zastupitelstvo kraje usnesením č. 2/20 ze dne 17. 12. 2020 rozhodlo o uzavření smlouvy o úvěru s Českou spořitelnou, a.s. ve výši 3 mld. Kč s úrokovou sazbou 6měsíční PRIBOR se zápornou odchylkou. Předmětem úvěrové smlouvy je financování investičních akcí realizovaných krajem a jeho příspěvkovými organizacemi v letech 2021 – 2024. Úvěr bude splácen v letech 2026 - 2035.</t>
  </si>
  <si>
    <t>ODVĚTVÍ DOPRAVY:</t>
  </si>
  <si>
    <t>České dráhy, a.s.
(70994226)</t>
  </si>
  <si>
    <t>České dráhy, a.s.
(70994226),
Koordinátor ODIS, s.r.o. 
(64613895)</t>
  </si>
  <si>
    <t>Dopravní obslužnost - drážní doprava</t>
  </si>
  <si>
    <t>ČSAD Karviná, a.s.
(45192090)</t>
  </si>
  <si>
    <t>ČSAD Vsetín, a.s.
(45192120)</t>
  </si>
  <si>
    <t>ČSAD Havířov, a.s.
(45192081)</t>
  </si>
  <si>
    <t>Olomoucký kraj
(60609460)</t>
  </si>
  <si>
    <t>01347/2020/DSH</t>
  </si>
  <si>
    <t>Dopravní obslužnost - linková doprava</t>
  </si>
  <si>
    <t>Polskie Linie Lotnicze "LOT" S.A.</t>
  </si>
  <si>
    <t>00617/2020/DSH</t>
  </si>
  <si>
    <t>Dopravní obslužnost - letecká doprava</t>
  </si>
  <si>
    <t>Doprava - ostatní</t>
  </si>
  <si>
    <t>Moravskoslezský pakt zaměstnanosti, z.s.
(07864507)</t>
  </si>
  <si>
    <t>více subjektů</t>
  </si>
  <si>
    <t>Evropská kulturní stezka sv. Cyrila a Metoděje
(02057531)</t>
  </si>
  <si>
    <t>Statutární město Ostrava
(00845451),
ČSAD Ostrava, a.s.
(45192057), 
Spolek na podporu sportu, dětí a mládeže, z.s.
(06560750)</t>
  </si>
  <si>
    <t>06454/2020/ŠMS</t>
  </si>
  <si>
    <t>Usnesením ZK č. 17/2118 ze dne 3.9.2020 byla schválena Dohoda o společném postupu při řešení převodu činnosti zabezpečované příspěvkovou organizací kraje Střední odborná škola waldorfská, Ostrava, příspěvková organizace, IČO 70947911. Součástí dohody je závazek kraje poskytnout částku 1,5 mil. Kč ročně po dobu 6 let za splnění podmínky, že bude převáděná činnost vykonávána od prvního ročníku střední školy.</t>
  </si>
  <si>
    <t>Zajištění ohledání těl zemřelých</t>
  </si>
  <si>
    <t>ODVĚTVÍ ÚZEMNÍHO PLÁNOVÁNÍ A STAVEBNÍHO ŘÁDU CELKEM</t>
  </si>
  <si>
    <t xml:space="preserve"> - </t>
  </si>
  <si>
    <t xml:space="preserve">Poznámka              </t>
  </si>
  <si>
    <t>ODVĚTVÍ DOPRAVY CELKEM</t>
  </si>
  <si>
    <t>Nespecifikované výdaje</t>
  </si>
  <si>
    <t xml:space="preserve"> - vrácené návratné finanční výpomoci od příspěvkových organizací</t>
  </si>
  <si>
    <t xml:space="preserve"> - vrácené návratné finanční výpomoci od jiných subjektů</t>
  </si>
  <si>
    <t xml:space="preserve"> - příjmy z pronájmu</t>
  </si>
  <si>
    <t xml:space="preserve"> - doprava - dopravní obslužnost drážní</t>
  </si>
  <si>
    <t xml:space="preserve"> - doprava - dopravní obslužnost linková</t>
  </si>
  <si>
    <t xml:space="preserve"> - doprava - ostatní</t>
  </si>
  <si>
    <t xml:space="preserve"> - doprava</t>
  </si>
  <si>
    <t>Výdaje financované ze zálohových plateb u projektů spolufinancovaných zálohově z evr. fin. zdrojů</t>
  </si>
  <si>
    <t>OBCE A KRAJE</t>
  </si>
  <si>
    <t>Podpora expozičních a výstavních projektů</t>
  </si>
  <si>
    <t>ISO II/D preventivní ochrana před nepříznivými vlivy prostředí - neinvestiční</t>
  </si>
  <si>
    <t>ISO II/A zabezpečení objektů - investiční</t>
  </si>
  <si>
    <t>Podpora standardizovaných veřejných služeb muzeí a galerií</t>
  </si>
  <si>
    <t>Akviziční fond – IV</t>
  </si>
  <si>
    <t>ISO C Výkupy předmětů kulturní hodnoty mimořádného významu – investiční</t>
  </si>
  <si>
    <r>
      <t>2024</t>
    </r>
    <r>
      <rPr>
        <b/>
        <vertAlign val="superscript"/>
        <sz val="10"/>
        <rFont val="Tahoma"/>
        <family val="2"/>
        <charset val="238"/>
      </rPr>
      <t xml:space="preserve"> 1)</t>
    </r>
  </si>
  <si>
    <r>
      <t>2025</t>
    </r>
    <r>
      <rPr>
        <b/>
        <vertAlign val="superscript"/>
        <sz val="10"/>
        <rFont val="Tahoma"/>
        <family val="2"/>
        <charset val="238"/>
      </rPr>
      <t xml:space="preserve"> 1)</t>
    </r>
  </si>
  <si>
    <t>PŘEHLED SPLÁCENÍ JISTINY A ÚROKŮ Z ÚVĚRŮ ČERPANÝCH MORAVSKOSLEZSKÝM KRAJEM</t>
  </si>
  <si>
    <t xml:space="preserve">Poznámka                                                         </t>
  </si>
  <si>
    <t>MINISTERSTVO ŠKOLSTVÍ, MLÁDEŽE A TĚLOVÝCHOVY</t>
  </si>
  <si>
    <t>IROP 2021 - 2027 - individuální projekty škol</t>
  </si>
  <si>
    <t>34070 + ORJ 13</t>
  </si>
  <si>
    <t>MŽP</t>
  </si>
  <si>
    <t>MPO</t>
  </si>
  <si>
    <t>Město Frenštát pod Radhoštěm - Novostavba sportovní haly a multifunkčního sportoviště (Gymnázium a Střední průmyslová škola elektrotechniky a informatiky, Frenštát pod Radhoštěm, příspěvková organizace)</t>
  </si>
  <si>
    <t>Ministerstvo životního prostředí - Podpora přípravy strategických projektů</t>
  </si>
  <si>
    <t>Ministerstvo průmyslu a obchodu - Podpora provozu venkovských prodejen v Moravskoslezském kraji</t>
  </si>
  <si>
    <t>Očekávaná skutečnost</t>
  </si>
  <si>
    <t>Národní sportovní agentura - Novostavba sportovní haly a multifunkčního sportoviště (Gymnázium a Střední průmyslová škola elektrotechniky a informatiky, Frenštát pod Radhoštěm, příspěvková organizace)</t>
  </si>
  <si>
    <t>Rekonstrukce budovy a spojovací chodby Máchova (Domov Duha, příspěvková organizace, Nový Jičín)</t>
  </si>
  <si>
    <t>ORJ</t>
  </si>
  <si>
    <t xml:space="preserve">Operativní leasing osobních automobilů II. </t>
  </si>
  <si>
    <t>ARVAL CZ s.r.o. (26726998)</t>
  </si>
  <si>
    <t>04013/2021/KŘ</t>
  </si>
  <si>
    <t>Zastupitelstvo kraje usnesením č. 2/128 ze dne 17.12.2020 rozhodlo zařadit finanční prostředky na zajištění financování operativního leasingu do rozpočtu kraje roku 2022, 2023, 2024, 2025. Rada kraje usnesením č. 22/1401 ze dne 19.7.2021 rozhodla o uzavření smlouvy s ARVAL CZ s.r.o.</t>
  </si>
  <si>
    <t>Zpracování dat a zajištění služeb souvisejících s informačními a komunikačními technologiemi</t>
  </si>
  <si>
    <t xml:space="preserve">Kooperativa pojišťovna, a.s., Vienna Insurance Group
(47116617),
 Generali Česká pojišťovna, a.s.
(45272956)      </t>
  </si>
  <si>
    <t>7</t>
  </si>
  <si>
    <t>Moody's Investors Service EMEA Limited
(03093859)</t>
  </si>
  <si>
    <t xml:space="preserve">Závazek Moravskoslezského kraje byl v min. výši 240,24 mil. Kč schválen usnesením zastupitelstva kraje č. 4/289 ze dne 17.6.2021. Závazek trvá od prosince 2023 do prosince 2027 na základě uzavřené Smlouvy o veřejných službách v přepravě cestujících k zajištění dopravní obslužnosti kraje veřejnou drážní osobní dopravou. </t>
  </si>
  <si>
    <t>Dohoda o zapojení a podmínkách integrace vlaků dopravce do Integrovaného dopravního systému ODIS</t>
  </si>
  <si>
    <t>RegioJet a.s.,
(28333187)</t>
  </si>
  <si>
    <t>01059/2021/DSH</t>
  </si>
  <si>
    <t>Transdev Morava s.r.o.
(06738346)</t>
  </si>
  <si>
    <t>Zajištění dopravní obslužnosti linkovou dopravou - oblast Opavsko (Ostrava - Šumperk)</t>
  </si>
  <si>
    <t>Statutární město Opava
(00300535)</t>
  </si>
  <si>
    <t>Statutární město Ostrava
(00845451)</t>
  </si>
  <si>
    <t>Zlínský kraj
(70891320)</t>
  </si>
  <si>
    <t>Letiště Ostrava, a.s.
(26827719)</t>
  </si>
  <si>
    <t>Centrum veřejných energetiků (Moravskoslezské energetické centrum, příspěvková organizace, Ostrava)</t>
  </si>
  <si>
    <t>Certifikace ISO 50001 (certifikovaný systém hospodaření s energií), včetně dozorových auditů</t>
  </si>
  <si>
    <t>ODVĚTVÍ PREZENTACE KRAJE A EDIČNÍ PLÁN:</t>
  </si>
  <si>
    <t>Ostrava !!! EFEKT (architektonicky významné stavby města Ostravy ve sběrném dokumentu České televize)</t>
  </si>
  <si>
    <t>0104</t>
  </si>
  <si>
    <t>ČESKÁ TELEVIZE
(00027383)</t>
  </si>
  <si>
    <t>ODVĚTVÍ PREZENTACE KRAJE A EDIČNÍ PLÁN CELKEM</t>
  </si>
  <si>
    <t>Trojhalí Karolina
(72089237)</t>
  </si>
  <si>
    <t>VŠB-TUO
(61989100),
Slezská univerzita v Opavě
(47813059),
Ostravská univerzita
(61988987)</t>
  </si>
  <si>
    <t>Částečná kompenzace nákladů spojených s převodem činnosti Střední odborné školy waldorfská, Ostrava, příspěvková organizace</t>
  </si>
  <si>
    <t>Fakultní nemocnice Ostrava
(00843989)</t>
  </si>
  <si>
    <t>8503</t>
  </si>
  <si>
    <t>Dynamický systém rezervace parkovacích míst u budov KÚ MSK</t>
  </si>
  <si>
    <t>Rekonstrukce sportovní haly včetně zázemí (Střední průmyslová škola, Obchodní akademie a Jazyková škola s právem státní jazykové zkoušky, Frýdek-Místek, příspěvková organizace)</t>
  </si>
  <si>
    <t>I/56 Ostrava – prodloužená Místecká, III. stavba</t>
  </si>
  <si>
    <t>Česká spořitelna, a.s.
(45244782)</t>
  </si>
  <si>
    <t>Olomoucký a Zlínský kraj - příspěvek na dopravní obslužnost drážní</t>
  </si>
  <si>
    <t>Programy přeshraniční spolupráce - individuální projekty škol</t>
  </si>
  <si>
    <t>2026</t>
  </si>
  <si>
    <t>POHO Park Gabriela</t>
  </si>
  <si>
    <t>Černá kostka – Centrum digitalizace, vědy a inovací</t>
  </si>
  <si>
    <t>Nová Horka - centrum tradic a zážitků</t>
  </si>
  <si>
    <t>Novostavba depozitáře Muzeum v Bruntále</t>
  </si>
  <si>
    <t>Rekonstrukce depozitáře Muzea Beskyd Frýdek-Místek</t>
  </si>
  <si>
    <t>Žerotínský zámek – centrum relaxace a poznání</t>
  </si>
  <si>
    <t>Smart akcelerátor MSK</t>
  </si>
  <si>
    <t>Chráněné bydlení Okrajová</t>
  </si>
  <si>
    <t>Podpora (Ne)formální péče v Moravskoslezském kraji</t>
  </si>
  <si>
    <t>Podpora komunitní práce v MSK III</t>
  </si>
  <si>
    <t>Podpora návazných aktivit sociálních služeb v MSK</t>
  </si>
  <si>
    <t>TPA – Inovační centrum pro transformaci vzdělávání</t>
  </si>
  <si>
    <t>Výstavba výjezdového stanoviště Nový Jičín</t>
  </si>
  <si>
    <t>IP LIFE for Coal Mining Landscape Adaptation (IP LIFE pro adaptaci pohornické krajiny)</t>
  </si>
  <si>
    <t>PŘEHLED OSTATNÍCH DLOUHODOBÝCH ZÁVAZKŮ KRAJE</t>
  </si>
  <si>
    <t>07785/2020/IM, 07781/2020/IM, 07782/2020/IM, 07784/2020/IM</t>
  </si>
  <si>
    <t>Závazek na zpracování ratingu Moravskoslezského kraje vyplývá z uzavřených smluv s EIB na základě usnesení zastupitelstva č. 5/209 ze dne 23.6.2005 a č. 15/1270 ze dne 10.11.2010. O uzavření smlouvy s Moody´s rozhodla rada kraje usnesením č. 80/2952 ze dne 2.8.2006, smlouva sjednána na dobu neurčitou. Ve výhledu je počítáno s navýšením o inflace.  Jelikož ratingové hodnocení kraje je významné mimo jiné při získávání úvěrových zdrojů, je vhodné realizovat ratingové hodnocení i v dalších letech.</t>
  </si>
  <si>
    <t>Operace spojené s bankovními produkty (pouze část akce týkající se poplatků z bankovních účtů)</t>
  </si>
  <si>
    <t>ČNB, Česká spořitelna,
J &amp; T Banka, 
Komerční banka, 
Oberbank AG, 
Raiffeisenbank, 
 UniCredit Bank</t>
  </si>
  <si>
    <t>Smlouva o poskytnutí úvěrového rámce ve výši 3 mld. Kč mezi Českou spořitelnou, a. s. a Moravskoslezským krajem - splátky jistin</t>
  </si>
  <si>
    <t>Smlouva o poskytnutí úvěrového rámce ve výši 3 mld. Kč mezi Českou spořitelnou, a. s. a Moravskoslezským krajem - platba úroků</t>
  </si>
  <si>
    <t xml:space="preserve">Zajištění dopravní obslužnosti v Moravskoslezském kraji veřejnou drážní osobní dopravou na vybraných traťových linkách a úsecích v Moravskoslezském kraji – provozní soubor Ostravsko na území Moravskoslezského kraje s přesahem do Olomouckého, Zlínského a Žilinského kraje (SK) a Slezského vojvodství (PL), od prosince 2023 do prosince 2033 </t>
  </si>
  <si>
    <t xml:space="preserve">Závazek Moravskoslezského kraje byl schválen usnesením zastupitelstva kraje č. 3/167 ze dne 17. 3. 2021 v max. výši 810 mil. Kč  a usnesením č. 6/496 ze dne 16. 12. 2021 byl tento závazek změněn na max. výši 903 mil. Kč. Závazek bude trvat v období od prosince 2023 do prosince 2027. </t>
  </si>
  <si>
    <t>04650/2021/DSH</t>
  </si>
  <si>
    <t>ČSAD Frýdek-Místek, a.s. 
(45192073)</t>
  </si>
  <si>
    <t>Usnesením zastupitelstva kraje č. 12/1408 ze dne 13.6.2019 byl schválen závazek kraje v max. výši 274.393.324 Kč na zajištění dopravní obslužnosti Moravskoslezského kraje v relaci Ostrava – Šumperk, a to na období 8,5 let od data zahájení poskytování veřejných služeb v přepravě cestujících veřejnou linkovou osobní dopravou v dané oblasti. Pro tuto oblast byla využita opce v rámci již uzavřené smlouvy na oblast Opavsko.</t>
  </si>
  <si>
    <t>Správa železniční dopravní cesty, státní organizace 
(70994234)</t>
  </si>
  <si>
    <t>Technická údržba, podpora a služby k software v odvětví územního plánování a stavebního řádu</t>
  </si>
  <si>
    <t>0513</t>
  </si>
  <si>
    <t>Moravskoslezský Vodíkový Klastr
(17464781)</t>
  </si>
  <si>
    <t xml:space="preserve">Výstavba nového koncertního sálu jako přístavba Domu kultury města Ostravy </t>
  </si>
  <si>
    <t>Členský příspěvek Asociaci poskytovatelů sociálních služeb České republiky</t>
  </si>
  <si>
    <t>Asociace poskytovatelů sociálních služeb České republiky, z.s. (60445831)</t>
  </si>
  <si>
    <t>Moravskoslezská Technologická Akademie, z. s. (17445191)</t>
  </si>
  <si>
    <t>Usnesením ZK č. 15/1879 ze dne 5.3.2020 byl schválen závazek kraje v maximální výši 80 mil. Kč k zajištění podpory k vybudování Multifunkční sportovní haly v Ostravě na ulici U Stadiónu v Ostravě - Moravské Ostravě, a to na období let 2021 - 2023. Usnesením ZK č. 4/357 ze dne 17.6.2021 bylo rozhodnuto o změně období schváleného závazku, a to na období let 2022-2025. Usnesením ZK č. 9/928 ze dne 15.9.2022 bylo rozhodnuto vypustit v usnesení období schváleného závazku (Memorandum o vzájemné spolupráci a finanční podpoře).</t>
  </si>
  <si>
    <t>Statutární město Ostrava- městský obvod Poruba
(00845451)</t>
  </si>
  <si>
    <t>0520</t>
  </si>
  <si>
    <t>ICZ a.s.
(25145444)</t>
  </si>
  <si>
    <t>00736/2022/INF</t>
  </si>
  <si>
    <t>Nemocnice Nový Jičín a.s.
(25886207)</t>
  </si>
  <si>
    <t>Smlouva na  zajištění činnosti nezávislých odborných komisí a o úhradě nákladů spojených s jejich činností je uzavřena na dobu neurčitou.</t>
  </si>
  <si>
    <t xml:space="preserve">Moravskoslezské datové centrum, p. o.
(06839517)
příspěvkové organizace v odvětví zdravotnictví </t>
  </si>
  <si>
    <t>Zajištění lékařské pohotovostní služby</t>
  </si>
  <si>
    <t>919</t>
  </si>
  <si>
    <t>Městská nemocnice Ostrava, příspěvková organizace
(00635162)
AJNA dental clinic s.r.o. 
(0671493)</t>
  </si>
  <si>
    <t>02023/2020/ZDR, 00542/2020/ZDR, 00543/2020/ZDR</t>
  </si>
  <si>
    <t>Memorandum o spolupráci se Slezskou univerzitou v Opavě, Fakultou veřejných politik</t>
  </si>
  <si>
    <t>8103</t>
  </si>
  <si>
    <t>02041/2022/ZDR</t>
  </si>
  <si>
    <t xml:space="preserve">Moravskoslezský kraj zajišťuje údržbu chráněných části přírody na území kraje vyplývající z obecně právních předpisů. V návaznosti na to jsou uzavřené dlouhodobé smlouvy nebo smlouvy na dobu neurčitou s jednotlivými subjekty na tyto činnosti. Závazek Moravskoslezského kraje byl schválen usnesením zasedání zastupitelstva kraje č. 6/520 dne 14.12.2017 a byl upraven na jednání zastupitelstva kraje č. 6/475 dne 16.12.2021.                                                                   </t>
  </si>
  <si>
    <t>Pronájem pozemků a staveb</t>
  </si>
  <si>
    <t>Realizace bezpečnostních opatření podle zákona o kybernetické bezpečnosti II</t>
  </si>
  <si>
    <t>Statutární město Ostrava - dotace na spolufinancování projektu Černá kostka - centrum digitalizace, vědy a inovací</t>
  </si>
  <si>
    <t>RUČITELSKÉ ZÁVAZKY:</t>
  </si>
  <si>
    <t>Vysokorychlostní datová síť (Moravskoslezské datové centrum, příspěvková organizace, Ostrava)</t>
  </si>
  <si>
    <t>Revitalizace Slezského gymnázia (Slezské gymnázium, Opava, příspěvková organizace)</t>
  </si>
  <si>
    <t>Optimalizace využívaných prostor SŠP Krnov (Střední škola průmyslová, Krnov, příspěvková organizace)</t>
  </si>
  <si>
    <t>Závazek vznikl uzavřením Smlouvy o dílo a servisní smlouvy č. 03749/2020/ŽPZ na zhotovení aplikace pro webovou prezentaci a správu Plánu rozvoje vodovodů a kanalizací Moravskoslezského kraje.</t>
  </si>
  <si>
    <t>vysoké školy</t>
  </si>
  <si>
    <t>Dotační program - Podpora vědy a výzkumu v Moravskoslezském kraji 2023</t>
  </si>
  <si>
    <t xml:space="preserve"> - operace spojené s bankovními produkty</t>
  </si>
  <si>
    <t>×</t>
  </si>
  <si>
    <t xml:space="preserve"> - poplatky za znečišťování ovzduší</t>
  </si>
  <si>
    <r>
      <t>2026</t>
    </r>
    <r>
      <rPr>
        <b/>
        <vertAlign val="superscript"/>
        <sz val="10"/>
        <rFont val="Tahoma"/>
        <family val="2"/>
        <charset val="238"/>
      </rPr>
      <t xml:space="preserve"> 1)</t>
    </r>
  </si>
  <si>
    <t>Název akce - projekt</t>
  </si>
  <si>
    <t>od</t>
  </si>
  <si>
    <t>do</t>
  </si>
  <si>
    <t>rok 2026</t>
  </si>
  <si>
    <t>Výhled 2026</t>
  </si>
  <si>
    <t>Období realizace
akce v letech</t>
  </si>
  <si>
    <t>Ministerstvo práce a sociálních věcí - Rekonstrukce budovy a spojovací chodby Máchova (Domov Duha, příspěvková organizace, Nový Jičín)</t>
  </si>
  <si>
    <t>Obce MSK - Kotlíkové dotace v Moravskoslezském kraji - 4. grantové schéma</t>
  </si>
  <si>
    <t>Obce MSK - Kotlíkové dotace v Moravskoslezském kraji - 5. grantové schéma</t>
  </si>
  <si>
    <t>NPO - neinvestice</t>
  </si>
  <si>
    <t>OP Spravedlivá transformace - individuální projekty škol</t>
  </si>
  <si>
    <t>34033 + ORJ 13</t>
  </si>
  <si>
    <t>%
Výhled 27 / Výhled 26</t>
  </si>
  <si>
    <t>Výhled 2027</t>
  </si>
  <si>
    <t xml:space="preserve"> - splátky jistin půjčených prostředků od obcí v rámci programu Jessica</t>
  </si>
  <si>
    <t xml:space="preserve"> - příspěvek od společnosti Industrial Center CR 10 s.r.o. - spolufinancování silničního připojení areálu Panattoni Park Ostrava Airport</t>
  </si>
  <si>
    <t>Účelové dotace na výdaje spojené se společnými volbami do Senátu a zastupitelstev krajů</t>
  </si>
  <si>
    <r>
      <t xml:space="preserve">EIB
</t>
    </r>
    <r>
      <rPr>
        <sz val="10"/>
        <rFont val="Tahoma"/>
        <family val="2"/>
        <charset val="238"/>
      </rPr>
      <t xml:space="preserve">smlouva z r. 2010 
na poskytnutí úvěrového rámce </t>
    </r>
    <r>
      <rPr>
        <b/>
        <sz val="10"/>
        <rFont val="Tahoma"/>
        <family val="2"/>
        <charset val="238"/>
      </rPr>
      <t xml:space="preserve">
ve výši 2 mld. Kč</t>
    </r>
  </si>
  <si>
    <r>
      <t xml:space="preserve">ČS
</t>
    </r>
    <r>
      <rPr>
        <sz val="10"/>
        <rFont val="Tahoma"/>
        <family val="2"/>
        <charset val="238"/>
      </rPr>
      <t xml:space="preserve">smlouva o úvěru 
</t>
    </r>
    <r>
      <rPr>
        <b/>
        <sz val="10"/>
        <rFont val="Tahoma"/>
        <family val="2"/>
        <charset val="238"/>
      </rPr>
      <t>ve výši 3 mld. Kč</t>
    </r>
  </si>
  <si>
    <t>rok 2027</t>
  </si>
  <si>
    <t>Městečko bezpečí</t>
  </si>
  <si>
    <t>Rekonstrukce a výstavba objektů ve Skotnici</t>
  </si>
  <si>
    <t>Výstavba domků pro osoby s atypickými potřebami (Náš svět, Pržno)</t>
  </si>
  <si>
    <t>Modernizace Školního statku Opava III</t>
  </si>
  <si>
    <t>Modernizace zázemí pro výuku zemědělských a polygrafických oborů na Albrechtově SŠ Český Těšín</t>
  </si>
  <si>
    <t>Novostavba a přístavba objektu dílen a učeben praktického vyučování ve Středním odborném učilišti stavebním Opava</t>
  </si>
  <si>
    <t>Zřízení nového gastrocentra</t>
  </si>
  <si>
    <t>Modelová péče o lesní stanoviště a druhy vázané na lesní stanoviště a stromy</t>
  </si>
  <si>
    <t>Název akce/projektu</t>
  </si>
  <si>
    <t>2027</t>
  </si>
  <si>
    <t>Zajištění služeb souvisejících s provozem a činností krajského úřadu a zastupitelstva kraje</t>
  </si>
  <si>
    <t xml:space="preserve">Závazek kraje vyplývající z dodavatelských smluv uzavřených krajem na dobu neurčitou. Jedná se o smlouvy na zajištění dodávek tepla, TUV, energie, vodné a stočné, telekomunikační služby, odvoz odpadu, úklid a ostraha budov, revize výtahů, EZS, EPS, nákup kolků apod. v rámci činnosti krajského úřadu. </t>
  </si>
  <si>
    <t>01310/2023/DSH
 02197/2023/DSH</t>
  </si>
  <si>
    <t>Závazek Moravskoslezského kraje byl schválen usnesením zastupitelstva kraje č. 10/984 ze dne 15.12.2022 v max. výši 17.905.707.000 Kč. Závazek bude trvat od prosince 2023 do prosince 2033. Finanční prostředky na zajištění financování v případě jednotlivých let tak budou nárokovány v rámci návrhu rozpočtu Moravskoslezského kraje pro jednotlivé roky, na základě schváleného usnesení zastupitelstvem kraje, avšak vždy poníženy o předpokládané ovlivňující další faktory (výše tržeb, inflace/deflace).</t>
  </si>
  <si>
    <t>Zajištění dopravní obslužnosti v Moravskoslezském kraji veřejnou drážní osobní dopravou na úseku linky S1, tratě 321.</t>
  </si>
  <si>
    <t>dosud neuzavřeno</t>
  </si>
  <si>
    <t>Zajištění dopravní obslužnosti v Moravskoslezském kraji veřejnou drážní osobní dopravou s na vybraných traťových linkách a úsecích v Moravskoslezském kraji - provozní soubor Bruntálsko od prosince 2025 do prosince 2031.</t>
  </si>
  <si>
    <t>České dráhy, a.s.
(70994226)
ČR-Ministerstvo dopravy
(66003008)</t>
  </si>
  <si>
    <t>Závazek Moravskoslezského kraje byl schválen usnesením zastupitelstva kraje č. 11/1112 ze dne 10.3.2023 v max. výši 899.719.920 Kč. Závazek bude trvat od prosince 2025 do prosince 2031. Finanční prostředky na zajištění financování v případě jednotlivých let tak budou nárokovány v rámci návrhu rozpočtu Moravskoslezského kraje pro jednotlivé roky, na základě schváleného usnesení zastupitelstvem kraje, avšak vždy poníženy o předpokládané ovlivňující další faktory (výše tržeb, inflace/deflace, dotace). Usnesením zastupitelstva kraje č. 12/1222 ze dne 8.6.2023 byl závazek navýšen na částku 1.559.719.920 Kč  za předpokladu spolufinancování výkonů na lince R 27 Ostrava-Opava-Krnov-Olomouc v plné výši ze strany MD ČR na období  12/2027-12/2031. 
Usnesením rady kraje č. 69/5211 ze dne 5.6.2023 bylo rozhodnuto uzavřít Memorandum o spolupráci při budoucím zajištění dopravních služeb veřejné drážní osobní dopravy stávající linky R27 Ostrava – Opava – Krnov – Olomouc se společností Česká republika – Ministerstvo dopravy.</t>
  </si>
  <si>
    <t>Zajištění dopravní obslužnosti v Moravskoslezském kraji veřejnou drážní osobní dopravou vybraných vlaků na lince S6 Ostrava hl. n. – Frýdek-Místek – Frenštát pod Radhoštěm město na trati 323 Ostrava – Valašské Meziříčí od prosince roku 2023 do prosince roku 2027.</t>
  </si>
  <si>
    <t xml:space="preserve">02191/2022/DSH
 02197/2023/DSH
</t>
  </si>
  <si>
    <t>Zajištění dopravní obslužnosti v Moravskoslezském kraji veřejnou drážní osobní dopravou na trati 313 Milotice nad Opavou – Vrbno pod Pradědem v Moravskoslezském kraji, od prosince 2019 do prosince 2025.</t>
  </si>
  <si>
    <t>Závazek Moravskoslezského kraje byl schválen usnesením zastupitelstva kraje č. 3/169 ze dne 17.3.2021 v max. výši 30 mil. Kč k úhradě protarifovací ztráty na základě Dohody o zapojení a podmínkách integrace vlaků dopravce do Integrovaného dopravního systému ODIS. Tento závazek byl  usnesení zastupitelstva kraje č. 10/979 ze dne 15.12.2022 navýšen o 5 mil. Kč na období 2023-2027.</t>
  </si>
  <si>
    <t>Zajištění dopravní obslužnosti linkovou dopravou - oblast Jablunkovsko - Třinecko II.</t>
  </si>
  <si>
    <t xml:space="preserve">Závazek Moravskoslezského kraje byl schválen usnesením zastupitelstva kraje č. 13/1350 ze dne 7.9.2023 v max. výši 1.430.615.000 Kč.  Závazek bude trvat po dobu 10 let od zahájení služeb.  Finanční prostředky na zajištění financování konkrétní smlouvy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 V současné době se připravuje požadavek na uskutečnění nadlimitní veřejné zakázky. </t>
  </si>
  <si>
    <t>Závazek Moravskoslezského kraje byl schválen usnesením zastupitelstva kraje č. 16/1564 ze dne 25.9.2015 v min. výši 894.289.000 Kč. Závazek trvá do roku 2026. Finanční prostředky na zajištění financování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 Zastupitelstvo kraje usnesením č. 16/1914 ze dne 4.6.2020 rozhodlo postupovat vůči dopravci ČSAD Havířov a.s. dle varianty C ve věci úpravě mezd řidičů, vyvolané změnou příslušné právní úpravy. Navýšení závazku Moravskoslezského kraje v celkové výši 50.459.782 Kč  (z toho 2020: 2.655.778 Kč, 2021-2026: 47.804.004 Kč).</t>
  </si>
  <si>
    <t xml:space="preserve">Závazek Moravskoslezského kraje byl schválen usnesením zastupitelstva kraje č. 3/132 ze dne 16.3.2017 v min. výši 766.976.184 Kč. Závazek trvá do června 2028. Finanční prostředky na zajištění financování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 </t>
  </si>
  <si>
    <t>Závazek Moravskoslezského kraje byl schválen usnesením zastupitelstva kraje č.  3/132 ze dne 16.3.2017 v min. výši 1.051.495.848 Kč. Závazek trvá do června 2028. Finanční prostředky na zajištění financování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 Závazek bude trvat do roku 2028.</t>
  </si>
  <si>
    <t xml:space="preserve">Závazek Moravskoslezského kraje byl schválen usnesením zastupitelstva kraje č. 3/132 ze dne 16.3.2017 v min. výši 335.673.000 Kč, který byl následně změněn usnesením zastupitelstva kraje č. 6/542 ze dne 14.12.2017 na min. výši 412.490.000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 </t>
  </si>
  <si>
    <t xml:space="preserve">Závazek Moravskoslezského kraje byl schválen usnesením zastupitelstva kraje č. 3/132 ze dne 16.3.2017 v min. výši 1.825.200.000 Kč, který byl následně změněn usnesením zastupitelstva kraje č. 6/542 ze dne 14.12.2017 na min. výši 1.945.866.000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 </t>
  </si>
  <si>
    <t>Závazek Moravskoslezského kraje byl schválen usnesením zastupitelstva kraje č. 3/132 ze dne 16.3.2017 v min. výši 1.357.200.000 Kč, který byl následně změněn usnesením zastupitelstva kraje č. 6/542 ze dne 14.12.2017 na min. výši 1.543.256.000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 Závazek bude trvat do roku 2028.</t>
  </si>
  <si>
    <t>Závazek Moravskoslezského kraje byl schválen usnesením zastupitelstva kraje č. 4/253 ze dne 15.6.2017 v min. výši 1.076.400.000 Kč, který byl následně změněn usnesením zastupitelstva kraje č. 6/542 ze dne 14.12.2017 na min. výši 1.215.734.000 Kč.  Závazek trvá do roku 2029. Finanční prostředky na zajištění financování konkrétních smluv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 Závazek bude trvat do roku 2029.</t>
  </si>
  <si>
    <t>Závazek Moravskoslezského kraje byl schválen usnesením zastupitelstva kraje č. 4/253 ze dne 15.6.2017 v min. výši 702.000.000 Kč, který byl následně změněn usnesením zastupitelstva kraje č. 6/542 ze dne 14.12.2017 na min. výši 731.120.000 Kč. Závazek trvá do roku 2029. Finanční prostředky na zajištění financování konkrétních smluv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t>
  </si>
  <si>
    <t>Závazek Moravskoslezského kraje byl schválen usnesením zastupitelstva kraje č. 4/253 ze dne 15.6.2017 v min. výši 1.638.000.000 Kč, který byl následně změněn usnesením zastupitelstva kraje č. 6/542 ze dne 14.12.2017 na min. výši 1.729.000.000 Kč. závazek trvá do roku 2029. Finanční prostředky na zajištění financování konkrétních smluv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 Závazek bude trvat do roku 2029.</t>
  </si>
  <si>
    <t>Závazek Moravskoslezského kraje byl schválen usnesením zastupitelstva kraje č. 5/420 ze dne 14.9.2017 v min. výši 538.200.000 Kč, který byl následně změněn usnesením zastupitelstva kraje č. 6/542 ze dne 14.12.2017 na min. výši 568.100.000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 Závazek bude trvat do roku 2028.</t>
  </si>
  <si>
    <t>Závazek Moravskoslezského kraje byl schválen usnesením zastupitelstva kraje č. 5/420 ze dne 14.9.2017 v min. výši 959.400.000 Kč, který byl následně změněn usnesením zastupitelstva kraje č. 6/542 ze dne 14.12.2017 na min. výši 1.012.700.000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 Závazek bude trvat do roku 2028.</t>
  </si>
  <si>
    <t>Závazek Moravskoslezského kraje byl schválen usnesením zastupitelstva kraje č. 5/420 ze dne 14.9.2017 v min. výši 678.600.000 Kč, který byl následně změněn usnesením zastupitelstva kraje č. 6/542 ze dne 14.12.2017 na min. výši 716.300.000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 Závazek bude trvat do roku 2028.</t>
  </si>
  <si>
    <t>Závazek Moravskoslezského kraje byl schválen usnesením zastupitelstva kraje č. 6/553 ze dne 14.12.2017 v min. výši 1.050.244.000 Kč.. Závazek trvá do roku 2029. Finanční prostředky na zajištění financování konkrétních smluv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 Závazek bude trvat do roku 2029.</t>
  </si>
  <si>
    <r>
      <t>Závazek Moravskoslezského kraje byl schválen usnesením zastupitelstva kraje č. 4/253 ze dne 15.6.2017 (min. výše 1.123.200.000 Kč), č. 6/542 ze dne 14.12.2017 (min. výše 1.185.600.000 Kč) , který byl následně změněn usnesením zastupitelstva kraje č. 11/1228 ze dne 13.3.2019 na minimální výši 1.310.400.000 Kč.</t>
    </r>
    <r>
      <rPr>
        <b/>
        <sz val="8"/>
        <rFont val="Tahoma"/>
        <family val="2"/>
        <charset val="238"/>
      </rPr>
      <t xml:space="preserve"> </t>
    </r>
    <r>
      <rPr>
        <sz val="8"/>
        <rFont val="Tahoma"/>
        <family val="2"/>
        <charset val="238"/>
      </rPr>
      <t>Závazek trvá do roku 2030. Finanční prostředky na zajištění financování konkrétních smluv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 Závazek bude trvat do roku 2030.</t>
    </r>
  </si>
  <si>
    <t xml:space="preserve">Závazek Moravskoslezského kraje byl schválen usnesením zastupitelstva kraje č.9/966 ze dne 13.9.2018 v min. výši 202.190.000 Kč. Závazek trvá od roku 2019 do roku 2028. Závazek trvá do roku 2030. Finanční prostředky na zajištění financování konkrétní smlouvy v případě jednotlivých let tak budou nárokovány v rámci návrhu rozpočtu Moravskoslezského kraje pro jednotlivé roky, na základě schváleného usnesení zastupitelstvem kraje, avšak vždy upraveny o předpokládanou inflaci/deflaci. </t>
  </si>
  <si>
    <t xml:space="preserve">Závazek Moravskoslezského kraje byl schválen usnesením zastupitelstva kraje č. 9/966 ze dne 13.9.2018 v min. výši 19.782.500 Kč. Závazek trvá od roku 2019 do roku 2028. Finanční prostředky na zajištění financování budou nárokovány v rámci návrhu rozpočtu Moravskoslezského kraje pro jednotlivé roky, na základě schváleného usnesení zastupitelstvem kraje, avšak vždy upraveny o předpokládanou inflaci/deflaci. </t>
  </si>
  <si>
    <t>Smlouva o poskytnutí finančního příspěvku na zajištění dopravní obslužnosti území Moravskoslezského kraje městskou hromadnou dopravou - Obec Horní Bludovice</t>
  </si>
  <si>
    <t>Obec Horní Bludovice (00296686)</t>
  </si>
  <si>
    <t>Smlouva o poskytnutí finančního příspěvku na zajištění dopravní obslužnosti území Moravskoslezského kraje městskou hromadnou dopravou - Město Šenov</t>
  </si>
  <si>
    <t>Město Šenov
(00297291)</t>
  </si>
  <si>
    <t xml:space="preserve">Zastupitelstvo kraje svým usnesením č. 3/131 ze dne 16.3.2017 rozhodlo o uzavření smlouvy o finanční spolupráci ve veřejné linkové osobní dopravě mezi Moravskoslezským krajem a Olomouckým krajem. Usnesením zastupitelstva kraje č. 6/541 ze dne 14.12.2017 byl schválen závazek v min. výši 56 mil. Kč.   Dále usnesením zastupitelstva kraje č. 14/1675 ze dne 12.12.2019 byl schválný závazek navýšen na částku 72 mil. Kč. Závazek trvá od 1.1.2018 do 31.12.2027. Finanční prostředky na zajištění financování budou nárokovány v rámci návrhu rozpočtu Moravskoslezského kraje pro jednotlivé roky, na základě schváleného usnesení zastupitelstvem kraje, avšak vždy upraveny o předpokládanou inflaci/deflaci. </t>
  </si>
  <si>
    <t xml:space="preserve">Závazek Moravskoslezského kraje byl schválen usnesením zastupitelstva kraje č. 17/2041 ze dne 3.9.2020 v max. výši 1.039.486.500 Kč. Závazek bude trvat po dobu 10 let od zahájení služeb.  Finanční prostředky na zajištění financování konkrétní smlouvy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 V současné době se připravuje požadavek na uskutečnění nadlimitní veřejné zakázky. </t>
  </si>
  <si>
    <t>CERT-ACO
(25606310)</t>
  </si>
  <si>
    <t>03698/2023/EPCH</t>
  </si>
  <si>
    <t>Členský příspěvek v zapsaném spolu POHOPARK</t>
  </si>
  <si>
    <t xml:space="preserve">Členství Moravskoslezského kraje v zájmovém spolku na dobu neurčitou schválilo zastupitelstvo kraje usnesením č. 13/1342 ze dne 7.9.2023. </t>
  </si>
  <si>
    <t>Inteligentní parkovací systém v okolí Krajského úřadu Moravskoslezského kraje</t>
  </si>
  <si>
    <t>MASTER IT Technologies, a. s.,
(27851931)</t>
  </si>
  <si>
    <t>02108/2019/KŘ</t>
  </si>
  <si>
    <t>ELTODO, a.s.
(45274517)</t>
  </si>
  <si>
    <t>01735/2021/EPCH</t>
  </si>
  <si>
    <t>Členský příspěvek v zapsaném spolku Moravskoslezský Vodíkový Klastr</t>
  </si>
  <si>
    <t xml:space="preserve">Členský příspěvek Mezinárodní neziskové asociaci Hydrogen Europe  </t>
  </si>
  <si>
    <t>Mezinárodní nezisková asociace Hydrogen Europe</t>
  </si>
  <si>
    <t xml:space="preserve">Členství Moravskoslezského kraje v partnerské asociaci vodíkových technologií Hydrogen Europe na dobu neurčitou schválilo zastupitelstvo kraje usnesením č. 11/1092 ze dne 10.3.2023. </t>
  </si>
  <si>
    <t>Závazky kraje vyplývající z dodavatelských smluv uzavřených krajem na dobu neurčitou. Jedná se zejména o smlouvy na technickou a zákaznickou podporu (maintenance), údržba a provoz KDS, NEWPS.cz, spisová služba.</t>
  </si>
  <si>
    <t>Technická údržba, podpora a služby k software v odvětví krizového řízení</t>
  </si>
  <si>
    <t>Závazky kraje vyplývající z dodavatelských smluv uzavřených krajem na dobu neurčitou. Jedná se zejména o smlouvu na poskytování datových služeb a uživatelské podpoře a systémové podpoře softwarových produktů.</t>
  </si>
  <si>
    <t>Technická údržba, podpora a služby k software v odvětví kultury</t>
  </si>
  <si>
    <t>Členství Moravskoslezského kraje v zájmovém sdružení na dobu neurčitou schválilo zastupitelstvo kraje usnesením č. 10/1116 ze dne 13.12.2018. Usnesením zastupitelstva kraje č. 10/1017 ze dne 15.12.2022Z byl navýšen členský příspěvek na 4.400 tis. Kč s platností od roku 2023 .</t>
  </si>
  <si>
    <t>Dotační program - Program na podporu přípravy projektové dokumentace 2024</t>
  </si>
  <si>
    <t>Dotační program - Podpora vědy a výzkumu v Moravskoslezském kraji 2024</t>
  </si>
  <si>
    <t>Členství Moravskoslezského kraje v zájmovém sdružení právnických osob Evropská kulturní stezka sv. Cyrila a Metoděje na dobu neurčitou schválilo zastupitelstvo kraje usnesením č. 12/1085 ze dne 11.12.2014. Závazek Moravskoslezského kraje byl schválen usnesením zastupitelstva kraje č. 6/520 ze dne 14.12.2017. Usnesením zastupitelstva kraje č. 11/1144 ze dne 10.3.2023 bylo rozhodnuto o navýšení členského příspěvku.</t>
  </si>
  <si>
    <t>Propagace Moravskoslezského kraje a statutárního města Ostrava prostřednictvím marketingových služeb leteckého dopravce</t>
  </si>
  <si>
    <t>02192/2023/DSH</t>
  </si>
  <si>
    <t>Obec Prostřední Bečva</t>
  </si>
  <si>
    <t>00247/2020/RRC</t>
  </si>
  <si>
    <t>Technická údržba, podpora a služby k software v odvětví sociálních věcí</t>
  </si>
  <si>
    <t>Prevence rizikového chování</t>
  </si>
  <si>
    <t>Kraj Vysočina (70890749)</t>
  </si>
  <si>
    <t xml:space="preserve">Moravskoslezská Technologická Akademie, z.s. (MTA) </t>
  </si>
  <si>
    <t xml:space="preserve">Technická údržba, podpora a služby k software v odvětví školství  </t>
  </si>
  <si>
    <t>Smlouva o nájmu podniku Nemocnice Nový Jičín</t>
  </si>
  <si>
    <t xml:space="preserve"> </t>
  </si>
  <si>
    <t>Kybernetická bezpečnost – příspěvkové organizace kraje</t>
  </si>
  <si>
    <t>Protialkoholní záchytná stanice</t>
  </si>
  <si>
    <t>Stabilizace zdravotnického personálu a vzdělávání</t>
  </si>
  <si>
    <t>Ostravská univerzita (61988987)</t>
  </si>
  <si>
    <t>Závazky kraje vyplývající z dodavatelských smluv uzavřených krajem na dobu neurčitou. Jedná se zejména o smlouvy na technickou a zákaznickou podporu (maintenance), údržba a provoz KDS, NEWPS.cz, spisová služba, MIS pro oblast zdravotnictví a nemocnice, identitní brána.</t>
  </si>
  <si>
    <t>Povodňový plán Moravskoslezského kraje</t>
  </si>
  <si>
    <t>VÍTKOVICE IT SOLUTIONS a.s.</t>
  </si>
  <si>
    <t>03967/2023/ŽPZ</t>
  </si>
  <si>
    <t>Technická údržba, podpora a služby k software v odvětví životního prostředí</t>
  </si>
  <si>
    <t>HYDROSOFT Veleslavín s.r.o.
(61061557)</t>
  </si>
  <si>
    <t>03749/2020/ŽPZ</t>
  </si>
  <si>
    <t>Usnesením rady kraje č. 92/7993 ze dne 20.7.2020 byla uzavřena smlouva na pořízení aplikace pro webovou prezentaci a správu Plánu rozvoje vodovodů a kanalizací, včetně technické a servisní podpory.</t>
  </si>
  <si>
    <t>Digitální povodňový plán Moravskoslezského kraje</t>
  </si>
  <si>
    <t>VÍTKOVICE IT SOLUTIONS a.s.
(28606582)</t>
  </si>
  <si>
    <t>V souvislosti s žádostí společnosti VaK Bruntál, a. s. a na základě usnesení č. 5/277 ze dne 17.6.2009 rozhodlo zastupitelstvo kraje o převzetí ručitelského závazku za všechny dluhy obchodní společnosti VaK Bruntál a. s., a vydání prohlášení ručitele ve smyslu § 546 zákona č. 40/1964 Sb., občanský zákoník, ve znění pozdějších předpisů. Moravskoslezský kraj převzal ručení s ohledem na ust. § 143 odst. 4 insolvenčního zákona, když takový krok vyššího územního samosprávného celku je zákonným důvodem pro zamítnutí insolvenčního návrhu podaného věřitelem. Ve věci zajištění ručitelského závazku Moravskoslezského kraje je uzavřena smlouva o budoucí smlouvě zástavní se společností VaK Bruntál, a. s. týkajících se údajných pohledávek společnosti FOCUS METAL, s.r.o., ke kterému probíhalo v letech 2011 až 2022 soudní řízení, které bylo zatím ukončeno rozsudkem KS v Ostravě, který 20. 12.2022 potvrdil rozhodnutí ve věci FOCUS METAL, s.r.o. a dlužník již žalovanou částku uhradil. Závazky vůči této společnosti byly vyřešeny a je možno o ně snížit ručení.  Ručitelský závazek je aktualizován ročně podle údajů z účetnictví společnosti VaK Bruntál, a. s. 
Zachování majetkové účasti Moravskoslezského kraje ve společnosti VaK Bruntál, a. s., a ručitelského závazku je účelné až do doby dořešení všech sporů.</t>
  </si>
  <si>
    <t>Individuální dotace - Příspěvek na zabezpečení úkolů jednotek požární ochrany v rámci veřejné služby</t>
  </si>
  <si>
    <t>Individuální dotace - Podpora odborného vzdělávání na vysokých školách v Moravskoslezském kraji</t>
  </si>
  <si>
    <t>Individuální dotace - Fond Pustevny</t>
  </si>
  <si>
    <t>Individuální dotace - Podpora sportu a pohybových aktivit občanů Moravskoslezského kraje</t>
  </si>
  <si>
    <t>Individuální dotace - Multifunkční sportovní hala v Ostravě</t>
  </si>
  <si>
    <r>
      <t>2027</t>
    </r>
    <r>
      <rPr>
        <b/>
        <vertAlign val="superscript"/>
        <sz val="10"/>
        <rFont val="Tahoma"/>
        <family val="2"/>
        <charset val="238"/>
      </rPr>
      <t xml:space="preserve"> 1)</t>
    </r>
  </si>
  <si>
    <t>UKAZATELE ZADLUŽENOSTI</t>
  </si>
  <si>
    <t xml:space="preserve">Financování akce bylo schváleno usnesením zastupitelstva kraje č. 13/1409 ze dne 7. 9. 2023. </t>
  </si>
  <si>
    <t>Přeložka silnice II/467 Štítina – obchvat a napojení na silnici I/11 (Správa silnic Moravskoslezského kraje, příspěvková organizace, Ostrava)</t>
  </si>
  <si>
    <t>Revitalizace frýdeckého zámku (Muzeum Beskyd Frýdek-Místek, příspěvková organizace)</t>
  </si>
  <si>
    <t>Zámek Bruntál - revitalizace objektu II (Muzeum v Bruntále, příspěvková organizace)</t>
  </si>
  <si>
    <t>Oprava střechy Žerotínského zámku (Muzeum Novojičínska, příspěvková organizace)</t>
  </si>
  <si>
    <t>Výstavba nového objektu v Bruntále (Centrum psychologické pomoci, příspěvková organizace, Karviná)</t>
  </si>
  <si>
    <t>Rekonstrukce objektu Na Pomezí (Sírius, příspěvková organizace, Opava)</t>
  </si>
  <si>
    <t>Výstavba ředitelství včetně spojovacích chodeb (Střední škola technická a dopravní, Ostrava-Vítkovice, příspěvková organizace)</t>
  </si>
  <si>
    <t>Rekonstrukce elektroinstalace (Gymnázium, Krnov, příspěvková organizace)</t>
  </si>
  <si>
    <t>Rekonstrukce bazénu a sprch (Střední škola řemesel, Frýdek-Místek, příspěvková organizace)</t>
  </si>
  <si>
    <t>Rekonstrukce elektroinstalace (Matiční gymnázium, Ostrava, příspěvková organizace)</t>
  </si>
  <si>
    <t>Rekonstrukce elektroinstalace (Gymnázium Hladnov a Jazyková škola s právem státní jazykové zkoušky, Ostrava, příspěvková organizace)</t>
  </si>
  <si>
    <t>Rekonstrukce sociálního zařízení (Základní škola, Ostrava-Slezská Ostrava, Na Vizině 28, příspěvková organizace)</t>
  </si>
  <si>
    <t>Sportovní areál na ul. Komenského, Opava (Mendelovo gymnázium, Opava, příspěvková organizace)</t>
  </si>
  <si>
    <t>Novostavba školních dílen (Střední škola, Bohumín, příspěvková organizace)</t>
  </si>
  <si>
    <t>Optimalizace výukových prostor ve městě Vítkov (Základní škola, Vítkov, nám. J. Zajíce č. 1, příspěvková organizace)</t>
  </si>
  <si>
    <t>Rekonstrukce kuchyně a jídelny (Střední škola a Vyšší odborná škola, Kopřivnice, příspěvková organizace)</t>
  </si>
  <si>
    <t>Rekonstrukce školní kuchyně a jídelny (Gymnázium, Nový Jičín, příspěvková organizace)</t>
  </si>
  <si>
    <t>Hospital Cloud</t>
  </si>
  <si>
    <t>Provozní dotace</t>
  </si>
  <si>
    <t>Silnice II/442 Kerhartice - VD Kružberk</t>
  </si>
  <si>
    <t>UNIFHY-Unifying policies to support the uptake of green hydrogen to decarbonize Europe“-„UNIFHY- Sjednocení politik na podporu zavádění zeleného vodíku k dekarbonizaci Evropy</t>
  </si>
  <si>
    <t xml:space="preserve">Juraj a Ondráš – zbojnické legendy </t>
  </si>
  <si>
    <t xml:space="preserve">Restaurování kulturního dědictví Moravskoslezského kraje </t>
  </si>
  <si>
    <t>Technická pomoc - Podpora aktivit v rámci Programu Interreg Česko – Polsko 2021–2027</t>
  </si>
  <si>
    <t>Cyrilometodějská stezka - produkt udržitelného cestovního ruchu</t>
  </si>
  <si>
    <t>Zastupitelstvo kraje rozhodlo o profinancování a kofinancování projektu dne 7. 9. 2023 usnesením č. 13/1384.</t>
  </si>
  <si>
    <t>Cyrilometodějská stezka - putování po stopách Jana Pavla II.</t>
  </si>
  <si>
    <t>Podpora duše III</t>
  </si>
  <si>
    <t>Výstavba domova se zvláštním režimem (Domov Hortenzie, Frenštát)</t>
  </si>
  <si>
    <t>Implementace Dlouhodobého záměru Moravskoslezského kraje</t>
  </si>
  <si>
    <t>Moravskoslezské energetické centrum, příspěvková organizace, Ostrava
(03103820)</t>
  </si>
  <si>
    <t>Návratná finanční výpomoc příspěvkovým organizacím v odvětví chytrého regionu</t>
  </si>
  <si>
    <t>Zastupitelstvo kraje rozhodlo usnesením č. 10/968 ze dne 15.12.2022 poskytnout návratnou finanční výpomoc příspěvkové organizaci Moravskoslezské energetické centrum na období 2023-2027 k zajištění profinancování projektu "Centrum veřejných energetiků".</t>
  </si>
  <si>
    <t>Název</t>
  </si>
  <si>
    <t>Zastupitelstvo kraje 6/562 ze dne 16.12.2021 rozhodlo zajistit financování závazku kraje na období 2022 – 2027 ve výši 7.500 Kč všem konečným uživatelům v dotačních programech zaměřených na výměnu zdrojů tepla na území Moravskoslezského kraje financovaných z Operačního programu Životní prostředí 2021 – 2027, tj. maximálně 61 mil. Kč. 
Zastupitelstvo kraje usnesením č.  6/475 ze dne 16.12.2021 schválilo předfinancování příspěvků obcí v celkové výši 40.000 tis. Kč v letech 2022-2026.  Prostředky na EU podíl kraj obdrží formou záloh.</t>
  </si>
  <si>
    <t>PŘEHLED OČEKÁVANÝCH ÚČELOVÝCH DOTACÍ V LETECH 2026-2028</t>
  </si>
  <si>
    <t>Ostatní očekávané účelové dotace ze státního rozpočtu celkem</t>
  </si>
  <si>
    <t>Ministerstvo práce a sociálních věcí - Příspěvek na výkon sociální práce (s výjimkou sociálně-právní ochrany dětí)</t>
  </si>
  <si>
    <t>Ministerstvo práce a sociálních věcí - Neinvestiční nedávkové transfery podle zákona č. 108/2006 Sb., o sociálních službách (§ 101, § 102 a § 103)</t>
  </si>
  <si>
    <t>Ministerstvo práce a sociálních věcí - Transfery na státní příspěvek zřizovatelům zařízení pro děti vyžadující okamžitou pomoc</t>
  </si>
  <si>
    <t>Ministerstvo školství, mládeže a tělovýchovy - Dotace pro soukromé školy</t>
  </si>
  <si>
    <t>Ministerstvo školství, mládeže a tělovýchovy - Přímé náklady na vzdělávání</t>
  </si>
  <si>
    <t>Všeobecná pokladní správa - Účelové dotace na výdaje spojené s volbami do Parlamentu České republiky</t>
  </si>
  <si>
    <t>Všeobecná pokladní správa - Účelové dotace na výdaje spojené se společnými volbami do Parlamentu ČR a zastupitelstev v obcích</t>
  </si>
  <si>
    <t>Všeobecná pokladní správa - Účelové dotace na výdaje spojené s volbou prezidenta ČR</t>
  </si>
  <si>
    <t>Financování provázejících učitelů a koordinace ped. praxí</t>
  </si>
  <si>
    <t>Financování adaptačních a integračních aktivit cizinců</t>
  </si>
  <si>
    <t>Očekávaná výše dotace (v tis. Kč)</t>
  </si>
  <si>
    <t>BILANCE PŘÍJMŮ A VÝDAJŮ V LETECH 2026-2028</t>
  </si>
  <si>
    <t>Očekávaná skutečnost 2025</t>
  </si>
  <si>
    <t>Výhled 2028</t>
  </si>
  <si>
    <t>%
Výhled 26 / 
Oček.skut. 25</t>
  </si>
  <si>
    <t>%
Výhled 28 / Výhled 27</t>
  </si>
  <si>
    <t>Ostatní očekávané účelové dotace ze státního rozpočtu</t>
  </si>
  <si>
    <t>Výdaje financované z ostatních očekávaných účelových dotací ze státního rozpočtu</t>
  </si>
  <si>
    <t xml:space="preserve"> - informatika a kybernetická bezpečnost</t>
  </si>
  <si>
    <t xml:space="preserve"> - úhrady z vydobytých nerostů</t>
  </si>
  <si>
    <t xml:space="preserve"> - příspěvek od statutárního města Ostravy - spolupráce při propagaci prostřednictvím letecké reklamy</t>
  </si>
  <si>
    <t>na léta 2026-2028</t>
  </si>
  <si>
    <t xml:space="preserve">Bilance příjmů a výdajů v letech 2026-2028 </t>
  </si>
  <si>
    <t>Přehled očekávaných účelových dotací v letech 2026-2028</t>
  </si>
  <si>
    <t>Ukazatel zadluženosti dle agentury Moody´s Deutschland GmbH</t>
  </si>
  <si>
    <r>
      <t>2028</t>
    </r>
    <r>
      <rPr>
        <b/>
        <vertAlign val="superscript"/>
        <sz val="10"/>
        <rFont val="Tahoma"/>
        <family val="2"/>
        <charset val="238"/>
      </rPr>
      <t xml:space="preserve"> 1)</t>
    </r>
  </si>
  <si>
    <r>
      <t>Nedaňové příjmy</t>
    </r>
    <r>
      <rPr>
        <b/>
        <vertAlign val="superscript"/>
        <sz val="10"/>
        <rFont val="Tahoma"/>
        <family val="2"/>
        <charset val="238"/>
      </rPr>
      <t xml:space="preserve"> 2)</t>
    </r>
  </si>
  <si>
    <r>
      <t xml:space="preserve">DLUH k 31.12. </t>
    </r>
    <r>
      <rPr>
        <b/>
        <vertAlign val="superscript"/>
        <sz val="10"/>
        <rFont val="Tahoma"/>
        <family val="2"/>
        <charset val="238"/>
      </rPr>
      <t>3)</t>
    </r>
  </si>
  <si>
    <r>
      <t>DLUH K PROVOZNÍM PŘÍJMŮM</t>
    </r>
    <r>
      <rPr>
        <b/>
        <vertAlign val="superscript"/>
        <sz val="10"/>
        <rFont val="Tahoma"/>
        <family val="2"/>
        <charset val="238"/>
      </rPr>
      <t xml:space="preserve"> 4)</t>
    </r>
  </si>
  <si>
    <r>
      <t xml:space="preserve">DLUH k 31.12. </t>
    </r>
    <r>
      <rPr>
        <b/>
        <vertAlign val="superscript"/>
        <sz val="10"/>
        <rFont val="Tahoma"/>
        <family val="2"/>
        <charset val="238"/>
      </rPr>
      <t>2)</t>
    </r>
  </si>
  <si>
    <r>
      <t xml:space="preserve">PODÍL DLUHU K PRŮMĚRU PŘÍJMŮ </t>
    </r>
    <r>
      <rPr>
        <b/>
        <vertAlign val="superscript"/>
        <sz val="10"/>
        <rFont val="Tahoma"/>
        <family val="2"/>
        <charset val="238"/>
      </rPr>
      <t>3)</t>
    </r>
  </si>
  <si>
    <r>
      <t xml:space="preserve">UCB II
</t>
    </r>
    <r>
      <rPr>
        <sz val="10"/>
        <rFont val="Tahoma"/>
        <family val="2"/>
        <charset val="238"/>
      </rPr>
      <t xml:space="preserve">smlouva o úvěru 
</t>
    </r>
    <r>
      <rPr>
        <b/>
        <sz val="10"/>
        <rFont val="Tahoma"/>
        <family val="2"/>
        <charset val="238"/>
      </rPr>
      <t xml:space="preserve">ve výši 1,0097 mld. Kč
</t>
    </r>
    <r>
      <rPr>
        <sz val="10"/>
        <rFont val="Tahoma"/>
        <family val="2"/>
        <charset val="238"/>
      </rPr>
      <t>úvěr na refinancování 3 vybraných úvěrových tranší načerpaných od EIB</t>
    </r>
  </si>
  <si>
    <r>
      <t xml:space="preserve">UCB 2024+
</t>
    </r>
    <r>
      <rPr>
        <sz val="10"/>
        <rFont val="Tahoma"/>
        <family val="2"/>
        <charset val="238"/>
      </rPr>
      <t xml:space="preserve">smlouva o úvěru
</t>
    </r>
    <r>
      <rPr>
        <b/>
        <sz val="10"/>
        <rFont val="Tahoma"/>
        <family val="2"/>
        <charset val="238"/>
      </rPr>
      <t xml:space="preserve">ve výši 1,5 mld. Kč
</t>
    </r>
    <r>
      <rPr>
        <sz val="10"/>
        <rFont val="Tahoma"/>
        <family val="2"/>
        <charset val="238"/>
      </rPr>
      <t>úvěr na</t>
    </r>
    <r>
      <rPr>
        <b/>
        <sz val="10"/>
        <rFont val="Tahoma"/>
        <family val="2"/>
        <charset val="238"/>
      </rPr>
      <t xml:space="preserve"> </t>
    </r>
    <r>
      <rPr>
        <sz val="10"/>
        <rFont val="Tahoma"/>
        <family val="2"/>
        <charset val="238"/>
      </rPr>
      <t xml:space="preserve">předfinancování projektů EU </t>
    </r>
  </si>
  <si>
    <r>
      <rPr>
        <b/>
        <vertAlign val="superscript"/>
        <sz val="8"/>
        <rFont val="Tahoma"/>
        <family val="2"/>
        <charset val="238"/>
      </rPr>
      <t>1)</t>
    </r>
    <r>
      <rPr>
        <b/>
        <sz val="8"/>
        <rFont val="Tahoma"/>
        <family val="2"/>
        <charset val="238"/>
      </rPr>
      <t xml:space="preserve"> </t>
    </r>
    <r>
      <rPr>
        <sz val="8"/>
        <rFont val="Tahoma"/>
        <family val="2"/>
        <charset val="238"/>
      </rPr>
      <t>Pro léta 2024 až 2028 se jedná o očekávanou skutečnost k 31.12.</t>
    </r>
  </si>
  <si>
    <r>
      <rPr>
        <b/>
        <vertAlign val="superscript"/>
        <sz val="8"/>
        <rFont val="Tahoma"/>
        <family val="2"/>
        <charset val="238"/>
      </rPr>
      <t>3)</t>
    </r>
    <r>
      <rPr>
        <b/>
        <sz val="8"/>
        <rFont val="Tahoma"/>
        <family val="2"/>
        <charset val="238"/>
      </rPr>
      <t xml:space="preserve"> </t>
    </r>
    <r>
      <rPr>
        <sz val="8"/>
        <rFont val="Tahoma"/>
        <family val="2"/>
        <charset val="238"/>
      </rPr>
      <t>Zůstatky nepslacených úvěrů a návratných finančních výpomocí k rozvahovému dni 31.12.</t>
    </r>
  </si>
  <si>
    <r>
      <rPr>
        <b/>
        <vertAlign val="superscript"/>
        <sz val="8"/>
        <rFont val="Tahoma"/>
        <family val="2"/>
        <charset val="238"/>
      </rPr>
      <t>1)</t>
    </r>
    <r>
      <rPr>
        <sz val="8"/>
        <rFont val="Tahoma"/>
        <family val="2"/>
        <charset val="238"/>
      </rPr>
      <t xml:space="preserve"> Pro léta 2024 až 2028 se jedná o očekávanou skutečnost k 31.12.</t>
    </r>
  </si>
  <si>
    <r>
      <rPr>
        <b/>
        <vertAlign val="superscript"/>
        <sz val="8"/>
        <rFont val="Tahoma"/>
        <family val="2"/>
        <charset val="238"/>
      </rPr>
      <t>2)</t>
    </r>
    <r>
      <rPr>
        <sz val="8"/>
        <rFont val="Tahoma"/>
        <family val="2"/>
        <charset val="238"/>
      </rPr>
      <t xml:space="preserve"> V souladu s metodologií Moody´s neobsahuje příjmy ze splátek půjčených prostředků.</t>
    </r>
  </si>
  <si>
    <r>
      <rPr>
        <b/>
        <vertAlign val="superscript"/>
        <sz val="8"/>
        <rFont val="Tahoma"/>
        <family val="2"/>
        <charset val="238"/>
      </rPr>
      <t>3)</t>
    </r>
    <r>
      <rPr>
        <b/>
        <sz val="8"/>
        <rFont val="Tahoma"/>
        <family val="2"/>
        <charset val="238"/>
      </rPr>
      <t xml:space="preserve"> Stanovená hranice hodnoty ukazatele podle zákona o pravidlech rozpočtové odpovědnosti činí 60 %.</t>
    </r>
  </si>
  <si>
    <r>
      <rPr>
        <b/>
        <vertAlign val="superscript"/>
        <sz val="8"/>
        <rFont val="Tahoma"/>
        <family val="2"/>
        <charset val="238"/>
      </rPr>
      <t>4)</t>
    </r>
    <r>
      <rPr>
        <b/>
        <sz val="8"/>
        <rFont val="Tahoma"/>
        <family val="2"/>
        <charset val="238"/>
      </rPr>
      <t xml:space="preserve"> Agentura Moody´s doporučuje nepřekročit u ukazatele zadluženosti hodnotu 20-22 %.</t>
    </r>
  </si>
  <si>
    <r>
      <rPr>
        <b/>
        <vertAlign val="superscript"/>
        <sz val="8"/>
        <rFont val="Tahoma"/>
        <family val="2"/>
        <charset val="238"/>
      </rPr>
      <t>2)</t>
    </r>
    <r>
      <rPr>
        <b/>
        <sz val="8"/>
        <rFont val="Tahoma"/>
        <family val="2"/>
        <charset val="238"/>
      </rPr>
      <t xml:space="preserve"> </t>
    </r>
    <r>
      <rPr>
        <sz val="8"/>
        <rFont val="Tahoma"/>
        <family val="2"/>
        <charset val="238"/>
      </rPr>
      <t>Zůstatky nesplacených úvěrů a návratných finančních výpomocí k rozvahovému dni 31.12.</t>
    </r>
  </si>
  <si>
    <t>2028</t>
  </si>
  <si>
    <t>po r. 2028</t>
  </si>
  <si>
    <t>Závazek kraje vyplývající z členství Moravskoslezského kraje v Asociaci krajů České republiky (AKČR). Členství bylo schváleno usnesením zastupitelstva kraje č. 47/M1 ze dne 12.2.2001 a to na dobu neurčitou. Rada AKČR usnesením č. 164 ze dne 8.3.2023 schválila navýšení příspěvku člena AKČR pro rok 2023 a roky následující na 1.000 tis. Kč /rok. Zastupitelstvo kraje usnesením č. 12/1197 ze dne 8.6.2023 rozhodlo poskytnout AKČR členský příspěvek ve výši 1.000 tis. Kč pro rok 2023 a roky následující. Od roku 2024 činí členský příspěvek 1.200 tis. Kč. Upravený závazek byl schválen usnesením zastupitelstva kraje č. 14/1454 ze dne 7.12.2023.</t>
  </si>
  <si>
    <t>Smlouva o partnerství a vzájemné spolupráci</t>
  </si>
  <si>
    <t>0004</t>
  </si>
  <si>
    <t>Leaders club, z. s. 
(19992971)</t>
  </si>
  <si>
    <t>01577/2024/KŘ</t>
  </si>
  <si>
    <t>Usnesením rady kraje č. 91/6773 ze dne 18.3.2024  bylo rozhodnuto o uzavření smlouvy o partnerství a vzájemné spolupráci Moravskoslezského kraje a Leaders club, z. s. . Jedná se o smlouvu na dobu neurčitou s 2 měsíční výpovědní lhůtou. V roce 2024 činí  příspěvek ve výši 15 tis. Kč a následujícím období 50 tis. Kč/rok.</t>
  </si>
  <si>
    <t>18</t>
  </si>
  <si>
    <t>Povinnost zpracování Energetických auditů, případně povinnost zavedení certifikovaného systému hospodaření s energií dle normy ČSN EN ISO 50001:2019, a to na základě zákona č. 406/2000 Sb., o hospodaření energií. Jedná se o mandatorní výdaj.  Upravený závazek schválilo zastupitelstvo kraje svým usnesením č. 14/1454 ze dne 7.12.2023.</t>
  </si>
  <si>
    <t xml:space="preserve">Závazek Moravskoslezského kraje byl schválen usnesením zastupitelstva kraje č. 16/1926 ze dne 4. 6.2020 ve výši 260 mil. Kč na období od 1.7.2021-30.6.2026. S ohledem na vysoutěženou cenu byl usnesením zastupitelstva č. 17/2063 ze dne 3.9.2020 navýšen na částku 295 mil. Kč. Vzhledem ke skutečnosti, že k  1.4.2025 bude kraji vypovězena pojistná smlouva na pojištění majetku a obecné odpověqdnosti, bude realizovaná veřejná zakázka na uzavření nové pojistné smlouvy, u které se předpokládá navýšení pojistného za rok 2026 o 15 mil. Kč. </t>
  </si>
  <si>
    <t>01329/2012/IM, 01471/2011/IM, 02465/2013/IM, 03511/2016/IM, 08063/2018/IM, 07969/2020/IM, 04978/2022/IM, 05015/2023/IM, 02347/2024/IM, 02349/2024/IM</t>
  </si>
  <si>
    <r>
      <t>Pronájem pozemků vyplývající z uzavřených smluv (01329/2012/IM, 01471/2011/IM, 02465/2013/IM, 03511/2016/IM,</t>
    </r>
    <r>
      <rPr>
        <b/>
        <sz val="8"/>
        <rFont val="Tahoma"/>
        <family val="2"/>
        <charset val="238"/>
      </rPr>
      <t xml:space="preserve"> </t>
    </r>
    <r>
      <rPr>
        <sz val="8"/>
        <rFont val="Tahoma"/>
        <family val="2"/>
        <charset val="238"/>
      </rPr>
      <t xml:space="preserve">08063/2018/IM, 05015/2023/IM), pronájem nebytových prostor pro příspěvkovou organizaci Moravskoslezské energetické centrum dle nájemní smlouvy č. 07969/2020/IM a pronájem skladovacích prostor v Ostravě Kunčičkách dle smlouvy č. 04978/2022/IM. Jedná se o smlouvy na dobu určitou i neurčitou. Upravený závazek byl schválen unsesením zastuitelstva kraje č. 14/1454 ze dne 7.12.2023. Pronájem parkovacích ploch ze dne 1.6.2024 z uzavřených smluv (02347/2024/IM, 02349/2024/IM). </t>
    </r>
  </si>
  <si>
    <t>703/157</t>
  </si>
  <si>
    <t xml:space="preserve">Smart Innovation Center, s.r.o.
(65409574),
HOMOLA holding s.r.o.
(06519091),
SATUM CZECH, s.r.o.
(25373951)
</t>
  </si>
  <si>
    <t>07969/2020/IM, 04978/2022/IM, 05872/2022/IM</t>
  </si>
  <si>
    <r>
      <t>Moravskoslezský kraj uzavřel smlouvu č. 07969/2020/IM na služby spojené s pronájmem prostor pro příspěvkovou organizaci Moravskoslezské energetické centrum ve výši 1.047 tis. Kč ročně, smlouvu č. 04978/2022/IM na pronájem skladovacích prostor v Ostravě Kunčičkách ve výši  136 tis. Kč ročně a smlouvu o poradenství v oblasti pojišťovnictví č. 05872/2022/IM ve výši 15 tis. Kč ročně.</t>
    </r>
    <r>
      <rPr>
        <strike/>
        <sz val="8"/>
        <rFont val="Tahoma"/>
        <family val="2"/>
        <charset val="238"/>
      </rPr>
      <t xml:space="preserve"> </t>
    </r>
    <r>
      <rPr>
        <sz val="8"/>
        <rFont val="Tahoma"/>
        <family val="2"/>
        <charset val="238"/>
      </rPr>
      <t>Upravený závazek byl schválen unsesením zastuitelstva kraje č. 14/1454 ze dne 7.12.2023.</t>
    </r>
  </si>
  <si>
    <t>Smlouva o poskytnutí úvěrového rámce mezi UniCredit Bank Czech Republic and Slovakia, a. s. a Moravskoslezským krajem - projektový 2024+ - splátky jistin</t>
  </si>
  <si>
    <t>04976/2023/FIN</t>
  </si>
  <si>
    <t>Zastupitelstvo kraje usnesením č. 14/1524 ze dne 7. 12. 2023 rozhodlo o uzavření smlouvy o úvěru s UniCredit Bank Czech Republic and Slovakia, a.s. ve výši 1,5 mld. Kč s úrokovou sazbou 1měsíční PRIBOR se zápornou odchylkou. Předmětem úvěrové smlouvy je předfinancování a spolufinancování evropských projektů kraje a jeho příspěvkových organizací v letech 2024 – 2029. Úvěr bude splácen průběžně, nejpozději do 31.12.2030.</t>
  </si>
  <si>
    <r>
      <t>Smlouva o poskytnutí</t>
    </r>
    <r>
      <rPr>
        <strike/>
        <sz val="8"/>
        <rFont val="Tahoma"/>
        <family val="2"/>
        <charset val="238"/>
      </rPr>
      <t xml:space="preserve"> </t>
    </r>
    <r>
      <rPr>
        <sz val="8"/>
        <rFont val="Tahoma"/>
        <family val="2"/>
        <charset val="238"/>
      </rPr>
      <t>úvěrového rámce mezi UniCredit Bank Czech Republic and Slovakia, a. s. a Moravskoslezským krajem - projektový 2024+ - platba úroků</t>
    </r>
  </si>
  <si>
    <t>Poskytování servisní činnosti pro řádnou funkci webové aplikace Finanční stabilita municipalit Moravskoslezského kraje</t>
  </si>
  <si>
    <t>01890/2024/FIN</t>
  </si>
  <si>
    <t>Zajištění dopravní obslužnosti v Moravskoslezském kraji veřejnou drážní osobní dopravou s na vybraných traťových linkách a úsecích v Moravskoslezském kraji - provozní soubor Osoblaha od prosince 2024 do prosince 2034.</t>
  </si>
  <si>
    <t>Závazek Moravskoslezského kraje byl schválen usnesením zastupitelstva kraje č. 15/1609  ze dne 7.3.2024 v max. výši 218.374.000 Kč na období 12/2024-12/2034. V současné době nedošlo k uzavření smlouvy, proto je závazek rozpočítán do zbývajícího období. Finanční prostředky na zajištění financování v případě jednotlivých let tak budou nárokovány v rámci návrhu rozpočtu Moravskoslezského kraje pro jednotlivé roky, na základě schváleného usnesení zastupitelstvem kraje, avšak vždy poníženy o předpokládané ovlivňující další faktory (výše tržeb, inflace/deflace).</t>
  </si>
  <si>
    <t>04754/2024/DSH</t>
  </si>
  <si>
    <t>Závazek Moravskoslezského kraje byl schválen usnesením zastupitelstva kraje č. 18/1819 ze dne 5.9.2024 ve výši 136.620.000 Kč k zajištění dopravní obslužnosti v Moravskoslezském kraji veřejnou drážní osobní dopravou provozního souboru Vrbno pod Pradědem, od prosince 2025 do prosince 2031.</t>
  </si>
  <si>
    <t>Závazek Moravskoslezského kraje byl schválen usnesením zastupitelstva kraje č. 5/399 ze dne 16.9.2021 v max. výši 1,2 mil. Kč k úhradě protarifovací ztráty na základě Dohody o zapojení a podmínkách integrace vlaků dopravce do Integrovaného dopravního systému ODIS. Usnesením zastupitelstva kraje č. 12/1223 ze dne 8.6.2023 byl závazek navýšen na 2,5 mil. Kč na období  2023-2027. Návrh na navýšení závazku na 9 mil. Kč na období 2023-2027 byl schválen usnesením zastupitelstva kraje č. 14/1482 ze dne 7.12.2023.</t>
  </si>
  <si>
    <t>0046/2024/DSH/V</t>
  </si>
  <si>
    <t>Zajištění dopravní obslužnosti linkovou dopravou - oblast Českotěšínsko II</t>
  </si>
  <si>
    <t>2035/204368</t>
  </si>
  <si>
    <t>0100/2024/DSH/V</t>
  </si>
  <si>
    <t xml:space="preserve">Závazek Moravskoslezského kraje byl schválen usnesením  zastupitelstva kraje č. 17/1715 ze dne 6.6.2024 v max. výši 2.043.706.630 Kč. Závazek trvá do prosince 2036. Finanční prostředky na zajištění financování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 V současné době se připravuje požadavek na uskutečnění nadlimitní veřejné zakázky. </t>
  </si>
  <si>
    <t>00512/2024/DSH</t>
  </si>
  <si>
    <t xml:space="preserve">Závazek Moravskoslezského kraje byl schválen usnesením zastupitelstva kraje č. 15/1612 ze dne 7.3.2024 v max. výši  8.595.510 Kč. Závazek trvá od roku 2024 do roku 2033. Finanční prostředky na zajištění financování budou nárokovány v rámci návrhu rozpočtu Moravskoslezského kraje pro jednotlivé roky, na základě schváleného usnesení zastupitelstvem kraje, avšak vždy upraveny o předpokládanou inflaci/deflaci. </t>
  </si>
  <si>
    <t xml:space="preserve"> 00372/2024/DSH</t>
  </si>
  <si>
    <t xml:space="preserve">Závazek Moravskoslezského kraje byl schválen usnesením zastupitelstva kraje č. 15/1612 ze dne 7.3.2024 v max. výši  2.149.220 Kč. Závazek trvá od roku 2024 do roku 2033. Finanční prostředky na zajištění financování budou nárokovány v rámci návrhu rozpočtu Moravskoslezského kraje pro jednotlivé roky, na základě schváleného usnesení zastupitelstvem kraje, avšak vždy upraveny o předpokládanou inflaci/deflaci. </t>
  </si>
  <si>
    <t>Smlouva o poskytnutí finančního příspěvku na zajištění dopravní obslužnosti území Moravskoslezského kraje městskou hromadnou dopravou - Statutární město Ostrava</t>
  </si>
  <si>
    <t>Statutární město Ostrava</t>
  </si>
  <si>
    <t xml:space="preserve">Závazek Moravskoslezského kraje bude předložen na zasedání zastupitelstva kraje v prosinci 2024. Závazek trvá od roku 2025 do roku 2034. Finanční prostředky na zajištění financování budou nárokovány v rámci návrhu rozpočtu Moravskoslezského kraje pro jednotlivé roky, na základě schváleného usnesení zastupitelstvem kraje, avšak vždy upraveny o předpokládanou inflaci/deflaci. </t>
  </si>
  <si>
    <t xml:space="preserve">Zajištění dopravní obslužnosti linkovou dopravou - oblast Havířovsko 1 + 2 
</t>
  </si>
  <si>
    <t xml:space="preserve">Zajištění dopravní obslužnosti linkovou dopravou - oblast Havířovsko 3
</t>
  </si>
  <si>
    <t xml:space="preserve">
Veřejná zakázka</t>
  </si>
  <si>
    <t>Závazek Moravskoslezského kraje byl schválen usnesením zastupitelstva kraje č. 12/1400 ze dne 13.6.2019 a usnesením č. 14/1674 ze dne 12.12.2019 byla schválena jeho aktualizace. Aktualizovaný závazek byl schválen v max. výši 800 tis. EUR/ rok na dobu 5 let od zahájení  leteckého spojení. Rada kraje usnesením č.  12/692 ze dne 15.3.2021 a 25/1691 ze dne 13.9.2021 projednala přerušení smlouvy vždy na období cca 1/2 roku, čímž došlo k prodloužení trvání smlouvy. Toto prodloužení bylo schváleno usnesením zastupitelstva kraje č. 14/1454 ze dne 7.12.2023.</t>
  </si>
  <si>
    <t>Členství Moravskoslezského kraje v zájmovém spolku na dobu neurčitou schválilo zastupitelstvo kraje usnesením č. 8/722 ze dne 16.6.2022. Následně usnesením zastupitelstva kraje č. 15/1600 ze dne 7.3.2024 došlo k mimořádnému navýšení členského příspěvku o 883 tis. Kč/rok v období let 2024-2028.</t>
  </si>
  <si>
    <t xml:space="preserve">Technická údržba, podpora a služby k software v odvětví dopravy </t>
  </si>
  <si>
    <t>VARS BRNO a.s.
(63481901)
VÍTKOVICE IT SOLUTIONS a.s.
(28606582)
Proact Czech Republic, s.r.o.
(24799629)</t>
  </si>
  <si>
    <t>08344/2020/DSH
00017/2022/INF
00019/2022/INF</t>
  </si>
  <si>
    <t>Zastupitelstvo kraje usnesením č. 5/455 ze dne  14.9.2017 rozhodlo zajistit udržitelnost projektu Geoportál MSK - část dopravní infrastruktura financovaného z Integrovaného regionálního operačního programu v letech 2022 - 2026. 
Další závazky kraje vyplývající z dodavatelských smluv uzavřených krajem na dobu neurčitou. Jedná se zejména o smlouvy na servisní a technickou podporu (maintenance), údržba a provoz KDS, NEWPS.cz, spisová služba.</t>
  </si>
  <si>
    <t>ODVĚTVÍ INFORMATIKY A KYBERNETICKÉ BEZPEČNOSTI:</t>
  </si>
  <si>
    <t>Informační a komunikační technologie KÚ - běžné výdaje</t>
  </si>
  <si>
    <t xml:space="preserve">Závazek kraje vyplývající z dodavatelských smluv uzavřených krajem na dobu neurčitou. Jedná se o smlouvy na technickou a zákaznickou podporu (maintenance), na aktualizace a obnovu dat, služby k IT systémům a softwarové zpracování výstupů IT, apod. v rámci činnosti krajského úřadu. </t>
  </si>
  <si>
    <t>Informační a komunikační technologie ZK -  běžné výdaje</t>
  </si>
  <si>
    <t xml:space="preserve">Závazek kraje vyplývající z dodavatelských smluv uzavřených krajem na dobu neurčitou. Jedná se o smlouvy na technickou a zákaznickou podporu (maintenance) a služby k IT systémům apod. v rámci činnosti zastupitelstva kraje. </t>
  </si>
  <si>
    <t>5</t>
  </si>
  <si>
    <t>504</t>
  </si>
  <si>
    <t>Usnesením rady kraje č. 64/5787 ze dne 11.6.2019 bylo rozhodnuto uzavřít smlouvu na realizaci projektu Inteligentní parkovací systém v okolí Krajského úřadu Moravskoslezského kraje. Následně usnesením rady kraje č. 77/5688 ze dne 4.9.2023 bylo rozhodnuto o zajištění servisní služby na dobu neurčitou. Upravený závazek schválilo zastupitelstvo kraje svým usnesením č. 14/1454 ze dne 7.12.2023.</t>
  </si>
  <si>
    <t>Usnesením rady kraje č. 15/907 ze dne 26.4.2021 bylo rozhodnuto o uzavření smlouvy o dílo na realizaci projektu Dynamický systém rezervace parkovacích míst u budov KU MSK včetně servisní smlouvy na dobu neurčitou. Upravený závazek schválilo zastupitelstvo kraje svým usnesením č. 14/1454 ze dne 7.12.2023.</t>
  </si>
  <si>
    <t>Závazek Moravskoslezského kraje, který byl schválen usnesením zastupitelstva kraje č. 8/738 ze dne 16.6.2022 ve výši 42 mil. Kč ročně k zajištění kybernetické bezpečnosti nemocnic zřizovaných a založených krajem, a to na období 2023-2026 se upravuje na základě smlouvy na implementaci systému řízení bezpečnosti informací a poskytování služeb dohledového centra, kterou uzavřelo Moravskoslezské datové centrum se KONSORCIEM VISITECH A DATASYS.</t>
  </si>
  <si>
    <t>Technická údržba, podpora a služby k software v odvětví informatiky a kybernetické bezpečnosti</t>
  </si>
  <si>
    <t>523</t>
  </si>
  <si>
    <t>ODVĚTVÍ  INFORMATIKY A KYBERNETICKÉ BEZPEČNOSTI CELKEM</t>
  </si>
  <si>
    <t>1877</t>
  </si>
  <si>
    <t xml:space="preserve">04884/2023/KH </t>
  </si>
  <si>
    <t>Závazek kraje schválený usnesením zastupitelstva kraje č. 14/1470 ze dne 7.12.2023 poskytnout neinvestiční dotaci společnosti Letiště Ostrava, a.s. v letech 2024-2028 účelově určenou na výkon služeb v obecném hospodářském zájmu na základě Smlouvy o závazku veřejné služby a vyrovnávací platbě za jeho výkon.</t>
  </si>
  <si>
    <t xml:space="preserve">04849/2018/KPP
02452/2022/KPP 02452/2022/KPP/1 </t>
  </si>
  <si>
    <t>04813/2021/KH/1</t>
  </si>
  <si>
    <t xml:space="preserve">Na základě uzavřeného dodatku č. 1 ke smlouvě č. 04813/2021/KH o spolupráci při výrobě televizního pořadu uzavřeného mezi Moravskoslezským krajem, statutárním městem Ostrava a Českou televizí Ostrava, došlo k posunutí poslední splátky do r. 2027. </t>
  </si>
  <si>
    <t>Členství Moravskoslezského kraje v zájmovém sdružení na dobu neurčitou schválilo zastupitelstvo kraje usnesením č. 18/1535 ze dne 23.3.2011. Usnesením zastupitelstva kraje č. 18/1834 ze dne 5.9.2024 došlo k navýšení členského příspěvku na 6 mil. Kč ročně.</t>
  </si>
  <si>
    <t>Individuální dotace - Podpora rozvojových projektů - Projektová příprava CÉRKA - Revitalizace brownfieldu Dolu Frenštát</t>
  </si>
  <si>
    <t>obec Trojanovice
(298514)</t>
  </si>
  <si>
    <t>04678/2024/RRC</t>
  </si>
  <si>
    <t>Usnesením zastupitelstva kraje č. 18/1836 ze dne 05.09.2024 bylo rozhodnuto o poskytnutí dotace a dofinancování její výplaty z rozpočtu kraje na rok 2027.</t>
  </si>
  <si>
    <t>04734/2024/RRC</t>
  </si>
  <si>
    <t>Usnesením zastupitelstva kraje č. 18/1836 ze dne 5.9.2024 bylo rozhodnuto o poskytnutí dotace na realizaci projektu Podpora studia studentů studijního programu Zubní lékařství a o dofinancování dalších splátek dotace ve výši 3.100 tis. Kč z rozpočtu kraje na roky 2026-2031.</t>
  </si>
  <si>
    <t>04076/2024/RRC</t>
  </si>
  <si>
    <t>Usnesením zastupitelstva kraje č. 18/1836 ze dne 5.9.2024 bylo rozhodnuto o poskytnutí dotace na realizaci projektu Global Experts - zvýšení kvality mezinárodního výzkumu na SU v Opavě a o dofinancování druhé splátky dotace ve výši 3.000 tis. Kč z rozpočtu kraje na rok 2028.</t>
  </si>
  <si>
    <t>Usnesením zastupitelstva kraje č. 10/1013 ze dne 15.12.2022 bylo rozhodnuto o poskytnutí dotace Vysoké škole báňské - Technické univerzitě Ostrava na realizaci projektu "Experimental and theoretical studies of near-infrared-emitting and chiral carbon dot luminophores a závazku dofinancovat výplatu druhé splátky dotace z rozpočtu kraje na rok 2026.
Usnesením zastupitelstva kraje č. 12/1262 ze dne 8.6.2023 bylo rozhodnuto o poskytnutí dotace Ostravské univerzitě na realizaci projektu "Telemedicína v akviziční a rehabilitační fázi II." a závazku dofinancovat výplatu druhé splátky dotace ve výši 1.200 tis. Kč z rozpočtu kraje na rok 2025.
Usnesením zastupitelstva kraje č. 13/1381 ze dne 07.09.2023 bylo rozhodnuto o dofinancování druhé splátky dotace ve výši 3.000 tis. Kč z rozpočtu kraje na rok 2026.</t>
  </si>
  <si>
    <t>Dotační program – Podpora obnovy a rozvoje venkova Moravskoslezského kraje 2025</t>
  </si>
  <si>
    <t>Závazek dofinancovat výplatu druhých splátek dotací po předložení závěrečných vyúčtování v roce 2026 je vyvolán zařazením dotačního programu do rozpočtu kraje na rok 2025.</t>
  </si>
  <si>
    <t>Dotační program - Program na podporu přípravy projektové dokumentace 2022</t>
  </si>
  <si>
    <t>Usnesením zastupitelstva kraje č. 15/1641 ze dne 07.03.2024 a usnesením zastupitelstva 17/1754 ze dne 06.06.2024 bylo rozhodnuto o dofinancování druhých splátek dotací z rozpočtu kraje na rok 2025 a 2026.</t>
  </si>
  <si>
    <t>Usnesením zastupitelstva kraje č. 18/1837 ze dne 05.09.2024 bylo rozhodnuto o poskytnutí dotací v rámci dotačního programu a byl schválen závazek dofinancovat druhé splátky dotace z rozpočtu kraje na rok 2026.</t>
  </si>
  <si>
    <t>Dotační program - Program na podporu přípravy projektové dokumentace 2025</t>
  </si>
  <si>
    <t>Závazek dofinancovat výplatu druhých splátek dotací po předložení závěrečných vyúčtování v roce 2027 je vyvolán zařazením dotačního programu do rozpočtu kraje na rok 2025.</t>
  </si>
  <si>
    <t>Usnesením zastupitelstva kraje č. 14/1522 ze dne 07.12.2023 bylo rozhodnuto o dotacích v rámci dotačního programu a o dofinancování druhých splátek dotací z rozpočtu kraje na rok 2026.</t>
  </si>
  <si>
    <t>Závazek dofinancovat výplatu druhých splátek dotací po předložení závěrečných vyúčtování v roce 2027 je vyvolán zařazením dotačního programu do rozpočtu kraje na rok 2024.  Závazek byl schválen usnesením zastupitelstva kraje č. 14/1454 ze dne 7.12.2023.</t>
  </si>
  <si>
    <t>Dotační program - Podpora vědy a výzkumu v Moravskoslezském kraji 2025</t>
  </si>
  <si>
    <t>Závazek dofinancovat výplatu druhých splátek dotací po předložení závěrečných vyúčtování v roce 2028 je vyvolán zařazením dotačního programu do rozpočtu kraje na rok 2025.</t>
  </si>
  <si>
    <t>Dotační program – Program na podporu stáží žáků a studentů ve firmách 2025</t>
  </si>
  <si>
    <t>Dotační program – Podpora znevýhodněných oblastí Moravskoslezského kraje 2025</t>
  </si>
  <si>
    <t>11</t>
  </si>
  <si>
    <t xml:space="preserve">Smlouva o partnerství v projektu EDEN SILESIA </t>
  </si>
  <si>
    <t>Slezská universita v Opavě 
(47813059)</t>
  </si>
  <si>
    <t>Závazek Moravskoslezského kraje byl schválen usnesením zastupitelstva kraje č.14/1474 ze dne 7.12.2023 ve výši 340 mil. Kč k zajištění profinancování provozní ztráty, a to na období 10 let od data ukončení projektu.</t>
  </si>
  <si>
    <t>Usnesením rady kraje č. 64/4739 ze dne 20.3.2023 byla uzavřena smlouva na propagaci Moravskoslezského kraje a statutárního města Ostrava prostřednictvím marketingových služeb leteckého dopravce, Polskie Linie Lotnicze "LOT" S.A. s 1/2 roční výpovědní lhůtou. Závazek byl schválen usnesením zastupitelstva kraje č. 14/1454 ze dne 7.12.2023.</t>
  </si>
  <si>
    <t>Propagace Moravskoslezského kraje na Letišti Leoše Janáčka Ostrava</t>
  </si>
  <si>
    <t>04140/2024/DSH</t>
  </si>
  <si>
    <t>Dofinancování druhé splátky smlouvy o nájmu za účelem umístění reklamy Moravskoslezského kraje Letištěm Ostrava, a.s. Cílem je prezentace a propagace nejvýznamnějších turistických zajímavostí Moravskoslezského kraje. Smlouva č. 04140/2024/DSH je uzavřená se společností Letiště Ostrava a.s. na období od 1. 9. 2024 do 31. 8. 2025. V roce 2025 se předpokládá uzavřít navazující smlouvu.</t>
  </si>
  <si>
    <t>Individuální dotace - Podpora významných akcí cestovního ruchu - Memorandum o spolupráci s obcí Leskovec nad Moravicí</t>
  </si>
  <si>
    <t>obec Leskovec nad Moravicí (296155)</t>
  </si>
  <si>
    <t>04722/2024/RRC</t>
  </si>
  <si>
    <t xml:space="preserve">O závazku dofinancovat  oblasti vyplývající z Memoranda o spolupráci s obcí Leskovec nad Moravicí rozhodlo zastupitelstvo kraje usnesením č. 18/1846 ze dne 5.9.2024 v letech 2026-2028. </t>
  </si>
  <si>
    <t>Individuální dotace - Cyklostezky Trojanovice</t>
  </si>
  <si>
    <t>04710/2024/RRC</t>
  </si>
  <si>
    <t>Usnesením zastupitelstva kraje č. 18/1848 ze dne 5.9.2024 bylo rozhodnuto o poskytnutí dotace a závazku dofinancovat výplatu druhé splátky dotace z rozpočtu kraje na rok 2026.</t>
  </si>
  <si>
    <t>Individuální dotace - Nákup pozemků pro přípravu realizace - Karvinské moře</t>
  </si>
  <si>
    <t>statutární město Karviná
(297534)</t>
  </si>
  <si>
    <t>02516/2024/RRC</t>
  </si>
  <si>
    <t>Usnesením zastupitelstva kraje č. 17/1747 ze dne 6.6.2024 bylo rozhodnuto o poskytnutí dotace a závazku dofinancovat výplatu druhé splátky dotace z rozpočtu kraje na rok 2026.</t>
  </si>
  <si>
    <t>Individuální dotace - Provoz lodní dopravy na Slezské Hartě 2025 - 2027</t>
  </si>
  <si>
    <t>Mikroregion Slezská Harta (71193821)</t>
  </si>
  <si>
    <t>04712/2024/RRC</t>
  </si>
  <si>
    <t>Usnesením zastupitelstva kraje č. 18/1846 ze dne 5.9.2024 bylo rozhodnuto o poskytnutí dotace a závazku dofinancovat výplatu dalších splátek dotací z rozpočtu kraje na rok 2026 a 2027.</t>
  </si>
  <si>
    <t>Individuální dotace - Hvozdnický expres - zajištění víkendové vlakové dopravy na trati č. 314 (Opava - Svobodné Heřmanice)</t>
  </si>
  <si>
    <t>Mikroregion Hvozdnice (71194410)</t>
  </si>
  <si>
    <t>04781/2024/RRC</t>
  </si>
  <si>
    <t>Individuální dotace - Provoz parních vlaků Slezských zemských drah 2025 – 2027</t>
  </si>
  <si>
    <t>Slezské zemské dráhy, o.p.s.(26819856)</t>
  </si>
  <si>
    <t>04785/2024/RRC</t>
  </si>
  <si>
    <t>Individuální dotace - Výletní vlaky Slezského železničního spolku 2025 – 2027</t>
  </si>
  <si>
    <t>SLEZSKÝ ŽELEZNIČNÍ SPOLEK (5424089)</t>
  </si>
  <si>
    <t>04791/2024/RRC</t>
  </si>
  <si>
    <t>Individuální dotace - Memorandum o spolupráci mezi Moravskoslezským krajem a obcí Leskovec nad Moravicí</t>
  </si>
  <si>
    <t>Obec Leskovec nad Moravicí (00296155)</t>
  </si>
  <si>
    <t>Na základě usnesení zastupitelstva kraje č. 18/1846 ze dne 5.9.2024 bylo uzavřeno Memorandum o spolupráci mezi Moravskoslezským krajem a obcí Leskovec nad Moravicí a současně schválen závazek kraje k zajištění financování oblastí spolupráce definovaných v Memorandu v maximální výši 15 mil. Kč z rozpočtu kraje v letech 2026-2028.</t>
  </si>
  <si>
    <t xml:space="preserve">Usnesením zastupitelstva kraje č. 14/1727 ze dne  12.12.2019 bylo rozhodnuto o uzavření Memoranda o spolupráci mezi Moravskoslezským krajem, Zlínským krajem, obcí Trojanovice a obcí Prostřední Bečva týkajícího se zvelebování lokality hřebene Pustevny - Radhošť (č. 00247/2020/RRC). Finanční prostředky jsou určeny jako příspěvek do Fondu Pustevny, a to na základě žádosti obce Prostřední Bečva. </t>
  </si>
  <si>
    <t>Individuální dotace - Fond Lysá hora</t>
  </si>
  <si>
    <t>Obec Ostravice (00297046),
obec Krásná (00577022),
obec Malenovice (00576964),
obec Staré Hamry (00297241)</t>
  </si>
  <si>
    <t>04032/2024/RRC</t>
  </si>
  <si>
    <t xml:space="preserve">Rada kraje rozhodla usnesením č. 96/6959 ze dne 6.5.2024 rozhodla o uzavření Memoranda o spolupráci mezi Moravskoslezským krajem a obcemi Krásná,  Malenovice, Ostravice a Staré Hamry týkajícího se zvelebení oblasti v okolí  Lysé hory pro  oblast  cestovního  ruchu. Finanční prostředky jsou určeny jako příspěvek do Fondu Lysá hora, a to na základě žádosti obce Ostravice. </t>
  </si>
  <si>
    <t>Dotační program – Úprava lyžařských běžeckých tras v Moravskoslezském kraji 2025/2026 a 2026/2027</t>
  </si>
  <si>
    <t>Dotační program – Podpora infrastruktury a propagace cestovního ruchu v Moravskoslezském kraji 2025</t>
  </si>
  <si>
    <t>Dotační program – Podpora systému destinačního managementu turistických oblastí 2025-2026</t>
  </si>
  <si>
    <t>Dotační program – Podpora rozvoje cykloturistiky v Moravskoslezském kraji 2022+</t>
  </si>
  <si>
    <t>Usnesením zastupitelstva kraje č. 15/1598 ze dne 7.3.2024 bylo rozhodnuto o dofinancování druhých splátek dotací v rámci dotačního programu z rozpočtu kraje na rok 2025 a 2026. Usnesením zastupitelstva kraje č. 17/1745 ze dne 06.06.2024 došlo k aktualizaci závazku dofinancovat druhé splátky dotace z rozpočtu kraje na rok 2025. Usnesením zastupitelstva kraje č. 18/1848 ze dne 5.9.2024 došlo k aktualizaci závazku dofinancovat druhé splátky z rozpočtu kraje na rok 2025.</t>
  </si>
  <si>
    <t>Dotační program – Podpora rozvoje cykloturistiky v Moravskoslezském kraji 2024+</t>
  </si>
  <si>
    <t>Usnesením zastupitelstva kraje č. 15/1598 ze dne 7.3.2024 bylo rozhodnuto o poskytnutí dotace a závazku dofinancovat výplatu druhé splátky dotace z rozpočtu kraje na rok 2025. Usnesením zastupitelstva kraje č. 17/1745 ze dne 06.06.2024 došlo k aktualizaci závazku dofinancovat druhé splátky dotace z rozpočtu kraje na rok 2025 a ke schválení závazku z rozpočtu kraje na rok 2026. Usnesením zastupitelstva kraje č. 18/1848 ze dne 5.9.2024, došlo k úpravě závazku dofinancovat výplatu druhých splátek dotací z rozpočtu kraje na rok 2025 a 2026.</t>
  </si>
  <si>
    <t>Dotační program – Podpora kempování v Moravskoslezském kraji 2025</t>
  </si>
  <si>
    <t>Členství Moravskoslezského kraje v Asociaci poskytovatelů sociálních služeb České republiky na dobu neurčitou schválilo zastupitelstvo kraje usnesení č. 8/809 ze dne 16.6.2022. Navýšení poplatku za přidružené členství na 2,5 tis. Kč schválilo zastupitelstvo kraje usnesením 15/1650 ze dne 7.3.2024.</t>
  </si>
  <si>
    <t>Memorandum o spolupráci v oblasti sociálního podnikání</t>
  </si>
  <si>
    <t>Klastr sociálních inovací a podniků - SINEC z.s.
(02307651)</t>
  </si>
  <si>
    <t>03410/2024/SOC</t>
  </si>
  <si>
    <t>Klastr sociálních inovací a podniků - SINEC z.s. O uzavření tohoto memoranda rozhodla rada kraje svým usnesením č. 97/7120 ze dne 20.5.2024. Memorandum uzavřeno na dobu 3 let  od data podpisu 24.6.2024.</t>
  </si>
  <si>
    <t>Podpora aktivit k rozvoji vzdělanosti</t>
  </si>
  <si>
    <t>Byla vyhlášena veřejná zakázka č. 0066/2024/ŠMS - Komplexní vedení a propagace kampaně Řemeslo má respekt v letech 2025 - 2028, předpokládaná hodnota 5,220 mil. Kč. Předpokládané platby: každoroční prodlužování po dobu tří let.</t>
  </si>
  <si>
    <t>04571/2023/ŠMS</t>
  </si>
  <si>
    <t>Usnesením ZK č. 13/1437 ze dne 7.9.2023 bylo rozhodnuto schválit závazek Moravskoslezského kraje za účelem úhrady nákladů spojených s realizací a koordinací projektu Kraje pro bezpečný internet, a to ve výši 60 tis. Kč ročně s platností od roku 2024 (Smlouva o spolupráci při zajištění realizace projektu Kraje pro bezpečný internet - na dobu neurčitou).</t>
  </si>
  <si>
    <t>Statutární město Ostrava (00845451), Český svaz curlingu z.s.(48548227)</t>
  </si>
  <si>
    <t>zatím neuzavřeno</t>
  </si>
  <si>
    <t>Usnesením ZK č. 17/1787 ze dne 6.6.2024 bylo rozhodnuto o závazku kraje ve výši 3 mil. Kč k zajištění finanční podpory Mistrovství Evropy v curlingu 2026 ( Memorandum o vzájemné spolupráci a finanční podpoře pro Mistrovství Evropy v curlingu 2026 v České republice).</t>
  </si>
  <si>
    <t>Statutární město Ostrava (00845451), Českomoravský svaz hokejbalu (49626485)</t>
  </si>
  <si>
    <t xml:space="preserve"> 04651/2024/ŠMS</t>
  </si>
  <si>
    <t>Usnesením ZK č. 17/1787 ze dne 6.6.2024 bylo rozhodnuto o závazku kraje v celkové výši 4 mil. Kč k zajištění finanční podpory Mistrovství světa v hokejbalu 2026, a to na období let 2025 – 2026 (Memorandum o vzájemné spolupráci a finanční podpoře pro Mistrovství světa v hokejbalu 2026 v České republice).</t>
  </si>
  <si>
    <t>Statutární město Ostrava
 (00845451),
 RAUL, s.r.o. 
(25608673)</t>
  </si>
  <si>
    <t>04249/2024/ŠMS</t>
  </si>
  <si>
    <t>Usnesením ZK č. 17/1787 ze dne 6.6.2024 bylo rozhodnuto o závazku kraje ve výši 11 mil. Kč k zajištění finanční podpory akce Ostrava Beach Pro, a to na období let 2025 - 2026 (Memorandum o vzájemné spolupráci a finanční podpoře akce Ostrava Beach Pro v letech 2025 a 2026).</t>
  </si>
  <si>
    <t>Usnesením ZK č. 8/821 ze dne 16.6.2022 bylo rozhodnuto o závazku Moravskoslezského kraje ve výši celkem 8.500 tis. Kč na období let 2023 - 2025 a od roku 2026 ve výši 4.000 tis. Kč ročně za účelem úhrady příspěvku Hlavního zakladatele spolku Moravskoslezská Technologická Akademie, z. s. (na dobu neurčitou).</t>
  </si>
  <si>
    <t xml:space="preserve"> 01129/2020/ŠMS</t>
  </si>
  <si>
    <t>Individuální dotace – Výstavba vysokoškolských kolejí Ostravské univerzity</t>
  </si>
  <si>
    <t xml:space="preserve"> 02075/2024/ŠMS</t>
  </si>
  <si>
    <t>Usnesením ZK č. 15/1663 ze dne 7.3.2024 bylo rozhodnuto o závazku kraje ve výši 90 mil. Kč k zajištění finanční podpory výstavby vysokoškolských kolejí pro studenty Ostravské univerzity, a to na období let 2025–2027 (Memorandum o finanční podpoře výstavby vysokoškolských kolejí pro studenty Ostravské univerzity č. 02075/2024/ŠMS). Usnesením ZK č. 18/1872 ze dne 5.9.2024 (bod 4) bylo rozhodnuto poskytnout investiční účelovou dotaci z rozpočtu kraje subjektu Ostravská univerzita, IČO 61988987 ve výši 90 mil. Kč na úhradu nákladů spojených s realizací projektu Koleje Jana Opletala, Kranichova 1433/8, s časovou použitelností od 1. 4. 2025 do 31. 12. 2027.</t>
  </si>
  <si>
    <t>Závazky kraje vyplývající z dodavatelských smluv uzavřených krajem na dobu neurčitou. Jedná se zejména o smlouvu o poskytování služby  jednotného personálního a mzdového systému, a dále smlouvy na technickou a zákaznickou podporu (maintenance), údržba a provoz KDS, NEWPS.cz, spisová služba.</t>
  </si>
  <si>
    <t xml:space="preserve">Závazek Moravskoslezského kraje k datu řádného ukončení smlouvy o nájmu podniku k 31.12.2031. Jedná se o výši neodepsaného majetku z technického zhodnocení staveb pořízených ze zdrojů Nemocnice Nový Jičín v průběhu nájemní smlouvy. </t>
  </si>
  <si>
    <t>900</t>
  </si>
  <si>
    <t>1. KORONERSKÁ s.r.o., (01681486)</t>
  </si>
  <si>
    <t>00136/2024/ZDR</t>
  </si>
  <si>
    <t>Dle § 110 odst. 1 zákona č. 372/2011 Sb., o zdravotních službách a podmínkách jejich poskytování, ve znění pozdějších předpisů, odpovídá kraj za organizaci a zajištění prohlídek těl zemřelých mimo zdravotnické zařízení na svém území. Usnesením č. 10/948 ze dne 15.12.2022 rozhodlo zastupitelstvo kraje o závazku kraje ve výši 10.000.000 Kč ročně, a to na období 2023-2026.</t>
  </si>
  <si>
    <t>Dle § 110 zákona č. 372/2011 Sb., o zdravotních službách a podmínkách jejich poskytování, ve znění pozdějších předpisů, kraj zajišťuje lékařské pohotovostní služby a pohotovostní služby v oboru zubní lékařství na svém území, a to v samostatné působnosti. K zajištění plnění povinnosti na území okresu Ostrava-město rozhodlo zastupitelstvo kraje usnesením č. 7/621 ze dne 16. 3. 2022 o závazku kraje ve výši 12.000 tis. Kč ročně, a to na období 2023-2025. Závazek na léta 2026-2028 je z důvodu vyhlášení veřejné zakázky.</t>
  </si>
  <si>
    <t>1910</t>
  </si>
  <si>
    <t>Městská nemocnice Ostrava, příspěvková organizace</t>
  </si>
  <si>
    <t>roční smlouvy</t>
  </si>
  <si>
    <t>Závazek byl schválen zastupitelstvem kraje usnesením č. 8/737 ze dne 16. 6. 2022 k zajištění financování celoživotního vzdělávání všeobecných sester v letech 2024–2026 ve výši 2.400 tis. Kč ročně. Prodloužení a navýšení závazku je z důvodu navýšení počtů studentů ve školním roce 2025-2026.</t>
  </si>
  <si>
    <t>1911</t>
  </si>
  <si>
    <t xml:space="preserve">Usnesením č. 13/1353 ze dne 7.9.2023 rozhodlo zastupitelstvo kraje o závazku kraje ve výši 350 tis. Kč ročně na období 2024-2026  k navýšení počtu studentů prvních ročníků studijních programů vyučovaných na Lékařské fakultě Ostravské univerzity. </t>
  </si>
  <si>
    <t xml:space="preserve">516 </t>
  </si>
  <si>
    <t xml:space="preserve">
</t>
  </si>
  <si>
    <t>Smlouva o poskytnutí pozáruční servisní podpory Digitálnímu povodňovému plánu Moravskoslezského kraje uzavíraná Moravskoslezským krajem č. 03967/2023/ŽPZ na období 36 měsíců - 530.464 Kč. Upravený závazek byl schválen usnesením zastupitelstva kraje č. 14/1454 ze dne 7.12.2023.</t>
  </si>
  <si>
    <t>12</t>
  </si>
  <si>
    <t>Závazek vyplývající z uzavřené smlouvy o poskytnutí pozáruční servisní podpory Digitálnímu povodňovému plánu Moravskoslezského kraje uzavřená na období 36 měsíců. Závazek byl schválen usnesením zastupitelstva kraje č. 14/1454 ze dne 7.12.2023.</t>
  </si>
  <si>
    <t>Ručitelský závazek MSK za závazky společnosti VaK Bruntál, a.s. - stav k 31.12.2024</t>
  </si>
  <si>
    <t>Číslo 
smlouvy / memoranda</t>
  </si>
  <si>
    <t xml:space="preserve">Závazek kraje vyplývající z dodavatelských smluv uzavřených krajem na dobu neurčitou. Jedná se zejména o smlouvy na technickou a zákaznickou podporu (maintenance), na servisní podporu aplikačního prostředků modlu FAMA, včetně rozvoje, na servisní podporu modulu MAJ FAMA, na servisní podporu a rozvoj datových skladů v rámci činnosti krajského úřadu. </t>
  </si>
  <si>
    <t>Závazek Moravskoslezského kraje byl schválen usnesením zastupitelstva kraje č. 12/1405 ze dne 13.6.2019  v max. výši 1.947.322.000 Kč pro oblast Havířovsko 1 + 2. Závazek pro Havírovško 1 bude trvat do roku 2030 a pro Havířovsko 2 do roku 2026. Finanční prostředky na zajištění financování konkrétní smlouvy v případě jednotlivých let tak budou nárokovány v rámci návrhu rozpočtu Moravskoslezského kraje pro jednotlivé roky, na základě schváleného usnesení zastupitelstvem kraje, avšak vždy upraveny o předpokládané ovlivňující další faktory (výše tržeb, příspěvek obcí, inflace/deflace).</t>
  </si>
  <si>
    <t>Závazek Moravskoslezského kraje č. 8/729 ze dne 16.6.2022,  realizuje statutární město Ostrava, a to z rozpočtu kraje na rok 2023 ve výši 100 mil. Kč, na rok 2024 ve výši 100 mil. Kč a na rok 2026 ve výši 100 mil. Kč. Následně usnesením zastupitelstva kraje č. 18/1810 ze dne 5.9.2024 došlo k posunutí období čerpání dotace na období 2024-2029.</t>
  </si>
  <si>
    <t>Dle § 89a odst. 4 zákona č. 373/2011 Sb., o specifických zdravotních službách, ve znění pozdějších předpisů, kraj zajišťuje protialkoholní a protitoxikomanickou záchytnou službu (dále jen „záchytná služba“) na svém území, a to v samostatné působnosti. O závazku na období 2024-2026 výši 11.000 tis. Kč ročně k zajištění služby na území statutárního města Ostravy rozhodlo zastupitelstvo kraje usnesením č. 11/1118 ze dne 10.3.2023.</t>
  </si>
  <si>
    <t>ČÍSLO AKCE</t>
  </si>
  <si>
    <t>Poznámka</t>
  </si>
  <si>
    <t xml:space="preserve">NUTSHELL@CE-Strengthening public transport to enhance accessibility in rural central Europe – NUTSHELL@CE-Posílení veřejné dopravy pro zlepšení dostupnosti ve venkovských oblastech střední Evropy </t>
  </si>
  <si>
    <t>Přeložka silnice II/443 obchvat Otic</t>
  </si>
  <si>
    <t>Rekonstrukce a modernizace silnice II/452 Karlovice - Světlá Hora</t>
  </si>
  <si>
    <t>Zastupitelstvo kraje rozhodlo o profinancování a kofinancování projektu dne 7. 9. 2023 usnesením č. 13/1357.</t>
  </si>
  <si>
    <t>Zastupitelstvo kraje rozhodlo o profinancování a kofinancování projektu dne 8. 6. 2023 usnesením č. 12/1238.</t>
  </si>
  <si>
    <t>Centrální zálohování dat nemocničních informačních systémů v Hospital Cloudu</t>
  </si>
  <si>
    <t>Zastupitelstvo kraje rozhodlo o profinancování a kofinancování projektu dne 6. 6. 2024 usnesením č. 17/1743.</t>
  </si>
  <si>
    <t>Zlepšení bezpečnosti a sběru dat z komunikačních sítí</t>
  </si>
  <si>
    <t>ODVĚTVÍ INFORMATIKY A KYBERNETICKÉ BEZPEČNOSTI CELKEM</t>
  </si>
  <si>
    <t>Zastupitelstvo kraje rozhodlo o profinancování a kofinancování projektu dne 7. 3. 2024 usnesením č. 15/1624.</t>
  </si>
  <si>
    <t>Zastupitelstvo kraje rozhodlo o profinancování a kofinancování projektu dne 15. 9. 2022 usnesením č. 9/886.</t>
  </si>
  <si>
    <t>Zastupitelstvo kraje rozhodlo o profinancování a kofinancování projektu  dne 16. 6. 2022 usnesením č. 8/743.</t>
  </si>
  <si>
    <t>Zastupiteslstvo kraje rozhodlo o profinancování a kofinancování projektu dne 15.12.2022 usnesením č. 10/991.</t>
  </si>
  <si>
    <t>Zastupitelstvo kraje rozhodlo o profinancování a kofinancování projektu dne 7. 12. 2023 usnesením č. 14/1510.</t>
  </si>
  <si>
    <t>Zámek Bruntál - revitalizace objektu</t>
  </si>
  <si>
    <t>Zastupitelstvo kraje rozhodlo o profinancování a kofinancování projektu dne 15. 12. 2022 usnesením č. 10/991.</t>
  </si>
  <si>
    <t>Zastupitelstvo kraje rozhodlo o profinancování a kofinancování projektu dne 15. 9. 2022 usnesením č. 9/888.</t>
  </si>
  <si>
    <t xml:space="preserve">Projekt IndusTour - Visiting INDUStrial companies and sites as a growing lever to diversify TOURism policies </t>
  </si>
  <si>
    <t>Zastupitelstvo kraje rozhodlo o profinancování a kofinancování projektu dne 6. 6. 2024 usnesením č. 17/1736.</t>
  </si>
  <si>
    <t xml:space="preserve">Zastupitelstvo kraje rozhodlo o profinancování a kofinancování projektu dne 15.12.2022 usnesením č. 10/997. Projekt je financován formou záloh. </t>
  </si>
  <si>
    <t>Zastupitestvo kraje rozhodlo o profinancování a kofinancování projektu dne 7. 9. 2023 usnesením č. 13/1379.</t>
  </si>
  <si>
    <t xml:space="preserve">Chráněné bydlení ul. Karasova v Ostravě </t>
  </si>
  <si>
    <t>Zastupitelstvo kraje rozhodlo o profinancování a kofinancování projektu dne 6. 6. 2024 usnesením č. 17/1742.</t>
  </si>
  <si>
    <t>Novostavba dětského centra Pluto</t>
  </si>
  <si>
    <t xml:space="preserve">Zastupitelstvo kraje rozhodlo o profinancování a kofinancování projektu dne 16. 6. 2022 usnesením č. 8/771. Projekt je financován formou záloh. </t>
  </si>
  <si>
    <t>Zastupitelstvo kraje rozhodlo o profinancování a kofinancování projektu dne 15. 9. 2022 usnesením č. 9/887. Projekt je financován formou záloh.</t>
  </si>
  <si>
    <t>Zastupitelstvo kraje rozhodlo o profinancování a kofinancování projektu dne 15. 9. 2022 usnesením č. 9/875. Projekt je financován formou záloh.</t>
  </si>
  <si>
    <t>Zastupitelstvo kraje rozhodlo o profinancování a kofinancování projektu dne 15. 12. 2022 usnesením č. 10/998. Projekt je financován formou záloh.</t>
  </si>
  <si>
    <t>ProDítě: Profesionální a inovativní péče o ohrožené děti v Moravskoslezském kraji</t>
  </si>
  <si>
    <t>Zastupitelstvo kraje rozhodlo o profinancování a kofinancování projektu dne 6. 6. 2024 usnesením č. 17/1738. Projekt je financován formou záloh.</t>
  </si>
  <si>
    <t>Rekonstrukce objektu organizace Nový domov, příspěvková organizace vedoucí k energetickým úsporám</t>
  </si>
  <si>
    <t xml:space="preserve">Zastupitelstvo kraje rozhodlo o profinancování a kofinancování projektu dne 6. 6. 2024 usnesením č. 17/1742. </t>
  </si>
  <si>
    <t>Standardizace poskytování sociálních služeb v Moravskoslezském kraji</t>
  </si>
  <si>
    <t xml:space="preserve">Zastupitelstvo kraje rozhodlo o profinancování a kofinancování projektu dne 6. 6. 2024 usnesením č. 17/1738. Projekt je financován formou záloh. </t>
  </si>
  <si>
    <t>TechSocialcare - Promoting Technical Standards for Assistive Technology in European Social care services</t>
  </si>
  <si>
    <t>Zastupitelstvo kraje rozhodlo o profinancování a kofinancování projektu dne 5. 9. 2024 usnesením č. 18/1849.</t>
  </si>
  <si>
    <t>Transformace – DOZP a zázemí organizace Opava</t>
  </si>
  <si>
    <t>Zastupitelstvo kraje rozhodlo o profinancování a kofinancování projektu dne 6. 6. 2024 usnesením č. 17/1737.</t>
  </si>
  <si>
    <t>Transformace – DOZP Kravaře</t>
  </si>
  <si>
    <t>Transformace – DOZP Mokré Lazce</t>
  </si>
  <si>
    <t>Transformace – DOZP Ostrava</t>
  </si>
  <si>
    <t>Zastupitelstvo kraje rozhodlo o profinancování a kofinancování projektu dne 7. 3. 2024 usnesením č. 15/1630.</t>
  </si>
  <si>
    <t>Společně silnější: síla sdílení zkušeností a dobré praxe v neformální péči</t>
  </si>
  <si>
    <t>Energetické úspory VI. Etapa - SOUS Opava</t>
  </si>
  <si>
    <t>Energetické úspory VI. Etapa - SPŠaOA Bruntál</t>
  </si>
  <si>
    <t>Energetické úspory VI. Etapa - SPŠ Krnov</t>
  </si>
  <si>
    <t>Energetické úspory VI. Etapa - SŠaVOŠ Kopřivnice</t>
  </si>
  <si>
    <t>Energetické úspory VI. Etapa - SŠaZŠ Havířov - Šumbark</t>
  </si>
  <si>
    <t>Energetické úspory VI. Etapa - SŠGOaS Frýdek-Místek</t>
  </si>
  <si>
    <t>Energetické úspory VI. Etapa - ZŠaMŠ Nový Jičín</t>
  </si>
  <si>
    <t>Energetické úspory VI. Etapa - ZŠ Ostrava U Haldy</t>
  </si>
  <si>
    <t xml:space="preserve">Energetické úspory Albrechtova střední škola, Český Těšín </t>
  </si>
  <si>
    <t>Instalace FVE - Muzeum Těšínska, historická budova Český Těšín</t>
  </si>
  <si>
    <t>Novostavba dílen a venkovní sportoviště pro Střední školu technickou Opava</t>
  </si>
  <si>
    <t>Rozšíření a modernizace prostor SŠ, ZŠ a MŠ v Karviné</t>
  </si>
  <si>
    <t>Rozšíření a modernizace prostor ZŠ a MŠ v Ostravě-Porubě, Ukrajinská 19, příspěvkové organizace</t>
  </si>
  <si>
    <t xml:space="preserve">Zastupitelstvo kraje rozhodlo o profinancování a kofinancování projektu dne 15. 9. 2022 usnesením č. 9/892. </t>
  </si>
  <si>
    <t>Energetické úspory VI. Etapa - ZUŠ Vítkov</t>
  </si>
  <si>
    <t xml:space="preserve">Zastupitelstvo kraje rozhodlo o profinancování a kofinancování projektu dne 6. 6. 2024 usnesením č. 17/1734. </t>
  </si>
  <si>
    <t>Energetické úspory VI. Etapa - SUŠ Ostrava</t>
  </si>
  <si>
    <t>Energetické úspory VI. Etapa - SPŠS Opava</t>
  </si>
  <si>
    <t>Energetické úspory VI. Etapa - Gym. a SOŠ Rýmařov – objekt DM</t>
  </si>
  <si>
    <t>Energetické úspory VI. Etapa - Gym. a SOŠ Rýmařov – objekt SOŠ</t>
  </si>
  <si>
    <t>Energetické úspory VI. Etapa - SŠPaU Opava</t>
  </si>
  <si>
    <t>Zastupitelstvo kraje rozhodlo o profinancování a kofinancování projektu dne 7. 9. 2023 usnesením č. 13/1369.</t>
  </si>
  <si>
    <t>Zastupitelstvo kraje rozhodlo o profinancování a kofinancování projektu dne 5. 9. 2024 usnesením č. 18/1822.</t>
  </si>
  <si>
    <t>Chytré ovzduší ve veřejné správě - SMART AIR</t>
  </si>
  <si>
    <t>Zastupitelstvo kraje rozhodlo o profinancování a kofinancování projektu dne 07.03.2024 usnesením č. 15/1627.</t>
  </si>
  <si>
    <t xml:space="preserve">Zastupitelstvo kraje rozhodlo o profinancování a kofinancování projektu dne 13. 6. 2019 usnesením č. 12/1435. Projekt je financován formou záloh. </t>
  </si>
  <si>
    <t xml:space="preserve">Zastupitelstvo kraje rozhodlo o profinancování a kofinancování projektu dne 7. 9. 2023 usnesením č. 13/1370. Projekt je financován formou záloh. </t>
  </si>
  <si>
    <t>Kotlíkové dotace v Moravskoslezském kraji – 5. grantové schéma</t>
  </si>
  <si>
    <t xml:space="preserve">Zastupitelstvo kraje rozhodlo o profinancování a kofinancování projektu dne 6. 6. 2024 usnesením č. 17/1708. </t>
  </si>
  <si>
    <t>Zastupitelstvo kraje rozhodlo o profinancování a kofinancování projektu dne 8. 6. 2023 usnesením č. 12/1245.</t>
  </si>
  <si>
    <t>Zastupitelstvo kraje rozhodlo o profinancování a kofinancování projektu dne 5. 9.2024 usnesením č. 18/1826.</t>
  </si>
  <si>
    <t>Zastupitelstvo kraje rozhodlo o profinancování a kofinancování projektu dne 6. 6. 2024 usnesením č. 17/1732.</t>
  </si>
  <si>
    <t>Zastupitelstvo kraje rozhodlo o profinancování a kofinancování projektu dne 16. 3. 2022 usnesením č. 7/634.</t>
  </si>
  <si>
    <t>Zastupitelstvo kraje rozhodlo o profinancování a kofinancování projektu dne 6. 6. 2024 usnesením č. 17/1734.</t>
  </si>
  <si>
    <t>Zastupitelstvo kraje rozhodlo o profinancování a kofinancování projektu dne 5. 9. 2024 usnesením č. 18/1828.</t>
  </si>
  <si>
    <t xml:space="preserve">Zastupitelstvo kraje rozhodlo o profinancování a kofinancování projektu dne 7. 9. 2023 usnesením č. 13/1371. Projekt je financován formou záloh. </t>
  </si>
  <si>
    <t xml:space="preserve">Zastupitelstvo kraje rozhodlo o profinancování a kofinancování a zahájení projektu dne 7. 9. 2023 usnesením č. 13/1372. </t>
  </si>
  <si>
    <t xml:space="preserve">Zastupitelstvo kraje rozhodlo o profinancování a kofinancování projektu dne 6. 6. 2024 usnesením č. 17/1739. </t>
  </si>
  <si>
    <t xml:space="preserve">Zastupitelstvo kraje rozhodlo o profinancování a kofinancování projektu dne 7. 3. 2024 usnesením č. 15/1625. </t>
  </si>
  <si>
    <t>Zastupitelstvo kraje rozhodlo o profinancování a kofinancování projektu dne 5. 9. 2024 usnesením č.  18/1841.</t>
  </si>
  <si>
    <t>rok 2028</t>
  </si>
  <si>
    <t>Otevřený úřad – otevřené rozhraní pro přístup k datům</t>
  </si>
  <si>
    <t xml:space="preserve">Těšínské divadelní a kulturní centrum </t>
  </si>
  <si>
    <t>Rekultivace sportovního areálu Gymnázia Cihelní</t>
  </si>
  <si>
    <t>Rozšíření a modernizace výukových prostor na JG PT Ostrava-Poruba</t>
  </si>
  <si>
    <t xml:space="preserve">Zastupitelstvo kraje svým usnesením č. 21/2211 ze dne 22.9.2016 rozhodlo o uzavření smlouvy o finanční spolupráci ve veřejné linkové osobní dopravě mezi Moravskoslezským krajem a Zlínským krajem. Dále usnesením zastupitelstva kraje č. 10/1067 ze dne 13.12.2018 byl schválen závazek v min. výši 24 mil. Kč. Závazek trvá od 9.12.2018 do 31.12.2028. Finanční prostředky na zajištění financování budou nárokovány v rámci návrhu rozpočtu Moravskoslezského kraje pro jednotlivé roky, na základě schváleného usnesení zastupitelstvem kraje, avšak vždy upraveny o předpokládanou inflaci/deflaci. </t>
  </si>
  <si>
    <t>MSK/PO</t>
  </si>
  <si>
    <t xml:space="preserve">Závazek financování akce </t>
  </si>
  <si>
    <t xml:space="preserve">max. </t>
  </si>
  <si>
    <t>v letech</t>
  </si>
  <si>
    <t>Rekonstrukce budovy krajského úřadu</t>
  </si>
  <si>
    <t>RIA/ MSK</t>
  </si>
  <si>
    <t>Financování akce bude předloženo ke schválení na jednání zastupitelstva kraje dne 16. 12. 2024 v rámci schvalování rozpočtu kraje na rok 2025.</t>
  </si>
  <si>
    <t>Ostatní kapitálové výdaje - činnost krajského úřadu a zastupitelstva kraje</t>
  </si>
  <si>
    <t>MSK</t>
  </si>
  <si>
    <t>2025-2026</t>
  </si>
  <si>
    <t>ODVĚTVÍ FINANCÍ A SPRÁVY MAJETKU KRAJE:</t>
  </si>
  <si>
    <t xml:space="preserve">Zajištění přípravy, realizace a havárie v rámci akcí reprodukce majetku </t>
  </si>
  <si>
    <t>IDTP / PO</t>
  </si>
  <si>
    <t>ODVĚTVÍ FINANCÍ A SPRÁVY MAJETKU KRAJE CELKEM</t>
  </si>
  <si>
    <t>Silnice II/470, stavba „Komunikace – Severní spoj“ v Ostravě - příprava (Správa silnic Moravskoslezského kraje, příspěvková organizace, Ostrava)</t>
  </si>
  <si>
    <t>PO</t>
  </si>
  <si>
    <t xml:space="preserve">Financování akce bylo schváleno usnesením zastupitelstva kraje č. 10/948 ze dne 15.12.2022 a poslední úprava závazku  provedena usnesením č. 14/1454 ze dne 7. 12. 2023. </t>
  </si>
  <si>
    <t>Novostavba garáží a dílen v areálu CM Frýdek-Místek (Správa silnic Moravskoslezského kraje, příspěvková organizace, Ostrava)</t>
  </si>
  <si>
    <t>2021-2026</t>
  </si>
  <si>
    <t>Závazek financovat akci byl schválen usnesením zastupitelstva kraje č. 12/1228 ze dne 8. 6. 2023 a poslední úprava závazku  provedena usnesením č. 18/1865 ze dne 5. 9. 2024.</t>
  </si>
  <si>
    <t>Rekonstrukce provozní budovy CM Hlučín, středisko Opava (Správa silnic Moravskoslezského kraje, příspěvková organizace, Ostrava)</t>
  </si>
  <si>
    <t>2024-2026</t>
  </si>
  <si>
    <t>Příprava výstavby tramvajové tratě Ostrava – Orlová – Karviná (Správa silnic Moravskoslezského kraje, příspěvková organizace, Ostrava)</t>
  </si>
  <si>
    <t>2023-2027</t>
  </si>
  <si>
    <t>Silnice II/478 Nová Krmelínská Ostrava a Mostní II. Etapa</t>
  </si>
  <si>
    <t xml:space="preserve">Financování akce bylo schváleno usnesením zastupitelstva kraje č. 4/338 ze dne 17. 6. 2021 a poslední úprava závazku  provedena usnesením č. 14/1454 ze dne 7. 12. 2023. </t>
  </si>
  <si>
    <t>2021-2029</t>
  </si>
  <si>
    <t>Financování akce bylo schválen usnesením zastupitelstva kraje č. 14/1454 ze dne 7. 12. 2023.</t>
  </si>
  <si>
    <t>?</t>
  </si>
  <si>
    <t>Závazek financování akce v letech 2026 - 2032 byl schválen usnesením zastupitelstva kraje č. 4/291 ze 17. 6. 2021.</t>
  </si>
  <si>
    <t>Financování akce bylo schváleno usnesením zastupitelstva kraje č. 2/21 ze dne 17. 12. 2020 a poslední úprava závazku  provedena usnesením č. 14/1454 ze dne 7. 12. 2023.</t>
  </si>
  <si>
    <t>2024-2027</t>
  </si>
  <si>
    <t>Závazek financovat akci byl schválen usnesením zastupitelstva kraje č. 14/1454 ze dne 7. 12. 2023.</t>
  </si>
  <si>
    <t>Muzeum osobních automobilů Tatra Kopřivnice - příprava (Muzeum Novojičínska, příspěvková organizace)</t>
  </si>
  <si>
    <t>Oprava Památníku životické tragédie (Muzeum Těšínska, příspěvková organizace)</t>
  </si>
  <si>
    <t>2023-2026</t>
  </si>
  <si>
    <t>Financování akce bylo schváleno usnesením zastupitelstva kraje č. 14/1454 ze dne 7. 12. 2023 a poslední úprava závazku  provedena usnesením č. 18/1865 ze dne 5. 9. 2024.</t>
  </si>
  <si>
    <t>Závazek financovat akci byl schválen usnesením zastupitelstva kraje č. 14/1454 ze dne 7. 12. 2023 a poslední úprava závazku  provedena usnesením č. 18/1865 ze dne 5. 9. 2024.</t>
  </si>
  <si>
    <t>Financování akce bylo schválen usnesením zastupitelstva kraje č. 14/1454 ze dne 7. 12. 2023 a poslední úprava závazku  provedena usnesením č. 18/1865 ze dne 5. 9. 2024.</t>
  </si>
  <si>
    <t>Nová expozice Technického muzea Tatra v Kopřivnici - muzeum osobních vozidel (Muzeum Novojičínska, příspěvková organizace)</t>
  </si>
  <si>
    <t>Krajský depozitář pro kulturní organizace – příprava (Muzeum Beskyd Frýdek-Místek, příspěvková organizace)</t>
  </si>
  <si>
    <t>2025-2027</t>
  </si>
  <si>
    <t>Závazek financovat akci schválen usnesením zastupitelstva kraje č. 13/1409 ze dne 7. 9. 2023 a poslední úprava závazku  provedena usnesením č. 18/1865 ze dne 5. 9. 2024.</t>
  </si>
  <si>
    <t>2022-2028</t>
  </si>
  <si>
    <t xml:space="preserve">Financování akce bylo schváleno usnesením zastupitelstva kraje č. 6/475 ze dne 16. 12. 2021 a poslední úprava závazku  provedena usnesením č. 18/1865 ze dne 5. 9. 2024. </t>
  </si>
  <si>
    <t>2019-2026</t>
  </si>
  <si>
    <t>Financování akce bylo schváleno usnesením zastupitelstva kraje č. 6/520 ze dne 14. 12. 2017 a poslední úprava závazku  provedena usnesením č. 14/1454 ze dne 7. 12. 2023.</t>
  </si>
  <si>
    <t xml:space="preserve">Financování akce bylo schváleno usnesením zastupitelstva kraje č. 10/948 ze dne 15.12.2022  a poslední úprava závazku  provedena usnesením č. 18/1865 ze dne 5. 9. 2024. </t>
  </si>
  <si>
    <t>Financování akce bylo schváleno usnesením zastupitelstva kraje č. 10/1083 ze dne 13. 12. 2018  a poslední úprava závazku  provedena usnesením č. 18/1865 ze dne 5. 9. 2024.</t>
  </si>
  <si>
    <t>Využití objektu v Bílé - příprava (Vzdělávací a sportovní centrum Bílá, příspěvková organizace)</t>
  </si>
  <si>
    <t>Financování akce bylo schváleno usnesením zastupitelstva kraje č. 2/28 ze dne 22. 12. 2016 a poslední úprava závazku  provedena usnesením č. 18/1865 ze dne 5. 9. 2024.</t>
  </si>
  <si>
    <t>2022-2027</t>
  </si>
  <si>
    <t>Financování akce bylo schváleno usnesením zastupitelstva kraje č. 8/794 ze dne 16. 6. 2022 a poslední úprava závazku  provedena usnesením č. 18/1865 ze dne 5. 9. 2024.</t>
  </si>
  <si>
    <t>2020-2026</t>
  </si>
  <si>
    <t>Akce byla schválena usnesením zastupitelstva kraje č. 2/21 ze dne 17. 12. 2020 a poslední úprava závazku  provedena usnesením č. 18/1865 ze dne 5. 9. 2024.</t>
  </si>
  <si>
    <t>2022-2026</t>
  </si>
  <si>
    <t>Akce byla schválena usnesením zastupitelstva kraje č. 2/21 ze dne 17. 12. 2020 a a poslední úprava závazku  provedena usnesením č. 18/1865 ze dne 5. 9. 2024..</t>
  </si>
  <si>
    <t>Rekonstrukce elektroinstalace a zdravotně technické instalace (Gymnázium, Ostrava-Hrabůvka, příspěvková organizace)</t>
  </si>
  <si>
    <t>Závazek financovat akci schválen usnesením zastupitelstva kraje č. 13/1409 ze dne 7. 9. 2023 a poslední úprava závazku  provedena usnesením č. 14/1454 ze dne 7. 12. 2023.</t>
  </si>
  <si>
    <t>Rekonstrukce objektu školní jídelny (Základní škola a Mateřská škola pro sluchově postižené a vady řeči, Ostrava-Poruba, příspěvková organizace)</t>
  </si>
  <si>
    <t>2020-2027</t>
  </si>
  <si>
    <t>2018-2026</t>
  </si>
  <si>
    <t>Novostavba výukových prostor včetně venkovních úprav (Střední škola teleinformatiky, Ostrava, příspěvková organizace)</t>
  </si>
  <si>
    <t>Akce byla schválena usnesením zastupitelstva kraje č. 10/948 ze dne 15. 12. 2022 a a poslední úprava závazku  provedena usnesením č. 18/1865 ze dne 5. 9. 2024..</t>
  </si>
  <si>
    <t>Stavební úpravy objektů na ulicích Divadelní a Čapkova (Základní umělecká škola, Rýmařov, Čapkova 6, příspěvková organizace)</t>
  </si>
  <si>
    <t>Demolice objektu Domova mládeže (Střední odborná škola a Základní škola, Město Albrechtice, příspěvková organizace)</t>
  </si>
  <si>
    <t>Financování akce bylo schváleno usnesením zastupitelstva kraje č. 17/1765 ze dne 6. 6. 2024 a poslední úprava závazku  provedena usnesením č. 18/1865 ze dne 5. 9. 2024.</t>
  </si>
  <si>
    <t>Rekonstrukce reprezentačního sálu včetně zázemí (Základní umělecká škola Leoše Janáčka, Havířov, příspěvková organizace)</t>
  </si>
  <si>
    <t>Modernizace Školního statku Opava II - posklizňová linka (Školní statek, Opava, příspěvková organizace)</t>
  </si>
  <si>
    <t>2022-2025</t>
  </si>
  <si>
    <t>Financování akce bylo schváleno usnesením zastupitelstva kraje č. 6/475 ze dne 16. 12. 2021 a poslední úprava závazku  provedena usnesením č. 18/1865 ze dne 5. 9. 2024.</t>
  </si>
  <si>
    <t>Oprava objektů po požáru (Obchodní akademie, Český Těšín, příspěvková organizace,  Základní umělecká škola Pavla Kalety, Český Těšín, příspěvková organizace)</t>
  </si>
  <si>
    <t>RIA/ MSK, IDTP/ PO, ŠMS</t>
  </si>
  <si>
    <t>Akce byla schválena usn. č. 108/7462 ze dne  5 .8. 2024 a závazek financování bude předložen ke schválení na jednání zastupitelstva kraje dne 16. 12. 2024 v rámci schvalování rozpočtu kraje na rok 2025.</t>
  </si>
  <si>
    <t>Rekonstrukce zdravotechniky (Obchodní akademie, Ostrava-Poruba, příspěvková organizace)</t>
  </si>
  <si>
    <t>Závazek financovat akci byl schválen usnesením zastupitelstva kraje č. 18/1865 ze dne 5. 9. 2024.</t>
  </si>
  <si>
    <t>Rekonstrukce zdravotechniky (Matiční gymnázium, Ostrava, příspěvková organizace)</t>
  </si>
  <si>
    <t>Revitalizace tělocvičny (Střední průmyslová škola elektrotechnická, Havířov, příspěvková organizace)</t>
  </si>
  <si>
    <t>Rekonstrukce hygienického zařízení (Mateřská škola Paraplíčko, Havířov, příspěvková organizace)</t>
  </si>
  <si>
    <t>Rekonstrukce elektroinstalace (Střední škola techniky a služeb, Karviná, příspěvková organizace)</t>
  </si>
  <si>
    <t>Rekonstrukce elektroinstalace a zdravotechniky (Hotelová škola, Frenštát pod Radhoštěm, příspěvková organizace)</t>
  </si>
  <si>
    <t>Sanace zdiva (Gymnázium Josefa Kainara, Hlučín, příspěvková organizace)</t>
  </si>
  <si>
    <t>Rekonstrukce elektroinstalace v budově jídelny (Střední průmyslová škola a Obchodní akademie, Bruntál, příspěvková organizace)</t>
  </si>
  <si>
    <t>Rekonstrukce oplocení (Základní škola, Bruntál, Rýmařovská 15, příspěvková organizace)</t>
  </si>
  <si>
    <t>Demolice staré kotelny (Základní škola, Bruntál, Rýmařovská 15, příspěvková organizace)</t>
  </si>
  <si>
    <t>Rekonstrukce střech dílen (Střední odborná škola a Základní škola, Město Albrechtice, příspěvková organizace)</t>
  </si>
  <si>
    <t>Modernizace venkovních ploch gymnázia (Gymnázium Olgy Havlové, Ostrava-Poruba, příspěvková organizace)</t>
  </si>
  <si>
    <t>Vybudování hřiště (Gymnázium a Střední průmyslová škola elektrotechniky a informatiky, Frenštát pod Radhoštěm, příspěvková organizace)</t>
  </si>
  <si>
    <t>Výměna oken (Gymnázium, Karviná, příspěvková organizace)</t>
  </si>
  <si>
    <t>Rekonstrukce elektroinstalace v Domově mládeže (Masarykova střední škola zemědělská a přírodovědná, Opava, příspěvková organizace)</t>
  </si>
  <si>
    <t>Rekonstrukce provozních prostor kuchyně (Střední škola řemesel, Frýdek-Místek, příspěvková organizace)</t>
  </si>
  <si>
    <t>Závazek financovat akci schválen usnesením zastupitelstva kraje č. 13/1409 ze dne 7. 9. 2023 a poslední úprava závazku  provedena usnesením č. 17/1765 ze dne 6. 6. 2024.</t>
  </si>
  <si>
    <t>Nemocnice Nový Jičín - reinvestiční část nájemného a opravy</t>
  </si>
  <si>
    <t>IDTP / RMK</t>
  </si>
  <si>
    <t xml:space="preserve">Závazek Moravskoslezského kraje vznikl na základě Smlouvy o nájmu podniku č. 02262/2011/ZDR, vč. dodatků. Závazek trvá do roku 2032. Poslední úprava závazku  provedena usnesením č. 14/1454 ze dne 7. 12. 2023.  </t>
  </si>
  <si>
    <t>Rekonstrukce kanalizace - Karviná (Nemocnice Karviná-Ráj, příspěvková organizace)</t>
  </si>
  <si>
    <t>Financování akce bylo schváleno usnesením zastupitelstva kraje č. 6/475 ze dne 16.12.2021 a poslední úprava závazku  provedena usnesením č. 17/1765 ze dne 6. 6. 2024.</t>
  </si>
  <si>
    <t>Rekonstrukce dětského oddělení vč. DIP (Nemocnice ve Frýdku - Místku, příspěvková organizace)</t>
  </si>
  <si>
    <t>Financování akce bylo schváleno usnesením zastupitelstva kraje č. 8/794 ze dne 16.06.2022 a poslední úprava závazku  provedena usnesením č. 18/1865 ze dne 5. 9. 2024.</t>
  </si>
  <si>
    <t>Rekonstrukce páteřních rozvodů vody v nemocnici Orlová (Nemocnice Karviná - Ráj, příspěvková organizace)</t>
  </si>
  <si>
    <t>Protipožární opatření nemocnice Orlová (Nemocnice Karviná - Ráj, příspěvková organizace)</t>
  </si>
  <si>
    <t>Obnova vozového parku - příspěvkové organizace v odvětví zdravotnictví</t>
  </si>
  <si>
    <t>Plán rozvoje vodovodů a kanalizací Moravskoslezského kraje-webová aplikace</t>
  </si>
  <si>
    <t>2021 - 2028</t>
  </si>
  <si>
    <t>Výdaje financované z ostatních očekávaných účelových dotací ze státního rozpočtu mimo zálohové platby</t>
  </si>
  <si>
    <t xml:space="preserve"> - příjmy z pojistného plnění (požár OA Český Těšín)</t>
  </si>
  <si>
    <t>Rekonstrukce elektroinstalace (Střední zdravotnická škola a Vyšší odborná škola zdravotnická, Ostrava, příspěvková organizace)</t>
  </si>
  <si>
    <t>Přístavba tělocvičny Sportovního gymnázia Dany a Emila Zátopkových (Sportovní gymnázium Dany a Emila Zátopkových, Ostrava, příspěvková organizace)</t>
  </si>
  <si>
    <t>Výstavba sportovního plaveckého bazénu při Sportovním gymnáziu Dany a Emila Zátopkových v Ostravě (Sportovní gymnázium Dany a Emila Zátopkových, Ostrava, příspěvková organizace)</t>
  </si>
  <si>
    <t>Modernizace přístrojového vybavení Metylovice (Odborný léčebný ústav Metylovice-Moravskoslezské sanatorium, příspěvková organizace)</t>
  </si>
  <si>
    <t>IP LIFE for Coal Mining Landscape Adaptation</t>
  </si>
  <si>
    <t>Zastupitelstvo kraje usnesením č. 2/55 ze dne  17.12.2020 rozhodlo zajistit udržitelnost projektu  Digitální technická mapa Moravskoslezského kraje financovaného z Operačního programu Podnikání a inovace pro konkurenceschopnost v letech 2024 - 2028. Smlouva na dobu neurčitou.</t>
  </si>
  <si>
    <r>
      <t>po r. 2028</t>
    </r>
    <r>
      <rPr>
        <b/>
        <vertAlign val="superscript"/>
        <sz val="8"/>
        <rFont val="Tahoma"/>
        <family val="2"/>
        <charset val="238"/>
      </rPr>
      <t>*)</t>
    </r>
  </si>
  <si>
    <t>*) Hodnota x představuje závazek na dobu neurčitou.</t>
  </si>
  <si>
    <t>Rada kraje usnesením č. 91/6742 ze dne 18. 3. 2024 rozhodla o poskytnutí dotace ve výši 90 tis. Kč (ve 3 splátkách v letech 2025-2027) Slezské univerzitě v Opavě na pokračování projektu „Poskytování servisní činnosti pro řádnou funkci webové aplikace Finanční stabilita municipalit Moravskoslezského kraje“.</t>
  </si>
  <si>
    <t>Rekonstrukce elektroinstalace (Obchodní akademie a Vyšší odborná škola sociálně právní, Ostrava, příspěvková organizace)</t>
  </si>
  <si>
    <t>Stavební úpravy objektu domova mládeže pro potřeby VOŠ (Obchodní akademie a Vyšší odborná škola sociálně právní, Ostrava, příspěvková organizace)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</si>
</sst>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_K_č"/>
    <numFmt numFmtId="166" formatCode="#,##0\ _K_č;\-#,##0\_\K_č"/>
  </numFmts>
  <fonts count="86"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Tahoma"/>
      <family val="2"/>
      <charset val="238"/>
    </font>
    <font>
      <b/>
      <sz val="12"/>
      <name val="Tahoma"/>
      <family val="2"/>
      <charset val="238"/>
    </font>
    <font>
      <sz val="10"/>
      <name val="Tahoma"/>
      <family val="2"/>
      <charset val="238"/>
    </font>
    <font>
      <i/>
      <sz val="10"/>
      <name val="Tahoma"/>
      <family val="2"/>
      <charset val="238"/>
    </font>
    <font>
      <b/>
      <sz val="10"/>
      <name val="Tahoma"/>
      <family val="2"/>
      <charset val="238"/>
    </font>
    <font>
      <b/>
      <sz val="12"/>
      <color indexed="60"/>
      <name val="Tahoma"/>
      <family val="2"/>
      <charset val="238"/>
    </font>
    <font>
      <i/>
      <sz val="8"/>
      <name val="Tahoma"/>
      <family val="2"/>
      <charset val="238"/>
    </font>
    <font>
      <b/>
      <i/>
      <sz val="10"/>
      <name val="Tahoma"/>
      <family val="2"/>
      <charset val="238"/>
    </font>
    <font>
      <i/>
      <sz val="12"/>
      <name val="Tahoma"/>
      <family val="2"/>
      <charset val="238"/>
    </font>
    <font>
      <b/>
      <sz val="12"/>
      <color indexed="10"/>
      <name val="Tahoma"/>
      <family val="2"/>
      <charset val="238"/>
    </font>
    <font>
      <b/>
      <i/>
      <sz val="12"/>
      <color indexed="10"/>
      <name val="Tahoma"/>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9"/>
      <name val="Calibri"/>
      <family val="2"/>
      <charset val="238"/>
    </font>
    <font>
      <sz val="11"/>
      <color indexed="60"/>
      <name val="Calibri"/>
      <family val="2"/>
      <charset val="238"/>
    </font>
    <font>
      <sz val="10"/>
      <color theme="1"/>
      <name val="Arial"/>
      <family val="2"/>
      <charset val="238"/>
    </font>
    <font>
      <sz val="10"/>
      <name val="Arial CE"/>
      <charset val="238"/>
    </font>
    <font>
      <sz val="11"/>
      <color indexed="52"/>
      <name val="Calibri"/>
      <family val="2"/>
      <charset val="238"/>
    </font>
    <font>
      <b/>
      <sz val="11"/>
      <color indexed="8"/>
      <name val="Calibri"/>
      <family val="2"/>
      <charset val="238"/>
    </font>
    <font>
      <sz val="11"/>
      <color indexed="10"/>
      <name val="Calibri"/>
      <family val="2"/>
      <charset val="238"/>
    </font>
    <font>
      <b/>
      <sz val="18"/>
      <color indexed="56"/>
      <name val="Cambria"/>
      <family val="2"/>
      <charset val="238"/>
    </font>
    <font>
      <i/>
      <sz val="11"/>
      <color indexed="23"/>
      <name val="Calibri"/>
      <family val="2"/>
      <charset val="238"/>
    </font>
    <font>
      <sz val="11"/>
      <color indexed="20"/>
      <name val="Calibri"/>
      <family val="2"/>
      <charset val="238"/>
    </font>
    <font>
      <b/>
      <sz val="10"/>
      <name val="Tahoma"/>
      <family val="2"/>
    </font>
    <font>
      <sz val="10"/>
      <name val="Tahoma"/>
      <family val="2"/>
    </font>
    <font>
      <sz val="12"/>
      <name val="Times New Roman"/>
      <family val="1"/>
    </font>
    <font>
      <sz val="10"/>
      <name val="Times New Roman"/>
      <family val="1"/>
    </font>
    <font>
      <b/>
      <sz val="14"/>
      <name val="Tahoma"/>
      <family val="2"/>
    </font>
    <font>
      <b/>
      <sz val="12"/>
      <name val="Tahoma"/>
      <family val="2"/>
    </font>
    <font>
      <b/>
      <sz val="9"/>
      <name val="Tahoma"/>
      <family val="2"/>
    </font>
    <font>
      <sz val="9"/>
      <name val="Tahoma"/>
      <family val="2"/>
    </font>
    <font>
      <b/>
      <sz val="9"/>
      <name val="Tahoma"/>
      <family val="2"/>
      <charset val="238"/>
    </font>
    <font>
      <sz val="9"/>
      <name val="Tahoma"/>
      <family val="2"/>
      <charset val="238"/>
    </font>
    <font>
      <b/>
      <sz val="8"/>
      <name val="Tahoma"/>
      <family val="2"/>
      <charset val="238"/>
    </font>
    <font>
      <sz val="8"/>
      <name val="Tahoma"/>
      <family val="2"/>
      <charset val="238"/>
    </font>
    <font>
      <b/>
      <sz val="10"/>
      <name val="Arial CE"/>
      <charset val="238"/>
    </font>
    <font>
      <sz val="8"/>
      <name val="Arial"/>
      <family val="2"/>
      <charset val="238"/>
    </font>
    <font>
      <sz val="11"/>
      <name val="Calibri"/>
      <family val="2"/>
      <charset val="238"/>
      <scheme val="minor"/>
    </font>
    <font>
      <b/>
      <sz val="11"/>
      <name val="Tahoma"/>
      <family val="2"/>
      <charset val="238"/>
    </font>
    <font>
      <b/>
      <vertAlign val="superscript"/>
      <sz val="10"/>
      <name val="Tahoma"/>
      <family val="2"/>
      <charset val="238"/>
    </font>
    <font>
      <sz val="10"/>
      <color rgb="FFFF0000"/>
      <name val="Tahoma"/>
      <family val="2"/>
      <charset val="238"/>
    </font>
    <font>
      <b/>
      <sz val="11"/>
      <name val="Calibri"/>
      <family val="2"/>
      <charset val="238"/>
      <scheme val="minor"/>
    </font>
    <font>
      <b/>
      <sz val="9"/>
      <color rgb="FFFF0000"/>
      <name val="Tahoma"/>
      <family val="2"/>
    </font>
    <font>
      <sz val="9"/>
      <color rgb="FFFF0000"/>
      <name val="Tahoma"/>
      <family val="2"/>
    </font>
    <font>
      <sz val="9"/>
      <color theme="1"/>
      <name val="Tahoma"/>
      <family val="2"/>
    </font>
    <font>
      <b/>
      <sz val="9"/>
      <color theme="1"/>
      <name val="Tahoma"/>
      <family val="2"/>
    </font>
    <font>
      <sz val="12"/>
      <color rgb="FFFF0000"/>
      <name val="Tahoma"/>
      <family val="2"/>
      <charset val="238"/>
    </font>
    <font>
      <sz val="9"/>
      <color theme="1"/>
      <name val="Tahoma"/>
      <family val="2"/>
      <charset val="238"/>
    </font>
    <font>
      <sz val="8"/>
      <name val="Cambria"/>
      <family val="1"/>
      <charset val="238"/>
    </font>
    <font>
      <strike/>
      <sz val="8"/>
      <name val="Cambria"/>
      <family val="1"/>
      <charset val="238"/>
    </font>
    <font>
      <sz val="12"/>
      <color rgb="FFFF0000"/>
      <name val="Times New Roman"/>
      <family val="1"/>
      <charset val="238"/>
    </font>
    <font>
      <sz val="10"/>
      <color rgb="FF00B0F0"/>
      <name val="Tahoma"/>
      <family val="2"/>
      <charset val="238"/>
    </font>
    <font>
      <b/>
      <sz val="10"/>
      <color rgb="FFFF0000"/>
      <name val="Tahoma"/>
      <family val="2"/>
      <charset val="238"/>
    </font>
    <font>
      <sz val="8"/>
      <color rgb="FF00B050"/>
      <name val="Tahoma"/>
      <family val="2"/>
      <charset val="238"/>
    </font>
    <font>
      <b/>
      <vertAlign val="superscript"/>
      <sz val="8"/>
      <name val="Tahoma"/>
      <family val="2"/>
      <charset val="238"/>
    </font>
    <font>
      <b/>
      <sz val="14"/>
      <name val="Tahoma"/>
      <family val="2"/>
      <charset val="238"/>
    </font>
    <font>
      <strike/>
      <sz val="8"/>
      <name val="Tahoma"/>
      <family val="2"/>
      <charset val="238"/>
    </font>
    <font>
      <sz val="13"/>
      <name val="Arial"/>
      <family val="2"/>
      <charset val="238"/>
    </font>
    <font>
      <sz val="10"/>
      <name val="Cambria"/>
      <family val="1"/>
      <charset val="238"/>
    </font>
    <font>
      <sz val="11"/>
      <name val="Calibri"/>
      <family val="2"/>
      <charset val="238"/>
    </font>
    <font>
      <b/>
      <sz val="11"/>
      <name val="Calibri"/>
      <family val="2"/>
      <charset val="238"/>
    </font>
    <font>
      <b/>
      <sz val="8"/>
      <color theme="1"/>
      <name val="Tahoma"/>
      <family val="2"/>
      <charset val="238"/>
    </font>
    <font>
      <sz val="8"/>
      <color theme="1"/>
      <name val="Tahoma"/>
      <family val="2"/>
      <charset val="238"/>
    </font>
    <font>
      <strike/>
      <sz val="8"/>
      <color rgb="FFFF0000"/>
      <name val="Tahoma"/>
      <family val="2"/>
      <charset val="238"/>
    </font>
  </fonts>
  <fills count="29">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1"/>
      </patternFill>
    </fill>
    <fill>
      <patternFill patternType="solid">
        <fgColor indexed="44"/>
      </patternFill>
    </fill>
    <fill>
      <patternFill patternType="solid">
        <fgColor indexed="29"/>
      </patternFill>
    </fill>
    <fill>
      <patternFill patternType="solid">
        <fgColor indexed="51"/>
      </patternFill>
    </fill>
    <fill>
      <patternFill patternType="solid">
        <fgColor indexed="36"/>
      </patternFill>
    </fill>
    <fill>
      <patternFill patternType="solid">
        <fgColor indexed="52"/>
      </patternFill>
    </fill>
    <fill>
      <patternFill patternType="solid">
        <fgColor indexed="30"/>
      </patternFill>
    </fill>
    <fill>
      <patternFill patternType="solid">
        <fgColor indexed="49"/>
      </patternFill>
    </fill>
    <fill>
      <patternFill patternType="solid">
        <fgColor indexed="55"/>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7"/>
        <bgColor indexed="64"/>
      </patternFill>
    </fill>
    <fill>
      <patternFill patternType="solid">
        <fgColor theme="0"/>
        <bgColor indexed="64"/>
      </patternFill>
    </fill>
    <fill>
      <patternFill patternType="solid">
        <fgColor rgb="FFFFCC99"/>
        <bgColor indexed="64"/>
      </patternFill>
    </fill>
    <fill>
      <patternFill patternType="solid">
        <fgColor rgb="FFFFFF99"/>
        <bgColor indexed="64"/>
      </patternFill>
    </fill>
  </fills>
  <borders count="82">
    <border>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thin">
        <color rgb="FF000000"/>
      </top>
      <bottom style="thin">
        <color indexed="64"/>
      </bottom>
      <diagonal/>
    </border>
    <border>
      <left/>
      <right style="medium">
        <color indexed="64"/>
      </right>
      <top style="thin">
        <color rgb="FF000000"/>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indexed="64"/>
      </right>
      <top style="thin">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s>
  <cellStyleXfs count="93">
    <xf numFmtId="0" fontId="0" fillId="0" borderId="0"/>
    <xf numFmtId="0" fontId="20" fillId="0" borderId="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0" borderId="0" applyNumberFormat="0" applyBorder="0" applyAlignment="0" applyProtection="0"/>
    <xf numFmtId="0" fontId="32" fillId="7" borderId="0" applyNumberFormat="0" applyBorder="0" applyAlignment="0" applyProtection="0"/>
    <xf numFmtId="0" fontId="32" fillId="11" borderId="0" applyNumberFormat="0" applyBorder="0" applyAlignment="0" applyProtection="0"/>
    <xf numFmtId="0" fontId="32" fillId="13" borderId="0" applyNumberFormat="0" applyBorder="0" applyAlignment="0" applyProtection="0"/>
    <xf numFmtId="0" fontId="33" fillId="10"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2" borderId="0" applyNumberFormat="0" applyBorder="0" applyAlignment="0" applyProtection="0"/>
    <xf numFmtId="0" fontId="33" fillId="10"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5" borderId="0" applyNumberFormat="0" applyBorder="0" applyAlignment="0" applyProtection="0"/>
    <xf numFmtId="0" fontId="34" fillId="6" borderId="0" applyNumberFormat="0" applyBorder="0" applyAlignment="0" applyProtection="0"/>
    <xf numFmtId="0" fontId="35" fillId="18" borderId="27" applyNumberFormat="0" applyAlignment="0" applyProtection="0"/>
    <xf numFmtId="0" fontId="36" fillId="19" borderId="0" applyNumberFormat="0" applyBorder="0" applyAlignment="0" applyProtection="0"/>
    <xf numFmtId="0" fontId="20" fillId="0" borderId="0"/>
    <xf numFmtId="0" fontId="20" fillId="0" borderId="0"/>
    <xf numFmtId="0" fontId="20" fillId="0" borderId="0"/>
    <xf numFmtId="0" fontId="20" fillId="0" borderId="0"/>
    <xf numFmtId="0" fontId="37" fillId="0" borderId="0"/>
    <xf numFmtId="0" fontId="20" fillId="0" borderId="0"/>
    <xf numFmtId="0" fontId="38" fillId="0" borderId="0"/>
    <xf numFmtId="0" fontId="32" fillId="20" borderId="28" applyNumberFormat="0" applyFont="0" applyAlignment="0" applyProtection="0"/>
    <xf numFmtId="0" fontId="39" fillId="0" borderId="29" applyNumberFormat="0" applyFill="0" applyAlignment="0" applyProtection="0"/>
    <xf numFmtId="0" fontId="40" fillId="0" borderId="30"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5"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24" borderId="0" applyNumberFormat="0" applyBorder="0" applyAlignment="0" applyProtection="0"/>
    <xf numFmtId="0" fontId="20" fillId="0" borderId="0"/>
    <xf numFmtId="0" fontId="20" fillId="0" borderId="0"/>
    <xf numFmtId="0" fontId="19" fillId="0" borderId="0"/>
    <xf numFmtId="0" fontId="20" fillId="0" borderId="0"/>
    <xf numFmtId="9" fontId="20" fillId="0" borderId="0" applyFont="0" applyFill="0" applyBorder="0" applyAlignment="0" applyProtection="0"/>
    <xf numFmtId="0" fontId="18" fillId="0" borderId="0"/>
    <xf numFmtId="0" fontId="17" fillId="0" borderId="0"/>
    <xf numFmtId="0" fontId="16" fillId="0" borderId="0"/>
    <xf numFmtId="0" fontId="16" fillId="0" borderId="0"/>
    <xf numFmtId="0" fontId="15" fillId="0" borderId="0"/>
    <xf numFmtId="0" fontId="15" fillId="0" borderId="0"/>
    <xf numFmtId="0" fontId="14" fillId="0" borderId="0"/>
    <xf numFmtId="0" fontId="14" fillId="0" borderId="0"/>
    <xf numFmtId="0" fontId="13" fillId="0" borderId="0"/>
    <xf numFmtId="0" fontId="12" fillId="0" borderId="0"/>
    <xf numFmtId="0" fontId="12" fillId="0" borderId="0"/>
    <xf numFmtId="0" fontId="11" fillId="0" borderId="0"/>
    <xf numFmtId="0" fontId="10" fillId="0" borderId="0"/>
    <xf numFmtId="0" fontId="20" fillId="0" borderId="0">
      <alignment wrapText="1"/>
    </xf>
    <xf numFmtId="0" fontId="9" fillId="0" borderId="0"/>
    <xf numFmtId="0" fontId="37"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cellStyleXfs>
  <cellXfs count="729">
    <xf numFmtId="0" fontId="0" fillId="0" borderId="0" xfId="0"/>
    <xf numFmtId="0" fontId="21" fillId="0" borderId="0" xfId="1" applyFont="1" applyAlignment="1">
      <alignment vertical="center"/>
    </xf>
    <xf numFmtId="0" fontId="23" fillId="0" borderId="0" xfId="1" applyFont="1" applyAlignment="1">
      <alignment vertical="center"/>
    </xf>
    <xf numFmtId="0" fontId="22" fillId="0" borderId="0" xfId="1" applyFont="1" applyAlignment="1">
      <alignment vertical="center"/>
    </xf>
    <xf numFmtId="0" fontId="26" fillId="2" borderId="0" xfId="1" applyFont="1" applyFill="1" applyAlignment="1">
      <alignment vertical="center"/>
    </xf>
    <xf numFmtId="0" fontId="22" fillId="0" borderId="0" xfId="1" applyFont="1" applyAlignment="1">
      <alignment horizontal="center" vertical="center" wrapText="1"/>
    </xf>
    <xf numFmtId="164" fontId="23" fillId="0" borderId="0" xfId="1" applyNumberFormat="1" applyFont="1" applyAlignment="1">
      <alignment vertical="center"/>
    </xf>
    <xf numFmtId="4" fontId="23" fillId="0" borderId="0" xfId="1" applyNumberFormat="1" applyFont="1" applyAlignment="1">
      <alignment vertical="center"/>
    </xf>
    <xf numFmtId="0" fontId="22" fillId="0" borderId="0" xfId="1" applyFont="1" applyAlignment="1">
      <alignment vertical="center" wrapText="1"/>
    </xf>
    <xf numFmtId="0" fontId="30" fillId="0" borderId="0" xfId="1" applyFont="1" applyAlignment="1">
      <alignment vertical="center"/>
    </xf>
    <xf numFmtId="0" fontId="31" fillId="0" borderId="0" xfId="1" applyFont="1" applyAlignment="1">
      <alignment vertical="center"/>
    </xf>
    <xf numFmtId="1" fontId="45" fillId="25" borderId="17" xfId="1" applyNumberFormat="1" applyFont="1" applyFill="1" applyBorder="1" applyAlignment="1">
      <alignment horizontal="center" vertical="center" wrapText="1"/>
    </xf>
    <xf numFmtId="1" fontId="45" fillId="25" borderId="16" xfId="1" applyNumberFormat="1" applyFont="1" applyFill="1" applyBorder="1" applyAlignment="1">
      <alignment horizontal="center" vertical="center" wrapText="1"/>
    </xf>
    <xf numFmtId="0" fontId="45" fillId="25" borderId="25" xfId="1" applyFont="1" applyFill="1" applyBorder="1" applyAlignment="1">
      <alignment horizontal="center" vertical="center" wrapText="1"/>
    </xf>
    <xf numFmtId="0" fontId="45" fillId="25" borderId="24" xfId="1" applyFont="1" applyFill="1" applyBorder="1" applyAlignment="1">
      <alignment horizontal="center" vertical="center" wrapText="1"/>
    </xf>
    <xf numFmtId="0" fontId="45" fillId="25" borderId="23" xfId="1" applyFont="1" applyFill="1" applyBorder="1" applyAlignment="1">
      <alignment horizontal="center" vertical="center" wrapText="1"/>
    </xf>
    <xf numFmtId="0" fontId="45" fillId="25" borderId="22" xfId="1" applyFont="1" applyFill="1" applyBorder="1" applyAlignment="1">
      <alignment horizontal="center" vertical="center" wrapText="1"/>
    </xf>
    <xf numFmtId="3" fontId="28" fillId="3" borderId="4" xfId="1" applyNumberFormat="1" applyFont="1" applyFill="1" applyBorder="1" applyAlignment="1">
      <alignment horizontal="right"/>
    </xf>
    <xf numFmtId="49" fontId="25" fillId="3" borderId="19" xfId="1" applyNumberFormat="1" applyFont="1" applyFill="1" applyBorder="1" applyAlignment="1">
      <alignment vertical="center"/>
    </xf>
    <xf numFmtId="3" fontId="25" fillId="3" borderId="22" xfId="1" applyNumberFormat="1" applyFont="1" applyFill="1" applyBorder="1" applyAlignment="1">
      <alignment horizontal="right" vertical="center"/>
    </xf>
    <xf numFmtId="3" fontId="28" fillId="3" borderId="5" xfId="1" applyNumberFormat="1" applyFont="1" applyFill="1" applyBorder="1" applyAlignment="1">
      <alignment horizontal="right"/>
    </xf>
    <xf numFmtId="0" fontId="23" fillId="0" borderId="0" xfId="1" applyFont="1"/>
    <xf numFmtId="0" fontId="20" fillId="0" borderId="0" xfId="1"/>
    <xf numFmtId="164" fontId="20" fillId="0" borderId="0" xfId="1" applyNumberFormat="1"/>
    <xf numFmtId="3" fontId="20" fillId="0" borderId="0" xfId="1" applyNumberFormat="1"/>
    <xf numFmtId="49" fontId="23" fillId="0" borderId="0" xfId="1" applyNumberFormat="1" applyFont="1"/>
    <xf numFmtId="0" fontId="47" fillId="0" borderId="0" xfId="1" applyFont="1"/>
    <xf numFmtId="164" fontId="47" fillId="0" borderId="0" xfId="1" applyNumberFormat="1" applyFont="1"/>
    <xf numFmtId="3" fontId="48" fillId="0" borderId="0" xfId="1" applyNumberFormat="1" applyFont="1"/>
    <xf numFmtId="0" fontId="48" fillId="0" borderId="0" xfId="1" applyFont="1"/>
    <xf numFmtId="164" fontId="49" fillId="0" borderId="0" xfId="1" applyNumberFormat="1" applyFont="1" applyAlignment="1">
      <alignment horizontal="center" vertical="center" wrapText="1"/>
    </xf>
    <xf numFmtId="3" fontId="49" fillId="0" borderId="0" xfId="1" applyNumberFormat="1" applyFont="1" applyAlignment="1">
      <alignment horizontal="center" vertical="center" wrapText="1"/>
    </xf>
    <xf numFmtId="0" fontId="21" fillId="0" borderId="0" xfId="0" applyFont="1"/>
    <xf numFmtId="0" fontId="21" fillId="0" borderId="0" xfId="0" applyFont="1" applyAlignment="1">
      <alignment wrapText="1"/>
    </xf>
    <xf numFmtId="0" fontId="22" fillId="0" borderId="0" xfId="0" applyFont="1" applyAlignment="1">
      <alignment vertical="center"/>
    </xf>
    <xf numFmtId="0" fontId="20" fillId="0" borderId="0" xfId="51"/>
    <xf numFmtId="0" fontId="20" fillId="0" borderId="0" xfId="51" applyAlignment="1">
      <alignment vertical="center"/>
    </xf>
    <xf numFmtId="0" fontId="53" fillId="25" borderId="3" xfId="34" applyFont="1" applyFill="1" applyBorder="1" applyAlignment="1">
      <alignment horizontal="left" vertical="center" wrapText="1"/>
    </xf>
    <xf numFmtId="0" fontId="53" fillId="25" borderId="4" xfId="34" applyFont="1" applyFill="1" applyBorder="1" applyAlignment="1">
      <alignment horizontal="left" vertical="center" wrapText="1"/>
    </xf>
    <xf numFmtId="0" fontId="53" fillId="25" borderId="14" xfId="34" applyFont="1" applyFill="1" applyBorder="1" applyAlignment="1">
      <alignment horizontal="left" vertical="center" wrapText="1"/>
    </xf>
    <xf numFmtId="0" fontId="53" fillId="25" borderId="42" xfId="34" applyFont="1" applyFill="1" applyBorder="1" applyAlignment="1">
      <alignment horizontal="left" vertical="center" wrapText="1"/>
    </xf>
    <xf numFmtId="0" fontId="23" fillId="0" borderId="0" xfId="37" applyFont="1"/>
    <xf numFmtId="166" fontId="23" fillId="0" borderId="0" xfId="37" applyNumberFormat="1" applyFont="1" applyAlignment="1">
      <alignment horizontal="right"/>
    </xf>
    <xf numFmtId="0" fontId="23" fillId="0" borderId="0" xfId="37" applyFont="1" applyAlignment="1">
      <alignment horizontal="right"/>
    </xf>
    <xf numFmtId="0" fontId="23" fillId="0" borderId="3" xfId="37" applyFont="1" applyBorder="1" applyAlignment="1">
      <alignment horizontal="center" vertical="center" wrapText="1"/>
    </xf>
    <xf numFmtId="0" fontId="23" fillId="0" borderId="3" xfId="37" applyFont="1" applyBorder="1" applyAlignment="1">
      <alignment horizontal="center" vertical="center"/>
    </xf>
    <xf numFmtId="3" fontId="23" fillId="0" borderId="4" xfId="37" applyNumberFormat="1" applyFont="1" applyBorder="1" applyAlignment="1">
      <alignment vertical="center"/>
    </xf>
    <xf numFmtId="3" fontId="23" fillId="0" borderId="2" xfId="37" applyNumberFormat="1" applyFont="1" applyBorder="1" applyAlignment="1">
      <alignment vertical="center"/>
    </xf>
    <xf numFmtId="3" fontId="23" fillId="0" borderId="49" xfId="37" applyNumberFormat="1" applyFont="1" applyBorder="1" applyAlignment="1">
      <alignment vertical="center"/>
    </xf>
    <xf numFmtId="3" fontId="23" fillId="0" borderId="5" xfId="37" applyNumberFormat="1" applyFont="1" applyBorder="1" applyAlignment="1">
      <alignment vertical="center"/>
    </xf>
    <xf numFmtId="3" fontId="23" fillId="0" borderId="42" xfId="37" applyNumberFormat="1" applyFont="1" applyBorder="1" applyAlignment="1">
      <alignment vertical="center"/>
    </xf>
    <xf numFmtId="3" fontId="23" fillId="0" borderId="57" xfId="37" applyNumberFormat="1" applyFont="1" applyBorder="1" applyAlignment="1">
      <alignment vertical="center"/>
    </xf>
    <xf numFmtId="3" fontId="23" fillId="0" borderId="43" xfId="37" applyNumberFormat="1" applyFont="1" applyBorder="1" applyAlignment="1">
      <alignment vertical="center"/>
    </xf>
    <xf numFmtId="49" fontId="55" fillId="25" borderId="42" xfId="55" applyNumberFormat="1" applyFont="1" applyFill="1" applyBorder="1" applyAlignment="1">
      <alignment horizontal="center" vertical="center" wrapText="1"/>
    </xf>
    <xf numFmtId="0" fontId="23" fillId="0" borderId="0" xfId="52" applyFont="1" applyAlignment="1">
      <alignment vertical="center"/>
    </xf>
    <xf numFmtId="0" fontId="55" fillId="0" borderId="0" xfId="52" applyFont="1" applyAlignment="1">
      <alignment vertical="center" wrapText="1"/>
    </xf>
    <xf numFmtId="4" fontId="55" fillId="0" borderId="0" xfId="52" applyNumberFormat="1" applyFont="1" applyAlignment="1">
      <alignment horizontal="right" vertical="center"/>
    </xf>
    <xf numFmtId="0" fontId="56" fillId="0" borderId="0" xfId="52" applyFont="1" applyAlignment="1">
      <alignment vertical="center"/>
    </xf>
    <xf numFmtId="0" fontId="55" fillId="25" borderId="15" xfId="52" applyFont="1" applyFill="1" applyBorder="1" applyAlignment="1">
      <alignment vertical="center" wrapText="1"/>
    </xf>
    <xf numFmtId="3" fontId="55" fillId="25" borderId="18" xfId="52" applyNumberFormat="1" applyFont="1" applyFill="1" applyBorder="1" applyAlignment="1">
      <alignment vertical="center" wrapText="1"/>
    </xf>
    <xf numFmtId="0" fontId="56" fillId="25" borderId="16" xfId="52" applyFont="1" applyFill="1" applyBorder="1" applyAlignment="1">
      <alignment horizontal="justify" vertical="center"/>
    </xf>
    <xf numFmtId="0" fontId="55" fillId="25" borderId="54" xfId="52" applyFont="1" applyFill="1" applyBorder="1" applyAlignment="1">
      <alignment vertical="center" wrapText="1"/>
    </xf>
    <xf numFmtId="0" fontId="55" fillId="25" borderId="16" xfId="52" applyFont="1" applyFill="1" applyBorder="1" applyAlignment="1">
      <alignment horizontal="justify" vertical="center"/>
    </xf>
    <xf numFmtId="3" fontId="55" fillId="25" borderId="18" xfId="52" applyNumberFormat="1" applyFont="1" applyFill="1" applyBorder="1" applyAlignment="1">
      <alignment horizontal="right" vertical="center" wrapText="1"/>
    </xf>
    <xf numFmtId="0" fontId="55" fillId="25" borderId="54" xfId="52" applyFont="1" applyFill="1" applyBorder="1" applyAlignment="1">
      <alignment horizontal="left" vertical="center" wrapText="1"/>
    </xf>
    <xf numFmtId="49" fontId="56" fillId="25" borderId="16" xfId="52" applyNumberFormat="1" applyFont="1" applyFill="1" applyBorder="1" applyAlignment="1">
      <alignment horizontal="justify" vertical="center"/>
    </xf>
    <xf numFmtId="0" fontId="22" fillId="0" borderId="0" xfId="0" applyFont="1" applyAlignment="1">
      <alignment horizontal="center"/>
    </xf>
    <xf numFmtId="0" fontId="55" fillId="0" borderId="0" xfId="51" applyFont="1" applyAlignment="1">
      <alignment horizontal="right"/>
    </xf>
    <xf numFmtId="0" fontId="25" fillId="0" borderId="18" xfId="51" applyFont="1" applyBorder="1" applyAlignment="1">
      <alignment horizontal="center" vertical="center" wrapText="1"/>
    </xf>
    <xf numFmtId="0" fontId="25" fillId="0" borderId="16" xfId="51" applyFont="1" applyBorder="1" applyAlignment="1">
      <alignment horizontal="center" vertical="center" wrapText="1"/>
    </xf>
    <xf numFmtId="10" fontId="25" fillId="25" borderId="18" xfId="51" applyNumberFormat="1" applyFont="1" applyFill="1" applyBorder="1" applyAlignment="1">
      <alignment vertical="center"/>
    </xf>
    <xf numFmtId="10" fontId="25" fillId="25" borderId="16" xfId="51" applyNumberFormat="1" applyFont="1" applyFill="1" applyBorder="1" applyAlignment="1">
      <alignment vertical="center"/>
    </xf>
    <xf numFmtId="0" fontId="54" fillId="0" borderId="0" xfId="51" applyFont="1" applyAlignment="1">
      <alignment horizontal="right"/>
    </xf>
    <xf numFmtId="0" fontId="56" fillId="0" borderId="0" xfId="51" applyFont="1" applyAlignment="1">
      <alignment horizontal="left"/>
    </xf>
    <xf numFmtId="0" fontId="21" fillId="0" borderId="0" xfId="34" applyFont="1"/>
    <xf numFmtId="0" fontId="47" fillId="0" borderId="0" xfId="34" applyFont="1"/>
    <xf numFmtId="0" fontId="56" fillId="0" borderId="39" xfId="52" applyFont="1" applyBorder="1" applyAlignment="1">
      <alignment vertical="center" wrapText="1"/>
    </xf>
    <xf numFmtId="0" fontId="23" fillId="27" borderId="4" xfId="37" applyFont="1" applyFill="1" applyBorder="1" applyAlignment="1">
      <alignment horizontal="center" vertical="center" wrapText="1"/>
    </xf>
    <xf numFmtId="0" fontId="23" fillId="27" borderId="2" xfId="37" applyFont="1" applyFill="1" applyBorder="1" applyAlignment="1">
      <alignment horizontal="center" vertical="center" wrapText="1"/>
    </xf>
    <xf numFmtId="0" fontId="23" fillId="27" borderId="49" xfId="37" applyFont="1" applyFill="1" applyBorder="1" applyAlignment="1">
      <alignment horizontal="center" vertical="center" wrapText="1"/>
    </xf>
    <xf numFmtId="0" fontId="23" fillId="27" borderId="5" xfId="37" applyFont="1" applyFill="1" applyBorder="1" applyAlignment="1">
      <alignment horizontal="center" vertical="center" wrapText="1"/>
    </xf>
    <xf numFmtId="3" fontId="20" fillId="0" borderId="0" xfId="51" applyNumberFormat="1" applyAlignment="1">
      <alignment vertical="center"/>
    </xf>
    <xf numFmtId="0" fontId="55" fillId="25" borderId="53" xfId="52" applyFont="1" applyFill="1" applyBorder="1" applyAlignment="1">
      <alignment vertical="center" wrapText="1"/>
    </xf>
    <xf numFmtId="3" fontId="56" fillId="0" borderId="8" xfId="52" applyNumberFormat="1" applyFont="1" applyBorder="1" applyAlignment="1">
      <alignment vertical="center"/>
    </xf>
    <xf numFmtId="3" fontId="55" fillId="25" borderId="18" xfId="52" applyNumberFormat="1" applyFont="1" applyFill="1" applyBorder="1" applyAlignment="1">
      <alignment horizontal="center" vertical="center" wrapText="1"/>
    </xf>
    <xf numFmtId="3" fontId="56" fillId="0" borderId="4" xfId="52" applyNumberFormat="1" applyFont="1" applyBorder="1" applyAlignment="1">
      <alignment vertical="center"/>
    </xf>
    <xf numFmtId="0" fontId="55" fillId="25" borderId="18" xfId="52" applyFont="1" applyFill="1" applyBorder="1" applyAlignment="1">
      <alignment vertical="center" wrapText="1"/>
    </xf>
    <xf numFmtId="0" fontId="55" fillId="26" borderId="37" xfId="52" applyFont="1" applyFill="1" applyBorder="1" applyAlignment="1">
      <alignment vertical="center" wrapText="1"/>
    </xf>
    <xf numFmtId="0" fontId="56" fillId="26" borderId="61" xfId="52" applyFont="1" applyFill="1" applyBorder="1" applyAlignment="1">
      <alignment horizontal="justify" vertical="center"/>
    </xf>
    <xf numFmtId="49" fontId="56" fillId="0" borderId="4" xfId="52" applyNumberFormat="1" applyFont="1" applyBorder="1" applyAlignment="1">
      <alignment horizontal="center" vertical="center" wrapText="1"/>
    </xf>
    <xf numFmtId="3" fontId="56" fillId="0" borderId="4" xfId="52" applyNumberFormat="1" applyFont="1" applyBorder="1" applyAlignment="1">
      <alignment horizontal="right" vertical="center"/>
    </xf>
    <xf numFmtId="3" fontId="56" fillId="0" borderId="4" xfId="52" applyNumberFormat="1" applyFont="1" applyBorder="1" applyAlignment="1">
      <alignment horizontal="center" vertical="center" wrapText="1"/>
    </xf>
    <xf numFmtId="3" fontId="56" fillId="0" borderId="4" xfId="52" applyNumberFormat="1" applyFont="1" applyBorder="1" applyAlignment="1">
      <alignment horizontal="center" vertical="center"/>
    </xf>
    <xf numFmtId="0" fontId="56" fillId="0" borderId="45" xfId="52" applyFont="1" applyBorder="1" applyAlignment="1">
      <alignment horizontal="justify" vertical="center" wrapText="1"/>
    </xf>
    <xf numFmtId="0" fontId="56" fillId="0" borderId="0" xfId="52" applyFont="1" applyAlignment="1">
      <alignment horizontal="center" vertical="center" wrapText="1"/>
    </xf>
    <xf numFmtId="3" fontId="56" fillId="0" borderId="8" xfId="52" applyNumberFormat="1" applyFont="1" applyBorder="1" applyAlignment="1">
      <alignment horizontal="right" vertical="center"/>
    </xf>
    <xf numFmtId="0" fontId="56" fillId="0" borderId="46" xfId="52" applyFont="1" applyBorder="1" applyAlignment="1">
      <alignment horizontal="justify" vertical="center" wrapText="1"/>
    </xf>
    <xf numFmtId="3" fontId="55" fillId="25" borderId="17" xfId="52" applyNumberFormat="1" applyFont="1" applyFill="1" applyBorder="1" applyAlignment="1">
      <alignment horizontal="center" vertical="center" wrapText="1"/>
    </xf>
    <xf numFmtId="0" fontId="56" fillId="0" borderId="4" xfId="52" applyFont="1" applyBorder="1" applyAlignment="1">
      <alignment horizontal="center" vertical="center" wrapText="1"/>
    </xf>
    <xf numFmtId="3" fontId="56" fillId="0" borderId="4" xfId="52" applyNumberFormat="1" applyFont="1" applyBorder="1" applyAlignment="1">
      <alignment horizontal="right" vertical="center" wrapText="1"/>
    </xf>
    <xf numFmtId="0" fontId="56" fillId="0" borderId="49" xfId="52" applyFont="1" applyBorder="1" applyAlignment="1">
      <alignment horizontal="left" vertical="center" wrapText="1"/>
    </xf>
    <xf numFmtId="3" fontId="56" fillId="0" borderId="2" xfId="52" applyNumberFormat="1" applyFont="1" applyBorder="1" applyAlignment="1">
      <alignment horizontal="center" vertical="center" wrapText="1"/>
    </xf>
    <xf numFmtId="0" fontId="56" fillId="0" borderId="4" xfId="52" applyFont="1" applyBorder="1" applyAlignment="1" applyProtection="1">
      <alignment horizontal="center" vertical="center" wrapText="1"/>
      <protection locked="0"/>
    </xf>
    <xf numFmtId="3" fontId="56" fillId="0" borderId="4" xfId="52" applyNumberFormat="1" applyFont="1" applyBorder="1" applyAlignment="1" applyProtection="1">
      <alignment horizontal="right" vertical="center" wrapText="1"/>
      <protection locked="0"/>
    </xf>
    <xf numFmtId="0" fontId="56" fillId="0" borderId="5" xfId="52" applyFont="1" applyBorder="1" applyAlignment="1" applyProtection="1">
      <alignment horizontal="justify" vertical="center" wrapText="1"/>
      <protection locked="0"/>
    </xf>
    <xf numFmtId="3" fontId="56" fillId="0" borderId="7" xfId="52" applyNumberFormat="1" applyFont="1" applyBorder="1" applyAlignment="1">
      <alignment horizontal="center" vertical="center" wrapText="1"/>
    </xf>
    <xf numFmtId="0" fontId="55" fillId="27" borderId="4" xfId="52" applyFont="1" applyFill="1" applyBorder="1" applyAlignment="1">
      <alignment horizontal="center" vertical="center" wrapText="1"/>
    </xf>
    <xf numFmtId="3" fontId="55" fillId="27" borderId="4" xfId="52" applyNumberFormat="1" applyFont="1" applyFill="1" applyBorder="1" applyAlignment="1">
      <alignment vertical="center" wrapText="1"/>
    </xf>
    <xf numFmtId="4" fontId="56" fillId="0" borderId="45" xfId="54" applyNumberFormat="1" applyFont="1" applyBorder="1" applyAlignment="1">
      <alignment horizontal="justify" vertical="center" wrapText="1"/>
    </xf>
    <xf numFmtId="0" fontId="56" fillId="0" borderId="63" xfId="52" applyFont="1" applyBorder="1" applyAlignment="1">
      <alignment horizontal="justify" vertical="center" wrapText="1"/>
    </xf>
    <xf numFmtId="0" fontId="56" fillId="0" borderId="8" xfId="52" applyFont="1" applyBorder="1" applyAlignment="1">
      <alignment horizontal="center" vertical="center" wrapText="1"/>
    </xf>
    <xf numFmtId="0" fontId="56" fillId="0" borderId="38" xfId="52" applyFont="1" applyBorder="1" applyAlignment="1">
      <alignment horizontal="justify" vertical="center" wrapText="1"/>
    </xf>
    <xf numFmtId="0" fontId="56" fillId="0" borderId="5" xfId="52" applyFont="1" applyBorder="1" applyAlignment="1">
      <alignment horizontal="justify" vertical="center" wrapText="1"/>
    </xf>
    <xf numFmtId="3" fontId="56" fillId="0" borderId="8" xfId="52" applyNumberFormat="1" applyFont="1" applyBorder="1" applyAlignment="1">
      <alignment horizontal="right" vertical="center" wrapText="1"/>
    </xf>
    <xf numFmtId="0" fontId="56" fillId="0" borderId="4" xfId="52" applyFont="1" applyBorder="1" applyAlignment="1">
      <alignment horizontal="center" vertical="center"/>
    </xf>
    <xf numFmtId="0" fontId="56" fillId="0" borderId="3" xfId="52" applyFont="1" applyBorder="1" applyAlignment="1">
      <alignment horizontal="justify" vertical="center" wrapText="1"/>
    </xf>
    <xf numFmtId="3" fontId="56" fillId="0" borderId="10" xfId="52" applyNumberFormat="1" applyFont="1" applyBorder="1" applyAlignment="1">
      <alignment horizontal="center" vertical="center" wrapText="1"/>
    </xf>
    <xf numFmtId="0" fontId="56" fillId="0" borderId="49" xfId="52" applyFont="1" applyBorder="1" applyAlignment="1">
      <alignment vertical="center" wrapText="1"/>
    </xf>
    <xf numFmtId="0" fontId="56" fillId="0" borderId="50" xfId="52" applyFont="1" applyBorder="1" applyAlignment="1">
      <alignment horizontal="center" vertical="center" wrapText="1"/>
    </xf>
    <xf numFmtId="3" fontId="56" fillId="0" borderId="2" xfId="52" applyNumberFormat="1" applyFont="1" applyBorder="1" applyAlignment="1">
      <alignment horizontal="right" vertical="center" wrapText="1"/>
    </xf>
    <xf numFmtId="3" fontId="56" fillId="0" borderId="12" xfId="52" applyNumberFormat="1" applyFont="1" applyBorder="1" applyAlignment="1">
      <alignment horizontal="right" vertical="center" wrapText="1"/>
    </xf>
    <xf numFmtId="0" fontId="56" fillId="0" borderId="19" xfId="52" applyFont="1" applyBorder="1" applyAlignment="1">
      <alignment vertical="center" wrapText="1"/>
    </xf>
    <xf numFmtId="49" fontId="56" fillId="0" borderId="65" xfId="52" applyNumberFormat="1" applyFont="1" applyBorder="1" applyAlignment="1">
      <alignment horizontal="justify" vertical="center"/>
    </xf>
    <xf numFmtId="0" fontId="55" fillId="0" borderId="0" xfId="0" applyFont="1" applyAlignment="1">
      <alignment horizontal="right"/>
    </xf>
    <xf numFmtId="3" fontId="56" fillId="0" borderId="42" xfId="52" applyNumberFormat="1" applyFont="1" applyBorder="1" applyAlignment="1">
      <alignment horizontal="center" vertical="center"/>
    </xf>
    <xf numFmtId="49" fontId="56" fillId="0" borderId="42" xfId="52" applyNumberFormat="1" applyFont="1" applyBorder="1" applyAlignment="1">
      <alignment horizontal="center" vertical="center" wrapText="1"/>
    </xf>
    <xf numFmtId="3" fontId="56" fillId="0" borderId="42" xfId="52" applyNumberFormat="1" applyFont="1" applyBorder="1" applyAlignment="1">
      <alignment horizontal="right" vertical="center"/>
    </xf>
    <xf numFmtId="3" fontId="55" fillId="25" borderId="16" xfId="52" applyNumberFormat="1" applyFont="1" applyFill="1" applyBorder="1" applyAlignment="1">
      <alignment vertical="center" wrapText="1"/>
    </xf>
    <xf numFmtId="0" fontId="49" fillId="0" borderId="0" xfId="1" applyFont="1" applyAlignment="1">
      <alignment horizontal="center" vertical="center" wrapText="1"/>
    </xf>
    <xf numFmtId="0" fontId="45" fillId="0" borderId="15" xfId="1" applyFont="1" applyBorder="1" applyAlignment="1">
      <alignment horizontal="center" vertical="center" wrapText="1"/>
    </xf>
    <xf numFmtId="49" fontId="28" fillId="3" borderId="3" xfId="1" applyNumberFormat="1" applyFont="1" applyFill="1" applyBorder="1"/>
    <xf numFmtId="0" fontId="29" fillId="0" borderId="0" xfId="1" applyFont="1"/>
    <xf numFmtId="49" fontId="23" fillId="0" borderId="3" xfId="1" applyNumberFormat="1" applyFont="1" applyBorder="1" applyAlignment="1">
      <alignment horizontal="left"/>
    </xf>
    <xf numFmtId="3" fontId="46" fillId="25" borderId="9" xfId="1" applyNumberFormat="1" applyFont="1" applyFill="1" applyBorder="1"/>
    <xf numFmtId="3" fontId="46" fillId="25" borderId="13" xfId="1" applyNumberFormat="1" applyFont="1" applyFill="1" applyBorder="1"/>
    <xf numFmtId="49" fontId="23" fillId="0" borderId="3" xfId="1" applyNumberFormat="1" applyFont="1" applyBorder="1" applyAlignment="1">
      <alignment horizontal="left" wrapText="1"/>
    </xf>
    <xf numFmtId="3" fontId="46" fillId="25" borderId="2" xfId="1" applyNumberFormat="1" applyFont="1" applyFill="1" applyBorder="1"/>
    <xf numFmtId="3" fontId="46" fillId="25" borderId="5" xfId="1" applyNumberFormat="1" applyFont="1" applyFill="1" applyBorder="1"/>
    <xf numFmtId="49" fontId="23" fillId="0" borderId="19" xfId="1" applyNumberFormat="1" applyFont="1" applyBorder="1" applyAlignment="1">
      <alignment horizontal="left" wrapText="1"/>
    </xf>
    <xf numFmtId="3" fontId="46" fillId="25" borderId="23" xfId="1" applyNumberFormat="1" applyFont="1" applyFill="1" applyBorder="1"/>
    <xf numFmtId="3" fontId="46" fillId="25" borderId="21" xfId="1" applyNumberFormat="1" applyFont="1" applyFill="1" applyBorder="1"/>
    <xf numFmtId="49" fontId="27" fillId="0" borderId="0" xfId="1" applyNumberFormat="1" applyFont="1" applyAlignment="1">
      <alignment horizontal="left" vertical="center"/>
    </xf>
    <xf numFmtId="164" fontId="23" fillId="0" borderId="0" xfId="1" applyNumberFormat="1" applyFont="1" applyAlignment="1">
      <alignment horizontal="center" vertical="center"/>
    </xf>
    <xf numFmtId="4" fontId="24" fillId="0" borderId="0" xfId="1" applyNumberFormat="1" applyFont="1" applyAlignment="1">
      <alignment horizontal="center" vertical="center"/>
    </xf>
    <xf numFmtId="4" fontId="23" fillId="0" borderId="0" xfId="1" applyNumberFormat="1" applyFont="1" applyAlignment="1">
      <alignment horizontal="center" vertical="center"/>
    </xf>
    <xf numFmtId="49" fontId="25" fillId="0" borderId="1" xfId="1" applyNumberFormat="1" applyFont="1" applyBorder="1"/>
    <xf numFmtId="3" fontId="25" fillId="25" borderId="2" xfId="1" applyNumberFormat="1" applyFont="1" applyFill="1" applyBorder="1"/>
    <xf numFmtId="3" fontId="45" fillId="0" borderId="10" xfId="1" applyNumberFormat="1" applyFont="1" applyBorder="1"/>
    <xf numFmtId="3" fontId="45" fillId="0" borderId="9" xfId="1" applyNumberFormat="1" applyFont="1" applyBorder="1"/>
    <xf numFmtId="3" fontId="45" fillId="0" borderId="13" xfId="1" applyNumberFormat="1" applyFont="1" applyBorder="1"/>
    <xf numFmtId="49" fontId="28" fillId="0" borderId="3" xfId="1" applyNumberFormat="1" applyFont="1" applyBorder="1" applyAlignment="1">
      <alignment horizontal="left"/>
    </xf>
    <xf numFmtId="3" fontId="28" fillId="25" borderId="2" xfId="1" applyNumberFormat="1" applyFont="1" applyFill="1" applyBorder="1"/>
    <xf numFmtId="3" fontId="23" fillId="25" borderId="10" xfId="1" applyNumberFormat="1" applyFont="1" applyFill="1" applyBorder="1"/>
    <xf numFmtId="3" fontId="23" fillId="0" borderId="10" xfId="1" applyNumberFormat="1" applyFont="1" applyBorder="1"/>
    <xf numFmtId="3" fontId="23" fillId="0" borderId="9" xfId="1" applyNumberFormat="1" applyFont="1" applyBorder="1"/>
    <xf numFmtId="3" fontId="23" fillId="0" borderId="13" xfId="1" applyNumberFormat="1" applyFont="1" applyBorder="1"/>
    <xf numFmtId="49" fontId="23" fillId="0" borderId="3" xfId="1" applyNumberFormat="1" applyFont="1" applyBorder="1"/>
    <xf numFmtId="49" fontId="25" fillId="0" borderId="3" xfId="1" applyNumberFormat="1" applyFont="1" applyBorder="1"/>
    <xf numFmtId="49" fontId="25" fillId="0" borderId="3" xfId="1" applyNumberFormat="1" applyFont="1" applyBorder="1" applyAlignment="1">
      <alignment horizontal="left"/>
    </xf>
    <xf numFmtId="3" fontId="23" fillId="0" borderId="13" xfId="1" applyNumberFormat="1" applyFont="1" applyBorder="1" applyAlignment="1">
      <alignment horizontal="right"/>
    </xf>
    <xf numFmtId="49" fontId="23" fillId="0" borderId="6" xfId="1" applyNumberFormat="1" applyFont="1" applyBorder="1"/>
    <xf numFmtId="49" fontId="25" fillId="0" borderId="6" xfId="1" applyNumberFormat="1" applyFont="1" applyBorder="1" applyAlignment="1">
      <alignment horizontal="left" wrapText="1"/>
    </xf>
    <xf numFmtId="3" fontId="25" fillId="25" borderId="7" xfId="1" applyNumberFormat="1" applyFont="1" applyFill="1" applyBorder="1"/>
    <xf numFmtId="3" fontId="45" fillId="0" borderId="12" xfId="1" applyNumberFormat="1" applyFont="1" applyBorder="1"/>
    <xf numFmtId="3" fontId="45" fillId="0" borderId="26" xfId="1" applyNumberFormat="1" applyFont="1" applyBorder="1"/>
    <xf numFmtId="3" fontId="45" fillId="0" borderId="11" xfId="1" applyNumberFormat="1" applyFont="1" applyBorder="1"/>
    <xf numFmtId="49" fontId="25" fillId="0" borderId="15" xfId="1" applyNumberFormat="1" applyFont="1" applyBorder="1"/>
    <xf numFmtId="3" fontId="25" fillId="25" borderId="17" xfId="1" applyNumberFormat="1" applyFont="1" applyFill="1" applyBorder="1"/>
    <xf numFmtId="3" fontId="45" fillId="0" borderId="18" xfId="1" applyNumberFormat="1" applyFont="1" applyBorder="1"/>
    <xf numFmtId="3" fontId="45" fillId="0" borderId="17" xfId="1" applyNumberFormat="1" applyFont="1" applyBorder="1"/>
    <xf numFmtId="3" fontId="45" fillId="0" borderId="16" xfId="1" applyNumberFormat="1" applyFont="1" applyBorder="1"/>
    <xf numFmtId="0" fontId="25" fillId="0" borderId="3" xfId="1" applyFont="1" applyBorder="1" applyAlignment="1">
      <alignment horizontal="left"/>
    </xf>
    <xf numFmtId="3" fontId="25" fillId="0" borderId="24" xfId="1" applyNumberFormat="1" applyFont="1" applyBorder="1"/>
    <xf numFmtId="3" fontId="25" fillId="0" borderId="25" xfId="1" applyNumberFormat="1" applyFont="1" applyBorder="1"/>
    <xf numFmtId="3" fontId="25" fillId="0" borderId="36" xfId="1" applyNumberFormat="1" applyFont="1" applyBorder="1"/>
    <xf numFmtId="3" fontId="25" fillId="0" borderId="4" xfId="1" applyNumberFormat="1" applyFont="1" applyBorder="1"/>
    <xf numFmtId="3" fontId="25" fillId="0" borderId="5" xfId="1" applyNumberFormat="1" applyFont="1" applyBorder="1"/>
    <xf numFmtId="0" fontId="23" fillId="0" borderId="3" xfId="1" applyFont="1" applyBorder="1" applyAlignment="1">
      <alignment horizontal="left" wrapText="1"/>
    </xf>
    <xf numFmtId="3" fontId="23" fillId="0" borderId="4" xfId="1" applyNumberFormat="1" applyFont="1" applyBorder="1"/>
    <xf numFmtId="3" fontId="23" fillId="0" borderId="5" xfId="1" applyNumberFormat="1" applyFont="1" applyBorder="1"/>
    <xf numFmtId="0" fontId="23" fillId="0" borderId="3" xfId="1" applyFont="1" applyBorder="1" applyAlignment="1">
      <alignment horizontal="left"/>
    </xf>
    <xf numFmtId="0" fontId="25" fillId="0" borderId="3" xfId="1" applyFont="1" applyBorder="1" applyAlignment="1">
      <alignment horizontal="left" wrapText="1"/>
    </xf>
    <xf numFmtId="3" fontId="23" fillId="0" borderId="5" xfId="1" applyNumberFormat="1" applyFont="1" applyBorder="1" applyAlignment="1">
      <alignment horizontal="right"/>
    </xf>
    <xf numFmtId="0" fontId="23" fillId="0" borderId="37" xfId="1" applyFont="1" applyBorder="1" applyAlignment="1">
      <alignment horizontal="left"/>
    </xf>
    <xf numFmtId="0" fontId="22" fillId="0" borderId="4" xfId="1" applyFont="1" applyBorder="1" applyAlignment="1">
      <alignment vertical="center"/>
    </xf>
    <xf numFmtId="0" fontId="22" fillId="0" borderId="5" xfId="1" applyFont="1" applyBorder="1" applyAlignment="1">
      <alignment vertical="center"/>
    </xf>
    <xf numFmtId="0" fontId="25" fillId="0" borderId="37" xfId="1" applyFont="1" applyBorder="1" applyAlignment="1">
      <alignment horizontal="left" wrapText="1"/>
    </xf>
    <xf numFmtId="3" fontId="23" fillId="25" borderId="4" xfId="1" applyNumberFormat="1" applyFont="1" applyFill="1" applyBorder="1"/>
    <xf numFmtId="0" fontId="23" fillId="0" borderId="1" xfId="1" applyFont="1" applyBorder="1" applyAlignment="1">
      <alignment horizontal="left"/>
    </xf>
    <xf numFmtId="0" fontId="25" fillId="0" borderId="1" xfId="1" applyFont="1" applyBorder="1" applyAlignment="1">
      <alignment horizontal="left"/>
    </xf>
    <xf numFmtId="0" fontId="27" fillId="0" borderId="6" xfId="0" applyFont="1" applyBorder="1" applyAlignment="1">
      <alignment horizontal="left" wrapText="1"/>
    </xf>
    <xf numFmtId="0" fontId="31" fillId="0" borderId="8" xfId="1" applyFont="1" applyBorder="1" applyAlignment="1">
      <alignment vertical="center"/>
    </xf>
    <xf numFmtId="0" fontId="31" fillId="0" borderId="38" xfId="1" applyFont="1" applyBorder="1" applyAlignment="1">
      <alignment vertical="center"/>
    </xf>
    <xf numFmtId="0" fontId="25" fillId="0" borderId="15" xfId="1" applyFont="1" applyBorder="1" applyAlignment="1">
      <alignment horizontal="left"/>
    </xf>
    <xf numFmtId="3" fontId="25" fillId="0" borderId="18" xfId="1" applyNumberFormat="1" applyFont="1" applyBorder="1"/>
    <xf numFmtId="3" fontId="25" fillId="0" borderId="16" xfId="1" applyNumberFormat="1" applyFont="1" applyBorder="1"/>
    <xf numFmtId="0" fontId="54" fillId="0" borderId="3" xfId="51" applyFont="1" applyBorder="1" applyAlignment="1">
      <alignment horizontal="justify" vertical="center" wrapText="1"/>
    </xf>
    <xf numFmtId="0" fontId="54" fillId="0" borderId="4" xfId="51" applyFont="1" applyBorder="1" applyAlignment="1">
      <alignment horizontal="center" vertical="center"/>
    </xf>
    <xf numFmtId="0" fontId="53" fillId="0" borderId="3" xfId="51" applyFont="1" applyBorder="1" applyAlignment="1">
      <alignment vertical="center" wrapText="1"/>
    </xf>
    <xf numFmtId="0" fontId="54" fillId="0" borderId="3" xfId="51" applyFont="1" applyBorder="1" applyAlignment="1">
      <alignment vertical="center" wrapText="1"/>
    </xf>
    <xf numFmtId="0" fontId="54" fillId="0" borderId="8" xfId="51" applyFont="1" applyBorder="1" applyAlignment="1">
      <alignment horizontal="center" vertical="center"/>
    </xf>
    <xf numFmtId="0" fontId="54" fillId="0" borderId="6" xfId="51" applyFont="1" applyBorder="1" applyAlignment="1">
      <alignment horizontal="justify" vertical="center" wrapText="1"/>
    </xf>
    <xf numFmtId="0" fontId="53" fillId="0" borderId="6" xfId="51" applyFont="1" applyBorder="1" applyAlignment="1">
      <alignment vertical="center" wrapText="1"/>
    </xf>
    <xf numFmtId="0" fontId="53" fillId="0" borderId="0" xfId="54" applyFont="1" applyAlignment="1">
      <alignment horizontal="center" vertical="center"/>
    </xf>
    <xf numFmtId="0" fontId="53" fillId="0" borderId="0" xfId="54" applyFont="1" applyAlignment="1">
      <alignment vertical="center"/>
    </xf>
    <xf numFmtId="3" fontId="23" fillId="0" borderId="50" xfId="37" applyNumberFormat="1" applyFont="1" applyBorder="1" applyAlignment="1">
      <alignment vertical="center"/>
    </xf>
    <xf numFmtId="3" fontId="56" fillId="0" borderId="12" xfId="52" applyNumberFormat="1" applyFont="1" applyBorder="1" applyAlignment="1">
      <alignment vertical="center"/>
    </xf>
    <xf numFmtId="0" fontId="23" fillId="0" borderId="14" xfId="37" applyFont="1" applyBorder="1" applyAlignment="1">
      <alignment horizontal="center" vertical="center"/>
    </xf>
    <xf numFmtId="3" fontId="23" fillId="0" borderId="56" xfId="37" applyNumberFormat="1" applyFont="1" applyBorder="1" applyAlignment="1">
      <alignment vertical="center"/>
    </xf>
    <xf numFmtId="0" fontId="23" fillId="27" borderId="50" xfId="37" applyFont="1" applyFill="1" applyBorder="1" applyAlignment="1">
      <alignment horizontal="center" vertical="center" wrapText="1"/>
    </xf>
    <xf numFmtId="3" fontId="23" fillId="0" borderId="64" xfId="37" applyNumberFormat="1" applyFont="1" applyBorder="1" applyAlignment="1">
      <alignment vertical="center"/>
    </xf>
    <xf numFmtId="0" fontId="51" fillId="0" borderId="56" xfId="51" applyFont="1" applyBorder="1" applyAlignment="1">
      <alignment horizontal="center" vertical="center" wrapText="1"/>
    </xf>
    <xf numFmtId="0" fontId="55" fillId="0" borderId="0" xfId="54" applyFont="1" applyAlignment="1">
      <alignment horizontal="right" vertical="center"/>
    </xf>
    <xf numFmtId="0" fontId="52" fillId="0" borderId="4" xfId="51" applyFont="1" applyBorder="1" applyAlignment="1">
      <alignment horizontal="center" vertical="center"/>
    </xf>
    <xf numFmtId="49" fontId="52" fillId="0" borderId="3" xfId="1" applyNumberFormat="1" applyFont="1" applyBorder="1" applyAlignment="1">
      <alignment horizontal="justify" vertical="center"/>
    </xf>
    <xf numFmtId="0" fontId="51" fillId="25" borderId="44" xfId="34" applyFont="1" applyFill="1" applyBorder="1" applyAlignment="1">
      <alignment horizontal="left" vertical="center" wrapText="1"/>
    </xf>
    <xf numFmtId="0" fontId="51" fillId="25" borderId="10" xfId="34" applyFont="1" applyFill="1" applyBorder="1" applyAlignment="1">
      <alignment horizontal="left" vertical="center" wrapText="1"/>
    </xf>
    <xf numFmtId="3" fontId="51" fillId="25" borderId="10" xfId="34" applyNumberFormat="1" applyFont="1" applyFill="1" applyBorder="1" applyAlignment="1">
      <alignment horizontal="right" vertical="center" wrapText="1"/>
    </xf>
    <xf numFmtId="1" fontId="45" fillId="28" borderId="17" xfId="1" applyNumberFormat="1" applyFont="1" applyFill="1" applyBorder="1" applyAlignment="1">
      <alignment horizontal="center" vertical="center" wrapText="1"/>
    </xf>
    <xf numFmtId="3" fontId="46" fillId="28" borderId="9" xfId="1" applyNumberFormat="1" applyFont="1" applyFill="1" applyBorder="1"/>
    <xf numFmtId="3" fontId="46" fillId="28" borderId="2" xfId="1" applyNumberFormat="1" applyFont="1" applyFill="1" applyBorder="1"/>
    <xf numFmtId="3" fontId="46" fillId="28" borderId="23" xfId="1" applyNumberFormat="1" applyFont="1" applyFill="1" applyBorder="1"/>
    <xf numFmtId="0" fontId="45" fillId="28" borderId="25" xfId="1" applyFont="1" applyFill="1" applyBorder="1" applyAlignment="1">
      <alignment horizontal="center" vertical="center" wrapText="1"/>
    </xf>
    <xf numFmtId="0" fontId="45" fillId="28" borderId="23" xfId="1" applyFont="1" applyFill="1" applyBorder="1" applyAlignment="1">
      <alignment horizontal="center" vertical="center" wrapText="1"/>
    </xf>
    <xf numFmtId="3" fontId="25" fillId="28" borderId="2" xfId="1" applyNumberFormat="1" applyFont="1" applyFill="1" applyBorder="1"/>
    <xf numFmtId="3" fontId="28" fillId="28" borderId="2" xfId="1" applyNumberFormat="1" applyFont="1" applyFill="1" applyBorder="1"/>
    <xf numFmtId="3" fontId="23" fillId="28" borderId="10" xfId="1" applyNumberFormat="1" applyFont="1" applyFill="1" applyBorder="1"/>
    <xf numFmtId="3" fontId="25" fillId="28" borderId="7" xfId="1" applyNumberFormat="1" applyFont="1" applyFill="1" applyBorder="1"/>
    <xf numFmtId="3" fontId="25" fillId="28" borderId="17" xfId="1" applyNumberFormat="1" applyFont="1" applyFill="1" applyBorder="1"/>
    <xf numFmtId="3" fontId="23" fillId="28" borderId="4" xfId="1" applyNumberFormat="1" applyFont="1" applyFill="1" applyBorder="1"/>
    <xf numFmtId="0" fontId="51" fillId="0" borderId="3" xfId="51" applyFont="1" applyBorder="1" applyAlignment="1">
      <alignment vertical="center" wrapText="1"/>
    </xf>
    <xf numFmtId="3" fontId="25" fillId="0" borderId="4" xfId="1" applyNumberFormat="1" applyFont="1" applyBorder="1" applyAlignment="1">
      <alignment horizontal="right"/>
    </xf>
    <xf numFmtId="3" fontId="56" fillId="0" borderId="42" xfId="52" applyNumberFormat="1" applyFont="1" applyBorder="1" applyAlignment="1">
      <alignment horizontal="right" vertical="center" wrapText="1"/>
    </xf>
    <xf numFmtId="49" fontId="56" fillId="0" borderId="49" xfId="52" applyNumberFormat="1" applyFont="1" applyBorder="1" applyAlignment="1">
      <alignment horizontal="left" vertical="center" wrapText="1"/>
    </xf>
    <xf numFmtId="4" fontId="56" fillId="0" borderId="5" xfId="52" applyNumberFormat="1" applyFont="1" applyBorder="1" applyAlignment="1">
      <alignment horizontal="justify" vertical="center" wrapText="1"/>
    </xf>
    <xf numFmtId="0" fontId="23" fillId="0" borderId="55" xfId="37" applyFont="1" applyBorder="1" applyAlignment="1">
      <alignment horizontal="center" vertical="center" wrapText="1"/>
    </xf>
    <xf numFmtId="9" fontId="56" fillId="0" borderId="8" xfId="52" applyNumberFormat="1" applyFont="1" applyBorder="1" applyAlignment="1">
      <alignment horizontal="center" vertical="center"/>
    </xf>
    <xf numFmtId="9" fontId="56" fillId="0" borderId="4" xfId="52" applyNumberFormat="1" applyFont="1" applyBorder="1" applyAlignment="1">
      <alignment horizontal="center" vertical="center"/>
    </xf>
    <xf numFmtId="0" fontId="23" fillId="0" borderId="0" xfId="52" applyFont="1" applyAlignment="1">
      <alignment horizontal="center" vertical="center"/>
    </xf>
    <xf numFmtId="0" fontId="56" fillId="0" borderId="0" xfId="52" applyFont="1" applyAlignment="1">
      <alignment horizontal="center" vertical="center"/>
    </xf>
    <xf numFmtId="49" fontId="56" fillId="0" borderId="0" xfId="52" applyNumberFormat="1" applyFont="1" applyAlignment="1">
      <alignment horizontal="center" vertical="center"/>
    </xf>
    <xf numFmtId="0" fontId="56" fillId="0" borderId="0" xfId="52" applyFont="1" applyAlignment="1" applyProtection="1">
      <alignment horizontal="center" vertical="center" wrapText="1"/>
      <protection locked="0"/>
    </xf>
    <xf numFmtId="0" fontId="55" fillId="0" borderId="0" xfId="52" applyFont="1" applyAlignment="1">
      <alignment horizontal="center" vertical="center"/>
    </xf>
    <xf numFmtId="0" fontId="56" fillId="0" borderId="49" xfId="52" applyFont="1" applyBorder="1" applyAlignment="1">
      <alignment horizontal="justify" vertical="center" wrapText="1"/>
    </xf>
    <xf numFmtId="3" fontId="56" fillId="0" borderId="0" xfId="52" applyNumberFormat="1" applyFont="1" applyAlignment="1">
      <alignment horizontal="center" vertical="center"/>
    </xf>
    <xf numFmtId="0" fontId="56" fillId="0" borderId="3" xfId="52" applyFont="1" applyBorder="1" applyAlignment="1">
      <alignment vertical="center" wrapText="1"/>
    </xf>
    <xf numFmtId="0" fontId="56" fillId="26" borderId="0" xfId="52" applyFont="1" applyFill="1" applyAlignment="1">
      <alignment horizontal="center" vertical="center"/>
    </xf>
    <xf numFmtId="0" fontId="22" fillId="0" borderId="0" xfId="34" applyFont="1"/>
    <xf numFmtId="0" fontId="21" fillId="0" borderId="0" xfId="34" applyFont="1" applyAlignment="1">
      <alignment horizontal="right"/>
    </xf>
    <xf numFmtId="3" fontId="64" fillId="0" borderId="4" xfId="51" applyNumberFormat="1" applyFont="1" applyBorder="1" applyAlignment="1">
      <alignment horizontal="right" vertical="center" wrapText="1"/>
    </xf>
    <xf numFmtId="3" fontId="64" fillId="0" borderId="2" xfId="51" applyNumberFormat="1" applyFont="1" applyBorder="1" applyAlignment="1">
      <alignment horizontal="right" vertical="center" wrapText="1"/>
    </xf>
    <xf numFmtId="3" fontId="65" fillId="0" borderId="8" xfId="51" applyNumberFormat="1" applyFont="1" applyBorder="1" applyAlignment="1">
      <alignment horizontal="right" vertical="center" wrapText="1"/>
    </xf>
    <xf numFmtId="3" fontId="65" fillId="0" borderId="7" xfId="51" applyNumberFormat="1" applyFont="1" applyBorder="1" applyAlignment="1">
      <alignment horizontal="right" vertical="center" wrapText="1"/>
    </xf>
    <xf numFmtId="3" fontId="64" fillId="0" borderId="8" xfId="51" applyNumberFormat="1" applyFont="1" applyBorder="1" applyAlignment="1">
      <alignment horizontal="right" vertical="center" wrapText="1"/>
    </xf>
    <xf numFmtId="3" fontId="64" fillId="0" borderId="7" xfId="51" applyNumberFormat="1" applyFont="1" applyBorder="1" applyAlignment="1">
      <alignment horizontal="right" vertical="center" wrapText="1"/>
    </xf>
    <xf numFmtId="0" fontId="66" fillId="0" borderId="3" xfId="51" applyFont="1" applyBorder="1" applyAlignment="1">
      <alignment horizontal="justify" vertical="center" wrapText="1"/>
    </xf>
    <xf numFmtId="0" fontId="66" fillId="0" borderId="4" xfId="51" applyFont="1" applyBorder="1" applyAlignment="1">
      <alignment horizontal="center" vertical="center"/>
    </xf>
    <xf numFmtId="3" fontId="67" fillId="0" borderId="4" xfId="51" applyNumberFormat="1" applyFont="1" applyBorder="1" applyAlignment="1">
      <alignment horizontal="right" vertical="center" wrapText="1"/>
    </xf>
    <xf numFmtId="3" fontId="67" fillId="0" borderId="45" xfId="51" applyNumberFormat="1" applyFont="1" applyBorder="1" applyAlignment="1">
      <alignment horizontal="right" vertical="center" wrapText="1"/>
    </xf>
    <xf numFmtId="0" fontId="67" fillId="0" borderId="3" xfId="51" applyFont="1" applyBorder="1" applyAlignment="1">
      <alignment vertical="center" wrapText="1"/>
    </xf>
    <xf numFmtId="49" fontId="66" fillId="0" borderId="3" xfId="1" applyNumberFormat="1" applyFont="1" applyBorder="1" applyAlignment="1">
      <alignment horizontal="justify" vertical="center"/>
    </xf>
    <xf numFmtId="3" fontId="66" fillId="0" borderId="4" xfId="1" applyNumberFormat="1" applyFont="1" applyBorder="1" applyAlignment="1">
      <alignment vertical="center"/>
    </xf>
    <xf numFmtId="3" fontId="66" fillId="0" borderId="45" xfId="1" applyNumberFormat="1" applyFont="1" applyBorder="1" applyAlignment="1">
      <alignment vertical="center"/>
    </xf>
    <xf numFmtId="3" fontId="52" fillId="0" borderId="4" xfId="51" applyNumberFormat="1" applyFont="1" applyBorder="1" applyAlignment="1">
      <alignment horizontal="right" vertical="center" wrapText="1"/>
    </xf>
    <xf numFmtId="3" fontId="52" fillId="0" borderId="2" xfId="51" applyNumberFormat="1" applyFont="1" applyBorder="1" applyAlignment="1">
      <alignment horizontal="right" vertical="center" wrapText="1"/>
    </xf>
    <xf numFmtId="3" fontId="52" fillId="0" borderId="5" xfId="51" applyNumberFormat="1" applyFont="1" applyBorder="1" applyAlignment="1">
      <alignment horizontal="right" vertical="center" wrapText="1"/>
    </xf>
    <xf numFmtId="3" fontId="51" fillId="0" borderId="4" xfId="51" applyNumberFormat="1" applyFont="1" applyBorder="1" applyAlignment="1">
      <alignment horizontal="right" vertical="center" wrapText="1"/>
    </xf>
    <xf numFmtId="3" fontId="51" fillId="0" borderId="2" xfId="51" applyNumberFormat="1" applyFont="1" applyBorder="1" applyAlignment="1">
      <alignment horizontal="right" vertical="center" wrapText="1"/>
    </xf>
    <xf numFmtId="3" fontId="51" fillId="25" borderId="4" xfId="34" applyNumberFormat="1" applyFont="1" applyFill="1" applyBorder="1" applyAlignment="1">
      <alignment horizontal="right" vertical="center" wrapText="1"/>
    </xf>
    <xf numFmtId="3" fontId="51" fillId="27" borderId="2" xfId="34" applyNumberFormat="1" applyFont="1" applyFill="1" applyBorder="1" applyAlignment="1">
      <alignment horizontal="right" vertical="center" wrapText="1"/>
    </xf>
    <xf numFmtId="3" fontId="51" fillId="25" borderId="2" xfId="34" applyNumberFormat="1" applyFont="1" applyFill="1" applyBorder="1" applyAlignment="1">
      <alignment horizontal="right" vertical="center" wrapText="1"/>
    </xf>
    <xf numFmtId="3" fontId="51" fillId="25" borderId="5" xfId="34" applyNumberFormat="1" applyFont="1" applyFill="1" applyBorder="1" applyAlignment="1">
      <alignment horizontal="right" vertical="center" wrapText="1"/>
    </xf>
    <xf numFmtId="3" fontId="52" fillId="0" borderId="4" xfId="1" applyNumberFormat="1" applyFont="1" applyBorder="1" applyAlignment="1">
      <alignment vertical="center"/>
    </xf>
    <xf numFmtId="3" fontId="52" fillId="0" borderId="45" xfId="1" applyNumberFormat="1" applyFont="1" applyBorder="1" applyAlignment="1">
      <alignment vertical="center"/>
    </xf>
    <xf numFmtId="0" fontId="56" fillId="0" borderId="43" xfId="52" applyFont="1" applyBorder="1" applyAlignment="1">
      <alignment horizontal="justify" vertical="center" wrapText="1"/>
    </xf>
    <xf numFmtId="49" fontId="55" fillId="25" borderId="22" xfId="55" applyNumberFormat="1" applyFont="1" applyFill="1" applyBorder="1" applyAlignment="1">
      <alignment horizontal="center" vertical="center" wrapText="1"/>
    </xf>
    <xf numFmtId="0" fontId="56" fillId="0" borderId="5" xfId="52" applyFont="1" applyBorder="1" applyAlignment="1">
      <alignment horizontal="justify" vertical="center"/>
    </xf>
    <xf numFmtId="3" fontId="56" fillId="0" borderId="42" xfId="52" applyNumberFormat="1" applyFont="1" applyBorder="1" applyAlignment="1">
      <alignment horizontal="center" vertical="center" wrapText="1"/>
    </xf>
    <xf numFmtId="49" fontId="55" fillId="25" borderId="56" xfId="55" applyNumberFormat="1" applyFont="1" applyFill="1" applyBorder="1" applyAlignment="1">
      <alignment horizontal="center" vertical="center" wrapText="1"/>
    </xf>
    <xf numFmtId="3" fontId="56" fillId="0" borderId="42" xfId="52" applyNumberFormat="1" applyFont="1" applyBorder="1" applyAlignment="1">
      <alignment vertical="center"/>
    </xf>
    <xf numFmtId="3" fontId="51" fillId="25" borderId="42" xfId="34" applyNumberFormat="1" applyFont="1" applyFill="1" applyBorder="1" applyAlignment="1">
      <alignment horizontal="right" vertical="center" wrapText="1"/>
    </xf>
    <xf numFmtId="3" fontId="51" fillId="25" borderId="56" xfId="34" applyNumberFormat="1" applyFont="1" applyFill="1" applyBorder="1" applyAlignment="1">
      <alignment horizontal="right" vertical="center" wrapText="1"/>
    </xf>
    <xf numFmtId="0" fontId="55" fillId="27" borderId="12" xfId="52" applyFont="1" applyFill="1" applyBorder="1" applyAlignment="1">
      <alignment horizontal="center" vertical="center" wrapText="1"/>
    </xf>
    <xf numFmtId="3" fontId="55" fillId="27" borderId="8" xfId="52" applyNumberFormat="1" applyFont="1" applyFill="1" applyBorder="1" applyAlignment="1">
      <alignment vertical="center" wrapText="1"/>
    </xf>
    <xf numFmtId="0" fontId="56" fillId="0" borderId="0" xfId="51" applyFont="1"/>
    <xf numFmtId="49" fontId="55" fillId="25" borderId="18" xfId="52" applyNumberFormat="1" applyFont="1" applyFill="1" applyBorder="1" applyAlignment="1">
      <alignment horizontal="center" vertical="center" wrapText="1"/>
    </xf>
    <xf numFmtId="0" fontId="22" fillId="0" borderId="10" xfId="1" applyFont="1" applyBorder="1" applyAlignment="1">
      <alignment vertical="center"/>
    </xf>
    <xf numFmtId="0" fontId="62" fillId="0" borderId="0" xfId="1" applyFont="1" applyAlignment="1">
      <alignment vertical="center"/>
    </xf>
    <xf numFmtId="0" fontId="56" fillId="0" borderId="12" xfId="52" applyFont="1" applyBorder="1" applyAlignment="1">
      <alignment horizontal="center" vertical="center" wrapText="1"/>
    </xf>
    <xf numFmtId="0" fontId="56" fillId="0" borderId="42" xfId="52" applyFont="1" applyBorder="1" applyAlignment="1">
      <alignment horizontal="center" vertical="center" wrapText="1"/>
    </xf>
    <xf numFmtId="3" fontId="56" fillId="0" borderId="22" xfId="52" applyNumberFormat="1" applyFont="1" applyBorder="1" applyAlignment="1">
      <alignment horizontal="center" vertical="center" wrapText="1"/>
    </xf>
    <xf numFmtId="3" fontId="56" fillId="0" borderId="12" xfId="52" applyNumberFormat="1" applyFont="1" applyBorder="1" applyAlignment="1">
      <alignment horizontal="center" vertical="center" wrapText="1"/>
    </xf>
    <xf numFmtId="0" fontId="56" fillId="0" borderId="70" xfId="52" applyFont="1" applyBorder="1" applyAlignment="1">
      <alignment horizontal="center" vertical="center" wrapText="1"/>
    </xf>
    <xf numFmtId="0" fontId="56" fillId="0" borderId="10" xfId="52" applyFont="1" applyBorder="1" applyAlignment="1">
      <alignment horizontal="center" vertical="center"/>
    </xf>
    <xf numFmtId="3" fontId="56" fillId="0" borderId="10" xfId="52" applyNumberFormat="1" applyFont="1" applyBorder="1" applyAlignment="1">
      <alignment vertical="center"/>
    </xf>
    <xf numFmtId="3" fontId="56" fillId="0" borderId="10" xfId="52" applyNumberFormat="1" applyFont="1" applyBorder="1" applyAlignment="1">
      <alignment horizontal="right" vertical="center"/>
    </xf>
    <xf numFmtId="3" fontId="56" fillId="0" borderId="10" xfId="52" applyNumberFormat="1" applyFont="1" applyBorder="1" applyAlignment="1">
      <alignment horizontal="center" vertical="center"/>
    </xf>
    <xf numFmtId="0" fontId="56" fillId="0" borderId="73" xfId="52" applyFont="1" applyBorder="1" applyAlignment="1">
      <alignment horizontal="justify" vertical="center" wrapText="1"/>
    </xf>
    <xf numFmtId="0" fontId="56" fillId="0" borderId="74" xfId="52" applyFont="1" applyBorder="1" applyAlignment="1">
      <alignment horizontal="center" vertical="center" wrapText="1"/>
    </xf>
    <xf numFmtId="0" fontId="56" fillId="0" borderId="75" xfId="52" applyFont="1" applyBorder="1" applyAlignment="1">
      <alignment horizontal="center" vertical="center" wrapText="1"/>
    </xf>
    <xf numFmtId="3" fontId="56" fillId="0" borderId="75" xfId="52" applyNumberFormat="1" applyFont="1" applyBorder="1" applyAlignment="1">
      <alignment horizontal="right" vertical="center" wrapText="1"/>
    </xf>
    <xf numFmtId="3" fontId="56" fillId="0" borderId="75" xfId="52" applyNumberFormat="1" applyFont="1" applyBorder="1" applyAlignment="1">
      <alignment horizontal="center" vertical="center" wrapText="1"/>
    </xf>
    <xf numFmtId="3" fontId="56" fillId="0" borderId="4" xfId="52" applyNumberFormat="1" applyFont="1" applyBorder="1" applyAlignment="1">
      <alignment vertical="center" wrapText="1"/>
    </xf>
    <xf numFmtId="0" fontId="56" fillId="0" borderId="37" xfId="52" applyFont="1" applyBorder="1" applyAlignment="1">
      <alignment horizontal="left" vertical="center" wrapText="1"/>
    </xf>
    <xf numFmtId="3" fontId="56" fillId="0" borderId="12" xfId="52" applyNumberFormat="1" applyFont="1" applyBorder="1" applyAlignment="1">
      <alignment vertical="center" wrapText="1"/>
    </xf>
    <xf numFmtId="0" fontId="56" fillId="0" borderId="11" xfId="52" applyFont="1" applyBorder="1" applyAlignment="1">
      <alignment horizontal="justify" vertical="center" wrapText="1"/>
    </xf>
    <xf numFmtId="49" fontId="70" fillId="0" borderId="4" xfId="52" applyNumberFormat="1" applyFont="1" applyBorder="1" applyAlignment="1">
      <alignment horizontal="center" vertical="center" wrapText="1"/>
    </xf>
    <xf numFmtId="0" fontId="71" fillId="0" borderId="0" xfId="52" applyFont="1" applyAlignment="1">
      <alignment horizontal="center" vertical="center"/>
    </xf>
    <xf numFmtId="0" fontId="56" fillId="0" borderId="69" xfId="52" applyFont="1" applyBorder="1" applyAlignment="1">
      <alignment horizontal="left" vertical="center" wrapText="1"/>
    </xf>
    <xf numFmtId="3" fontId="56" fillId="0" borderId="10" xfId="52" applyNumberFormat="1" applyFont="1" applyBorder="1" applyAlignment="1">
      <alignment horizontal="right" vertical="center" wrapText="1"/>
    </xf>
    <xf numFmtId="3" fontId="56" fillId="0" borderId="26" xfId="52" applyNumberFormat="1" applyFont="1" applyBorder="1" applyAlignment="1">
      <alignment horizontal="center" vertical="center" wrapText="1"/>
    </xf>
    <xf numFmtId="0" fontId="56" fillId="0" borderId="10" xfId="52" applyFont="1" applyBorder="1" applyAlignment="1">
      <alignment horizontal="center" vertical="center" wrapText="1"/>
    </xf>
    <xf numFmtId="0" fontId="54" fillId="0" borderId="0" xfId="54" applyFont="1" applyAlignment="1">
      <alignment horizontal="justify" vertical="justify"/>
    </xf>
    <xf numFmtId="0" fontId="55" fillId="0" borderId="1" xfId="52" applyFont="1" applyBorder="1" applyAlignment="1">
      <alignment vertical="center"/>
    </xf>
    <xf numFmtId="49" fontId="56" fillId="0" borderId="58" xfId="52" applyNumberFormat="1" applyFont="1" applyBorder="1" applyAlignment="1">
      <alignment horizontal="left" vertical="center" wrapText="1"/>
    </xf>
    <xf numFmtId="0" fontId="55" fillId="0" borderId="62" xfId="52" applyFont="1" applyBorder="1" applyAlignment="1">
      <alignment vertical="center"/>
    </xf>
    <xf numFmtId="0" fontId="55" fillId="0" borderId="63" xfId="52" applyFont="1" applyBorder="1" applyAlignment="1">
      <alignment vertical="center"/>
    </xf>
    <xf numFmtId="3" fontId="51" fillId="0" borderId="4" xfId="1" applyNumberFormat="1" applyFont="1" applyBorder="1" applyAlignment="1">
      <alignment vertical="center"/>
    </xf>
    <xf numFmtId="3" fontId="51" fillId="0" borderId="45" xfId="1" applyNumberFormat="1" applyFont="1" applyBorder="1" applyAlignment="1">
      <alignment vertical="center"/>
    </xf>
    <xf numFmtId="3" fontId="54" fillId="0" borderId="4" xfId="51" applyNumberFormat="1" applyFont="1" applyBorder="1" applyAlignment="1">
      <alignment horizontal="right" vertical="center" wrapText="1"/>
    </xf>
    <xf numFmtId="0" fontId="53" fillId="0" borderId="1" xfId="51" applyFont="1" applyBorder="1" applyAlignment="1">
      <alignment vertical="center" wrapText="1"/>
    </xf>
    <xf numFmtId="0" fontId="54" fillId="0" borderId="10" xfId="51" applyFont="1" applyBorder="1" applyAlignment="1">
      <alignment horizontal="center" vertical="center"/>
    </xf>
    <xf numFmtId="0" fontId="54" fillId="0" borderId="1" xfId="51" applyFont="1" applyBorder="1" applyAlignment="1">
      <alignment vertical="center" wrapText="1"/>
    </xf>
    <xf numFmtId="3" fontId="52" fillId="0" borderId="2" xfId="51" applyNumberFormat="1" applyFont="1" applyBorder="1" applyAlignment="1">
      <alignment horizontal="right" vertical="center"/>
    </xf>
    <xf numFmtId="3" fontId="52" fillId="0" borderId="5" xfId="51" applyNumberFormat="1" applyFont="1" applyBorder="1" applyAlignment="1">
      <alignment horizontal="right" vertical="center"/>
    </xf>
    <xf numFmtId="0" fontId="54" fillId="0" borderId="37" xfId="51" applyFont="1" applyBorder="1" applyAlignment="1">
      <alignment vertical="center"/>
    </xf>
    <xf numFmtId="0" fontId="54" fillId="0" borderId="6" xfId="51" applyFont="1" applyBorder="1" applyAlignment="1">
      <alignment vertical="center" wrapText="1"/>
    </xf>
    <xf numFmtId="0" fontId="69" fillId="0" borderId="3" xfId="51" applyFont="1" applyBorder="1" applyAlignment="1">
      <alignment vertical="center" wrapText="1"/>
    </xf>
    <xf numFmtId="0" fontId="52" fillId="0" borderId="3" xfId="51" applyFont="1" applyBorder="1" applyAlignment="1">
      <alignment vertical="center" wrapText="1"/>
    </xf>
    <xf numFmtId="0" fontId="56" fillId="0" borderId="78" xfId="52" applyFont="1" applyBorder="1" applyAlignment="1">
      <alignment horizontal="center" vertical="center" wrapText="1"/>
    </xf>
    <xf numFmtId="3" fontId="56" fillId="0" borderId="78" xfId="52" applyNumberFormat="1" applyFont="1" applyBorder="1" applyAlignment="1">
      <alignment horizontal="right" vertical="center" wrapText="1"/>
    </xf>
    <xf numFmtId="3" fontId="56" fillId="0" borderId="78" xfId="52" applyNumberFormat="1" applyFont="1" applyBorder="1" applyAlignment="1">
      <alignment horizontal="center" vertical="center" wrapText="1"/>
    </xf>
    <xf numFmtId="0" fontId="25" fillId="0" borderId="49" xfId="51" applyFont="1" applyBorder="1" applyAlignment="1">
      <alignment vertical="center"/>
    </xf>
    <xf numFmtId="0" fontId="25" fillId="0" borderId="58" xfId="51" applyFont="1" applyBorder="1" applyAlignment="1">
      <alignment horizontal="left" vertical="center" wrapText="1"/>
    </xf>
    <xf numFmtId="0" fontId="25" fillId="25" borderId="54" xfId="51" applyFont="1" applyFill="1" applyBorder="1" applyAlignment="1">
      <alignment vertical="center" wrapText="1"/>
    </xf>
    <xf numFmtId="0" fontId="23" fillId="0" borderId="54" xfId="51" applyFont="1" applyBorder="1" applyAlignment="1">
      <alignment horizontal="center" vertical="center"/>
    </xf>
    <xf numFmtId="0" fontId="23" fillId="0" borderId="44" xfId="51" applyFont="1" applyBorder="1" applyAlignment="1">
      <alignment vertical="center"/>
    </xf>
    <xf numFmtId="0" fontId="23" fillId="0" borderId="49" xfId="51" applyFont="1" applyBorder="1" applyAlignment="1">
      <alignment vertical="center"/>
    </xf>
    <xf numFmtId="0" fontId="23" fillId="0" borderId="49" xfId="51" applyFont="1" applyBorder="1" applyAlignment="1">
      <alignment horizontal="left" vertical="center" wrapText="1"/>
    </xf>
    <xf numFmtId="0" fontId="25" fillId="0" borderId="44" xfId="51" applyFont="1" applyBorder="1" applyAlignment="1">
      <alignment vertical="center" wrapText="1"/>
    </xf>
    <xf numFmtId="0" fontId="25" fillId="0" borderId="58" xfId="51" applyFont="1" applyBorder="1" applyAlignment="1">
      <alignment vertical="center" wrapText="1"/>
    </xf>
    <xf numFmtId="0" fontId="51" fillId="0" borderId="79" xfId="51" applyFont="1" applyBorder="1" applyAlignment="1">
      <alignment horizontal="center" vertical="center" wrapText="1"/>
    </xf>
    <xf numFmtId="3" fontId="51" fillId="25" borderId="63" xfId="34" applyNumberFormat="1" applyFont="1" applyFill="1" applyBorder="1" applyAlignment="1">
      <alignment horizontal="right" vertical="center" wrapText="1"/>
    </xf>
    <xf numFmtId="3" fontId="51" fillId="0" borderId="45" xfId="51" applyNumberFormat="1" applyFont="1" applyBorder="1" applyAlignment="1">
      <alignment horizontal="right" vertical="center" wrapText="1"/>
    </xf>
    <xf numFmtId="3" fontId="65" fillId="0" borderId="46" xfId="51" applyNumberFormat="1" applyFont="1" applyBorder="1" applyAlignment="1">
      <alignment horizontal="right" vertical="center" wrapText="1"/>
    </xf>
    <xf numFmtId="3" fontId="51" fillId="25" borderId="45" xfId="34" applyNumberFormat="1" applyFont="1" applyFill="1" applyBorder="1" applyAlignment="1">
      <alignment horizontal="right" vertical="center" wrapText="1"/>
    </xf>
    <xf numFmtId="3" fontId="64" fillId="0" borderId="45" xfId="51" applyNumberFormat="1" applyFont="1" applyBorder="1" applyAlignment="1">
      <alignment horizontal="right" vertical="center" wrapText="1"/>
    </xf>
    <xf numFmtId="3" fontId="52" fillId="0" borderId="45" xfId="51" applyNumberFormat="1" applyFont="1" applyBorder="1" applyAlignment="1">
      <alignment horizontal="right" vertical="center" wrapText="1"/>
    </xf>
    <xf numFmtId="3" fontId="54" fillId="0" borderId="45" xfId="51" applyNumberFormat="1" applyFont="1" applyBorder="1" applyAlignment="1">
      <alignment horizontal="right" vertical="center" wrapText="1"/>
    </xf>
    <xf numFmtId="3" fontId="64" fillId="0" borderId="46" xfId="51" applyNumberFormat="1" applyFont="1" applyBorder="1" applyAlignment="1">
      <alignment horizontal="right" vertical="center" wrapText="1"/>
    </xf>
    <xf numFmtId="3" fontId="51" fillId="25" borderId="79" xfId="34" applyNumberFormat="1" applyFont="1" applyFill="1" applyBorder="1" applyAlignment="1">
      <alignment horizontal="right" vertical="center" wrapText="1"/>
    </xf>
    <xf numFmtId="0" fontId="51" fillId="0" borderId="42" xfId="51" applyFont="1" applyBorder="1" applyAlignment="1">
      <alignment horizontal="center" vertical="center" wrapText="1"/>
    </xf>
    <xf numFmtId="3" fontId="52" fillId="0" borderId="7" xfId="51" applyNumberFormat="1" applyFont="1" applyBorder="1" applyAlignment="1">
      <alignment horizontal="right" vertical="center" wrapText="1"/>
    </xf>
    <xf numFmtId="3" fontId="52" fillId="0" borderId="38" xfId="51" applyNumberFormat="1" applyFont="1" applyBorder="1" applyAlignment="1">
      <alignment horizontal="right" vertical="center" wrapText="1"/>
    </xf>
    <xf numFmtId="49" fontId="56" fillId="0" borderId="8" xfId="52" applyNumberFormat="1" applyFont="1" applyBorder="1" applyAlignment="1">
      <alignment horizontal="center" vertical="center" wrapText="1"/>
    </xf>
    <xf numFmtId="0" fontId="56" fillId="0" borderId="15" xfId="52" applyFont="1" applyBorder="1" applyAlignment="1">
      <alignment horizontal="center" vertical="center" wrapText="1"/>
    </xf>
    <xf numFmtId="3" fontId="23" fillId="0" borderId="10" xfId="1" applyNumberFormat="1" applyFont="1" applyBorder="1" applyAlignment="1">
      <alignment horizontal="right"/>
    </xf>
    <xf numFmtId="3" fontId="23" fillId="0" borderId="4" xfId="1" applyNumberFormat="1" applyFont="1" applyBorder="1" applyAlignment="1">
      <alignment horizontal="right"/>
    </xf>
    <xf numFmtId="0" fontId="68" fillId="0" borderId="0" xfId="34" applyFont="1"/>
    <xf numFmtId="0" fontId="72" fillId="0" borderId="0" xfId="34" applyFont="1"/>
    <xf numFmtId="0" fontId="73" fillId="0" borderId="0" xfId="37" applyFont="1" applyAlignment="1">
      <alignment vertical="center" wrapText="1"/>
    </xf>
    <xf numFmtId="3" fontId="73" fillId="0" borderId="0" xfId="37" applyNumberFormat="1" applyFont="1"/>
    <xf numFmtId="3" fontId="23" fillId="0" borderId="0" xfId="37" applyNumberFormat="1" applyFont="1"/>
    <xf numFmtId="0" fontId="74" fillId="0" borderId="0" xfId="37" applyFont="1"/>
    <xf numFmtId="0" fontId="62" fillId="0" borderId="0" xfId="37" applyFont="1"/>
    <xf numFmtId="3" fontId="23" fillId="0" borderId="10" xfId="51" applyNumberFormat="1" applyFont="1" applyBorder="1" applyAlignment="1">
      <alignment horizontal="right" vertical="center"/>
    </xf>
    <xf numFmtId="3" fontId="23" fillId="0" borderId="36" xfId="51" applyNumberFormat="1" applyFont="1" applyBorder="1" applyAlignment="1">
      <alignment horizontal="right" vertical="center"/>
    </xf>
    <xf numFmtId="0" fontId="56" fillId="0" borderId="0" xfId="51" applyFont="1" applyAlignment="1">
      <alignment vertical="center"/>
    </xf>
    <xf numFmtId="0" fontId="75" fillId="0" borderId="0" xfId="51" applyFont="1" applyAlignment="1">
      <alignment vertical="center"/>
    </xf>
    <xf numFmtId="3" fontId="23" fillId="0" borderId="4" xfId="51" applyNumberFormat="1" applyFont="1" applyBorder="1" applyAlignment="1">
      <alignment horizontal="right" vertical="center"/>
    </xf>
    <xf numFmtId="3" fontId="23" fillId="0" borderId="5" xfId="51" applyNumberFormat="1" applyFont="1" applyBorder="1" applyAlignment="1">
      <alignment horizontal="right" vertical="center"/>
    </xf>
    <xf numFmtId="3" fontId="25" fillId="0" borderId="4" xfId="51" applyNumberFormat="1" applyFont="1" applyBorder="1" applyAlignment="1">
      <alignment vertical="center"/>
    </xf>
    <xf numFmtId="3" fontId="25" fillId="0" borderId="5" xfId="51" applyNumberFormat="1" applyFont="1" applyBorder="1" applyAlignment="1">
      <alignment vertical="center"/>
    </xf>
    <xf numFmtId="0" fontId="3" fillId="0" borderId="0" xfId="0" applyFont="1"/>
    <xf numFmtId="10" fontId="25" fillId="27" borderId="18" xfId="51" applyNumberFormat="1" applyFont="1" applyFill="1" applyBorder="1" applyAlignment="1">
      <alignment vertical="center"/>
    </xf>
    <xf numFmtId="0" fontId="23" fillId="0" borderId="0" xfId="51" applyFont="1" applyAlignment="1">
      <alignment vertical="center"/>
    </xf>
    <xf numFmtId="0" fontId="25" fillId="0" borderId="0" xfId="51" applyFont="1"/>
    <xf numFmtId="0" fontId="25" fillId="0" borderId="17" xfId="51" applyFont="1" applyBorder="1" applyAlignment="1">
      <alignment horizontal="center" vertical="center" wrapText="1"/>
    </xf>
    <xf numFmtId="3" fontId="23" fillId="0" borderId="2" xfId="51" applyNumberFormat="1" applyFont="1" applyBorder="1" applyAlignment="1">
      <alignment horizontal="right" vertical="center"/>
    </xf>
    <xf numFmtId="3" fontId="23" fillId="0" borderId="43" xfId="51" applyNumberFormat="1" applyFont="1" applyBorder="1" applyAlignment="1">
      <alignment horizontal="right" vertical="center"/>
    </xf>
    <xf numFmtId="10" fontId="25" fillId="25" borderId="17" xfId="51" applyNumberFormat="1" applyFont="1" applyFill="1" applyBorder="1" applyAlignment="1">
      <alignment vertical="center"/>
    </xf>
    <xf numFmtId="3" fontId="23" fillId="0" borderId="25" xfId="51" applyNumberFormat="1" applyFont="1" applyBorder="1" applyAlignment="1">
      <alignment horizontal="right" vertical="center"/>
    </xf>
    <xf numFmtId="3" fontId="25" fillId="0" borderId="2" xfId="51" applyNumberFormat="1" applyFont="1" applyBorder="1" applyAlignment="1">
      <alignment vertical="center"/>
    </xf>
    <xf numFmtId="10" fontId="55" fillId="0" borderId="0" xfId="51" applyNumberFormat="1" applyFont="1"/>
    <xf numFmtId="0" fontId="55" fillId="0" borderId="0" xfId="51" applyFont="1"/>
    <xf numFmtId="0" fontId="23" fillId="0" borderId="0" xfId="85" applyFont="1" applyAlignment="1">
      <alignment horizontal="center"/>
    </xf>
    <xf numFmtId="0" fontId="23" fillId="0" borderId="0" xfId="85" applyFont="1"/>
    <xf numFmtId="0" fontId="59" fillId="0" borderId="0" xfId="86" applyFont="1"/>
    <xf numFmtId="0" fontId="63" fillId="0" borderId="0" xfId="86" applyFont="1"/>
    <xf numFmtId="0" fontId="20" fillId="0" borderId="0" xfId="86" applyFont="1" applyAlignment="1">
      <alignment horizontal="center" vertical="center" wrapText="1"/>
    </xf>
    <xf numFmtId="0" fontId="23" fillId="0" borderId="0" xfId="86" applyFont="1" applyAlignment="1">
      <alignment horizontal="center"/>
    </xf>
    <xf numFmtId="0" fontId="23" fillId="0" borderId="0" xfId="86" applyFont="1"/>
    <xf numFmtId="0" fontId="23" fillId="0" borderId="0" xfId="86" applyFont="1" applyAlignment="1">
      <alignment horizontal="center" vertical="center" wrapText="1"/>
    </xf>
    <xf numFmtId="0" fontId="23" fillId="0" borderId="0" xfId="86" applyFont="1" applyAlignment="1">
      <alignment horizontal="right"/>
    </xf>
    <xf numFmtId="0" fontId="55" fillId="25" borderId="15" xfId="52" applyFont="1" applyFill="1" applyBorder="1" applyAlignment="1">
      <alignment horizontal="center" vertical="center" wrapText="1"/>
    </xf>
    <xf numFmtId="0" fontId="59" fillId="0" borderId="37" xfId="86" applyFont="1" applyBorder="1" applyAlignment="1">
      <alignment horizontal="center"/>
    </xf>
    <xf numFmtId="0" fontId="56" fillId="0" borderId="3" xfId="52" applyFont="1" applyBorder="1" applyAlignment="1">
      <alignment horizontal="center" vertical="center" wrapText="1"/>
    </xf>
    <xf numFmtId="0" fontId="20" fillId="0" borderId="0" xfId="86" applyFont="1"/>
    <xf numFmtId="0" fontId="56" fillId="0" borderId="3" xfId="87" applyFont="1" applyBorder="1" applyAlignment="1">
      <alignment horizontal="center" vertical="center" wrapText="1"/>
    </xf>
    <xf numFmtId="0" fontId="56" fillId="0" borderId="49" xfId="87" applyFont="1" applyBorder="1" applyAlignment="1">
      <alignment vertical="center" wrapText="1"/>
    </xf>
    <xf numFmtId="49" fontId="56" fillId="0" borderId="6" xfId="87" applyNumberFormat="1" applyFont="1" applyBorder="1" applyAlignment="1">
      <alignment horizontal="center" vertical="center" wrapText="1"/>
    </xf>
    <xf numFmtId="0" fontId="56" fillId="0" borderId="58" xfId="87" applyFont="1" applyBorder="1" applyAlignment="1">
      <alignment vertical="center" wrapText="1"/>
    </xf>
    <xf numFmtId="3" fontId="56" fillId="0" borderId="8" xfId="87" applyNumberFormat="1" applyFont="1" applyBorder="1" applyAlignment="1">
      <alignment vertical="center"/>
    </xf>
    <xf numFmtId="3" fontId="56" fillId="0" borderId="8" xfId="87" applyNumberFormat="1" applyFont="1" applyBorder="1" applyAlignment="1">
      <alignment horizontal="center" vertical="center" wrapText="1"/>
    </xf>
    <xf numFmtId="3" fontId="56" fillId="0" borderId="4" xfId="87" applyNumberFormat="1" applyFont="1" applyBorder="1" applyAlignment="1">
      <alignment horizontal="center" vertical="center"/>
    </xf>
    <xf numFmtId="0" fontId="56" fillId="0" borderId="3" xfId="87" applyFont="1" applyBorder="1" applyAlignment="1">
      <alignment vertical="center" wrapText="1"/>
    </xf>
    <xf numFmtId="0" fontId="56" fillId="0" borderId="1" xfId="87" applyFont="1" applyBorder="1" applyAlignment="1">
      <alignment horizontal="center" vertical="center" wrapText="1"/>
    </xf>
    <xf numFmtId="0" fontId="56" fillId="0" borderId="44" xfId="87" applyFont="1" applyBorder="1" applyAlignment="1">
      <alignment vertical="center" wrapText="1"/>
    </xf>
    <xf numFmtId="0" fontId="56" fillId="0" borderId="6" xfId="87" applyFont="1" applyBorder="1" applyAlignment="1">
      <alignment horizontal="center" vertical="center" wrapText="1"/>
    </xf>
    <xf numFmtId="0" fontId="56" fillId="0" borderId="45" xfId="87" applyFont="1" applyBorder="1" applyAlignment="1">
      <alignment horizontal="justify" vertical="center" wrapText="1"/>
    </xf>
    <xf numFmtId="0" fontId="56" fillId="0" borderId="14" xfId="87" applyFont="1" applyBorder="1" applyAlignment="1">
      <alignment horizontal="center" vertical="center" wrapText="1"/>
    </xf>
    <xf numFmtId="0" fontId="56" fillId="0" borderId="57" xfId="87" applyFont="1" applyBorder="1" applyAlignment="1">
      <alignment vertical="center" wrapText="1"/>
    </xf>
    <xf numFmtId="3" fontId="56" fillId="0" borderId="2" xfId="87" applyNumberFormat="1" applyFont="1" applyBorder="1" applyAlignment="1">
      <alignment vertical="center"/>
    </xf>
    <xf numFmtId="3" fontId="56" fillId="0" borderId="4" xfId="87" applyNumberFormat="1" applyFont="1" applyBorder="1" applyAlignment="1">
      <alignment horizontal="center" vertical="center" wrapText="1"/>
    </xf>
    <xf numFmtId="3" fontId="20" fillId="0" borderId="0" xfId="86" applyNumberFormat="1" applyFont="1" applyAlignment="1">
      <alignment horizontal="center" vertical="center" wrapText="1"/>
    </xf>
    <xf numFmtId="3" fontId="56" fillId="0" borderId="2" xfId="87" applyNumberFormat="1" applyFont="1" applyBorder="1" applyAlignment="1">
      <alignment horizontal="center" vertical="center"/>
    </xf>
    <xf numFmtId="3" fontId="56" fillId="0" borderId="0" xfId="87" applyNumberFormat="1" applyFont="1" applyAlignment="1">
      <alignment vertical="center"/>
    </xf>
    <xf numFmtId="0" fontId="59" fillId="0" borderId="0" xfId="86" applyFont="1" applyAlignment="1">
      <alignment horizontal="center" vertical="center"/>
    </xf>
    <xf numFmtId="0" fontId="56" fillId="0" borderId="0" xfId="87" applyFont="1" applyAlignment="1">
      <alignment horizontal="justify" vertical="center" wrapText="1"/>
    </xf>
    <xf numFmtId="3" fontId="56" fillId="0" borderId="9" xfId="87" applyNumberFormat="1" applyFont="1" applyBorder="1" applyAlignment="1">
      <alignment horizontal="center" vertical="center" wrapText="1"/>
    </xf>
    <xf numFmtId="0" fontId="56" fillId="0" borderId="5" xfId="87" applyFont="1" applyBorder="1" applyAlignment="1">
      <alignment horizontal="justify" vertical="center" wrapText="1"/>
    </xf>
    <xf numFmtId="3" fontId="56" fillId="0" borderId="7" xfId="87" applyNumberFormat="1" applyFont="1" applyBorder="1" applyAlignment="1">
      <alignment vertical="center"/>
    </xf>
    <xf numFmtId="0" fontId="55" fillId="27" borderId="3" xfId="87" applyFont="1" applyFill="1" applyBorder="1" applyAlignment="1">
      <alignment horizontal="center" vertical="center" wrapText="1"/>
    </xf>
    <xf numFmtId="0" fontId="55" fillId="27" borderId="49" xfId="87" applyFont="1" applyFill="1" applyBorder="1" applyAlignment="1">
      <alignment vertical="center" wrapText="1"/>
    </xf>
    <xf numFmtId="3" fontId="55" fillId="27" borderId="4" xfId="87" applyNumberFormat="1" applyFont="1" applyFill="1" applyBorder="1" applyAlignment="1">
      <alignment horizontal="center" vertical="center" wrapText="1"/>
    </xf>
    <xf numFmtId="3" fontId="55" fillId="27" borderId="4" xfId="87" applyNumberFormat="1" applyFont="1" applyFill="1" applyBorder="1" applyAlignment="1">
      <alignment horizontal="center" vertical="center"/>
    </xf>
    <xf numFmtId="0" fontId="55" fillId="27" borderId="63" xfId="87" applyFont="1" applyFill="1" applyBorder="1" applyAlignment="1">
      <alignment horizontal="justify" vertical="center" wrapText="1"/>
    </xf>
    <xf numFmtId="3" fontId="56" fillId="0" borderId="4" xfId="87" applyNumberFormat="1" applyFont="1" applyBorder="1" applyAlignment="1">
      <alignment vertical="center"/>
    </xf>
    <xf numFmtId="3" fontId="56" fillId="0" borderId="10" xfId="87" applyNumberFormat="1" applyFont="1" applyBorder="1" applyAlignment="1">
      <alignment vertical="center"/>
    </xf>
    <xf numFmtId="3" fontId="56" fillId="0" borderId="10" xfId="87" applyNumberFormat="1" applyFont="1" applyBorder="1" applyAlignment="1">
      <alignment horizontal="center" vertical="center" wrapText="1"/>
    </xf>
    <xf numFmtId="3" fontId="56" fillId="0" borderId="4" xfId="86" applyNumberFormat="1" applyFont="1" applyBorder="1" applyAlignment="1">
      <alignment vertical="center"/>
    </xf>
    <xf numFmtId="3" fontId="27" fillId="0" borderId="4" xfId="87" applyNumberFormat="1" applyFont="1" applyBorder="1" applyAlignment="1">
      <alignment horizontal="center" vertical="center"/>
    </xf>
    <xf numFmtId="3" fontId="55" fillId="0" borderId="0" xfId="87" applyNumberFormat="1" applyFont="1" applyAlignment="1">
      <alignment vertical="center"/>
    </xf>
    <xf numFmtId="3" fontId="56" fillId="0" borderId="26" xfId="87" applyNumberFormat="1" applyFont="1" applyBorder="1" applyAlignment="1">
      <alignment vertical="center"/>
    </xf>
    <xf numFmtId="3" fontId="56" fillId="0" borderId="9" xfId="87" applyNumberFormat="1" applyFont="1" applyBorder="1" applyAlignment="1">
      <alignment horizontal="right" vertical="center"/>
    </xf>
    <xf numFmtId="0" fontId="56" fillId="0" borderId="63" xfId="87" applyFont="1" applyBorder="1" applyAlignment="1">
      <alignment horizontal="justify" vertical="center" wrapText="1"/>
    </xf>
    <xf numFmtId="3" fontId="56" fillId="0" borderId="4" xfId="87" applyNumberFormat="1" applyFont="1" applyBorder="1" applyAlignment="1">
      <alignment horizontal="right" vertical="center"/>
    </xf>
    <xf numFmtId="0" fontId="20" fillId="0" borderId="0" xfId="0" applyFont="1" applyAlignment="1">
      <alignment horizontal="center"/>
    </xf>
    <xf numFmtId="0" fontId="79" fillId="0" borderId="0" xfId="0" applyFont="1"/>
    <xf numFmtId="3" fontId="56" fillId="0" borderId="7" xfId="87" applyNumberFormat="1" applyFont="1" applyBorder="1" applyAlignment="1">
      <alignment horizontal="right" vertical="center"/>
    </xf>
    <xf numFmtId="0" fontId="55" fillId="27" borderId="6" xfId="87" applyFont="1" applyFill="1" applyBorder="1" applyAlignment="1">
      <alignment horizontal="center" vertical="center" wrapText="1"/>
    </xf>
    <xf numFmtId="0" fontId="55" fillId="27" borderId="58" xfId="87" applyFont="1" applyFill="1" applyBorder="1" applyAlignment="1">
      <alignment vertical="center" wrapText="1"/>
    </xf>
    <xf numFmtId="3" fontId="55" fillId="27" borderId="8" xfId="87" applyNumberFormat="1" applyFont="1" applyFill="1" applyBorder="1" applyAlignment="1">
      <alignment horizontal="center" vertical="center" wrapText="1"/>
    </xf>
    <xf numFmtId="3" fontId="55" fillId="27" borderId="8" xfId="87" applyNumberFormat="1" applyFont="1" applyFill="1" applyBorder="1" applyAlignment="1">
      <alignment horizontal="center" vertical="center"/>
    </xf>
    <xf numFmtId="0" fontId="55" fillId="27" borderId="38" xfId="87" applyFont="1" applyFill="1" applyBorder="1" applyAlignment="1">
      <alignment horizontal="justify" vertical="center" wrapText="1"/>
    </xf>
    <xf numFmtId="0" fontId="56" fillId="0" borderId="4" xfId="87" applyFont="1" applyBorder="1" applyAlignment="1">
      <alignment horizontal="center" vertical="center" wrapText="1"/>
    </xf>
    <xf numFmtId="3" fontId="56" fillId="0" borderId="8" xfId="87" applyNumberFormat="1" applyFont="1" applyBorder="1" applyAlignment="1">
      <alignment horizontal="right" vertical="center"/>
    </xf>
    <xf numFmtId="3" fontId="56" fillId="0" borderId="8" xfId="87" applyNumberFormat="1" applyFont="1" applyBorder="1" applyAlignment="1">
      <alignment horizontal="center" vertical="center"/>
    </xf>
    <xf numFmtId="0" fontId="80" fillId="0" borderId="0" xfId="86" applyFont="1" applyAlignment="1">
      <alignment horizontal="center" vertical="center"/>
    </xf>
    <xf numFmtId="17" fontId="20" fillId="0" borderId="0" xfId="86" applyNumberFormat="1" applyFont="1" applyAlignment="1">
      <alignment horizontal="center" vertical="center" wrapText="1"/>
    </xf>
    <xf numFmtId="0" fontId="59" fillId="0" borderId="0" xfId="86" applyFont="1" applyAlignment="1">
      <alignment wrapText="1"/>
    </xf>
    <xf numFmtId="0" fontId="56" fillId="0" borderId="37" xfId="52" applyFont="1" applyBorder="1" applyAlignment="1">
      <alignment horizontal="center" vertical="center" wrapText="1"/>
    </xf>
    <xf numFmtId="0" fontId="56" fillId="0" borderId="58" xfId="52" applyFont="1" applyBorder="1" applyAlignment="1">
      <alignment vertical="center" wrapText="1"/>
    </xf>
    <xf numFmtId="0" fontId="59" fillId="0" borderId="15" xfId="86" applyFont="1" applyBorder="1" applyAlignment="1">
      <alignment horizontal="center"/>
    </xf>
    <xf numFmtId="0" fontId="56" fillId="0" borderId="72" xfId="52" applyFont="1" applyBorder="1" applyAlignment="1">
      <alignment horizontal="center" vertical="center" wrapText="1"/>
    </xf>
    <xf numFmtId="14" fontId="20" fillId="0" borderId="0" xfId="86" applyNumberFormat="1" applyFont="1" applyAlignment="1">
      <alignment horizontal="center" vertical="center" wrapText="1"/>
    </xf>
    <xf numFmtId="0" fontId="20" fillId="0" borderId="0" xfId="86" applyFont="1" applyAlignment="1">
      <alignment horizontal="center" vertical="center"/>
    </xf>
    <xf numFmtId="3" fontId="56" fillId="0" borderId="0" xfId="52" applyNumberFormat="1" applyFont="1" applyAlignment="1">
      <alignment horizontal="right" vertical="center" wrapText="1"/>
    </xf>
    <xf numFmtId="0" fontId="56" fillId="0" borderId="1" xfId="52" applyFont="1" applyBorder="1" applyAlignment="1">
      <alignment vertical="center" wrapText="1"/>
    </xf>
    <xf numFmtId="0" fontId="56" fillId="0" borderId="80" xfId="86" applyFont="1" applyBorder="1" applyAlignment="1">
      <alignment horizontal="center" wrapText="1"/>
    </xf>
    <xf numFmtId="0" fontId="56" fillId="0" borderId="77" xfId="86" applyFont="1" applyBorder="1" applyAlignment="1">
      <alignment wrapText="1"/>
    </xf>
    <xf numFmtId="0" fontId="56" fillId="0" borderId="81" xfId="86" applyFont="1" applyBorder="1" applyAlignment="1">
      <alignment horizontal="center" vertical="center" wrapText="1"/>
    </xf>
    <xf numFmtId="0" fontId="56" fillId="0" borderId="76" xfId="86" applyFont="1" applyBorder="1" applyAlignment="1">
      <alignment vertical="center" wrapText="1"/>
    </xf>
    <xf numFmtId="0" fontId="58" fillId="0" borderId="0" xfId="86" applyFont="1" applyAlignment="1">
      <alignment horizontal="center" vertical="center" wrapText="1"/>
    </xf>
    <xf numFmtId="0" fontId="56" fillId="0" borderId="4" xfId="86" applyFont="1" applyBorder="1" applyAlignment="1">
      <alignment horizontal="center" vertical="center" wrapText="1"/>
    </xf>
    <xf numFmtId="0" fontId="20" fillId="0" borderId="1" xfId="0" applyFont="1" applyBorder="1" applyAlignment="1">
      <alignment horizontal="center" vertical="center" wrapText="1"/>
    </xf>
    <xf numFmtId="0" fontId="56" fillId="0" borderId="37" xfId="87" applyFont="1" applyBorder="1" applyAlignment="1">
      <alignment horizontal="center" vertical="center" wrapText="1"/>
    </xf>
    <xf numFmtId="3" fontId="56" fillId="0" borderId="8" xfId="0" applyNumberFormat="1" applyFont="1" applyBorder="1" applyAlignment="1">
      <alignment horizontal="right" vertical="center" wrapText="1"/>
    </xf>
    <xf numFmtId="3" fontId="56" fillId="0" borderId="8" xfId="52" applyNumberFormat="1" applyFont="1" applyBorder="1" applyAlignment="1">
      <alignment vertical="center" wrapText="1"/>
    </xf>
    <xf numFmtId="3" fontId="56" fillId="0" borderId="8" xfId="52" applyNumberFormat="1" applyFont="1" applyBorder="1" applyAlignment="1">
      <alignment horizontal="center" vertical="center" wrapText="1"/>
    </xf>
    <xf numFmtId="49" fontId="56" fillId="0" borderId="3" xfId="52" applyNumberFormat="1" applyFont="1" applyBorder="1" applyAlignment="1">
      <alignment horizontal="center" vertical="center" wrapText="1"/>
    </xf>
    <xf numFmtId="0" fontId="55" fillId="26" borderId="0" xfId="52" applyFont="1" applyFill="1" applyAlignment="1">
      <alignment horizontal="center" vertical="center" wrapText="1"/>
    </xf>
    <xf numFmtId="0" fontId="58" fillId="0" borderId="37" xfId="86" applyFont="1" applyBorder="1" applyAlignment="1">
      <alignment horizontal="center" vertical="center" wrapText="1"/>
    </xf>
    <xf numFmtId="0" fontId="56" fillId="0" borderId="54" xfId="52" applyFont="1" applyBorder="1" applyAlignment="1">
      <alignment horizontal="left" vertical="center" wrapText="1"/>
    </xf>
    <xf numFmtId="0" fontId="56" fillId="0" borderId="18" xfId="52" applyFont="1" applyBorder="1" applyAlignment="1">
      <alignment horizontal="center" vertical="center" wrapText="1"/>
    </xf>
    <xf numFmtId="3" fontId="56" fillId="0" borderId="18" xfId="52" applyNumberFormat="1" applyFont="1" applyBorder="1" applyAlignment="1">
      <alignment vertical="center"/>
    </xf>
    <xf numFmtId="3" fontId="56" fillId="0" borderId="18" xfId="52" applyNumberFormat="1" applyFont="1" applyBorder="1" applyAlignment="1">
      <alignment horizontal="right" vertical="center"/>
    </xf>
    <xf numFmtId="3" fontId="56" fillId="0" borderId="18" xfId="87" applyNumberFormat="1" applyFont="1" applyBorder="1" applyAlignment="1">
      <alignment horizontal="center" vertical="center" wrapText="1"/>
    </xf>
    <xf numFmtId="3" fontId="56" fillId="0" borderId="17" xfId="52" applyNumberFormat="1" applyFont="1" applyBorder="1" applyAlignment="1">
      <alignment horizontal="center" vertical="center"/>
    </xf>
    <xf numFmtId="0" fontId="56" fillId="0" borderId="16" xfId="52" applyFont="1" applyBorder="1" applyAlignment="1">
      <alignment horizontal="justify" vertical="center" wrapText="1"/>
    </xf>
    <xf numFmtId="49" fontId="56" fillId="0" borderId="61" xfId="52" applyNumberFormat="1" applyFont="1" applyBorder="1" applyAlignment="1">
      <alignment horizontal="justify" vertical="center"/>
    </xf>
    <xf numFmtId="0" fontId="59" fillId="0" borderId="0" xfId="86" applyFont="1" applyAlignment="1">
      <alignment horizontal="center"/>
    </xf>
    <xf numFmtId="0" fontId="27" fillId="0" borderId="0" xfId="86" applyFont="1" applyAlignment="1">
      <alignment horizontal="center"/>
    </xf>
    <xf numFmtId="0" fontId="55" fillId="26" borderId="0" xfId="52" applyFont="1" applyFill="1" applyAlignment="1">
      <alignment vertical="center" wrapText="1"/>
    </xf>
    <xf numFmtId="3" fontId="55" fillId="26" borderId="0" xfId="52" applyNumberFormat="1" applyFont="1" applyFill="1" applyAlignment="1">
      <alignment vertical="center" wrapText="1"/>
    </xf>
    <xf numFmtId="3" fontId="55" fillId="26" borderId="0" xfId="52" applyNumberFormat="1" applyFont="1" applyFill="1" applyAlignment="1">
      <alignment horizontal="center" vertical="center" wrapText="1"/>
    </xf>
    <xf numFmtId="0" fontId="56" fillId="0" borderId="37" xfId="52" applyFont="1" applyBorder="1" applyAlignment="1">
      <alignment vertical="center" wrapText="1"/>
    </xf>
    <xf numFmtId="0" fontId="56" fillId="0" borderId="0" xfId="52" applyFont="1" applyAlignment="1">
      <alignment vertical="center" wrapText="1"/>
    </xf>
    <xf numFmtId="3" fontId="55" fillId="0" borderId="0" xfId="52" applyNumberFormat="1" applyFont="1" applyAlignment="1">
      <alignment vertical="center" wrapText="1"/>
    </xf>
    <xf numFmtId="0" fontId="55" fillId="25" borderId="22" xfId="55" applyNumberFormat="1" applyFont="1" applyFill="1" applyBorder="1" applyAlignment="1">
      <alignment horizontal="center" vertical="center" wrapText="1"/>
    </xf>
    <xf numFmtId="3" fontId="70" fillId="0" borderId="2" xfId="52" applyNumberFormat="1" applyFont="1" applyBorder="1" applyAlignment="1">
      <alignment horizontal="center" vertical="center" wrapText="1"/>
    </xf>
    <xf numFmtId="0" fontId="56" fillId="0" borderId="1" xfId="52" applyFont="1" applyBorder="1" applyAlignment="1">
      <alignment horizontal="justify" vertical="center" wrapText="1"/>
    </xf>
    <xf numFmtId="3" fontId="55" fillId="25" borderId="53" xfId="52" applyNumberFormat="1" applyFont="1" applyFill="1" applyBorder="1" applyAlignment="1">
      <alignment horizontal="right" vertical="center" wrapText="1"/>
    </xf>
    <xf numFmtId="0" fontId="81" fillId="0" borderId="0" xfId="86" applyFont="1"/>
    <xf numFmtId="0" fontId="3" fillId="0" borderId="0" xfId="86"/>
    <xf numFmtId="4" fontId="55" fillId="0" borderId="0" xfId="52" applyNumberFormat="1" applyFont="1" applyAlignment="1">
      <alignment vertical="center"/>
    </xf>
    <xf numFmtId="49" fontId="55" fillId="25" borderId="4" xfId="55" applyNumberFormat="1" applyFont="1" applyFill="1" applyBorder="1" applyAlignment="1">
      <alignment horizontal="center" vertical="center" wrapText="1"/>
    </xf>
    <xf numFmtId="49" fontId="55" fillId="25" borderId="50" xfId="55" applyNumberFormat="1" applyFont="1" applyFill="1" applyBorder="1" applyAlignment="1">
      <alignment horizontal="center" vertical="center" wrapText="1"/>
    </xf>
    <xf numFmtId="49" fontId="55" fillId="25" borderId="51" xfId="55" applyNumberFormat="1" applyFont="1" applyFill="1" applyBorder="1" applyAlignment="1">
      <alignment horizontal="center" vertical="center" wrapText="1"/>
    </xf>
    <xf numFmtId="0" fontId="55" fillId="0" borderId="3" xfId="52" applyFont="1" applyBorder="1" applyAlignment="1">
      <alignment vertical="center"/>
    </xf>
    <xf numFmtId="0" fontId="55" fillId="0" borderId="51" xfId="52" applyFont="1" applyBorder="1" applyAlignment="1">
      <alignment vertical="center"/>
    </xf>
    <xf numFmtId="0" fontId="55" fillId="0" borderId="45" xfId="52" applyFont="1" applyBorder="1" applyAlignment="1">
      <alignment vertical="center"/>
    </xf>
    <xf numFmtId="3" fontId="56" fillId="0" borderId="2" xfId="52" applyNumberFormat="1" applyFont="1" applyBorder="1" applyAlignment="1">
      <alignment horizontal="right" vertical="center"/>
    </xf>
    <xf numFmtId="4" fontId="81" fillId="0" borderId="0" xfId="86" applyNumberFormat="1" applyFont="1"/>
    <xf numFmtId="49" fontId="81" fillId="0" borderId="0" xfId="86" applyNumberFormat="1" applyFont="1" applyAlignment="1">
      <alignment horizontal="right"/>
    </xf>
    <xf numFmtId="0" fontId="82" fillId="0" borderId="0" xfId="86" applyFont="1"/>
    <xf numFmtId="3" fontId="56" fillId="0" borderId="7" xfId="52" applyNumberFormat="1" applyFont="1" applyBorder="1" applyAlignment="1">
      <alignment horizontal="right" vertical="center"/>
    </xf>
    <xf numFmtId="0" fontId="56" fillId="0" borderId="38" xfId="52" applyFont="1" applyBorder="1" applyAlignment="1">
      <alignment horizontal="justify" vertical="center"/>
    </xf>
    <xf numFmtId="3" fontId="56" fillId="0" borderId="39" xfId="52" applyNumberFormat="1" applyFont="1" applyBorder="1" applyAlignment="1">
      <alignment vertical="center" wrapText="1"/>
    </xf>
    <xf numFmtId="0" fontId="81" fillId="0" borderId="0" xfId="89" applyFont="1"/>
    <xf numFmtId="0" fontId="81" fillId="0" borderId="0" xfId="89" applyFont="1" applyAlignment="1">
      <alignment horizontal="right"/>
    </xf>
    <xf numFmtId="0" fontId="2" fillId="0" borderId="0" xfId="89"/>
    <xf numFmtId="49" fontId="55" fillId="27" borderId="42" xfId="34" applyNumberFormat="1" applyFont="1" applyFill="1" applyBorder="1" applyAlignment="1" applyProtection="1">
      <alignment horizontal="center" vertical="center" wrapText="1"/>
      <protection locked="0"/>
    </xf>
    <xf numFmtId="3" fontId="56" fillId="0" borderId="5" xfId="52" applyNumberFormat="1" applyFont="1" applyBorder="1" applyAlignment="1">
      <alignment horizontal="right" vertical="center"/>
    </xf>
    <xf numFmtId="3" fontId="56" fillId="0" borderId="38" xfId="52" applyNumberFormat="1" applyFont="1" applyBorder="1" applyAlignment="1">
      <alignment horizontal="right" vertical="center"/>
    </xf>
    <xf numFmtId="9" fontId="55" fillId="25" borderId="18" xfId="52" applyNumberFormat="1" applyFont="1" applyFill="1" applyBorder="1" applyAlignment="1">
      <alignment horizontal="center" vertical="center" wrapText="1"/>
    </xf>
    <xf numFmtId="0" fontId="56" fillId="0" borderId="15" xfId="52" applyFont="1" applyBorder="1" applyAlignment="1">
      <alignment vertical="center" wrapText="1"/>
    </xf>
    <xf numFmtId="0" fontId="56" fillId="0" borderId="52" xfId="52" applyFont="1" applyBorder="1" applyAlignment="1">
      <alignment vertical="center" wrapText="1"/>
    </xf>
    <xf numFmtId="3" fontId="56" fillId="0" borderId="52" xfId="52" applyNumberFormat="1" applyFont="1" applyBorder="1" applyAlignment="1">
      <alignment vertical="center" wrapText="1"/>
    </xf>
    <xf numFmtId="0" fontId="56" fillId="0" borderId="60" xfId="52" applyFont="1" applyBorder="1" applyAlignment="1">
      <alignment vertical="center" wrapText="1"/>
    </xf>
    <xf numFmtId="49" fontId="81" fillId="0" borderId="0" xfId="89" applyNumberFormat="1" applyFont="1" applyAlignment="1">
      <alignment horizontal="right"/>
    </xf>
    <xf numFmtId="0" fontId="82" fillId="0" borderId="0" xfId="89" applyFont="1"/>
    <xf numFmtId="49" fontId="55" fillId="25" borderId="64" xfId="55" applyNumberFormat="1" applyFont="1" applyFill="1" applyBorder="1" applyAlignment="1">
      <alignment horizontal="center" vertical="center" wrapText="1"/>
    </xf>
    <xf numFmtId="49" fontId="55" fillId="25" borderId="79" xfId="55" applyNumberFormat="1" applyFont="1" applyFill="1" applyBorder="1" applyAlignment="1">
      <alignment horizontal="center" vertical="center" wrapText="1"/>
    </xf>
    <xf numFmtId="9" fontId="81" fillId="0" borderId="0" xfId="89" applyNumberFormat="1" applyFont="1" applyAlignment="1">
      <alignment horizontal="center"/>
    </xf>
    <xf numFmtId="49" fontId="81" fillId="0" borderId="0" xfId="89" applyNumberFormat="1" applyFont="1" applyAlignment="1">
      <alignment horizontal="center"/>
    </xf>
    <xf numFmtId="9" fontId="55" fillId="0" borderId="0" xfId="52" applyNumberFormat="1" applyFont="1" applyAlignment="1">
      <alignment horizontal="center" vertical="center"/>
    </xf>
    <xf numFmtId="49" fontId="55" fillId="0" borderId="0" xfId="52" applyNumberFormat="1" applyFont="1" applyAlignment="1">
      <alignment horizontal="center" vertical="center"/>
    </xf>
    <xf numFmtId="9" fontId="55" fillId="0" borderId="62" xfId="52" applyNumberFormat="1" applyFont="1" applyBorder="1" applyAlignment="1">
      <alignment horizontal="center" vertical="center"/>
    </xf>
    <xf numFmtId="49" fontId="55" fillId="0" borderId="62" xfId="52" applyNumberFormat="1" applyFont="1" applyBorder="1" applyAlignment="1">
      <alignment horizontal="center" vertical="center"/>
    </xf>
    <xf numFmtId="9" fontId="55" fillId="0" borderId="51" xfId="52" applyNumberFormat="1" applyFont="1" applyBorder="1" applyAlignment="1">
      <alignment horizontal="center" vertical="center"/>
    </xf>
    <xf numFmtId="49" fontId="55" fillId="0" borderId="51" xfId="52" applyNumberFormat="1" applyFont="1" applyBorder="1" applyAlignment="1">
      <alignment horizontal="center" vertical="center"/>
    </xf>
    <xf numFmtId="9" fontId="56" fillId="0" borderId="52" xfId="52" applyNumberFormat="1" applyFont="1" applyBorder="1" applyAlignment="1">
      <alignment horizontal="center" vertical="center" wrapText="1"/>
    </xf>
    <xf numFmtId="49" fontId="56" fillId="0" borderId="52" xfId="52" applyNumberFormat="1" applyFont="1" applyBorder="1" applyAlignment="1">
      <alignment horizontal="center" vertical="center" wrapText="1"/>
    </xf>
    <xf numFmtId="49" fontId="82" fillId="0" borderId="0" xfId="89" applyNumberFormat="1" applyFont="1" applyAlignment="1">
      <alignment horizontal="center"/>
    </xf>
    <xf numFmtId="0" fontId="23" fillId="0" borderId="0" xfId="89" applyFont="1"/>
    <xf numFmtId="0" fontId="23" fillId="0" borderId="0" xfId="86" applyFont="1" applyAlignment="1">
      <alignment horizontal="left"/>
    </xf>
    <xf numFmtId="0" fontId="56" fillId="0" borderId="0" xfId="92" applyFont="1"/>
    <xf numFmtId="0" fontId="56" fillId="0" borderId="0" xfId="92" applyFont="1" applyAlignment="1">
      <alignment wrapText="1"/>
    </xf>
    <xf numFmtId="0" fontId="56" fillId="0" borderId="0" xfId="92" applyFont="1" applyAlignment="1">
      <alignment horizontal="center"/>
    </xf>
    <xf numFmtId="0" fontId="56" fillId="0" borderId="0" xfId="92" applyFont="1" applyAlignment="1">
      <alignment horizontal="right"/>
    </xf>
    <xf numFmtId="49" fontId="56" fillId="0" borderId="0" xfId="92" applyNumberFormat="1" applyFont="1" applyAlignment="1">
      <alignment horizontal="center"/>
    </xf>
    <xf numFmtId="0" fontId="55" fillId="0" borderId="0" xfId="92" applyFont="1"/>
    <xf numFmtId="0" fontId="55" fillId="0" borderId="0" xfId="92" applyFont="1" applyAlignment="1">
      <alignment horizontal="center" wrapText="1"/>
    </xf>
    <xf numFmtId="0" fontId="55" fillId="27" borderId="42" xfId="92" applyFont="1" applyFill="1" applyBorder="1" applyAlignment="1">
      <alignment horizontal="center" vertical="center" wrapText="1"/>
    </xf>
    <xf numFmtId="49" fontId="55" fillId="27" borderId="42" xfId="92" applyNumberFormat="1" applyFont="1" applyFill="1" applyBorder="1" applyAlignment="1">
      <alignment horizontal="center" vertical="center" wrapText="1"/>
    </xf>
    <xf numFmtId="0" fontId="84" fillId="0" borderId="62" xfId="92" applyFont="1" applyBorder="1" applyAlignment="1">
      <alignment vertical="center"/>
    </xf>
    <xf numFmtId="0" fontId="83" fillId="0" borderId="1" xfId="92" applyFont="1" applyBorder="1" applyAlignment="1">
      <alignment vertical="center"/>
    </xf>
    <xf numFmtId="0" fontId="84" fillId="0" borderId="62" xfId="92" applyFont="1" applyBorder="1" applyAlignment="1">
      <alignment horizontal="center" vertical="center"/>
    </xf>
    <xf numFmtId="0" fontId="56" fillId="0" borderId="62" xfId="92" applyFont="1" applyBorder="1" applyAlignment="1">
      <alignment horizontal="right" vertical="center" wrapText="1"/>
    </xf>
    <xf numFmtId="49" fontId="56" fillId="0" borderId="62" xfId="92" applyNumberFormat="1" applyFont="1" applyBorder="1" applyAlignment="1">
      <alignment horizontal="center" vertical="center" wrapText="1"/>
    </xf>
    <xf numFmtId="0" fontId="56" fillId="0" borderId="62" xfId="92" applyFont="1" applyBorder="1" applyAlignment="1">
      <alignment horizontal="center" vertical="center" wrapText="1"/>
    </xf>
    <xf numFmtId="0" fontId="56" fillId="0" borderId="63" xfId="92" applyFont="1" applyBorder="1" applyAlignment="1">
      <alignment horizontal="center" vertical="center" wrapText="1"/>
    </xf>
    <xf numFmtId="0" fontId="56" fillId="0" borderId="0" xfId="92" applyFont="1" applyAlignment="1">
      <alignment horizontal="center" vertical="center" wrapText="1"/>
    </xf>
    <xf numFmtId="0" fontId="56" fillId="0" borderId="2" xfId="92" applyFont="1" applyBorder="1" applyAlignment="1">
      <alignment vertical="center"/>
    </xf>
    <xf numFmtId="0" fontId="56" fillId="0" borderId="49" xfId="92" applyFont="1" applyBorder="1" applyAlignment="1">
      <alignment vertical="center" wrapText="1"/>
    </xf>
    <xf numFmtId="0" fontId="56" fillId="0" borderId="4" xfId="92" applyFont="1" applyBorder="1" applyAlignment="1">
      <alignment horizontal="center" vertical="center"/>
    </xf>
    <xf numFmtId="0" fontId="56" fillId="0" borderId="4" xfId="92" applyFont="1" applyBorder="1" applyAlignment="1">
      <alignment vertical="center"/>
    </xf>
    <xf numFmtId="3" fontId="56" fillId="27" borderId="4" xfId="92" applyNumberFormat="1" applyFont="1" applyFill="1" applyBorder="1" applyAlignment="1">
      <alignment horizontal="right" vertical="center"/>
    </xf>
    <xf numFmtId="49" fontId="56" fillId="27" borderId="4" xfId="92" applyNumberFormat="1" applyFont="1" applyFill="1" applyBorder="1" applyAlignment="1">
      <alignment horizontal="center" vertical="center"/>
    </xf>
    <xf numFmtId="3" fontId="56" fillId="0" borderId="4" xfId="92" applyNumberFormat="1" applyFont="1" applyBorder="1" applyAlignment="1">
      <alignment vertical="center"/>
    </xf>
    <xf numFmtId="0" fontId="56" fillId="0" borderId="5" xfId="92" applyFont="1" applyBorder="1" applyAlignment="1">
      <alignment horizontal="justify" vertical="center" wrapText="1"/>
    </xf>
    <xf numFmtId="0" fontId="56" fillId="0" borderId="0" xfId="92" applyFont="1" applyAlignment="1">
      <alignment vertical="center"/>
    </xf>
    <xf numFmtId="0" fontId="56" fillId="0" borderId="44" xfId="92" applyFont="1" applyBorder="1" applyAlignment="1">
      <alignment vertical="center" wrapText="1"/>
    </xf>
    <xf numFmtId="0" fontId="56" fillId="0" borderId="10" xfId="92" applyFont="1" applyBorder="1" applyAlignment="1">
      <alignment horizontal="center" vertical="center"/>
    </xf>
    <xf numFmtId="3" fontId="56" fillId="0" borderId="10" xfId="92" applyNumberFormat="1" applyFont="1" applyBorder="1" applyAlignment="1">
      <alignment vertical="center"/>
    </xf>
    <xf numFmtId="0" fontId="85" fillId="0" borderId="2" xfId="92" applyFont="1" applyBorder="1" applyAlignment="1">
      <alignment vertical="center"/>
    </xf>
    <xf numFmtId="3" fontId="78" fillId="27" borderId="10" xfId="92" applyNumberFormat="1" applyFont="1" applyFill="1" applyBorder="1" applyAlignment="1">
      <alignment horizontal="right" vertical="center"/>
    </xf>
    <xf numFmtId="49" fontId="78" fillId="27" borderId="10" xfId="92" applyNumberFormat="1" applyFont="1" applyFill="1" applyBorder="1" applyAlignment="1">
      <alignment horizontal="center" vertical="center"/>
    </xf>
    <xf numFmtId="0" fontId="78" fillId="0" borderId="0" xfId="92" applyFont="1" applyAlignment="1">
      <alignment vertical="center"/>
    </xf>
    <xf numFmtId="0" fontId="78" fillId="0" borderId="2" xfId="92" applyFont="1" applyBorder="1" applyAlignment="1">
      <alignment vertical="center"/>
    </xf>
    <xf numFmtId="3" fontId="56" fillId="27" borderId="2" xfId="92" applyNumberFormat="1" applyFont="1" applyFill="1" applyBorder="1" applyAlignment="1">
      <alignment horizontal="right" vertical="center"/>
    </xf>
    <xf numFmtId="49" fontId="56" fillId="27" borderId="50" xfId="92" applyNumberFormat="1" applyFont="1" applyFill="1" applyBorder="1" applyAlignment="1">
      <alignment horizontal="center" vertical="center"/>
    </xf>
    <xf numFmtId="0" fontId="55" fillId="0" borderId="19" xfId="92" applyFont="1" applyBorder="1" applyAlignment="1">
      <alignment vertical="center" wrapText="1"/>
    </xf>
    <xf numFmtId="0" fontId="55" fillId="0" borderId="39" xfId="92" applyFont="1" applyBorder="1" applyAlignment="1">
      <alignment horizontal="center" vertical="center"/>
    </xf>
    <xf numFmtId="0" fontId="55" fillId="0" borderId="39" xfId="92" applyFont="1" applyBorder="1" applyAlignment="1">
      <alignment vertical="center"/>
    </xf>
    <xf numFmtId="3" fontId="56" fillId="0" borderId="39" xfId="92" applyNumberFormat="1" applyFont="1" applyBorder="1" applyAlignment="1">
      <alignment horizontal="right" vertical="center"/>
    </xf>
    <xf numFmtId="49" fontId="56" fillId="0" borderId="39" xfId="92" applyNumberFormat="1" applyFont="1" applyBorder="1" applyAlignment="1">
      <alignment horizontal="center" vertical="center"/>
    </xf>
    <xf numFmtId="3" fontId="55" fillId="0" borderId="39" xfId="92" applyNumberFormat="1" applyFont="1" applyBorder="1" applyAlignment="1">
      <alignment vertical="center"/>
    </xf>
    <xf numFmtId="0" fontId="55" fillId="0" borderId="65" xfId="92" applyFont="1" applyBorder="1" applyAlignment="1">
      <alignment vertical="center"/>
    </xf>
    <xf numFmtId="0" fontId="55" fillId="27" borderId="15" xfId="54" applyFont="1" applyFill="1" applyBorder="1" applyAlignment="1">
      <alignment horizontal="left" vertical="center"/>
    </xf>
    <xf numFmtId="0" fontId="55" fillId="27" borderId="52" xfId="92" applyFont="1" applyFill="1" applyBorder="1" applyAlignment="1">
      <alignment horizontal="center" vertical="center"/>
    </xf>
    <xf numFmtId="0" fontId="55" fillId="27" borderId="52" xfId="92" applyFont="1" applyFill="1" applyBorder="1" applyAlignment="1">
      <alignment vertical="center"/>
    </xf>
    <xf numFmtId="3" fontId="56" fillId="27" borderId="52" xfId="92" applyNumberFormat="1" applyFont="1" applyFill="1" applyBorder="1" applyAlignment="1">
      <alignment horizontal="right" vertical="center"/>
    </xf>
    <xf numFmtId="49" fontId="56" fillId="27" borderId="53" xfId="92" applyNumberFormat="1" applyFont="1" applyFill="1" applyBorder="1" applyAlignment="1">
      <alignment horizontal="center" vertical="center"/>
    </xf>
    <xf numFmtId="3" fontId="55" fillId="27" borderId="18" xfId="92" applyNumberFormat="1" applyFont="1" applyFill="1" applyBorder="1" applyAlignment="1">
      <alignment vertical="center"/>
    </xf>
    <xf numFmtId="0" fontId="55" fillId="27" borderId="16" xfId="92" applyFont="1" applyFill="1" applyBorder="1" applyAlignment="1">
      <alignment vertical="center"/>
    </xf>
    <xf numFmtId="4" fontId="55" fillId="0" borderId="0" xfId="92" applyNumberFormat="1" applyFont="1"/>
    <xf numFmtId="4" fontId="56" fillId="0" borderId="0" xfId="92" applyNumberFormat="1" applyFont="1"/>
    <xf numFmtId="0" fontId="56" fillId="0" borderId="58" xfId="92" applyFont="1" applyBorder="1" applyAlignment="1">
      <alignment vertical="center" wrapText="1"/>
    </xf>
    <xf numFmtId="0" fontId="56" fillId="0" borderId="8" xfId="92" applyFont="1" applyBorder="1" applyAlignment="1">
      <alignment horizontal="center" vertical="center"/>
    </xf>
    <xf numFmtId="0" fontId="56" fillId="0" borderId="8" xfId="92" applyFont="1" applyBorder="1" applyAlignment="1">
      <alignment vertical="center"/>
    </xf>
    <xf numFmtId="3" fontId="56" fillId="27" borderId="8" xfId="92" applyNumberFormat="1" applyFont="1" applyFill="1" applyBorder="1" applyAlignment="1">
      <alignment horizontal="right" vertical="center"/>
    </xf>
    <xf numFmtId="49" fontId="56" fillId="27" borderId="8" xfId="92" applyNumberFormat="1" applyFont="1" applyFill="1" applyBorder="1" applyAlignment="1">
      <alignment horizontal="center" vertical="center"/>
    </xf>
    <xf numFmtId="3" fontId="56" fillId="0" borderId="8" xfId="92" applyNumberFormat="1" applyFont="1" applyBorder="1" applyAlignment="1">
      <alignment vertical="center"/>
    </xf>
    <xf numFmtId="0" fontId="56" fillId="0" borderId="38" xfId="92" applyFont="1" applyBorder="1" applyAlignment="1">
      <alignment horizontal="justify" vertical="center" wrapText="1"/>
    </xf>
    <xf numFmtId="0" fontId="55" fillId="27" borderId="59" xfId="54" applyFont="1" applyFill="1" applyBorder="1" applyAlignment="1">
      <alignment horizontal="left" vertical="center" wrapText="1"/>
    </xf>
    <xf numFmtId="3" fontId="55" fillId="27" borderId="17" xfId="92" applyNumberFormat="1" applyFont="1" applyFill="1" applyBorder="1" applyAlignment="1">
      <alignment vertical="center"/>
    </xf>
    <xf numFmtId="3" fontId="55" fillId="27" borderId="53" xfId="92" applyNumberFormat="1" applyFont="1" applyFill="1" applyBorder="1" applyAlignment="1">
      <alignment vertical="center"/>
    </xf>
    <xf numFmtId="0" fontId="56" fillId="0" borderId="69" xfId="92" applyFont="1" applyBorder="1" applyAlignment="1">
      <alignment vertical="center" wrapText="1"/>
    </xf>
    <xf numFmtId="0" fontId="56" fillId="0" borderId="12" xfId="92" applyFont="1" applyBorder="1" applyAlignment="1">
      <alignment horizontal="center" vertical="center"/>
    </xf>
    <xf numFmtId="3" fontId="56" fillId="0" borderId="12" xfId="92" applyNumberFormat="1" applyFont="1" applyBorder="1" applyAlignment="1">
      <alignment vertical="center"/>
    </xf>
    <xf numFmtId="0" fontId="55" fillId="27" borderId="59" xfId="54" applyFont="1" applyFill="1" applyBorder="1" applyAlignment="1">
      <alignment horizontal="left" vertical="center"/>
    </xf>
    <xf numFmtId="3" fontId="55" fillId="27" borderId="52" xfId="92" applyNumberFormat="1" applyFont="1" applyFill="1" applyBorder="1" applyAlignment="1">
      <alignment vertical="center"/>
    </xf>
    <xf numFmtId="0" fontId="78" fillId="0" borderId="12" xfId="92" applyFont="1" applyBorder="1" applyAlignment="1">
      <alignment horizontal="center" vertical="center"/>
    </xf>
    <xf numFmtId="3" fontId="78" fillId="27" borderId="12" xfId="92" applyNumberFormat="1" applyFont="1" applyFill="1" applyBorder="1" applyAlignment="1">
      <alignment horizontal="right" vertical="center"/>
    </xf>
    <xf numFmtId="49" fontId="78" fillId="27" borderId="12" xfId="92" applyNumberFormat="1" applyFont="1" applyFill="1" applyBorder="1" applyAlignment="1">
      <alignment horizontal="center" vertical="center"/>
    </xf>
    <xf numFmtId="0" fontId="56" fillId="0" borderId="8" xfId="52" applyFont="1" applyBorder="1" applyAlignment="1">
      <alignment horizontal="center" vertical="center"/>
    </xf>
    <xf numFmtId="0" fontId="56" fillId="0" borderId="0" xfId="86" applyFont="1"/>
    <xf numFmtId="0" fontId="55" fillId="25" borderId="56" xfId="55" applyNumberFormat="1" applyFont="1" applyFill="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xf>
    <xf numFmtId="0" fontId="49" fillId="0" borderId="0" xfId="1" applyFont="1" applyAlignment="1">
      <alignment horizontal="center" vertical="center" wrapText="1"/>
    </xf>
    <xf numFmtId="49" fontId="45" fillId="0" borderId="35" xfId="1" applyNumberFormat="1" applyFont="1" applyBorder="1" applyAlignment="1">
      <alignment horizontal="center" vertical="center" wrapText="1"/>
    </xf>
    <xf numFmtId="49" fontId="45" fillId="0" borderId="19" xfId="1" applyNumberFormat="1" applyFont="1" applyBorder="1" applyAlignment="1">
      <alignment horizontal="center" vertical="center" wrapText="1"/>
    </xf>
    <xf numFmtId="3" fontId="45" fillId="0" borderId="32" xfId="1" applyNumberFormat="1" applyFont="1" applyBorder="1" applyAlignment="1">
      <alignment horizontal="center" vertical="center" wrapText="1"/>
    </xf>
    <xf numFmtId="3" fontId="45" fillId="0" borderId="22" xfId="1" applyNumberFormat="1" applyFont="1" applyBorder="1" applyAlignment="1">
      <alignment horizontal="center" vertical="center" wrapText="1"/>
    </xf>
    <xf numFmtId="3" fontId="45" fillId="0" borderId="31" xfId="1" applyNumberFormat="1" applyFont="1" applyBorder="1" applyAlignment="1">
      <alignment horizontal="center" vertical="center" wrapText="1"/>
    </xf>
    <xf numFmtId="3" fontId="45" fillId="0" borderId="23" xfId="1" applyNumberFormat="1" applyFont="1" applyBorder="1" applyAlignment="1">
      <alignment horizontal="center" vertical="center" wrapText="1"/>
    </xf>
    <xf numFmtId="3" fontId="45" fillId="0" borderId="34" xfId="1" applyNumberFormat="1" applyFont="1" applyBorder="1" applyAlignment="1">
      <alignment horizontal="center" vertical="center" wrapText="1"/>
    </xf>
    <xf numFmtId="3" fontId="45" fillId="0" borderId="21" xfId="1" applyNumberFormat="1" applyFont="1" applyBorder="1" applyAlignment="1">
      <alignment horizontal="center" vertical="center" wrapText="1"/>
    </xf>
    <xf numFmtId="0" fontId="25" fillId="0" borderId="33" xfId="1" applyFont="1" applyBorder="1" applyAlignment="1">
      <alignment horizontal="center" vertical="center" wrapText="1"/>
    </xf>
    <xf numFmtId="0" fontId="23" fillId="0" borderId="20" xfId="1" applyFont="1" applyBorder="1" applyAlignment="1">
      <alignment horizontal="center"/>
    </xf>
    <xf numFmtId="0" fontId="50" fillId="0" borderId="39" xfId="51" applyFont="1" applyBorder="1" applyAlignment="1">
      <alignment horizontal="center" vertical="center" wrapText="1"/>
    </xf>
    <xf numFmtId="0" fontId="51" fillId="0" borderId="33" xfId="51" applyFont="1" applyBorder="1" applyAlignment="1">
      <alignment horizontal="center" vertical="center"/>
    </xf>
    <xf numFmtId="0" fontId="51" fillId="0" borderId="20" xfId="51" applyFont="1" applyBorder="1" applyAlignment="1">
      <alignment horizontal="center" vertical="center"/>
    </xf>
    <xf numFmtId="0" fontId="52" fillId="27" borderId="32" xfId="51" applyFont="1" applyFill="1" applyBorder="1" applyAlignment="1">
      <alignment horizontal="center" vertical="center"/>
    </xf>
    <xf numFmtId="0" fontId="52" fillId="27" borderId="22" xfId="51" applyFont="1" applyFill="1" applyBorder="1" applyAlignment="1">
      <alignment horizontal="center" vertical="center"/>
    </xf>
    <xf numFmtId="165" fontId="51" fillId="0" borderId="40" xfId="51" applyNumberFormat="1" applyFont="1" applyBorder="1" applyAlignment="1">
      <alignment horizontal="center" vertical="center" wrapText="1"/>
    </xf>
    <xf numFmtId="165" fontId="51" fillId="0" borderId="41" xfId="51" applyNumberFormat="1" applyFont="1" applyBorder="1" applyAlignment="1">
      <alignment horizontal="center" vertical="center" wrapText="1"/>
    </xf>
    <xf numFmtId="0" fontId="22" fillId="0" borderId="0" xfId="52" applyFont="1" applyAlignment="1">
      <alignment horizontal="center" vertical="center" wrapText="1"/>
    </xf>
    <xf numFmtId="0" fontId="3" fillId="0" borderId="0" xfId="86" applyAlignment="1">
      <alignment horizontal="center" vertical="center" wrapText="1"/>
    </xf>
    <xf numFmtId="0" fontId="55" fillId="25" borderId="47" xfId="52" applyFont="1" applyFill="1" applyBorder="1" applyAlignment="1">
      <alignment horizontal="center" vertical="center" wrapText="1"/>
    </xf>
    <xf numFmtId="0" fontId="55" fillId="25" borderId="49" xfId="52" applyFont="1" applyFill="1" applyBorder="1" applyAlignment="1">
      <alignment horizontal="center" vertical="center" wrapText="1"/>
    </xf>
    <xf numFmtId="0" fontId="55" fillId="25" borderId="32" xfId="52" applyFont="1" applyFill="1" applyBorder="1" applyAlignment="1">
      <alignment horizontal="center" vertical="center" wrapText="1"/>
    </xf>
    <xf numFmtId="0" fontId="59" fillId="0" borderId="10" xfId="86" applyFont="1" applyBorder="1" applyAlignment="1">
      <alignment horizontal="center" vertical="center" wrapText="1"/>
    </xf>
    <xf numFmtId="4" fontId="55" fillId="25" borderId="24" xfId="52" applyNumberFormat="1" applyFont="1" applyFill="1" applyBorder="1" applyAlignment="1">
      <alignment horizontal="center" vertical="center" wrapText="1"/>
    </xf>
    <xf numFmtId="4" fontId="55" fillId="25" borderId="4" xfId="52" applyNumberFormat="1" applyFont="1" applyFill="1" applyBorder="1" applyAlignment="1">
      <alignment horizontal="center" vertical="center"/>
    </xf>
    <xf numFmtId="4" fontId="55" fillId="25" borderId="25" xfId="34" applyNumberFormat="1" applyFont="1" applyFill="1" applyBorder="1" applyAlignment="1">
      <alignment horizontal="center" vertical="center" wrapText="1"/>
    </xf>
    <xf numFmtId="0" fontId="58" fillId="0" borderId="40" xfId="34" applyFont="1" applyBorder="1" applyAlignment="1">
      <alignment vertical="center"/>
    </xf>
    <xf numFmtId="0" fontId="20" fillId="0" borderId="40" xfId="34" applyBorder="1" applyAlignment="1">
      <alignment vertical="center"/>
    </xf>
    <xf numFmtId="0" fontId="59" fillId="0" borderId="40" xfId="88" applyFont="1" applyBorder="1" applyAlignment="1">
      <alignment vertical="center"/>
    </xf>
    <xf numFmtId="0" fontId="55" fillId="25" borderId="36" xfId="52" applyFont="1" applyFill="1" applyBorder="1" applyAlignment="1">
      <alignment horizontal="center" vertical="center"/>
    </xf>
    <xf numFmtId="0" fontId="55" fillId="25" borderId="5" xfId="52" applyFont="1" applyFill="1" applyBorder="1" applyAlignment="1">
      <alignment horizontal="center" vertical="center"/>
    </xf>
    <xf numFmtId="0" fontId="22" fillId="0" borderId="0" xfId="54" applyFont="1" applyAlignment="1">
      <alignment horizontal="center" vertical="center" wrapText="1"/>
    </xf>
    <xf numFmtId="3" fontId="56" fillId="27" borderId="2" xfId="92" applyNumberFormat="1" applyFont="1" applyFill="1" applyBorder="1" applyAlignment="1">
      <alignment horizontal="center" vertical="center"/>
    </xf>
    <xf numFmtId="0" fontId="59" fillId="0" borderId="50" xfId="92" applyFont="1" applyBorder="1" applyAlignment="1">
      <alignment horizontal="center" vertical="center"/>
    </xf>
    <xf numFmtId="3" fontId="56" fillId="27" borderId="7" xfId="92" applyNumberFormat="1" applyFont="1" applyFill="1" applyBorder="1" applyAlignment="1">
      <alignment horizontal="center" vertical="center"/>
    </xf>
    <xf numFmtId="0" fontId="59" fillId="0" borderId="74" xfId="92" applyFont="1" applyBorder="1" applyAlignment="1">
      <alignment horizontal="center" vertical="center"/>
    </xf>
    <xf numFmtId="0" fontId="1" fillId="0" borderId="50" xfId="92" applyBorder="1" applyAlignment="1">
      <alignment horizontal="center" vertical="center"/>
    </xf>
    <xf numFmtId="0" fontId="56" fillId="0" borderId="0" xfId="92" applyFont="1" applyAlignment="1">
      <alignment wrapText="1"/>
    </xf>
    <xf numFmtId="0" fontId="59" fillId="0" borderId="0" xfId="92" applyFont="1"/>
    <xf numFmtId="0" fontId="1" fillId="0" borderId="0" xfId="92"/>
    <xf numFmtId="0" fontId="1" fillId="0" borderId="0" xfId="92" applyAlignment="1">
      <alignment horizontal="left" wrapText="1"/>
    </xf>
    <xf numFmtId="0" fontId="55" fillId="27" borderId="32" xfId="92" applyFont="1" applyFill="1" applyBorder="1" applyAlignment="1">
      <alignment horizontal="center" vertical="center" wrapText="1"/>
    </xf>
    <xf numFmtId="0" fontId="1" fillId="0" borderId="22" xfId="92" applyBorder="1" applyAlignment="1">
      <alignment horizontal="center" vertical="center" wrapText="1"/>
    </xf>
    <xf numFmtId="0" fontId="83" fillId="27" borderId="25" xfId="92" applyFont="1" applyFill="1" applyBorder="1" applyAlignment="1">
      <alignment horizontal="center" vertical="center" wrapText="1"/>
    </xf>
    <xf numFmtId="0" fontId="1" fillId="0" borderId="40" xfId="92" applyBorder="1" applyAlignment="1">
      <alignment horizontal="center" vertical="center" wrapText="1"/>
    </xf>
    <xf numFmtId="0" fontId="1" fillId="0" borderId="48" xfId="92" applyBorder="1" applyAlignment="1">
      <alignment horizontal="center" vertical="center" wrapText="1"/>
    </xf>
    <xf numFmtId="0" fontId="55" fillId="27" borderId="34" xfId="92" applyFont="1" applyFill="1" applyBorder="1" applyAlignment="1">
      <alignment horizontal="center" vertical="center" wrapText="1"/>
    </xf>
    <xf numFmtId="0" fontId="1" fillId="0" borderId="21" xfId="92" applyBorder="1" applyAlignment="1">
      <alignment horizontal="center" vertical="center" wrapText="1"/>
    </xf>
    <xf numFmtId="0" fontId="55" fillId="27" borderId="0" xfId="92" applyFont="1" applyFill="1" applyAlignment="1">
      <alignment horizontal="left" wrapText="1"/>
    </xf>
    <xf numFmtId="0" fontId="83" fillId="27" borderId="62" xfId="92" applyFont="1" applyFill="1" applyBorder="1"/>
    <xf numFmtId="0" fontId="55" fillId="27" borderId="47" xfId="92" applyFont="1" applyFill="1" applyBorder="1" applyAlignment="1">
      <alignment horizontal="center" vertical="center" wrapText="1"/>
    </xf>
    <xf numFmtId="0" fontId="83" fillId="27" borderId="57" xfId="92" applyFont="1" applyFill="1" applyBorder="1" applyAlignment="1">
      <alignment horizontal="center" vertical="center" wrapText="1"/>
    </xf>
    <xf numFmtId="0" fontId="55" fillId="27" borderId="24" xfId="92" applyFont="1" applyFill="1" applyBorder="1" applyAlignment="1">
      <alignment horizontal="center" vertical="center" wrapText="1"/>
    </xf>
    <xf numFmtId="0" fontId="83" fillId="27" borderId="42" xfId="92" applyFont="1" applyFill="1" applyBorder="1" applyAlignment="1">
      <alignment horizontal="center" vertical="center"/>
    </xf>
    <xf numFmtId="0" fontId="55" fillId="27" borderId="24" xfId="92" applyFont="1" applyFill="1" applyBorder="1" applyAlignment="1">
      <alignment horizontal="center" wrapText="1"/>
    </xf>
    <xf numFmtId="0" fontId="83" fillId="27" borderId="24" xfId="92" applyFont="1" applyFill="1" applyBorder="1" applyAlignment="1">
      <alignment wrapText="1"/>
    </xf>
    <xf numFmtId="0" fontId="22" fillId="0" borderId="0" xfId="86" applyFont="1" applyAlignment="1">
      <alignment horizontal="center" vertical="center"/>
    </xf>
    <xf numFmtId="0" fontId="77" fillId="0" borderId="39" xfId="86" applyFont="1" applyBorder="1" applyAlignment="1">
      <alignment horizontal="center"/>
    </xf>
    <xf numFmtId="0" fontId="55" fillId="25" borderId="55" xfId="52" applyFont="1" applyFill="1" applyBorder="1" applyAlignment="1">
      <alignment horizontal="center" vertical="center" wrapText="1"/>
    </xf>
    <xf numFmtId="0" fontId="55" fillId="25" borderId="15" xfId="52" applyFont="1" applyFill="1" applyBorder="1" applyAlignment="1">
      <alignment horizontal="center" vertical="center" wrapText="1"/>
    </xf>
    <xf numFmtId="0" fontId="55" fillId="25" borderId="54" xfId="52" applyFont="1" applyFill="1" applyBorder="1" applyAlignment="1">
      <alignment horizontal="center" vertical="center" wrapText="1"/>
    </xf>
    <xf numFmtId="0" fontId="55" fillId="25" borderId="24" xfId="52" applyFont="1" applyFill="1" applyBorder="1" applyAlignment="1">
      <alignment horizontal="center" vertical="center" wrapText="1"/>
    </xf>
    <xf numFmtId="0" fontId="55" fillId="25" borderId="18" xfId="52" applyFont="1" applyFill="1" applyBorder="1" applyAlignment="1">
      <alignment horizontal="center" vertical="center" wrapText="1"/>
    </xf>
    <xf numFmtId="0" fontId="55" fillId="25" borderId="25" xfId="52" applyFont="1" applyFill="1" applyBorder="1" applyAlignment="1">
      <alignment horizontal="center" vertical="center" wrapText="1"/>
    </xf>
    <xf numFmtId="0" fontId="55" fillId="25" borderId="40" xfId="52" applyFont="1" applyFill="1" applyBorder="1" applyAlignment="1">
      <alignment horizontal="center" vertical="center" wrapText="1"/>
    </xf>
    <xf numFmtId="0" fontId="55" fillId="25" borderId="48" xfId="52" applyFont="1" applyFill="1" applyBorder="1" applyAlignment="1">
      <alignment horizontal="center" vertical="center" wrapText="1"/>
    </xf>
    <xf numFmtId="0" fontId="55" fillId="25" borderId="36" xfId="52" applyFont="1" applyFill="1" applyBorder="1" applyAlignment="1">
      <alignment horizontal="center" vertical="center" wrapText="1"/>
    </xf>
    <xf numFmtId="0" fontId="55" fillId="25" borderId="16" xfId="52" applyFont="1" applyFill="1" applyBorder="1" applyAlignment="1">
      <alignment horizontal="center" vertical="center" wrapText="1"/>
    </xf>
    <xf numFmtId="0" fontId="55" fillId="0" borderId="55" xfId="52" applyFont="1" applyBorder="1" applyAlignment="1">
      <alignment horizontal="left" vertical="center" wrapText="1"/>
    </xf>
    <xf numFmtId="0" fontId="55" fillId="0" borderId="40" xfId="52" applyFont="1" applyBorder="1" applyAlignment="1">
      <alignment horizontal="left" vertical="center" wrapText="1"/>
    </xf>
    <xf numFmtId="0" fontId="55" fillId="0" borderId="41" xfId="52" applyFont="1" applyBorder="1" applyAlignment="1">
      <alignment horizontal="left" vertical="center" wrapText="1"/>
    </xf>
    <xf numFmtId="0" fontId="55" fillId="0" borderId="37" xfId="52" applyFont="1" applyBorder="1" applyAlignment="1">
      <alignment horizontal="left" vertical="center"/>
    </xf>
    <xf numFmtId="0" fontId="55" fillId="0" borderId="66" xfId="52" applyFont="1" applyBorder="1" applyAlignment="1">
      <alignment horizontal="left" vertical="center"/>
    </xf>
    <xf numFmtId="0" fontId="55" fillId="0" borderId="55" xfId="52" applyFont="1" applyBorder="1" applyAlignment="1">
      <alignment horizontal="left" vertical="center"/>
    </xf>
    <xf numFmtId="0" fontId="55" fillId="0" borderId="68" xfId="52" applyFont="1" applyBorder="1" applyAlignment="1">
      <alignment horizontal="left" vertical="center"/>
    </xf>
    <xf numFmtId="0" fontId="55" fillId="0" borderId="1" xfId="52" applyFont="1" applyBorder="1" applyAlignment="1">
      <alignment horizontal="left" vertical="center"/>
    </xf>
    <xf numFmtId="0" fontId="55" fillId="0" borderId="67" xfId="52" applyFont="1" applyBorder="1" applyAlignment="1">
      <alignment horizontal="left" vertical="center"/>
    </xf>
    <xf numFmtId="0" fontId="55" fillId="0" borderId="35" xfId="52" applyFont="1" applyBorder="1" applyAlignment="1">
      <alignment horizontal="left" vertical="center"/>
    </xf>
    <xf numFmtId="0" fontId="55" fillId="0" borderId="71" xfId="52" applyFont="1" applyBorder="1" applyAlignment="1">
      <alignment horizontal="left" vertical="center"/>
    </xf>
    <xf numFmtId="0" fontId="55" fillId="0" borderId="40" xfId="52" applyFont="1" applyBorder="1" applyAlignment="1">
      <alignment horizontal="left" vertical="center"/>
    </xf>
    <xf numFmtId="0" fontId="55" fillId="0" borderId="41" xfId="52" applyFont="1" applyBorder="1" applyAlignment="1">
      <alignment horizontal="left" vertical="center"/>
    </xf>
    <xf numFmtId="0" fontId="55" fillId="25" borderId="14" xfId="52" applyFont="1" applyFill="1" applyBorder="1" applyAlignment="1">
      <alignment horizontal="center" vertical="center" wrapText="1"/>
    </xf>
    <xf numFmtId="0" fontId="55" fillId="25" borderId="57" xfId="52" applyFont="1" applyFill="1" applyBorder="1" applyAlignment="1">
      <alignment horizontal="center" vertical="center" wrapText="1"/>
    </xf>
    <xf numFmtId="0" fontId="59" fillId="0" borderId="22" xfId="87" applyFont="1" applyBorder="1" applyAlignment="1">
      <alignment horizontal="center" vertical="center" wrapText="1"/>
    </xf>
    <xf numFmtId="4" fontId="55" fillId="25" borderId="32" xfId="52" applyNumberFormat="1" applyFont="1" applyFill="1" applyBorder="1" applyAlignment="1">
      <alignment horizontal="center" vertical="center" wrapText="1"/>
    </xf>
    <xf numFmtId="4" fontId="55" fillId="25" borderId="22" xfId="52" applyNumberFormat="1" applyFont="1" applyFill="1" applyBorder="1" applyAlignment="1">
      <alignment horizontal="center" vertical="center" wrapText="1"/>
    </xf>
    <xf numFmtId="0" fontId="55" fillId="25" borderId="56" xfId="52" applyFont="1" applyFill="1" applyBorder="1" applyAlignment="1">
      <alignment horizontal="center" vertical="center" wrapText="1"/>
    </xf>
    <xf numFmtId="0" fontId="55" fillId="25" borderId="43" xfId="52" applyFont="1" applyFill="1" applyBorder="1" applyAlignment="1">
      <alignment horizontal="center" vertical="center" wrapText="1"/>
    </xf>
    <xf numFmtId="0" fontId="55" fillId="0" borderId="0" xfId="52" applyFont="1" applyAlignment="1">
      <alignment horizontal="left" vertical="center"/>
    </xf>
    <xf numFmtId="0" fontId="55" fillId="0" borderId="61" xfId="52" applyFont="1" applyBorder="1" applyAlignment="1">
      <alignment horizontal="left" vertical="center"/>
    </xf>
    <xf numFmtId="0" fontId="56" fillId="0" borderId="58" xfId="87" applyFont="1" applyBorder="1" applyAlignment="1">
      <alignment horizontal="left" vertical="center" wrapText="1"/>
    </xf>
    <xf numFmtId="0" fontId="56" fillId="0" borderId="69" xfId="87" applyFont="1" applyBorder="1" applyAlignment="1">
      <alignment horizontal="left" vertical="center" wrapText="1"/>
    </xf>
    <xf numFmtId="0" fontId="56" fillId="0" borderId="44" xfId="87" applyFont="1" applyBorder="1" applyAlignment="1">
      <alignment horizontal="left" vertical="center" wrapText="1"/>
    </xf>
    <xf numFmtId="0" fontId="2" fillId="0" borderId="0" xfId="89" applyAlignment="1">
      <alignment horizontal="center" vertical="center" wrapText="1"/>
    </xf>
    <xf numFmtId="0" fontId="59" fillId="0" borderId="22" xfId="89" applyFont="1" applyBorder="1" applyAlignment="1">
      <alignment horizontal="center" vertical="center" wrapText="1"/>
    </xf>
    <xf numFmtId="4" fontId="55" fillId="27" borderId="24" xfId="34" applyNumberFormat="1" applyFont="1" applyFill="1" applyBorder="1" applyAlignment="1" applyProtection="1">
      <alignment horizontal="center" vertical="center" wrapText="1"/>
      <protection locked="0"/>
    </xf>
    <xf numFmtId="4" fontId="55" fillId="27" borderId="42" xfId="34" applyNumberFormat="1" applyFont="1" applyFill="1" applyBorder="1" applyAlignment="1" applyProtection="1">
      <alignment horizontal="center" vertical="center" wrapText="1"/>
      <protection locked="0"/>
    </xf>
    <xf numFmtId="9" fontId="55" fillId="27" borderId="32" xfId="34" applyNumberFormat="1" applyFont="1" applyFill="1" applyBorder="1" applyAlignment="1" applyProtection="1">
      <alignment horizontal="center" vertical="center" wrapText="1"/>
      <protection locked="0"/>
    </xf>
    <xf numFmtId="9" fontId="55" fillId="27" borderId="22" xfId="34" applyNumberFormat="1" applyFont="1" applyFill="1" applyBorder="1" applyAlignment="1" applyProtection="1">
      <alignment horizontal="center" vertical="center" wrapText="1"/>
      <protection locked="0"/>
    </xf>
    <xf numFmtId="49" fontId="55" fillId="27" borderId="24" xfId="34" applyNumberFormat="1" applyFont="1" applyFill="1" applyBorder="1" applyAlignment="1" applyProtection="1">
      <alignment horizontal="center" vertical="center" wrapText="1"/>
      <protection locked="0"/>
    </xf>
    <xf numFmtId="49" fontId="59" fillId="0" borderId="24" xfId="90" applyNumberFormat="1" applyFont="1" applyBorder="1" applyAlignment="1">
      <alignment horizontal="center" vertical="center" wrapText="1"/>
    </xf>
    <xf numFmtId="0" fontId="59" fillId="0" borderId="41" xfId="91" applyFont="1" applyBorder="1" applyAlignment="1">
      <alignment vertical="center"/>
    </xf>
    <xf numFmtId="0" fontId="22" fillId="0" borderId="0" xfId="37" applyFont="1" applyAlignment="1">
      <alignment horizontal="center" vertical="center"/>
    </xf>
    <xf numFmtId="0" fontId="57" fillId="0" borderId="0" xfId="37" applyFont="1" applyAlignment="1">
      <alignment horizontal="center"/>
    </xf>
    <xf numFmtId="0" fontId="25" fillId="0" borderId="47" xfId="37" applyFont="1" applyBorder="1" applyAlignment="1">
      <alignment horizontal="center" vertical="center" wrapText="1"/>
    </xf>
    <xf numFmtId="0" fontId="25" fillId="0" borderId="24" xfId="37" applyFont="1" applyBorder="1" applyAlignment="1">
      <alignment horizontal="center" vertical="center"/>
    </xf>
    <xf numFmtId="0" fontId="25" fillId="0" borderId="36" xfId="37" applyFont="1" applyBorder="1" applyAlignment="1">
      <alignment horizontal="center" vertical="center"/>
    </xf>
    <xf numFmtId="0" fontId="25" fillId="0" borderId="55" xfId="37" applyFont="1" applyBorder="1" applyAlignment="1">
      <alignment horizontal="center" vertical="center" wrapText="1"/>
    </xf>
    <xf numFmtId="0" fontId="25" fillId="0" borderId="40" xfId="37" applyFont="1" applyBorder="1" applyAlignment="1">
      <alignment horizontal="center" vertical="center" wrapText="1"/>
    </xf>
    <xf numFmtId="0" fontId="25" fillId="0" borderId="41" xfId="37" applyFont="1" applyBorder="1" applyAlignment="1">
      <alignment horizontal="center" vertical="center" wrapText="1"/>
    </xf>
    <xf numFmtId="0" fontId="23" fillId="0" borderId="40" xfId="37" applyFont="1" applyBorder="1" applyAlignment="1">
      <alignment horizontal="center" vertical="center"/>
    </xf>
    <xf numFmtId="0" fontId="23" fillId="0" borderId="41" xfId="37" applyFont="1" applyBorder="1" applyAlignment="1">
      <alignment horizontal="center" vertical="center"/>
    </xf>
    <xf numFmtId="0" fontId="22" fillId="0" borderId="0" xfId="51" applyFont="1" applyAlignment="1">
      <alignment horizontal="center" vertical="center" wrapText="1"/>
    </xf>
    <xf numFmtId="0" fontId="60" fillId="0" borderId="0" xfId="51" applyFont="1" applyAlignment="1">
      <alignment horizontal="center" vertical="center"/>
    </xf>
    <xf numFmtId="0" fontId="55" fillId="0" borderId="0" xfId="51" applyFont="1" applyAlignment="1">
      <alignment horizontal="left" wrapText="1"/>
    </xf>
    <xf numFmtId="0" fontId="56" fillId="0" borderId="0" xfId="51" applyFont="1" applyAlignment="1">
      <alignment horizontal="left" wrapText="1"/>
    </xf>
  </cellXfs>
  <cellStyles count="93">
    <cellStyle name="20 % – Zvýraznění1 2" xfId="2" xr:uid="{00000000-0005-0000-0000-000000000000}"/>
    <cellStyle name="20 % – Zvýraznění2 2" xfId="3" xr:uid="{00000000-0005-0000-0000-000001000000}"/>
    <cellStyle name="20 % – Zvýraznění3 2" xfId="4" xr:uid="{00000000-0005-0000-0000-000002000000}"/>
    <cellStyle name="20 % – Zvýraznění4 2" xfId="5" xr:uid="{00000000-0005-0000-0000-000003000000}"/>
    <cellStyle name="20 % - zvýraznenie1" xfId="6" xr:uid="{00000000-0005-0000-0000-000004000000}"/>
    <cellStyle name="20 % - zvýraznenie2" xfId="7" xr:uid="{00000000-0005-0000-0000-000005000000}"/>
    <cellStyle name="20 % - zvýraznenie3" xfId="8" xr:uid="{00000000-0005-0000-0000-000006000000}"/>
    <cellStyle name="20 % - zvýraznenie4" xfId="9" xr:uid="{00000000-0005-0000-0000-000007000000}"/>
    <cellStyle name="20 % - zvýraznenie5" xfId="10" xr:uid="{00000000-0005-0000-0000-000008000000}"/>
    <cellStyle name="20 % - zvýraznenie6" xfId="11" xr:uid="{00000000-0005-0000-0000-000009000000}"/>
    <cellStyle name="40 % – Zvýraznění3 2" xfId="12" xr:uid="{00000000-0005-0000-0000-00000A000000}"/>
    <cellStyle name="40 % - zvýraznenie1" xfId="13" xr:uid="{00000000-0005-0000-0000-00000B000000}"/>
    <cellStyle name="40 % - zvýraznenie2" xfId="14" xr:uid="{00000000-0005-0000-0000-00000C000000}"/>
    <cellStyle name="40 % - zvýraznenie3" xfId="15" xr:uid="{00000000-0005-0000-0000-00000D000000}"/>
    <cellStyle name="40 % - zvýraznenie4" xfId="16" xr:uid="{00000000-0005-0000-0000-00000E000000}"/>
    <cellStyle name="40 % - zvýraznenie5" xfId="17" xr:uid="{00000000-0005-0000-0000-00000F000000}"/>
    <cellStyle name="40 % - zvýraznenie6" xfId="18" xr:uid="{00000000-0005-0000-0000-000010000000}"/>
    <cellStyle name="60 % – Zvýraznění3 2" xfId="19" xr:uid="{00000000-0005-0000-0000-000011000000}"/>
    <cellStyle name="60 % – Zvýraznění4 2" xfId="20" xr:uid="{00000000-0005-0000-0000-000012000000}"/>
    <cellStyle name="60 % – Zvýraznění6 2" xfId="21" xr:uid="{00000000-0005-0000-0000-000013000000}"/>
    <cellStyle name="60 % - zvýraznenie1" xfId="22" xr:uid="{00000000-0005-0000-0000-000014000000}"/>
    <cellStyle name="60 % - zvýraznenie2" xfId="23" xr:uid="{00000000-0005-0000-0000-000015000000}"/>
    <cellStyle name="60 % - zvýraznenie3" xfId="24" xr:uid="{00000000-0005-0000-0000-000016000000}"/>
    <cellStyle name="60 % - zvýraznenie4" xfId="25" xr:uid="{00000000-0005-0000-0000-000017000000}"/>
    <cellStyle name="60 % - zvýraznenie5" xfId="26" xr:uid="{00000000-0005-0000-0000-000018000000}"/>
    <cellStyle name="60 % - zvýraznenie6" xfId="27" xr:uid="{00000000-0005-0000-0000-000019000000}"/>
    <cellStyle name="Dobrá" xfId="28" xr:uid="{00000000-0005-0000-0000-00001A000000}"/>
    <cellStyle name="Kontrolná bunka" xfId="29" xr:uid="{00000000-0005-0000-0000-00001B000000}"/>
    <cellStyle name="Neutrálna" xfId="30" xr:uid="{00000000-0005-0000-0000-00001C000000}"/>
    <cellStyle name="Normal_Zlin II table for road scheme submission_new environmental wording" xfId="31" xr:uid="{00000000-0005-0000-0000-00001D000000}"/>
    <cellStyle name="normálne 2" xfId="32" xr:uid="{00000000-0005-0000-0000-00001E000000}"/>
    <cellStyle name="normálne_2007 až 2013 august 2008" xfId="33" xr:uid="{00000000-0005-0000-0000-00001F000000}"/>
    <cellStyle name="Normální" xfId="0" builtinId="0"/>
    <cellStyle name="Normální 10" xfId="68" xr:uid="{7EAF0ABE-876C-4C5B-B00B-70889B2124CC}"/>
    <cellStyle name="Normální 11" xfId="70" xr:uid="{F7AE1ADC-9B54-4DC4-A6B2-E2ADA9011DC9}"/>
    <cellStyle name="Normální 11 2" xfId="77" xr:uid="{3A752018-D7C9-4CB6-AABC-7126566A31B0}"/>
    <cellStyle name="Normální 11 3" xfId="79" xr:uid="{285A0CB7-4643-4720-9E15-6384F9A1B930}"/>
    <cellStyle name="Normální 11 3 2" xfId="81" xr:uid="{43359363-99AA-46E2-B4B2-9A8C982D1DD1}"/>
    <cellStyle name="Normální 12" xfId="74" xr:uid="{D9B8657F-63B1-456D-B6D4-8F0080673836}"/>
    <cellStyle name="Normální 12 2" xfId="82" xr:uid="{128C3FEF-6D04-413B-B8C2-24BB1DDA1973}"/>
    <cellStyle name="Normální 12 2 2" xfId="86" xr:uid="{F399F551-779B-433A-9424-4DF19C646688}"/>
    <cellStyle name="Normální 12 3" xfId="85" xr:uid="{D17C9F9B-DAD1-426B-AA06-3C13193287BA}"/>
    <cellStyle name="Normální 13" xfId="78" xr:uid="{7C9A2637-C50D-4996-83F4-00D6D90391CA}"/>
    <cellStyle name="Normální 13 2" xfId="80" xr:uid="{F3F11FF6-B67F-47DC-B6F3-C898A9E0AAC6}"/>
    <cellStyle name="Normální 13 2 2" xfId="90" xr:uid="{ADAF0539-C254-4119-89EF-6C9D0DCB56CC}"/>
    <cellStyle name="Normální 14" xfId="89" xr:uid="{9B4354A2-AE47-4A9D-BA00-5F7F4D41C3A1}"/>
    <cellStyle name="Normální 15" xfId="92" xr:uid="{4D85CBCB-450F-47F8-957D-A73CC61ADC30}"/>
    <cellStyle name="normální 2" xfId="34" xr:uid="{00000000-0005-0000-0000-000021000000}"/>
    <cellStyle name="Normální 2 2" xfId="69" xr:uid="{F07B7566-2064-476F-9BB1-37E620009519}"/>
    <cellStyle name="Normální 3" xfId="35" xr:uid="{00000000-0005-0000-0000-000022000000}"/>
    <cellStyle name="Normální 3 2" xfId="54" xr:uid="{00000000-0005-0000-0000-000023000000}"/>
    <cellStyle name="Normální 3 2 2" xfId="71" xr:uid="{2978BC99-9761-4968-A077-8A6669D5BDC4}"/>
    <cellStyle name="Normální 3 2 2 2" xfId="88" xr:uid="{1D6E8190-48D0-4C38-9750-9B1316B7E33D}"/>
    <cellStyle name="Normální 3 2 2 3" xfId="91" xr:uid="{57CD2F5B-A8B2-4978-B374-FF05B39FBE73}"/>
    <cellStyle name="Normální 4" xfId="36" xr:uid="{00000000-0005-0000-0000-000024000000}"/>
    <cellStyle name="Normální 4 2" xfId="51" xr:uid="{00000000-0005-0000-0000-000025000000}"/>
    <cellStyle name="Normální 5" xfId="37" xr:uid="{00000000-0005-0000-0000-000026000000}"/>
    <cellStyle name="Normální 6" xfId="53" xr:uid="{00000000-0005-0000-0000-000027000000}"/>
    <cellStyle name="Normální 6 2" xfId="56" xr:uid="{00000000-0005-0000-0000-000028000000}"/>
    <cellStyle name="Normální 6 2 2" xfId="59" xr:uid="{00000000-0005-0000-0000-000029000000}"/>
    <cellStyle name="Normální 6 2 2 2" xfId="60" xr:uid="{00000000-0005-0000-0000-00002A000000}"/>
    <cellStyle name="Normální 6 2 2 2 2" xfId="73" xr:uid="{9AC4A17D-5287-4BF3-BE35-E8222A5F5422}"/>
    <cellStyle name="Normální 6 2 2 2 2 2" xfId="76" xr:uid="{85DF5EC5-CC07-40CF-B637-F7A6DDE66B23}"/>
    <cellStyle name="Normální 6 2 2 2 2 2 2" xfId="84" xr:uid="{ED271366-DCD7-415B-B8EA-2A5C6027316A}"/>
    <cellStyle name="Normální 6 3" xfId="57" xr:uid="{00000000-0005-0000-0000-00002B000000}"/>
    <cellStyle name="Normální 6 3 2" xfId="58" xr:uid="{00000000-0005-0000-0000-00002C000000}"/>
    <cellStyle name="Normální 6 3 2 2" xfId="61" xr:uid="{00000000-0005-0000-0000-00002D000000}"/>
    <cellStyle name="Normální 6 3 2 3" xfId="63" xr:uid="{00000000-0005-0000-0000-00002E000000}"/>
    <cellStyle name="Normální 6 3 3" xfId="62" xr:uid="{00000000-0005-0000-0000-00002F000000}"/>
    <cellStyle name="Normální 6 3 4" xfId="66" xr:uid="{599A6705-45E3-4F72-8ECF-8CE826AAF7BB}"/>
    <cellStyle name="Normální 6 3 4 2" xfId="72" xr:uid="{99050197-9413-4201-86D9-AAECD267F702}"/>
    <cellStyle name="Normální 6 3 4 2 2" xfId="75" xr:uid="{3E8BD71C-D6C5-49A3-86F0-75B296AA7100}"/>
    <cellStyle name="Normální 6 3 4 2 2 2" xfId="83" xr:uid="{20F9C093-1172-46AB-82DD-47765629A83C}"/>
    <cellStyle name="Normální 6 3 4 2 2 2 2" xfId="87" xr:uid="{30FE1315-5002-4CAB-9C60-144ED8004B40}"/>
    <cellStyle name="Normální 7" xfId="64" xr:uid="{9E7DB6FB-4C1D-4ED6-B264-95259FBE2035}"/>
    <cellStyle name="Normální 8" xfId="65" xr:uid="{FB0AF3BA-E015-424E-A45A-C9EA63B1A35F}"/>
    <cellStyle name="Normální 9" xfId="67" xr:uid="{117EABE7-3638-4C5B-BBAD-BDFD6F941C33}"/>
    <cellStyle name="normální_10_BILANCEE" xfId="1" xr:uid="{00000000-0005-0000-0000-000030000000}"/>
    <cellStyle name="normální_EU akce-upr 2" xfId="52" xr:uid="{00000000-0005-0000-0000-000033000000}"/>
    <cellStyle name="Poznámka 2" xfId="38" xr:uid="{00000000-0005-0000-0000-000035000000}"/>
    <cellStyle name="Prepojená bunka" xfId="39" xr:uid="{00000000-0005-0000-0000-000036000000}"/>
    <cellStyle name="Procenta 2" xfId="55" xr:uid="{00000000-0005-0000-0000-000037000000}"/>
    <cellStyle name="Spolu" xfId="40" xr:uid="{00000000-0005-0000-0000-000038000000}"/>
    <cellStyle name="Text upozornenia" xfId="41" xr:uid="{00000000-0005-0000-0000-000039000000}"/>
    <cellStyle name="Titul" xfId="42" xr:uid="{00000000-0005-0000-0000-00003A000000}"/>
    <cellStyle name="Vysvetľujúci text" xfId="43" xr:uid="{00000000-0005-0000-0000-00003B000000}"/>
    <cellStyle name="Zlá" xfId="44" xr:uid="{00000000-0005-0000-0000-00003C000000}"/>
    <cellStyle name="Zvýraznenie1" xfId="45" xr:uid="{00000000-0005-0000-0000-00003D000000}"/>
    <cellStyle name="Zvýraznenie2" xfId="46" xr:uid="{00000000-0005-0000-0000-00003E000000}"/>
    <cellStyle name="Zvýraznenie3" xfId="47" xr:uid="{00000000-0005-0000-0000-00003F000000}"/>
    <cellStyle name="Zvýraznenie4" xfId="48" xr:uid="{00000000-0005-0000-0000-000040000000}"/>
    <cellStyle name="Zvýraznenie5" xfId="49" xr:uid="{00000000-0005-0000-0000-000041000000}"/>
    <cellStyle name="Zvýraznenie6" xfId="50" xr:uid="{00000000-0005-0000-0000-000042000000}"/>
  </cellStyles>
  <dxfs count="0"/>
  <tableStyles count="0" defaultTableStyle="TableStyleMedium2" defaultPivotStyle="PivotStyleLight16"/>
  <colors>
    <mruColors>
      <color rgb="FF99FF33"/>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r>
              <a:rPr lang="cs-CZ" sz="1400">
                <a:solidFill>
                  <a:sysClr val="windowText" lastClr="000000"/>
                </a:solidFill>
                <a:latin typeface="Tahoma" panose="020B0604030504040204" pitchFamily="34" charset="0"/>
                <a:ea typeface="Tahoma" panose="020B0604030504040204" pitchFamily="34" charset="0"/>
                <a:cs typeface="Tahoma" panose="020B0604030504040204" pitchFamily="34" charset="0"/>
              </a:rPr>
              <a:t>Přehled splácení jistiny a úroků z úvěrů čerpaných Moravskoslezským krajem (v tis. Kč)</a:t>
            </a:r>
          </a:p>
        </c:rich>
      </c:tx>
      <c:layout>
        <c:manualLayout>
          <c:xMode val="edge"/>
          <c:yMode val="edge"/>
          <c:x val="0.12848224422173266"/>
          <c:y val="4.1666681032684533E-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cs-CZ"/>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1579881042189453E-2"/>
          <c:y val="0.10293673635623134"/>
          <c:w val="0.85835564133268127"/>
          <c:h val="0.77699505490716292"/>
        </c:manualLayout>
      </c:layout>
      <c:bar3DChart>
        <c:barDir val="col"/>
        <c:grouping val="stacked"/>
        <c:varyColors val="0"/>
        <c:ser>
          <c:idx val="0"/>
          <c:order val="0"/>
          <c:tx>
            <c:strRef>
              <c:f>'Tab. 7'!$O$5</c:f>
              <c:strCache>
                <c:ptCount val="1"/>
                <c:pt idx="0">
                  <c:v>splátka jistiny</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'Tab. 7'!$A$6:$A$16</c:f>
              <c:numCache>
                <c:formatCode>General</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'Tab. 7'!$O$6:$O$16</c:f>
              <c:numCache>
                <c:formatCode>#,##0</c:formatCode>
                <c:ptCount val="11"/>
                <c:pt idx="0">
                  <c:v>728620</c:v>
                </c:pt>
                <c:pt idx="1">
                  <c:v>1673525</c:v>
                </c:pt>
                <c:pt idx="2">
                  <c:v>1972248</c:v>
                </c:pt>
                <c:pt idx="3">
                  <c:v>694949</c:v>
                </c:pt>
                <c:pt idx="4">
                  <c:v>429600</c:v>
                </c:pt>
                <c:pt idx="5">
                  <c:v>300000</c:v>
                </c:pt>
                <c:pt idx="6">
                  <c:v>300000</c:v>
                </c:pt>
                <c:pt idx="7">
                  <c:v>300000</c:v>
                </c:pt>
                <c:pt idx="8">
                  <c:v>300000</c:v>
                </c:pt>
                <c:pt idx="9">
                  <c:v>300000</c:v>
                </c:pt>
                <c:pt idx="10">
                  <c:v>300000</c:v>
                </c:pt>
              </c:numCache>
            </c:numRef>
          </c:val>
          <c:extLst>
            <c:ext xmlns:c16="http://schemas.microsoft.com/office/drawing/2014/chart" uri="{C3380CC4-5D6E-409C-BE32-E72D297353CC}">
              <c16:uniqueId val="{00000000-8D92-4425-A949-0A39E562DBE8}"/>
            </c:ext>
          </c:extLst>
        </c:ser>
        <c:ser>
          <c:idx val="1"/>
          <c:order val="1"/>
          <c:tx>
            <c:strRef>
              <c:f>'Tab. 7'!$P$5</c:f>
              <c:strCache>
                <c:ptCount val="1"/>
                <c:pt idx="0">
                  <c:v>úrok</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'Tab. 7'!$A$6:$A$16</c:f>
              <c:numCache>
                <c:formatCode>General</c:formatCode>
                <c:ptCount val="11"/>
                <c:pt idx="0">
                  <c:v>2025</c:v>
                </c:pt>
                <c:pt idx="1">
                  <c:v>2026</c:v>
                </c:pt>
                <c:pt idx="2">
                  <c:v>2027</c:v>
                </c:pt>
                <c:pt idx="3">
                  <c:v>2028</c:v>
                </c:pt>
                <c:pt idx="4">
                  <c:v>2029</c:v>
                </c:pt>
                <c:pt idx="5">
                  <c:v>2030</c:v>
                </c:pt>
                <c:pt idx="6">
                  <c:v>2031</c:v>
                </c:pt>
                <c:pt idx="7">
                  <c:v>2032</c:v>
                </c:pt>
                <c:pt idx="8">
                  <c:v>2033</c:v>
                </c:pt>
                <c:pt idx="9">
                  <c:v>2034</c:v>
                </c:pt>
                <c:pt idx="10">
                  <c:v>2035</c:v>
                </c:pt>
              </c:numCache>
            </c:numRef>
          </c:cat>
          <c:val>
            <c:numRef>
              <c:f>'Tab. 7'!$P$6:$P$16</c:f>
              <c:numCache>
                <c:formatCode>#,##0</c:formatCode>
                <c:ptCount val="11"/>
                <c:pt idx="0">
                  <c:v>154000</c:v>
                </c:pt>
                <c:pt idx="1">
                  <c:v>160000</c:v>
                </c:pt>
                <c:pt idx="2">
                  <c:v>140000</c:v>
                </c:pt>
                <c:pt idx="3">
                  <c:v>110000</c:v>
                </c:pt>
                <c:pt idx="4">
                  <c:v>90000</c:v>
                </c:pt>
                <c:pt idx="5">
                  <c:v>70000</c:v>
                </c:pt>
                <c:pt idx="6">
                  <c:v>60000</c:v>
                </c:pt>
                <c:pt idx="7">
                  <c:v>50000</c:v>
                </c:pt>
                <c:pt idx="8">
                  <c:v>30000</c:v>
                </c:pt>
                <c:pt idx="9">
                  <c:v>20000</c:v>
                </c:pt>
                <c:pt idx="10">
                  <c:v>10000</c:v>
                </c:pt>
              </c:numCache>
            </c:numRef>
          </c:val>
          <c:extLst>
            <c:ext xmlns:c16="http://schemas.microsoft.com/office/drawing/2014/chart" uri="{C3380CC4-5D6E-409C-BE32-E72D297353CC}">
              <c16:uniqueId val="{00000001-8D92-4425-A949-0A39E562DBE8}"/>
            </c:ext>
          </c:extLst>
        </c:ser>
        <c:dLbls>
          <c:showLegendKey val="0"/>
          <c:showVal val="0"/>
          <c:showCatName val="0"/>
          <c:showSerName val="0"/>
          <c:showPercent val="0"/>
          <c:showBubbleSize val="0"/>
        </c:dLbls>
        <c:gapWidth val="150"/>
        <c:shape val="box"/>
        <c:axId val="673983648"/>
        <c:axId val="673989528"/>
        <c:axId val="0"/>
      </c:bar3DChart>
      <c:catAx>
        <c:axId val="67398364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cs-CZ"/>
          </a:p>
        </c:txPr>
        <c:crossAx val="673989528"/>
        <c:crosses val="autoZero"/>
        <c:auto val="1"/>
        <c:lblAlgn val="ctr"/>
        <c:lblOffset val="100"/>
        <c:noMultiLvlLbl val="0"/>
      </c:catAx>
      <c:valAx>
        <c:axId val="673989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cs-CZ"/>
          </a:p>
        </c:txPr>
        <c:crossAx val="673983648"/>
        <c:crosses val="autoZero"/>
        <c:crossBetween val="between"/>
      </c:valAx>
      <c:spPr>
        <a:noFill/>
        <a:ln>
          <a:noFill/>
        </a:ln>
        <a:effectLst/>
      </c:spPr>
    </c:plotArea>
    <c:legend>
      <c:legendPos val="b"/>
      <c:layout>
        <c:manualLayout>
          <c:xMode val="edge"/>
          <c:yMode val="edge"/>
          <c:x val="0.41377943203007334"/>
          <c:y val="0.92992896753439047"/>
          <c:w val="0.18078090201039593"/>
          <c:h val="5.235771515402679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171448</xdr:colOff>
      <xdr:row>17</xdr:row>
      <xdr:rowOff>19050</xdr:rowOff>
    </xdr:from>
    <xdr:to>
      <xdr:col>15</xdr:col>
      <xdr:colOff>581025</xdr:colOff>
      <xdr:row>52</xdr:row>
      <xdr:rowOff>152401</xdr:rowOff>
    </xdr:to>
    <xdr:graphicFrame macro="">
      <xdr:nvGraphicFramePr>
        <xdr:cNvPr id="2" name="Graf 1">
          <a:extLst>
            <a:ext uri="{FF2B5EF4-FFF2-40B4-BE49-F238E27FC236}">
              <a16:creationId xmlns:a16="http://schemas.microsoft.com/office/drawing/2014/main" id="{BA562699-79D3-41AE-905C-73D689CEBE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ankova2598/AppData/Local/Microsoft/Windows/INetCache/Content.Outlook/P53HJRV8/ORJ14_P&#345;ehled%20projekt&#367;%202014-2020_n&#225;vrh%202020_nov&#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ku\Users\stankova2598\AppData\Local\Microsoft\Windows\INetCache\Content.Outlook\P53HJRV8\ORJ14_P&#345;ehled%20projekt&#367;%202014-2020_n&#225;vrh%202020_nov&#2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sheetData sheetId="4">
        <row r="31">
          <cell r="N31">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sheetData sheetId="4">
        <row r="31">
          <cell r="N31">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C24"/>
  <sheetViews>
    <sheetView tabSelected="1" workbookViewId="0">
      <selection activeCell="E4" sqref="E4"/>
    </sheetView>
  </sheetViews>
  <sheetFormatPr defaultColWidth="9.140625" defaultRowHeight="15.75" x14ac:dyDescent="0.25"/>
  <cols>
    <col min="1" max="1" width="15.85546875" style="32" customWidth="1"/>
    <col min="2" max="2" width="67.42578125" style="32" customWidth="1"/>
    <col min="3" max="3" width="5.7109375" style="75" customWidth="1"/>
    <col min="4" max="16384" width="9.140625" style="32"/>
  </cols>
  <sheetData>
    <row r="3" spans="1:3" ht="17.25" customHeight="1" x14ac:dyDescent="0.2">
      <c r="A3" s="610" t="s">
        <v>54</v>
      </c>
      <c r="B3" s="610"/>
      <c r="C3" s="34"/>
    </row>
    <row r="4" spans="1:3" ht="19.5" customHeight="1" x14ac:dyDescent="0.2">
      <c r="A4" s="610" t="s">
        <v>567</v>
      </c>
      <c r="B4" s="610"/>
      <c r="C4" s="74"/>
    </row>
    <row r="6" spans="1:3" ht="18" customHeight="1" x14ac:dyDescent="0.2">
      <c r="A6" s="611" t="s">
        <v>62</v>
      </c>
      <c r="B6" s="611"/>
      <c r="C6" s="74"/>
    </row>
    <row r="7" spans="1:3" ht="36.75" customHeight="1" x14ac:dyDescent="0.2">
      <c r="A7" s="66"/>
      <c r="B7" s="66"/>
      <c r="C7" s="74"/>
    </row>
    <row r="8" spans="1:3" s="74" customFormat="1" ht="21" customHeight="1" x14ac:dyDescent="0.2">
      <c r="A8" s="247" t="s">
        <v>146</v>
      </c>
      <c r="C8" s="248" t="s">
        <v>147</v>
      </c>
    </row>
    <row r="9" spans="1:3" s="74" customFormat="1" ht="15" customHeight="1" x14ac:dyDescent="0.2">
      <c r="A9" s="247"/>
      <c r="C9" s="248"/>
    </row>
    <row r="10" spans="1:3" ht="18" customHeight="1" x14ac:dyDescent="0.2">
      <c r="A10" s="32" t="s">
        <v>46</v>
      </c>
      <c r="B10" s="33" t="s">
        <v>568</v>
      </c>
      <c r="C10" s="74">
        <v>2</v>
      </c>
    </row>
    <row r="11" spans="1:3" ht="15" x14ac:dyDescent="0.2">
      <c r="B11" s="33"/>
      <c r="C11" s="74"/>
    </row>
    <row r="12" spans="1:3" ht="18" customHeight="1" x14ac:dyDescent="0.2">
      <c r="A12" s="32" t="s">
        <v>55</v>
      </c>
      <c r="B12" s="33" t="s">
        <v>569</v>
      </c>
      <c r="C12" s="74">
        <v>5</v>
      </c>
    </row>
    <row r="13" spans="1:3" ht="15" x14ac:dyDescent="0.2">
      <c r="B13" s="33"/>
      <c r="C13" s="358"/>
    </row>
    <row r="14" spans="1:3" ht="30" x14ac:dyDescent="0.2">
      <c r="A14" s="32" t="s">
        <v>56</v>
      </c>
      <c r="B14" s="33" t="s">
        <v>157</v>
      </c>
      <c r="C14" s="74">
        <v>7</v>
      </c>
    </row>
    <row r="15" spans="1:3" ht="15" x14ac:dyDescent="0.2">
      <c r="B15" s="33"/>
      <c r="C15" s="358"/>
    </row>
    <row r="16" spans="1:3" ht="18" customHeight="1" x14ac:dyDescent="0.2">
      <c r="A16" s="32" t="s">
        <v>57</v>
      </c>
      <c r="B16" s="33" t="s">
        <v>151</v>
      </c>
      <c r="C16" s="74">
        <v>12</v>
      </c>
    </row>
    <row r="17" spans="1:3" x14ac:dyDescent="0.25">
      <c r="C17" s="359"/>
    </row>
    <row r="18" spans="1:3" ht="18" customHeight="1" x14ac:dyDescent="0.2">
      <c r="A18" s="32" t="s">
        <v>58</v>
      </c>
      <c r="B18" s="33" t="s">
        <v>152</v>
      </c>
      <c r="C18" s="74">
        <v>19</v>
      </c>
    </row>
    <row r="19" spans="1:3" ht="15" x14ac:dyDescent="0.2">
      <c r="B19" s="33"/>
      <c r="C19" s="358"/>
    </row>
    <row r="20" spans="1:3" ht="30" x14ac:dyDescent="0.2">
      <c r="A20" s="32" t="s">
        <v>59</v>
      </c>
      <c r="B20" s="33" t="s">
        <v>154</v>
      </c>
      <c r="C20" s="74">
        <v>43</v>
      </c>
    </row>
    <row r="21" spans="1:3" ht="15" x14ac:dyDescent="0.2">
      <c r="B21" s="33"/>
      <c r="C21" s="74"/>
    </row>
    <row r="22" spans="1:3" ht="30" x14ac:dyDescent="0.2">
      <c r="A22" s="32" t="s">
        <v>60</v>
      </c>
      <c r="B22" s="33" t="s">
        <v>63</v>
      </c>
      <c r="C22" s="74">
        <v>45</v>
      </c>
    </row>
    <row r="23" spans="1:3" ht="15" x14ac:dyDescent="0.2">
      <c r="B23" s="33"/>
      <c r="C23" s="74"/>
    </row>
    <row r="24" spans="1:3" ht="18" customHeight="1" x14ac:dyDescent="0.2">
      <c r="A24" s="32" t="s">
        <v>61</v>
      </c>
      <c r="B24" s="33" t="s">
        <v>155</v>
      </c>
      <c r="C24" s="74">
        <v>46</v>
      </c>
    </row>
  </sheetData>
  <mergeCells count="3">
    <mergeCell ref="A4:B4"/>
    <mergeCell ref="A3:B3"/>
    <mergeCell ref="A6:B6"/>
  </mergeCells>
  <pageMargins left="0.70866141732283472" right="0.70866141732283472" top="0.78740157480314965" bottom="0.78740157480314965"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77042-A6FA-48E6-8F6D-8750A3A29F03}">
  <sheetPr>
    <pageSetUpPr fitToPage="1"/>
  </sheetPr>
  <dimension ref="A1:K30"/>
  <sheetViews>
    <sheetView zoomScaleNormal="100" zoomScaleSheetLayoutView="100" workbookViewId="0">
      <selection activeCell="I6" sqref="I6"/>
    </sheetView>
  </sheetViews>
  <sheetFormatPr defaultRowHeight="10.5" x14ac:dyDescent="0.15"/>
  <cols>
    <col min="1" max="1" width="35.85546875" style="284" customWidth="1"/>
    <col min="2" max="7" width="16.140625" style="284" customWidth="1"/>
    <col min="8" max="8" width="13.42578125" style="284" customWidth="1"/>
    <col min="9" max="12" width="20.5703125" style="284" customWidth="1"/>
    <col min="13" max="13" width="22.5703125" style="284" customWidth="1"/>
    <col min="14" max="14" width="22.85546875" style="284" customWidth="1"/>
    <col min="15" max="233" width="9.140625" style="284"/>
    <col min="234" max="235" width="0" style="284" hidden="1" customWidth="1"/>
    <col min="236" max="236" width="11.140625" style="284" customWidth="1"/>
    <col min="237" max="237" width="43.140625" style="284" customWidth="1"/>
    <col min="238" max="239" width="13.28515625" style="284" customWidth="1"/>
    <col min="240" max="240" width="13.5703125" style="284" customWidth="1"/>
    <col min="241" max="243" width="14.85546875" style="284" customWidth="1"/>
    <col min="244" max="245" width="12.5703125" style="284" bestFit="1" customWidth="1"/>
    <col min="246" max="489" width="9.140625" style="284"/>
    <col min="490" max="491" width="0" style="284" hidden="1" customWidth="1"/>
    <col min="492" max="492" width="11.140625" style="284" customWidth="1"/>
    <col min="493" max="493" width="43.140625" style="284" customWidth="1"/>
    <col min="494" max="495" width="13.28515625" style="284" customWidth="1"/>
    <col min="496" max="496" width="13.5703125" style="284" customWidth="1"/>
    <col min="497" max="499" width="14.85546875" style="284" customWidth="1"/>
    <col min="500" max="501" width="12.5703125" style="284" bestFit="1" customWidth="1"/>
    <col min="502" max="745" width="9.140625" style="284"/>
    <col min="746" max="747" width="0" style="284" hidden="1" customWidth="1"/>
    <col min="748" max="748" width="11.140625" style="284" customWidth="1"/>
    <col min="749" max="749" width="43.140625" style="284" customWidth="1"/>
    <col min="750" max="751" width="13.28515625" style="284" customWidth="1"/>
    <col min="752" max="752" width="13.5703125" style="284" customWidth="1"/>
    <col min="753" max="755" width="14.85546875" style="284" customWidth="1"/>
    <col min="756" max="757" width="12.5703125" style="284" bestFit="1" customWidth="1"/>
    <col min="758" max="1001" width="9.140625" style="284"/>
    <col min="1002" max="1003" width="0" style="284" hidden="1" customWidth="1"/>
    <col min="1004" max="1004" width="11.140625" style="284" customWidth="1"/>
    <col min="1005" max="1005" width="43.140625" style="284" customWidth="1"/>
    <col min="1006" max="1007" width="13.28515625" style="284" customWidth="1"/>
    <col min="1008" max="1008" width="13.5703125" style="284" customWidth="1"/>
    <col min="1009" max="1011" width="14.85546875" style="284" customWidth="1"/>
    <col min="1012" max="1013" width="12.5703125" style="284" bestFit="1" customWidth="1"/>
    <col min="1014" max="1257" width="9.140625" style="284"/>
    <col min="1258" max="1259" width="0" style="284" hidden="1" customWidth="1"/>
    <col min="1260" max="1260" width="11.140625" style="284" customWidth="1"/>
    <col min="1261" max="1261" width="43.140625" style="284" customWidth="1"/>
    <col min="1262" max="1263" width="13.28515625" style="284" customWidth="1"/>
    <col min="1264" max="1264" width="13.5703125" style="284" customWidth="1"/>
    <col min="1265" max="1267" width="14.85546875" style="284" customWidth="1"/>
    <col min="1268" max="1269" width="12.5703125" style="284" bestFit="1" customWidth="1"/>
    <col min="1270" max="1513" width="9.140625" style="284"/>
    <col min="1514" max="1515" width="0" style="284" hidden="1" customWidth="1"/>
    <col min="1516" max="1516" width="11.140625" style="284" customWidth="1"/>
    <col min="1517" max="1517" width="43.140625" style="284" customWidth="1"/>
    <col min="1518" max="1519" width="13.28515625" style="284" customWidth="1"/>
    <col min="1520" max="1520" width="13.5703125" style="284" customWidth="1"/>
    <col min="1521" max="1523" width="14.85546875" style="284" customWidth="1"/>
    <col min="1524" max="1525" width="12.5703125" style="284" bestFit="1" customWidth="1"/>
    <col min="1526" max="1769" width="9.140625" style="284"/>
    <col min="1770" max="1771" width="0" style="284" hidden="1" customWidth="1"/>
    <col min="1772" max="1772" width="11.140625" style="284" customWidth="1"/>
    <col min="1773" max="1773" width="43.140625" style="284" customWidth="1"/>
    <col min="1774" max="1775" width="13.28515625" style="284" customWidth="1"/>
    <col min="1776" max="1776" width="13.5703125" style="284" customWidth="1"/>
    <col min="1777" max="1779" width="14.85546875" style="284" customWidth="1"/>
    <col min="1780" max="1781" width="12.5703125" style="284" bestFit="1" customWidth="1"/>
    <col min="1782" max="2025" width="9.140625" style="284"/>
    <col min="2026" max="2027" width="0" style="284" hidden="1" customWidth="1"/>
    <col min="2028" max="2028" width="11.140625" style="284" customWidth="1"/>
    <col min="2029" max="2029" width="43.140625" style="284" customWidth="1"/>
    <col min="2030" max="2031" width="13.28515625" style="284" customWidth="1"/>
    <col min="2032" max="2032" width="13.5703125" style="284" customWidth="1"/>
    <col min="2033" max="2035" width="14.85546875" style="284" customWidth="1"/>
    <col min="2036" max="2037" width="12.5703125" style="284" bestFit="1" customWidth="1"/>
    <col min="2038" max="2281" width="9.140625" style="284"/>
    <col min="2282" max="2283" width="0" style="284" hidden="1" customWidth="1"/>
    <col min="2284" max="2284" width="11.140625" style="284" customWidth="1"/>
    <col min="2285" max="2285" width="43.140625" style="284" customWidth="1"/>
    <col min="2286" max="2287" width="13.28515625" style="284" customWidth="1"/>
    <col min="2288" max="2288" width="13.5703125" style="284" customWidth="1"/>
    <col min="2289" max="2291" width="14.85546875" style="284" customWidth="1"/>
    <col min="2292" max="2293" width="12.5703125" style="284" bestFit="1" customWidth="1"/>
    <col min="2294" max="2537" width="9.140625" style="284"/>
    <col min="2538" max="2539" width="0" style="284" hidden="1" customWidth="1"/>
    <col min="2540" max="2540" width="11.140625" style="284" customWidth="1"/>
    <col min="2541" max="2541" width="43.140625" style="284" customWidth="1"/>
    <col min="2542" max="2543" width="13.28515625" style="284" customWidth="1"/>
    <col min="2544" max="2544" width="13.5703125" style="284" customWidth="1"/>
    <col min="2545" max="2547" width="14.85546875" style="284" customWidth="1"/>
    <col min="2548" max="2549" width="12.5703125" style="284" bestFit="1" customWidth="1"/>
    <col min="2550" max="2793" width="9.140625" style="284"/>
    <col min="2794" max="2795" width="0" style="284" hidden="1" customWidth="1"/>
    <col min="2796" max="2796" width="11.140625" style="284" customWidth="1"/>
    <col min="2797" max="2797" width="43.140625" style="284" customWidth="1"/>
    <col min="2798" max="2799" width="13.28515625" style="284" customWidth="1"/>
    <col min="2800" max="2800" width="13.5703125" style="284" customWidth="1"/>
    <col min="2801" max="2803" width="14.85546875" style="284" customWidth="1"/>
    <col min="2804" max="2805" width="12.5703125" style="284" bestFit="1" customWidth="1"/>
    <col min="2806" max="3049" width="9.140625" style="284"/>
    <col min="3050" max="3051" width="0" style="284" hidden="1" customWidth="1"/>
    <col min="3052" max="3052" width="11.140625" style="284" customWidth="1"/>
    <col min="3053" max="3053" width="43.140625" style="284" customWidth="1"/>
    <col min="3054" max="3055" width="13.28515625" style="284" customWidth="1"/>
    <col min="3056" max="3056" width="13.5703125" style="284" customWidth="1"/>
    <col min="3057" max="3059" width="14.85546875" style="284" customWidth="1"/>
    <col min="3060" max="3061" width="12.5703125" style="284" bestFit="1" customWidth="1"/>
    <col min="3062" max="3305" width="9.140625" style="284"/>
    <col min="3306" max="3307" width="0" style="284" hidden="1" customWidth="1"/>
    <col min="3308" max="3308" width="11.140625" style="284" customWidth="1"/>
    <col min="3309" max="3309" width="43.140625" style="284" customWidth="1"/>
    <col min="3310" max="3311" width="13.28515625" style="284" customWidth="1"/>
    <col min="3312" max="3312" width="13.5703125" style="284" customWidth="1"/>
    <col min="3313" max="3315" width="14.85546875" style="284" customWidth="1"/>
    <col min="3316" max="3317" width="12.5703125" style="284" bestFit="1" customWidth="1"/>
    <col min="3318" max="3561" width="9.140625" style="284"/>
    <col min="3562" max="3563" width="0" style="284" hidden="1" customWidth="1"/>
    <col min="3564" max="3564" width="11.140625" style="284" customWidth="1"/>
    <col min="3565" max="3565" width="43.140625" style="284" customWidth="1"/>
    <col min="3566" max="3567" width="13.28515625" style="284" customWidth="1"/>
    <col min="3568" max="3568" width="13.5703125" style="284" customWidth="1"/>
    <col min="3569" max="3571" width="14.85546875" style="284" customWidth="1"/>
    <col min="3572" max="3573" width="12.5703125" style="284" bestFit="1" customWidth="1"/>
    <col min="3574" max="3817" width="9.140625" style="284"/>
    <col min="3818" max="3819" width="0" style="284" hidden="1" customWidth="1"/>
    <col min="3820" max="3820" width="11.140625" style="284" customWidth="1"/>
    <col min="3821" max="3821" width="43.140625" style="284" customWidth="1"/>
    <col min="3822" max="3823" width="13.28515625" style="284" customWidth="1"/>
    <col min="3824" max="3824" width="13.5703125" style="284" customWidth="1"/>
    <col min="3825" max="3827" width="14.85546875" style="284" customWidth="1"/>
    <col min="3828" max="3829" width="12.5703125" style="284" bestFit="1" customWidth="1"/>
    <col min="3830" max="4073" width="9.140625" style="284"/>
    <col min="4074" max="4075" width="0" style="284" hidden="1" customWidth="1"/>
    <col min="4076" max="4076" width="11.140625" style="284" customWidth="1"/>
    <col min="4077" max="4077" width="43.140625" style="284" customWidth="1"/>
    <col min="4078" max="4079" width="13.28515625" style="284" customWidth="1"/>
    <col min="4080" max="4080" width="13.5703125" style="284" customWidth="1"/>
    <col min="4081" max="4083" width="14.85546875" style="284" customWidth="1"/>
    <col min="4084" max="4085" width="12.5703125" style="284" bestFit="1" customWidth="1"/>
    <col min="4086" max="4329" width="9.140625" style="284"/>
    <col min="4330" max="4331" width="0" style="284" hidden="1" customWidth="1"/>
    <col min="4332" max="4332" width="11.140625" style="284" customWidth="1"/>
    <col min="4333" max="4333" width="43.140625" style="284" customWidth="1"/>
    <col min="4334" max="4335" width="13.28515625" style="284" customWidth="1"/>
    <col min="4336" max="4336" width="13.5703125" style="284" customWidth="1"/>
    <col min="4337" max="4339" width="14.85546875" style="284" customWidth="1"/>
    <col min="4340" max="4341" width="12.5703125" style="284" bestFit="1" customWidth="1"/>
    <col min="4342" max="4585" width="9.140625" style="284"/>
    <col min="4586" max="4587" width="0" style="284" hidden="1" customWidth="1"/>
    <col min="4588" max="4588" width="11.140625" style="284" customWidth="1"/>
    <col min="4589" max="4589" width="43.140625" style="284" customWidth="1"/>
    <col min="4590" max="4591" width="13.28515625" style="284" customWidth="1"/>
    <col min="4592" max="4592" width="13.5703125" style="284" customWidth="1"/>
    <col min="4593" max="4595" width="14.85546875" style="284" customWidth="1"/>
    <col min="4596" max="4597" width="12.5703125" style="284" bestFit="1" customWidth="1"/>
    <col min="4598" max="4841" width="9.140625" style="284"/>
    <col min="4842" max="4843" width="0" style="284" hidden="1" customWidth="1"/>
    <col min="4844" max="4844" width="11.140625" style="284" customWidth="1"/>
    <col min="4845" max="4845" width="43.140625" style="284" customWidth="1"/>
    <col min="4846" max="4847" width="13.28515625" style="284" customWidth="1"/>
    <col min="4848" max="4848" width="13.5703125" style="284" customWidth="1"/>
    <col min="4849" max="4851" width="14.85546875" style="284" customWidth="1"/>
    <col min="4852" max="4853" width="12.5703125" style="284" bestFit="1" customWidth="1"/>
    <col min="4854" max="5097" width="9.140625" style="284"/>
    <col min="5098" max="5099" width="0" style="284" hidden="1" customWidth="1"/>
    <col min="5100" max="5100" width="11.140625" style="284" customWidth="1"/>
    <col min="5101" max="5101" width="43.140625" style="284" customWidth="1"/>
    <col min="5102" max="5103" width="13.28515625" style="284" customWidth="1"/>
    <col min="5104" max="5104" width="13.5703125" style="284" customWidth="1"/>
    <col min="5105" max="5107" width="14.85546875" style="284" customWidth="1"/>
    <col min="5108" max="5109" width="12.5703125" style="284" bestFit="1" customWidth="1"/>
    <col min="5110" max="5353" width="9.140625" style="284"/>
    <col min="5354" max="5355" width="0" style="284" hidden="1" customWidth="1"/>
    <col min="5356" max="5356" width="11.140625" style="284" customWidth="1"/>
    <col min="5357" max="5357" width="43.140625" style="284" customWidth="1"/>
    <col min="5358" max="5359" width="13.28515625" style="284" customWidth="1"/>
    <col min="5360" max="5360" width="13.5703125" style="284" customWidth="1"/>
    <col min="5361" max="5363" width="14.85546875" style="284" customWidth="1"/>
    <col min="5364" max="5365" width="12.5703125" style="284" bestFit="1" customWidth="1"/>
    <col min="5366" max="5609" width="9.140625" style="284"/>
    <col min="5610" max="5611" width="0" style="284" hidden="1" customWidth="1"/>
    <col min="5612" max="5612" width="11.140625" style="284" customWidth="1"/>
    <col min="5613" max="5613" width="43.140625" style="284" customWidth="1"/>
    <col min="5614" max="5615" width="13.28515625" style="284" customWidth="1"/>
    <col min="5616" max="5616" width="13.5703125" style="284" customWidth="1"/>
    <col min="5617" max="5619" width="14.85546875" style="284" customWidth="1"/>
    <col min="5620" max="5621" width="12.5703125" style="284" bestFit="1" customWidth="1"/>
    <col min="5622" max="5865" width="9.140625" style="284"/>
    <col min="5866" max="5867" width="0" style="284" hidden="1" customWidth="1"/>
    <col min="5868" max="5868" width="11.140625" style="284" customWidth="1"/>
    <col min="5869" max="5869" width="43.140625" style="284" customWidth="1"/>
    <col min="5870" max="5871" width="13.28515625" style="284" customWidth="1"/>
    <col min="5872" max="5872" width="13.5703125" style="284" customWidth="1"/>
    <col min="5873" max="5875" width="14.85546875" style="284" customWidth="1"/>
    <col min="5876" max="5877" width="12.5703125" style="284" bestFit="1" customWidth="1"/>
    <col min="5878" max="6121" width="9.140625" style="284"/>
    <col min="6122" max="6123" width="0" style="284" hidden="1" customWidth="1"/>
    <col min="6124" max="6124" width="11.140625" style="284" customWidth="1"/>
    <col min="6125" max="6125" width="43.140625" style="284" customWidth="1"/>
    <col min="6126" max="6127" width="13.28515625" style="284" customWidth="1"/>
    <col min="6128" max="6128" width="13.5703125" style="284" customWidth="1"/>
    <col min="6129" max="6131" width="14.85546875" style="284" customWidth="1"/>
    <col min="6132" max="6133" width="12.5703125" style="284" bestFit="1" customWidth="1"/>
    <col min="6134" max="6377" width="9.140625" style="284"/>
    <col min="6378" max="6379" width="0" style="284" hidden="1" customWidth="1"/>
    <col min="6380" max="6380" width="11.140625" style="284" customWidth="1"/>
    <col min="6381" max="6381" width="43.140625" style="284" customWidth="1"/>
    <col min="6382" max="6383" width="13.28515625" style="284" customWidth="1"/>
    <col min="6384" max="6384" width="13.5703125" style="284" customWidth="1"/>
    <col min="6385" max="6387" width="14.85546875" style="284" customWidth="1"/>
    <col min="6388" max="6389" width="12.5703125" style="284" bestFit="1" customWidth="1"/>
    <col min="6390" max="6633" width="9.140625" style="284"/>
    <col min="6634" max="6635" width="0" style="284" hidden="1" customWidth="1"/>
    <col min="6636" max="6636" width="11.140625" style="284" customWidth="1"/>
    <col min="6637" max="6637" width="43.140625" style="284" customWidth="1"/>
    <col min="6638" max="6639" width="13.28515625" style="284" customWidth="1"/>
    <col min="6640" max="6640" width="13.5703125" style="284" customWidth="1"/>
    <col min="6641" max="6643" width="14.85546875" style="284" customWidth="1"/>
    <col min="6644" max="6645" width="12.5703125" style="284" bestFit="1" customWidth="1"/>
    <col min="6646" max="6889" width="9.140625" style="284"/>
    <col min="6890" max="6891" width="0" style="284" hidden="1" customWidth="1"/>
    <col min="6892" max="6892" width="11.140625" style="284" customWidth="1"/>
    <col min="6893" max="6893" width="43.140625" style="284" customWidth="1"/>
    <col min="6894" max="6895" width="13.28515625" style="284" customWidth="1"/>
    <col min="6896" max="6896" width="13.5703125" style="284" customWidth="1"/>
    <col min="6897" max="6899" width="14.85546875" style="284" customWidth="1"/>
    <col min="6900" max="6901" width="12.5703125" style="284" bestFit="1" customWidth="1"/>
    <col min="6902" max="7145" width="9.140625" style="284"/>
    <col min="7146" max="7147" width="0" style="284" hidden="1" customWidth="1"/>
    <col min="7148" max="7148" width="11.140625" style="284" customWidth="1"/>
    <col min="7149" max="7149" width="43.140625" style="284" customWidth="1"/>
    <col min="7150" max="7151" width="13.28515625" style="284" customWidth="1"/>
    <col min="7152" max="7152" width="13.5703125" style="284" customWidth="1"/>
    <col min="7153" max="7155" width="14.85546875" style="284" customWidth="1"/>
    <col min="7156" max="7157" width="12.5703125" style="284" bestFit="1" customWidth="1"/>
    <col min="7158" max="7401" width="9.140625" style="284"/>
    <col min="7402" max="7403" width="0" style="284" hidden="1" customWidth="1"/>
    <col min="7404" max="7404" width="11.140625" style="284" customWidth="1"/>
    <col min="7405" max="7405" width="43.140625" style="284" customWidth="1"/>
    <col min="7406" max="7407" width="13.28515625" style="284" customWidth="1"/>
    <col min="7408" max="7408" width="13.5703125" style="284" customWidth="1"/>
    <col min="7409" max="7411" width="14.85546875" style="284" customWidth="1"/>
    <col min="7412" max="7413" width="12.5703125" style="284" bestFit="1" customWidth="1"/>
    <col min="7414" max="7657" width="9.140625" style="284"/>
    <col min="7658" max="7659" width="0" style="284" hidden="1" customWidth="1"/>
    <col min="7660" max="7660" width="11.140625" style="284" customWidth="1"/>
    <col min="7661" max="7661" width="43.140625" style="284" customWidth="1"/>
    <col min="7662" max="7663" width="13.28515625" style="284" customWidth="1"/>
    <col min="7664" max="7664" width="13.5703125" style="284" customWidth="1"/>
    <col min="7665" max="7667" width="14.85546875" style="284" customWidth="1"/>
    <col min="7668" max="7669" width="12.5703125" style="284" bestFit="1" customWidth="1"/>
    <col min="7670" max="7913" width="9.140625" style="284"/>
    <col min="7914" max="7915" width="0" style="284" hidden="1" customWidth="1"/>
    <col min="7916" max="7916" width="11.140625" style="284" customWidth="1"/>
    <col min="7917" max="7917" width="43.140625" style="284" customWidth="1"/>
    <col min="7918" max="7919" width="13.28515625" style="284" customWidth="1"/>
    <col min="7920" max="7920" width="13.5703125" style="284" customWidth="1"/>
    <col min="7921" max="7923" width="14.85546875" style="284" customWidth="1"/>
    <col min="7924" max="7925" width="12.5703125" style="284" bestFit="1" customWidth="1"/>
    <col min="7926" max="8169" width="9.140625" style="284"/>
    <col min="8170" max="8171" width="0" style="284" hidden="1" customWidth="1"/>
    <col min="8172" max="8172" width="11.140625" style="284" customWidth="1"/>
    <col min="8173" max="8173" width="43.140625" style="284" customWidth="1"/>
    <col min="8174" max="8175" width="13.28515625" style="284" customWidth="1"/>
    <col min="8176" max="8176" width="13.5703125" style="284" customWidth="1"/>
    <col min="8177" max="8179" width="14.85546875" style="284" customWidth="1"/>
    <col min="8180" max="8181" width="12.5703125" style="284" bestFit="1" customWidth="1"/>
    <col min="8182" max="8425" width="9.140625" style="284"/>
    <col min="8426" max="8427" width="0" style="284" hidden="1" customWidth="1"/>
    <col min="8428" max="8428" width="11.140625" style="284" customWidth="1"/>
    <col min="8429" max="8429" width="43.140625" style="284" customWidth="1"/>
    <col min="8430" max="8431" width="13.28515625" style="284" customWidth="1"/>
    <col min="8432" max="8432" width="13.5703125" style="284" customWidth="1"/>
    <col min="8433" max="8435" width="14.85546875" style="284" customWidth="1"/>
    <col min="8436" max="8437" width="12.5703125" style="284" bestFit="1" customWidth="1"/>
    <col min="8438" max="8681" width="9.140625" style="284"/>
    <col min="8682" max="8683" width="0" style="284" hidden="1" customWidth="1"/>
    <col min="8684" max="8684" width="11.140625" style="284" customWidth="1"/>
    <col min="8685" max="8685" width="43.140625" style="284" customWidth="1"/>
    <col min="8686" max="8687" width="13.28515625" style="284" customWidth="1"/>
    <col min="8688" max="8688" width="13.5703125" style="284" customWidth="1"/>
    <col min="8689" max="8691" width="14.85546875" style="284" customWidth="1"/>
    <col min="8692" max="8693" width="12.5703125" style="284" bestFit="1" customWidth="1"/>
    <col min="8694" max="8937" width="9.140625" style="284"/>
    <col min="8938" max="8939" width="0" style="284" hidden="1" customWidth="1"/>
    <col min="8940" max="8940" width="11.140625" style="284" customWidth="1"/>
    <col min="8941" max="8941" width="43.140625" style="284" customWidth="1"/>
    <col min="8942" max="8943" width="13.28515625" style="284" customWidth="1"/>
    <col min="8944" max="8944" width="13.5703125" style="284" customWidth="1"/>
    <col min="8945" max="8947" width="14.85546875" style="284" customWidth="1"/>
    <col min="8948" max="8949" width="12.5703125" style="284" bestFit="1" customWidth="1"/>
    <col min="8950" max="9193" width="9.140625" style="284"/>
    <col min="9194" max="9195" width="0" style="284" hidden="1" customWidth="1"/>
    <col min="9196" max="9196" width="11.140625" style="284" customWidth="1"/>
    <col min="9197" max="9197" width="43.140625" style="284" customWidth="1"/>
    <col min="9198" max="9199" width="13.28515625" style="284" customWidth="1"/>
    <col min="9200" max="9200" width="13.5703125" style="284" customWidth="1"/>
    <col min="9201" max="9203" width="14.85546875" style="284" customWidth="1"/>
    <col min="9204" max="9205" width="12.5703125" style="284" bestFit="1" customWidth="1"/>
    <col min="9206" max="9449" width="9.140625" style="284"/>
    <col min="9450" max="9451" width="0" style="284" hidden="1" customWidth="1"/>
    <col min="9452" max="9452" width="11.140625" style="284" customWidth="1"/>
    <col min="9453" max="9453" width="43.140625" style="284" customWidth="1"/>
    <col min="9454" max="9455" width="13.28515625" style="284" customWidth="1"/>
    <col min="9456" max="9456" width="13.5703125" style="284" customWidth="1"/>
    <col min="9457" max="9459" width="14.85546875" style="284" customWidth="1"/>
    <col min="9460" max="9461" width="12.5703125" style="284" bestFit="1" customWidth="1"/>
    <col min="9462" max="9705" width="9.140625" style="284"/>
    <col min="9706" max="9707" width="0" style="284" hidden="1" customWidth="1"/>
    <col min="9708" max="9708" width="11.140625" style="284" customWidth="1"/>
    <col min="9709" max="9709" width="43.140625" style="284" customWidth="1"/>
    <col min="9710" max="9711" width="13.28515625" style="284" customWidth="1"/>
    <col min="9712" max="9712" width="13.5703125" style="284" customWidth="1"/>
    <col min="9713" max="9715" width="14.85546875" style="284" customWidth="1"/>
    <col min="9716" max="9717" width="12.5703125" style="284" bestFit="1" customWidth="1"/>
    <col min="9718" max="9961" width="9.140625" style="284"/>
    <col min="9962" max="9963" width="0" style="284" hidden="1" customWidth="1"/>
    <col min="9964" max="9964" width="11.140625" style="284" customWidth="1"/>
    <col min="9965" max="9965" width="43.140625" style="284" customWidth="1"/>
    <col min="9966" max="9967" width="13.28515625" style="284" customWidth="1"/>
    <col min="9968" max="9968" width="13.5703125" style="284" customWidth="1"/>
    <col min="9969" max="9971" width="14.85546875" style="284" customWidth="1"/>
    <col min="9972" max="9973" width="12.5703125" style="284" bestFit="1" customWidth="1"/>
    <col min="9974" max="10217" width="9.140625" style="284"/>
    <col min="10218" max="10219" width="0" style="284" hidden="1" customWidth="1"/>
    <col min="10220" max="10220" width="11.140625" style="284" customWidth="1"/>
    <col min="10221" max="10221" width="43.140625" style="284" customWidth="1"/>
    <col min="10222" max="10223" width="13.28515625" style="284" customWidth="1"/>
    <col min="10224" max="10224" width="13.5703125" style="284" customWidth="1"/>
    <col min="10225" max="10227" width="14.85546875" style="284" customWidth="1"/>
    <col min="10228" max="10229" width="12.5703125" style="284" bestFit="1" customWidth="1"/>
    <col min="10230" max="10473" width="9.140625" style="284"/>
    <col min="10474" max="10475" width="0" style="284" hidden="1" customWidth="1"/>
    <col min="10476" max="10476" width="11.140625" style="284" customWidth="1"/>
    <col min="10477" max="10477" width="43.140625" style="284" customWidth="1"/>
    <col min="10478" max="10479" width="13.28515625" style="284" customWidth="1"/>
    <col min="10480" max="10480" width="13.5703125" style="284" customWidth="1"/>
    <col min="10481" max="10483" width="14.85546875" style="284" customWidth="1"/>
    <col min="10484" max="10485" width="12.5703125" style="284" bestFit="1" customWidth="1"/>
    <col min="10486" max="10729" width="9.140625" style="284"/>
    <col min="10730" max="10731" width="0" style="284" hidden="1" customWidth="1"/>
    <col min="10732" max="10732" width="11.140625" style="284" customWidth="1"/>
    <col min="10733" max="10733" width="43.140625" style="284" customWidth="1"/>
    <col min="10734" max="10735" width="13.28515625" style="284" customWidth="1"/>
    <col min="10736" max="10736" width="13.5703125" style="284" customWidth="1"/>
    <col min="10737" max="10739" width="14.85546875" style="284" customWidth="1"/>
    <col min="10740" max="10741" width="12.5703125" style="284" bestFit="1" customWidth="1"/>
    <col min="10742" max="10985" width="9.140625" style="284"/>
    <col min="10986" max="10987" width="0" style="284" hidden="1" customWidth="1"/>
    <col min="10988" max="10988" width="11.140625" style="284" customWidth="1"/>
    <col min="10989" max="10989" width="43.140625" style="284" customWidth="1"/>
    <col min="10990" max="10991" width="13.28515625" style="284" customWidth="1"/>
    <col min="10992" max="10992" width="13.5703125" style="284" customWidth="1"/>
    <col min="10993" max="10995" width="14.85546875" style="284" customWidth="1"/>
    <col min="10996" max="10997" width="12.5703125" style="284" bestFit="1" customWidth="1"/>
    <col min="10998" max="11241" width="9.140625" style="284"/>
    <col min="11242" max="11243" width="0" style="284" hidden="1" customWidth="1"/>
    <col min="11244" max="11244" width="11.140625" style="284" customWidth="1"/>
    <col min="11245" max="11245" width="43.140625" style="284" customWidth="1"/>
    <col min="11246" max="11247" width="13.28515625" style="284" customWidth="1"/>
    <col min="11248" max="11248" width="13.5703125" style="284" customWidth="1"/>
    <col min="11249" max="11251" width="14.85546875" style="284" customWidth="1"/>
    <col min="11252" max="11253" width="12.5703125" style="284" bestFit="1" customWidth="1"/>
    <col min="11254" max="11497" width="9.140625" style="284"/>
    <col min="11498" max="11499" width="0" style="284" hidden="1" customWidth="1"/>
    <col min="11500" max="11500" width="11.140625" style="284" customWidth="1"/>
    <col min="11501" max="11501" width="43.140625" style="284" customWidth="1"/>
    <col min="11502" max="11503" width="13.28515625" style="284" customWidth="1"/>
    <col min="11504" max="11504" width="13.5703125" style="284" customWidth="1"/>
    <col min="11505" max="11507" width="14.85546875" style="284" customWidth="1"/>
    <col min="11508" max="11509" width="12.5703125" style="284" bestFit="1" customWidth="1"/>
    <col min="11510" max="11753" width="9.140625" style="284"/>
    <col min="11754" max="11755" width="0" style="284" hidden="1" customWidth="1"/>
    <col min="11756" max="11756" width="11.140625" style="284" customWidth="1"/>
    <col min="11757" max="11757" width="43.140625" style="284" customWidth="1"/>
    <col min="11758" max="11759" width="13.28515625" style="284" customWidth="1"/>
    <col min="11760" max="11760" width="13.5703125" style="284" customWidth="1"/>
    <col min="11761" max="11763" width="14.85546875" style="284" customWidth="1"/>
    <col min="11764" max="11765" width="12.5703125" style="284" bestFit="1" customWidth="1"/>
    <col min="11766" max="12009" width="9.140625" style="284"/>
    <col min="12010" max="12011" width="0" style="284" hidden="1" customWidth="1"/>
    <col min="12012" max="12012" width="11.140625" style="284" customWidth="1"/>
    <col min="12013" max="12013" width="43.140625" style="284" customWidth="1"/>
    <col min="12014" max="12015" width="13.28515625" style="284" customWidth="1"/>
    <col min="12016" max="12016" width="13.5703125" style="284" customWidth="1"/>
    <col min="12017" max="12019" width="14.85546875" style="284" customWidth="1"/>
    <col min="12020" max="12021" width="12.5703125" style="284" bestFit="1" customWidth="1"/>
    <col min="12022" max="12265" width="9.140625" style="284"/>
    <col min="12266" max="12267" width="0" style="284" hidden="1" customWidth="1"/>
    <col min="12268" max="12268" width="11.140625" style="284" customWidth="1"/>
    <col min="12269" max="12269" width="43.140625" style="284" customWidth="1"/>
    <col min="12270" max="12271" width="13.28515625" style="284" customWidth="1"/>
    <col min="12272" max="12272" width="13.5703125" style="284" customWidth="1"/>
    <col min="12273" max="12275" width="14.85546875" style="284" customWidth="1"/>
    <col min="12276" max="12277" width="12.5703125" style="284" bestFit="1" customWidth="1"/>
    <col min="12278" max="12521" width="9.140625" style="284"/>
    <col min="12522" max="12523" width="0" style="284" hidden="1" customWidth="1"/>
    <col min="12524" max="12524" width="11.140625" style="284" customWidth="1"/>
    <col min="12525" max="12525" width="43.140625" style="284" customWidth="1"/>
    <col min="12526" max="12527" width="13.28515625" style="284" customWidth="1"/>
    <col min="12528" max="12528" width="13.5703125" style="284" customWidth="1"/>
    <col min="12529" max="12531" width="14.85546875" style="284" customWidth="1"/>
    <col min="12532" max="12533" width="12.5703125" style="284" bestFit="1" customWidth="1"/>
    <col min="12534" max="12777" width="9.140625" style="284"/>
    <col min="12778" max="12779" width="0" style="284" hidden="1" customWidth="1"/>
    <col min="12780" max="12780" width="11.140625" style="284" customWidth="1"/>
    <col min="12781" max="12781" width="43.140625" style="284" customWidth="1"/>
    <col min="12782" max="12783" width="13.28515625" style="284" customWidth="1"/>
    <col min="12784" max="12784" width="13.5703125" style="284" customWidth="1"/>
    <col min="12785" max="12787" width="14.85546875" style="284" customWidth="1"/>
    <col min="12788" max="12789" width="12.5703125" style="284" bestFit="1" customWidth="1"/>
    <col min="12790" max="13033" width="9.140625" style="284"/>
    <col min="13034" max="13035" width="0" style="284" hidden="1" customWidth="1"/>
    <col min="13036" max="13036" width="11.140625" style="284" customWidth="1"/>
    <col min="13037" max="13037" width="43.140625" style="284" customWidth="1"/>
    <col min="13038" max="13039" width="13.28515625" style="284" customWidth="1"/>
    <col min="13040" max="13040" width="13.5703125" style="284" customWidth="1"/>
    <col min="13041" max="13043" width="14.85546875" style="284" customWidth="1"/>
    <col min="13044" max="13045" width="12.5703125" style="284" bestFit="1" customWidth="1"/>
    <col min="13046" max="13289" width="9.140625" style="284"/>
    <col min="13290" max="13291" width="0" style="284" hidden="1" customWidth="1"/>
    <col min="13292" max="13292" width="11.140625" style="284" customWidth="1"/>
    <col min="13293" max="13293" width="43.140625" style="284" customWidth="1"/>
    <col min="13294" max="13295" width="13.28515625" style="284" customWidth="1"/>
    <col min="13296" max="13296" width="13.5703125" style="284" customWidth="1"/>
    <col min="13297" max="13299" width="14.85546875" style="284" customWidth="1"/>
    <col min="13300" max="13301" width="12.5703125" style="284" bestFit="1" customWidth="1"/>
    <col min="13302" max="13545" width="9.140625" style="284"/>
    <col min="13546" max="13547" width="0" style="284" hidden="1" customWidth="1"/>
    <col min="13548" max="13548" width="11.140625" style="284" customWidth="1"/>
    <col min="13549" max="13549" width="43.140625" style="284" customWidth="1"/>
    <col min="13550" max="13551" width="13.28515625" style="284" customWidth="1"/>
    <col min="13552" max="13552" width="13.5703125" style="284" customWidth="1"/>
    <col min="13553" max="13555" width="14.85546875" style="284" customWidth="1"/>
    <col min="13556" max="13557" width="12.5703125" style="284" bestFit="1" customWidth="1"/>
    <col min="13558" max="13801" width="9.140625" style="284"/>
    <col min="13802" max="13803" width="0" style="284" hidden="1" customWidth="1"/>
    <col min="13804" max="13804" width="11.140625" style="284" customWidth="1"/>
    <col min="13805" max="13805" width="43.140625" style="284" customWidth="1"/>
    <col min="13806" max="13807" width="13.28515625" style="284" customWidth="1"/>
    <col min="13808" max="13808" width="13.5703125" style="284" customWidth="1"/>
    <col min="13809" max="13811" width="14.85546875" style="284" customWidth="1"/>
    <col min="13812" max="13813" width="12.5703125" style="284" bestFit="1" customWidth="1"/>
    <col min="13814" max="14057" width="9.140625" style="284"/>
    <col min="14058" max="14059" width="0" style="284" hidden="1" customWidth="1"/>
    <col min="14060" max="14060" width="11.140625" style="284" customWidth="1"/>
    <col min="14061" max="14061" width="43.140625" style="284" customWidth="1"/>
    <col min="14062" max="14063" width="13.28515625" style="284" customWidth="1"/>
    <col min="14064" max="14064" width="13.5703125" style="284" customWidth="1"/>
    <col min="14065" max="14067" width="14.85546875" style="284" customWidth="1"/>
    <col min="14068" max="14069" width="12.5703125" style="284" bestFit="1" customWidth="1"/>
    <col min="14070" max="14313" width="9.140625" style="284"/>
    <col min="14314" max="14315" width="0" style="284" hidden="1" customWidth="1"/>
    <col min="14316" max="14316" width="11.140625" style="284" customWidth="1"/>
    <col min="14317" max="14317" width="43.140625" style="284" customWidth="1"/>
    <col min="14318" max="14319" width="13.28515625" style="284" customWidth="1"/>
    <col min="14320" max="14320" width="13.5703125" style="284" customWidth="1"/>
    <col min="14321" max="14323" width="14.85546875" style="284" customWidth="1"/>
    <col min="14324" max="14325" width="12.5703125" style="284" bestFit="1" customWidth="1"/>
    <col min="14326" max="14569" width="9.140625" style="284"/>
    <col min="14570" max="14571" width="0" style="284" hidden="1" customWidth="1"/>
    <col min="14572" max="14572" width="11.140625" style="284" customWidth="1"/>
    <col min="14573" max="14573" width="43.140625" style="284" customWidth="1"/>
    <col min="14574" max="14575" width="13.28515625" style="284" customWidth="1"/>
    <col min="14576" max="14576" width="13.5703125" style="284" customWidth="1"/>
    <col min="14577" max="14579" width="14.85546875" style="284" customWidth="1"/>
    <col min="14580" max="14581" width="12.5703125" style="284" bestFit="1" customWidth="1"/>
    <col min="14582" max="14825" width="9.140625" style="284"/>
    <col min="14826" max="14827" width="0" style="284" hidden="1" customWidth="1"/>
    <col min="14828" max="14828" width="11.140625" style="284" customWidth="1"/>
    <col min="14829" max="14829" width="43.140625" style="284" customWidth="1"/>
    <col min="14830" max="14831" width="13.28515625" style="284" customWidth="1"/>
    <col min="14832" max="14832" width="13.5703125" style="284" customWidth="1"/>
    <col min="14833" max="14835" width="14.85546875" style="284" customWidth="1"/>
    <col min="14836" max="14837" width="12.5703125" style="284" bestFit="1" customWidth="1"/>
    <col min="14838" max="15081" width="9.140625" style="284"/>
    <col min="15082" max="15083" width="0" style="284" hidden="1" customWidth="1"/>
    <col min="15084" max="15084" width="11.140625" style="284" customWidth="1"/>
    <col min="15085" max="15085" width="43.140625" style="284" customWidth="1"/>
    <col min="15086" max="15087" width="13.28515625" style="284" customWidth="1"/>
    <col min="15088" max="15088" width="13.5703125" style="284" customWidth="1"/>
    <col min="15089" max="15091" width="14.85546875" style="284" customWidth="1"/>
    <col min="15092" max="15093" width="12.5703125" style="284" bestFit="1" customWidth="1"/>
    <col min="15094" max="15337" width="9.140625" style="284"/>
    <col min="15338" max="15339" width="0" style="284" hidden="1" customWidth="1"/>
    <col min="15340" max="15340" width="11.140625" style="284" customWidth="1"/>
    <col min="15341" max="15341" width="43.140625" style="284" customWidth="1"/>
    <col min="15342" max="15343" width="13.28515625" style="284" customWidth="1"/>
    <col min="15344" max="15344" width="13.5703125" style="284" customWidth="1"/>
    <col min="15345" max="15347" width="14.85546875" style="284" customWidth="1"/>
    <col min="15348" max="15349" width="12.5703125" style="284" bestFit="1" customWidth="1"/>
    <col min="15350" max="15593" width="9.140625" style="284"/>
    <col min="15594" max="15595" width="0" style="284" hidden="1" customWidth="1"/>
    <col min="15596" max="15596" width="11.140625" style="284" customWidth="1"/>
    <col min="15597" max="15597" width="43.140625" style="284" customWidth="1"/>
    <col min="15598" max="15599" width="13.28515625" style="284" customWidth="1"/>
    <col min="15600" max="15600" width="13.5703125" style="284" customWidth="1"/>
    <col min="15601" max="15603" width="14.85546875" style="284" customWidth="1"/>
    <col min="15604" max="15605" width="12.5703125" style="284" bestFit="1" customWidth="1"/>
    <col min="15606" max="15849" width="9.140625" style="284"/>
    <col min="15850" max="15851" width="0" style="284" hidden="1" customWidth="1"/>
    <col min="15852" max="15852" width="11.140625" style="284" customWidth="1"/>
    <col min="15853" max="15853" width="43.140625" style="284" customWidth="1"/>
    <col min="15854" max="15855" width="13.28515625" style="284" customWidth="1"/>
    <col min="15856" max="15856" width="13.5703125" style="284" customWidth="1"/>
    <col min="15857" max="15859" width="14.85546875" style="284" customWidth="1"/>
    <col min="15860" max="15861" width="12.5703125" style="284" bestFit="1" customWidth="1"/>
    <col min="15862" max="16105" width="9.140625" style="284"/>
    <col min="16106" max="16107" width="0" style="284" hidden="1" customWidth="1"/>
    <col min="16108" max="16108" width="11.140625" style="284" customWidth="1"/>
    <col min="16109" max="16109" width="43.140625" style="284" customWidth="1"/>
    <col min="16110" max="16111" width="13.28515625" style="284" customWidth="1"/>
    <col min="16112" max="16112" width="13.5703125" style="284" customWidth="1"/>
    <col min="16113" max="16115" width="14.85546875" style="284" customWidth="1"/>
    <col min="16116" max="16117" width="12.5703125" style="284" bestFit="1" customWidth="1"/>
    <col min="16118" max="16384" width="9.140625" style="284"/>
  </cols>
  <sheetData>
    <row r="1" spans="1:11" ht="15" customHeight="1" x14ac:dyDescent="0.2">
      <c r="A1" s="21" t="s">
        <v>61</v>
      </c>
    </row>
    <row r="2" spans="1:11" ht="27.75" customHeight="1" x14ac:dyDescent="0.15">
      <c r="A2" s="725" t="s">
        <v>507</v>
      </c>
      <c r="B2" s="725"/>
      <c r="C2" s="725"/>
      <c r="D2" s="725"/>
      <c r="E2" s="725"/>
      <c r="F2" s="725"/>
    </row>
    <row r="4" spans="1:11" ht="18" customHeight="1" x14ac:dyDescent="0.15">
      <c r="A4" s="726" t="s">
        <v>570</v>
      </c>
      <c r="B4" s="726"/>
      <c r="C4" s="726"/>
      <c r="D4" s="726"/>
      <c r="E4" s="726"/>
      <c r="F4" s="726"/>
    </row>
    <row r="5" spans="1:11" ht="12" customHeight="1" thickBot="1" x14ac:dyDescent="0.2">
      <c r="C5" s="67"/>
      <c r="D5" s="67"/>
      <c r="F5" s="67"/>
      <c r="G5" s="67" t="s">
        <v>148</v>
      </c>
    </row>
    <row r="6" spans="1:11" ht="18" customHeight="1" thickBot="1" x14ac:dyDescent="0.2">
      <c r="A6" s="335" t="s">
        <v>542</v>
      </c>
      <c r="B6" s="68">
        <v>2023</v>
      </c>
      <c r="C6" s="68" t="s">
        <v>270</v>
      </c>
      <c r="D6" s="68" t="s">
        <v>271</v>
      </c>
      <c r="E6" s="68" t="s">
        <v>386</v>
      </c>
      <c r="F6" s="377" t="s">
        <v>506</v>
      </c>
      <c r="G6" s="69" t="s">
        <v>571</v>
      </c>
    </row>
    <row r="7" spans="1:11" s="367" customFormat="1" ht="17.25" customHeight="1" x14ac:dyDescent="0.2">
      <c r="A7" s="336" t="s">
        <v>2</v>
      </c>
      <c r="B7" s="365">
        <v>10614.326222940001</v>
      </c>
      <c r="C7" s="365">
        <v>10159.451059999999</v>
      </c>
      <c r="D7" s="365">
        <v>10772.4</v>
      </c>
      <c r="E7" s="365">
        <v>11372.4</v>
      </c>
      <c r="F7" s="381">
        <v>11672.4</v>
      </c>
      <c r="G7" s="366">
        <v>11972.4</v>
      </c>
      <c r="K7" s="368"/>
    </row>
    <row r="8" spans="1:11" s="367" customFormat="1" ht="17.25" customHeight="1" x14ac:dyDescent="0.2">
      <c r="A8" s="337" t="s">
        <v>572</v>
      </c>
      <c r="B8" s="369">
        <v>640.06220756999994</v>
      </c>
      <c r="C8" s="369">
        <v>900.99405999999988</v>
      </c>
      <c r="D8" s="369">
        <v>206.005</v>
      </c>
      <c r="E8" s="369">
        <v>246.32799999999997</v>
      </c>
      <c r="F8" s="378">
        <v>109.67500000000001</v>
      </c>
      <c r="G8" s="370">
        <v>104.95899999999995</v>
      </c>
      <c r="K8" s="368"/>
    </row>
    <row r="9" spans="1:11" s="367" customFormat="1" ht="17.25" customHeight="1" x14ac:dyDescent="0.2">
      <c r="A9" s="338" t="s">
        <v>527</v>
      </c>
      <c r="B9" s="369">
        <v>26821.066163</v>
      </c>
      <c r="C9" s="369">
        <v>26003.837</v>
      </c>
      <c r="D9" s="369">
        <v>28070.62</v>
      </c>
      <c r="E9" s="369">
        <v>29081.280999999999</v>
      </c>
      <c r="F9" s="378">
        <v>28961.179</v>
      </c>
      <c r="G9" s="370">
        <v>27352.611000000001</v>
      </c>
    </row>
    <row r="10" spans="1:11" s="367" customFormat="1" ht="17.25" customHeight="1" x14ac:dyDescent="0.2">
      <c r="A10" s="332" t="s">
        <v>143</v>
      </c>
      <c r="B10" s="371">
        <f t="shared" ref="B10:G10" si="0">SUM(B7:B9)</f>
        <v>38075.454593510003</v>
      </c>
      <c r="C10" s="371">
        <f t="shared" si="0"/>
        <v>37064.282119999996</v>
      </c>
      <c r="D10" s="371">
        <f t="shared" si="0"/>
        <v>39049.024999999994</v>
      </c>
      <c r="E10" s="371">
        <f>SUM(E7:E9)</f>
        <v>40700.008999999998</v>
      </c>
      <c r="F10" s="382">
        <f t="shared" si="0"/>
        <v>40743.254000000001</v>
      </c>
      <c r="G10" s="372">
        <f t="shared" si="0"/>
        <v>39429.97</v>
      </c>
    </row>
    <row r="11" spans="1:11" s="367" customFormat="1" ht="18" customHeight="1" thickBot="1" x14ac:dyDescent="0.3">
      <c r="A11" s="333" t="s">
        <v>573</v>
      </c>
      <c r="B11" s="369">
        <v>2754.0291157500001</v>
      </c>
      <c r="C11" s="369">
        <v>3509</v>
      </c>
      <c r="D11" s="369">
        <v>4093.9885024600003</v>
      </c>
      <c r="E11" s="369">
        <v>3899.4845024599999</v>
      </c>
      <c r="F11" s="378">
        <v>2839.9475024600001</v>
      </c>
      <c r="G11" s="370">
        <v>2202.9985024600001</v>
      </c>
      <c r="H11" s="373"/>
    </row>
    <row r="12" spans="1:11" s="367" customFormat="1" ht="27" customHeight="1" thickBot="1" x14ac:dyDescent="0.25">
      <c r="A12" s="334" t="s">
        <v>574</v>
      </c>
      <c r="B12" s="70">
        <f t="shared" ref="B12:G12" si="1">B11/B10</f>
        <v>7.2330826910716045E-2</v>
      </c>
      <c r="C12" s="70">
        <f t="shared" si="1"/>
        <v>9.4673356646682041E-2</v>
      </c>
      <c r="D12" s="374">
        <f t="shared" si="1"/>
        <v>0.10484227205314348</v>
      </c>
      <c r="E12" s="70">
        <f>E11/E10</f>
        <v>9.5810408849295342E-2</v>
      </c>
      <c r="F12" s="380">
        <f>F11/F10</f>
        <v>6.9703502387413629E-2</v>
      </c>
      <c r="G12" s="71">
        <f t="shared" si="1"/>
        <v>5.5871168617678379E-2</v>
      </c>
    </row>
    <row r="13" spans="1:11" ht="18" customHeight="1" x14ac:dyDescent="0.15">
      <c r="A13" s="73" t="s">
        <v>579</v>
      </c>
      <c r="B13" s="383"/>
      <c r="C13" s="383"/>
      <c r="D13" s="383"/>
      <c r="E13" s="383"/>
      <c r="F13" s="383"/>
    </row>
    <row r="14" spans="1:11" ht="15" customHeight="1" x14ac:dyDescent="0.15">
      <c r="A14" s="73" t="s">
        <v>582</v>
      </c>
      <c r="B14" s="383"/>
      <c r="C14" s="383"/>
      <c r="D14" s="383"/>
      <c r="E14" s="383"/>
      <c r="F14" s="383"/>
    </row>
    <row r="15" spans="1:11" ht="15" customHeight="1" x14ac:dyDescent="0.15">
      <c r="A15" s="727" t="s">
        <v>580</v>
      </c>
      <c r="B15" s="728"/>
      <c r="C15" s="728"/>
      <c r="D15" s="728"/>
      <c r="E15" s="728"/>
      <c r="F15" s="728"/>
      <c r="G15" s="728"/>
      <c r="H15" s="375"/>
      <c r="I15" s="375"/>
      <c r="J15" s="375"/>
    </row>
    <row r="16" spans="1:11" ht="15" customHeight="1" x14ac:dyDescent="0.2">
      <c r="A16" s="384" t="s">
        <v>584</v>
      </c>
      <c r="B16" s="384"/>
      <c r="C16" s="384"/>
      <c r="D16" s="384"/>
      <c r="E16" s="384"/>
      <c r="F16" s="384"/>
      <c r="G16" s="384"/>
      <c r="H16" s="376"/>
      <c r="I16" s="376"/>
      <c r="J16" s="376"/>
    </row>
    <row r="17" spans="1:10" ht="35.25" customHeight="1" x14ac:dyDescent="0.15"/>
    <row r="18" spans="1:10" ht="18" customHeight="1" x14ac:dyDescent="0.15">
      <c r="A18" s="726" t="s">
        <v>64</v>
      </c>
      <c r="B18" s="726"/>
      <c r="C18" s="726"/>
      <c r="D18" s="726"/>
      <c r="E18" s="726"/>
      <c r="F18" s="726"/>
    </row>
    <row r="19" spans="1:10" ht="12" thickBot="1" x14ac:dyDescent="0.2">
      <c r="A19" s="72"/>
      <c r="C19" s="67"/>
      <c r="D19" s="67"/>
      <c r="F19" s="67"/>
      <c r="G19" s="67" t="s">
        <v>148</v>
      </c>
    </row>
    <row r="20" spans="1:10" ht="18" customHeight="1" thickBot="1" x14ac:dyDescent="0.2">
      <c r="A20" s="335" t="s">
        <v>542</v>
      </c>
      <c r="B20" s="68">
        <v>2023</v>
      </c>
      <c r="C20" s="68" t="s">
        <v>270</v>
      </c>
      <c r="D20" s="68" t="s">
        <v>271</v>
      </c>
      <c r="E20" s="68" t="s">
        <v>386</v>
      </c>
      <c r="F20" s="377" t="s">
        <v>506</v>
      </c>
      <c r="G20" s="69" t="s">
        <v>571</v>
      </c>
    </row>
    <row r="21" spans="1:10" ht="17.25" customHeight="1" x14ac:dyDescent="0.15">
      <c r="A21" s="339" t="s">
        <v>144</v>
      </c>
      <c r="B21" s="365">
        <v>40360.020387559998</v>
      </c>
      <c r="C21" s="369">
        <v>38643.082289999998</v>
      </c>
      <c r="D21" s="369">
        <v>40080.915999999997</v>
      </c>
      <c r="E21" s="369">
        <v>41399.321000000004</v>
      </c>
      <c r="F21" s="378">
        <v>41383.451000000001</v>
      </c>
      <c r="G21" s="370">
        <v>39992.461000000003</v>
      </c>
    </row>
    <row r="22" spans="1:10" ht="17.25" customHeight="1" x14ac:dyDescent="0.15">
      <c r="A22" s="338" t="s">
        <v>145</v>
      </c>
      <c r="B22" s="369">
        <v>34994.538070862502</v>
      </c>
      <c r="C22" s="369">
        <v>35114.057625642505</v>
      </c>
      <c r="D22" s="369">
        <v>36698.261308089997</v>
      </c>
      <c r="E22" s="369">
        <v>38129.665169749998</v>
      </c>
      <c r="F22" s="378">
        <v>40376.692572499996</v>
      </c>
      <c r="G22" s="370">
        <v>40714.037250000001</v>
      </c>
    </row>
    <row r="23" spans="1:10" s="367" customFormat="1" ht="18" customHeight="1" thickBot="1" x14ac:dyDescent="0.25">
      <c r="A23" s="340" t="s">
        <v>575</v>
      </c>
      <c r="B23" s="369">
        <v>2754.0291157500001</v>
      </c>
      <c r="C23" s="369">
        <f>C11</f>
        <v>3509</v>
      </c>
      <c r="D23" s="369">
        <f>D11</f>
        <v>4093.9885024600003</v>
      </c>
      <c r="E23" s="369">
        <f t="shared" ref="E23:G23" si="2">E11</f>
        <v>3899.4845024599999</v>
      </c>
      <c r="F23" s="378">
        <f>F11</f>
        <v>2839.9475024600001</v>
      </c>
      <c r="G23" s="379">
        <f t="shared" si="2"/>
        <v>2202.9985024600001</v>
      </c>
    </row>
    <row r="24" spans="1:10" s="367" customFormat="1" ht="27" customHeight="1" thickBot="1" x14ac:dyDescent="0.25">
      <c r="A24" s="334" t="s">
        <v>576</v>
      </c>
      <c r="B24" s="70">
        <f t="shared" ref="B24:G24" si="3">(B23)/B22</f>
        <v>7.869882751911754E-2</v>
      </c>
      <c r="C24" s="70">
        <f t="shared" si="3"/>
        <v>9.9931487195530105E-2</v>
      </c>
      <c r="D24" s="374">
        <f t="shared" si="3"/>
        <v>0.11155810538515883</v>
      </c>
      <c r="E24" s="70">
        <f t="shared" si="3"/>
        <v>0.10226904655731514</v>
      </c>
      <c r="F24" s="380">
        <f t="shared" si="3"/>
        <v>7.0336308437364409E-2</v>
      </c>
      <c r="G24" s="71">
        <f t="shared" si="3"/>
        <v>5.41090653558313E-2</v>
      </c>
    </row>
    <row r="25" spans="1:10" ht="18" customHeight="1" x14ac:dyDescent="0.15">
      <c r="A25" s="73" t="s">
        <v>581</v>
      </c>
      <c r="B25" s="383"/>
      <c r="C25" s="383"/>
      <c r="D25" s="383"/>
      <c r="E25" s="383"/>
      <c r="F25" s="383"/>
    </row>
    <row r="26" spans="1:10" ht="15" customHeight="1" x14ac:dyDescent="0.15">
      <c r="A26" s="727" t="s">
        <v>585</v>
      </c>
      <c r="B26" s="728"/>
      <c r="C26" s="728"/>
      <c r="D26" s="728"/>
      <c r="E26" s="728"/>
      <c r="F26" s="728"/>
      <c r="G26" s="728"/>
      <c r="H26" s="375"/>
      <c r="I26" s="375"/>
      <c r="J26" s="375"/>
    </row>
    <row r="27" spans="1:10" ht="15" customHeight="1" x14ac:dyDescent="0.2">
      <c r="A27" s="384" t="s">
        <v>583</v>
      </c>
      <c r="B27" s="384"/>
      <c r="C27" s="384"/>
      <c r="D27" s="384"/>
      <c r="E27" s="384"/>
      <c r="F27" s="384"/>
      <c r="G27" s="384"/>
      <c r="H27" s="376"/>
      <c r="I27" s="376"/>
      <c r="J27" s="376"/>
    </row>
    <row r="28" spans="1:10" ht="15" customHeight="1" x14ac:dyDescent="0.15"/>
    <row r="29" spans="1:10" ht="10.5" customHeight="1" x14ac:dyDescent="0.15"/>
    <row r="30" spans="1:10" ht="11.25" customHeight="1" x14ac:dyDescent="0.15"/>
  </sheetData>
  <mergeCells count="5">
    <mergeCell ref="A2:F2"/>
    <mergeCell ref="A4:F4"/>
    <mergeCell ref="A15:G15"/>
    <mergeCell ref="A18:F18"/>
    <mergeCell ref="A26:G26"/>
  </mergeCells>
  <printOptions horizontalCentered="1"/>
  <pageMargins left="0.31496062992125984" right="0.31496062992125984" top="0.78740157480314965" bottom="0.59055118110236227" header="0.31496062992125984" footer="0.11811023622047245"/>
  <pageSetup paperSize="9" firstPageNumber="46" orientation="landscape" useFirstPageNumber="1" r:id="rId1"/>
  <headerFooter>
    <oddHeader>&amp;L&amp;"Tahoma,Kurzíva"&amp;9Střednědobý výhled rozpočtu Moravskoslezského kraje na léta 2026-2028&amp;R&amp;"Tahoma,Kurzíva"&amp;9Ukazatele zadluženosti</oddHeader>
    <oddFooter>&amp;C&amp;"Tahoma,Obyčejné"&amp;P</oddFooter>
  </headerFooter>
  <ignoredErrors>
    <ignoredError sqref="B1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00FC5-BF7B-4CEF-A9E5-C8271B54330F}">
  <sheetPr>
    <outlinePr summaryBelow="0"/>
    <pageSetUpPr fitToPage="1"/>
  </sheetPr>
  <dimension ref="A1:H59"/>
  <sheetViews>
    <sheetView zoomScaleNormal="100" zoomScaleSheetLayoutView="100" workbookViewId="0">
      <selection activeCell="G5" sqref="G5"/>
    </sheetView>
  </sheetViews>
  <sheetFormatPr defaultColWidth="9.140625" defaultRowHeight="12.75" x14ac:dyDescent="0.2"/>
  <cols>
    <col min="1" max="1" width="62.7109375" style="2" customWidth="1"/>
    <col min="2" max="2" width="13.7109375" style="6" customWidth="1"/>
    <col min="3" max="5" width="13.7109375" style="7" customWidth="1"/>
    <col min="6" max="6" width="12" style="2" customWidth="1"/>
    <col min="7" max="7" width="11.5703125" style="2" customWidth="1"/>
    <col min="8" max="8" width="11.7109375" style="2" customWidth="1"/>
    <col min="9" max="12" width="14.7109375" style="2" customWidth="1"/>
    <col min="13" max="16384" width="9.140625" style="2"/>
  </cols>
  <sheetData>
    <row r="1" spans="1:8" s="22" customFormat="1" ht="15" customHeight="1" x14ac:dyDescent="0.2">
      <c r="A1" s="21" t="s">
        <v>46</v>
      </c>
      <c r="E1" s="23"/>
      <c r="F1" s="24"/>
      <c r="G1" s="24"/>
      <c r="H1" s="24"/>
    </row>
    <row r="2" spans="1:8" s="29" customFormat="1" ht="6" customHeight="1" x14ac:dyDescent="0.25">
      <c r="A2" s="25"/>
      <c r="B2" s="26"/>
      <c r="C2" s="26"/>
      <c r="D2" s="26"/>
      <c r="E2" s="27"/>
      <c r="F2" s="28"/>
      <c r="G2" s="28"/>
      <c r="H2" s="28"/>
    </row>
    <row r="3" spans="1:8" s="29" customFormat="1" ht="36" customHeight="1" x14ac:dyDescent="0.2">
      <c r="A3" s="612" t="s">
        <v>557</v>
      </c>
      <c r="B3" s="612"/>
      <c r="C3" s="612"/>
      <c r="D3" s="612"/>
      <c r="E3" s="612"/>
      <c r="F3" s="612"/>
      <c r="G3" s="612"/>
      <c r="H3" s="612"/>
    </row>
    <row r="4" spans="1:8" s="29" customFormat="1" ht="11.25" customHeight="1" thickBot="1" x14ac:dyDescent="0.25">
      <c r="A4" s="128"/>
      <c r="B4" s="30"/>
      <c r="C4" s="30"/>
      <c r="D4" s="30"/>
      <c r="E4" s="30"/>
      <c r="F4" s="31"/>
      <c r="G4" s="31"/>
      <c r="H4" s="31"/>
    </row>
    <row r="5" spans="1:8" s="1" customFormat="1" ht="43.5" customHeight="1" thickBot="1" x14ac:dyDescent="0.25">
      <c r="A5" s="129" t="s">
        <v>0</v>
      </c>
      <c r="B5" s="218" t="s">
        <v>558</v>
      </c>
      <c r="C5" s="11" t="s">
        <v>391</v>
      </c>
      <c r="D5" s="11" t="s">
        <v>400</v>
      </c>
      <c r="E5" s="12" t="s">
        <v>559</v>
      </c>
    </row>
    <row r="6" spans="1:8" s="131" customFormat="1" ht="16.5" customHeight="1" x14ac:dyDescent="0.2">
      <c r="A6" s="130" t="s">
        <v>1</v>
      </c>
      <c r="B6" s="17">
        <f t="shared" ref="B6:E6" si="0">B7+B8+B9+B10</f>
        <v>40080916</v>
      </c>
      <c r="C6" s="17">
        <f t="shared" si="0"/>
        <v>41399321</v>
      </c>
      <c r="D6" s="17">
        <f t="shared" si="0"/>
        <v>41383451</v>
      </c>
      <c r="E6" s="20">
        <f t="shared" si="0"/>
        <v>39992461</v>
      </c>
    </row>
    <row r="7" spans="1:8" s="1" customFormat="1" ht="16.5" customHeight="1" x14ac:dyDescent="0.2">
      <c r="A7" s="132" t="s">
        <v>2</v>
      </c>
      <c r="B7" s="219">
        <f>B32</f>
        <v>10772400</v>
      </c>
      <c r="C7" s="133">
        <f t="shared" ref="C7:E7" si="1">C32</f>
        <v>11372400</v>
      </c>
      <c r="D7" s="133">
        <f t="shared" si="1"/>
        <v>11672400</v>
      </c>
      <c r="E7" s="134">
        <f t="shared" si="1"/>
        <v>11972400</v>
      </c>
    </row>
    <row r="8" spans="1:8" s="1" customFormat="1" ht="16.5" customHeight="1" x14ac:dyDescent="0.2">
      <c r="A8" s="132" t="s">
        <v>3</v>
      </c>
      <c r="B8" s="219">
        <f>B39</f>
        <v>833043</v>
      </c>
      <c r="C8" s="133">
        <f t="shared" ref="C8:E8" si="2">C39</f>
        <v>786554</v>
      </c>
      <c r="D8" s="133">
        <f t="shared" si="2"/>
        <v>594869</v>
      </c>
      <c r="E8" s="134">
        <f t="shared" si="2"/>
        <v>591213</v>
      </c>
    </row>
    <row r="9" spans="1:8" s="1" customFormat="1" ht="16.5" customHeight="1" x14ac:dyDescent="0.2">
      <c r="A9" s="132" t="s">
        <v>4</v>
      </c>
      <c r="B9" s="219">
        <f>B51</f>
        <v>5603</v>
      </c>
      <c r="C9" s="133">
        <f t="shared" ref="C9:E9" si="3">C51</f>
        <v>4387</v>
      </c>
      <c r="D9" s="133">
        <f t="shared" si="3"/>
        <v>4387</v>
      </c>
      <c r="E9" s="134">
        <f t="shared" si="3"/>
        <v>4387</v>
      </c>
    </row>
    <row r="10" spans="1:8" s="1" customFormat="1" ht="16.5" customHeight="1" x14ac:dyDescent="0.2">
      <c r="A10" s="132" t="s">
        <v>21</v>
      </c>
      <c r="B10" s="219">
        <f>B53+B57+B58</f>
        <v>28469870</v>
      </c>
      <c r="C10" s="133">
        <f t="shared" ref="C10:E10" si="4">C53+C57+C58</f>
        <v>29235980</v>
      </c>
      <c r="D10" s="133">
        <f t="shared" si="4"/>
        <v>29111795</v>
      </c>
      <c r="E10" s="134">
        <f t="shared" si="4"/>
        <v>27424461</v>
      </c>
    </row>
    <row r="11" spans="1:8" s="131" customFormat="1" ht="16.5" customHeight="1" x14ac:dyDescent="0.2">
      <c r="A11" s="130" t="s">
        <v>5</v>
      </c>
      <c r="B11" s="17">
        <f>B12+B13+B14</f>
        <v>3141376</v>
      </c>
      <c r="C11" s="17">
        <f>C12+C13+C14</f>
        <v>241205</v>
      </c>
      <c r="D11" s="17">
        <f>D12+D13+D14</f>
        <v>-1267969</v>
      </c>
      <c r="E11" s="20">
        <f>E12+E13+E14</f>
        <v>-441055</v>
      </c>
    </row>
    <row r="12" spans="1:8" s="3" customFormat="1" ht="16.5" customHeight="1" x14ac:dyDescent="0.2">
      <c r="A12" s="135" t="s">
        <v>43</v>
      </c>
      <c r="B12" s="219">
        <v>1314040</v>
      </c>
      <c r="C12" s="133">
        <v>1479021</v>
      </c>
      <c r="D12" s="133">
        <v>912711</v>
      </c>
      <c r="E12" s="134">
        <v>58000</v>
      </c>
    </row>
    <row r="13" spans="1:8" s="4" customFormat="1" ht="16.5" customHeight="1" x14ac:dyDescent="0.2">
      <c r="A13" s="135" t="s">
        <v>44</v>
      </c>
      <c r="B13" s="219">
        <v>-728620</v>
      </c>
      <c r="C13" s="133">
        <v>-1673525</v>
      </c>
      <c r="D13" s="133">
        <v>-1972248</v>
      </c>
      <c r="E13" s="134">
        <v>-694949</v>
      </c>
    </row>
    <row r="14" spans="1:8" s="3" customFormat="1" ht="16.5" customHeight="1" x14ac:dyDescent="0.2">
      <c r="A14" s="135" t="s">
        <v>45</v>
      </c>
      <c r="B14" s="219">
        <v>2555956</v>
      </c>
      <c r="C14" s="133">
        <v>435709</v>
      </c>
      <c r="D14" s="133">
        <v>-208432</v>
      </c>
      <c r="E14" s="134">
        <v>195894</v>
      </c>
    </row>
    <row r="15" spans="1:8" s="131" customFormat="1" ht="16.5" customHeight="1" x14ac:dyDescent="0.2">
      <c r="A15" s="130" t="s">
        <v>7</v>
      </c>
      <c r="B15" s="17">
        <f>B16+B17+B18+B19+B20+B21+B22+B23+B24</f>
        <v>43222292</v>
      </c>
      <c r="C15" s="17">
        <f t="shared" ref="C15:E15" si="5">C16+C17+C18+C19+C20+C21+C22+C23+C24</f>
        <v>41640526</v>
      </c>
      <c r="D15" s="17">
        <f t="shared" si="5"/>
        <v>40115482</v>
      </c>
      <c r="E15" s="20">
        <f t="shared" si="5"/>
        <v>39551406</v>
      </c>
    </row>
    <row r="16" spans="1:8" s="1" customFormat="1" ht="16.5" customHeight="1" x14ac:dyDescent="0.2">
      <c r="A16" s="135" t="s">
        <v>8</v>
      </c>
      <c r="B16" s="219">
        <f>'Tab. 1 VÝDAJE'!B4</f>
        <v>829209</v>
      </c>
      <c r="C16" s="133">
        <f>'Tab. 1 VÝDAJE'!C4</f>
        <v>834403</v>
      </c>
      <c r="D16" s="133">
        <f>'Tab. 1 VÝDAJE'!D4</f>
        <v>839519</v>
      </c>
      <c r="E16" s="134">
        <f>'Tab. 1 VÝDAJE'!E4</f>
        <v>846751</v>
      </c>
    </row>
    <row r="17" spans="1:8" s="1" customFormat="1" ht="16.5" customHeight="1" x14ac:dyDescent="0.2">
      <c r="A17" s="135" t="s">
        <v>9</v>
      </c>
      <c r="B17" s="219">
        <f>'Tab. 1 VÝDAJE'!B5</f>
        <v>502486</v>
      </c>
      <c r="C17" s="133">
        <f>'Tab. 1 VÝDAJE'!C5</f>
        <v>506371</v>
      </c>
      <c r="D17" s="133">
        <f>'Tab. 1 VÝDAJE'!D5</f>
        <v>493706</v>
      </c>
      <c r="E17" s="134">
        <f>'Tab. 1 VÝDAJE'!E5</f>
        <v>463761</v>
      </c>
    </row>
    <row r="18" spans="1:8" s="1" customFormat="1" ht="16.5" customHeight="1" x14ac:dyDescent="0.2">
      <c r="A18" s="135" t="s">
        <v>47</v>
      </c>
      <c r="B18" s="219">
        <f>'Tab. 1 VÝDAJE'!B12</f>
        <v>30838089</v>
      </c>
      <c r="C18" s="133">
        <f>'Tab. 1 VÝDAJE'!C12</f>
        <v>30333745</v>
      </c>
      <c r="D18" s="133">
        <f>'Tab. 1 VÝDAJE'!D12</f>
        <v>30495382</v>
      </c>
      <c r="E18" s="134">
        <f>'Tab. 1 VÝDAJE'!E12</f>
        <v>30800708</v>
      </c>
    </row>
    <row r="19" spans="1:8" s="1" customFormat="1" ht="16.5" customHeight="1" x14ac:dyDescent="0.2">
      <c r="A19" s="135" t="s">
        <v>10</v>
      </c>
      <c r="B19" s="219">
        <f>'Tab. 1 VÝDAJE'!B27</f>
        <v>3449933</v>
      </c>
      <c r="C19" s="133">
        <f>'Tab. 1 VÝDAJE'!C27</f>
        <v>3544159</v>
      </c>
      <c r="D19" s="133">
        <f>'Tab. 1 VÝDAJE'!D27</f>
        <v>3689537</v>
      </c>
      <c r="E19" s="134">
        <f>'Tab. 1 VÝDAJE'!E27</f>
        <v>3769647</v>
      </c>
    </row>
    <row r="20" spans="1:8" s="1" customFormat="1" ht="16.5" customHeight="1" x14ac:dyDescent="0.2">
      <c r="A20" s="135" t="s">
        <v>50</v>
      </c>
      <c r="B20" s="219">
        <f>'Tab. 1 VÝDAJE'!B35</f>
        <v>262082</v>
      </c>
      <c r="C20" s="133">
        <f>'Tab. 1 VÝDAJE'!C35</f>
        <v>259812</v>
      </c>
      <c r="D20" s="133">
        <f>'Tab. 1 VÝDAJE'!D35</f>
        <v>250946</v>
      </c>
      <c r="E20" s="134">
        <f>'Tab. 1 VÝDAJE'!E35</f>
        <v>231000</v>
      </c>
    </row>
    <row r="21" spans="1:8" s="1" customFormat="1" ht="16.5" customHeight="1" x14ac:dyDescent="0.2">
      <c r="A21" s="135" t="s">
        <v>48</v>
      </c>
      <c r="B21" s="219">
        <f>'Tab. 1 VÝDAJE'!B43</f>
        <v>2793299</v>
      </c>
      <c r="C21" s="133">
        <f>'Tab. 1 VÝDAJE'!C43</f>
        <v>2284995</v>
      </c>
      <c r="D21" s="133">
        <f>'Tab. 1 VÝDAJE'!D43</f>
        <v>1777453</v>
      </c>
      <c r="E21" s="134">
        <f>'Tab. 1 VÝDAJE'!E43</f>
        <v>816268</v>
      </c>
      <c r="F21" s="287"/>
    </row>
    <row r="22" spans="1:8" s="1" customFormat="1" ht="16.5" customHeight="1" x14ac:dyDescent="0.2">
      <c r="A22" s="135" t="s">
        <v>49</v>
      </c>
      <c r="B22" s="219">
        <f>'Tab. 1 VÝDAJE'!B55+'Tab. 1 VÝDAJE'!B68</f>
        <v>4279507</v>
      </c>
      <c r="C22" s="133">
        <f>'Tab. 1 VÝDAJE'!C55+'Tab. 1 VÝDAJE'!C68</f>
        <v>3365851</v>
      </c>
      <c r="D22" s="133">
        <f>'Tab. 1 VÝDAJE'!D55+'Tab. 1 VÝDAJE'!D68</f>
        <v>1687761</v>
      </c>
      <c r="E22" s="134">
        <f>'Tab. 1 VÝDAJE'!E55+'Tab. 1 VÝDAJE'!E68</f>
        <v>693437</v>
      </c>
      <c r="F22" s="287"/>
    </row>
    <row r="23" spans="1:8" s="1" customFormat="1" ht="16.5" customHeight="1" x14ac:dyDescent="0.2">
      <c r="A23" s="135" t="s">
        <v>254</v>
      </c>
      <c r="B23" s="220">
        <f>'Tab. 1 VÝDAJE'!B70</f>
        <v>0</v>
      </c>
      <c r="C23" s="136">
        <f>'Tab. 1 VÝDAJE'!C70</f>
        <v>320000</v>
      </c>
      <c r="D23" s="136">
        <f>'Tab. 1 VÝDAJE'!D70</f>
        <v>800000</v>
      </c>
      <c r="E23" s="137">
        <f>'Tab. 1 VÝDAJE'!E70</f>
        <v>1880000</v>
      </c>
    </row>
    <row r="24" spans="1:8" s="1" customFormat="1" ht="29.25" customHeight="1" thickBot="1" x14ac:dyDescent="0.25">
      <c r="A24" s="138" t="s">
        <v>967</v>
      </c>
      <c r="B24" s="221">
        <f>'Tab. 1 VÝDAJE'!B41</f>
        <v>267687</v>
      </c>
      <c r="C24" s="139">
        <f>'Tab. 1 VÝDAJE'!C41</f>
        <v>191190</v>
      </c>
      <c r="D24" s="139">
        <f>'Tab. 1 VÝDAJE'!D41</f>
        <v>81178</v>
      </c>
      <c r="E24" s="140">
        <f>'Tab. 1 VÝDAJE'!E41</f>
        <v>49834</v>
      </c>
    </row>
    <row r="25" spans="1:8" s="1" customFormat="1" ht="20.100000000000001" hidden="1" customHeight="1" thickBot="1" x14ac:dyDescent="0.25">
      <c r="A25" s="18" t="s">
        <v>11</v>
      </c>
      <c r="B25" s="19">
        <f>B6+B11-B15</f>
        <v>0</v>
      </c>
      <c r="C25" s="19">
        <f>C6+C11-C15</f>
        <v>0</v>
      </c>
      <c r="D25" s="19">
        <f>D6+D11-D15</f>
        <v>0</v>
      </c>
      <c r="E25" s="19">
        <f>E6+E11-E15</f>
        <v>0</v>
      </c>
    </row>
    <row r="26" spans="1:8" ht="12" customHeight="1" x14ac:dyDescent="0.2">
      <c r="A26" s="141"/>
      <c r="B26" s="142"/>
      <c r="C26" s="142"/>
      <c r="D26" s="142"/>
      <c r="E26" s="142"/>
    </row>
    <row r="27" spans="1:8" ht="12" customHeight="1" x14ac:dyDescent="0.2">
      <c r="A27" s="141"/>
      <c r="B27" s="142"/>
      <c r="C27" s="142"/>
      <c r="D27" s="142"/>
      <c r="E27" s="142"/>
    </row>
    <row r="28" spans="1:8" ht="12" customHeight="1" x14ac:dyDescent="0.2">
      <c r="A28" s="141"/>
      <c r="B28" s="143"/>
      <c r="C28" s="144"/>
      <c r="D28" s="144"/>
      <c r="E28" s="144"/>
    </row>
    <row r="29" spans="1:8" ht="16.5" customHeight="1" thickBot="1" x14ac:dyDescent="0.25">
      <c r="A29" s="141"/>
      <c r="B29" s="142"/>
      <c r="C29" s="144"/>
      <c r="D29" s="144"/>
      <c r="E29" s="144"/>
    </row>
    <row r="30" spans="1:8" s="5" customFormat="1" ht="16.5" customHeight="1" x14ac:dyDescent="0.2">
      <c r="A30" s="613" t="s">
        <v>12</v>
      </c>
      <c r="B30" s="222">
        <v>2025</v>
      </c>
      <c r="C30" s="13">
        <v>2026</v>
      </c>
      <c r="D30" s="14">
        <v>2027</v>
      </c>
      <c r="E30" s="13">
        <v>2028</v>
      </c>
      <c r="F30" s="615" t="s">
        <v>560</v>
      </c>
      <c r="G30" s="617" t="s">
        <v>399</v>
      </c>
      <c r="H30" s="619" t="s">
        <v>561</v>
      </c>
    </row>
    <row r="31" spans="1:8" s="5" customFormat="1" ht="36" customHeight="1" thickBot="1" x14ac:dyDescent="0.25">
      <c r="A31" s="614"/>
      <c r="B31" s="223" t="s">
        <v>282</v>
      </c>
      <c r="C31" s="15" t="s">
        <v>42</v>
      </c>
      <c r="D31" s="16" t="s">
        <v>42</v>
      </c>
      <c r="E31" s="15" t="s">
        <v>42</v>
      </c>
      <c r="F31" s="616"/>
      <c r="G31" s="618"/>
      <c r="H31" s="620"/>
    </row>
    <row r="32" spans="1:8" s="3" customFormat="1" ht="17.100000000000001" customHeight="1" x14ac:dyDescent="0.2">
      <c r="A32" s="145" t="s">
        <v>2</v>
      </c>
      <c r="B32" s="224">
        <f>SUM(B33:B38)</f>
        <v>10772400</v>
      </c>
      <c r="C32" s="146">
        <f t="shared" ref="C32:E32" si="6">SUM(C33:C38)</f>
        <v>11372400</v>
      </c>
      <c r="D32" s="146">
        <f t="shared" si="6"/>
        <v>11672400</v>
      </c>
      <c r="E32" s="146">
        <f t="shared" si="6"/>
        <v>11972400</v>
      </c>
      <c r="F32" s="147">
        <f t="shared" ref="F32:H56" si="7">C32/B32*100</f>
        <v>105.56978946195834</v>
      </c>
      <c r="G32" s="148">
        <f t="shared" si="7"/>
        <v>102.63796560092857</v>
      </c>
      <c r="H32" s="149">
        <f t="shared" si="7"/>
        <v>102.57016551865941</v>
      </c>
    </row>
    <row r="33" spans="1:8" s="1" customFormat="1" ht="17.100000000000001" customHeight="1" x14ac:dyDescent="0.2">
      <c r="A33" s="150" t="s">
        <v>13</v>
      </c>
      <c r="B33" s="225">
        <v>10600000</v>
      </c>
      <c r="C33" s="151">
        <v>11200000</v>
      </c>
      <c r="D33" s="151">
        <v>11500000</v>
      </c>
      <c r="E33" s="151">
        <v>11800000</v>
      </c>
      <c r="F33" s="147">
        <f t="shared" si="7"/>
        <v>105.66037735849056</v>
      </c>
      <c r="G33" s="148">
        <f t="shared" si="7"/>
        <v>102.67857142857142</v>
      </c>
      <c r="H33" s="149">
        <f t="shared" si="7"/>
        <v>102.60869565217392</v>
      </c>
    </row>
    <row r="34" spans="1:8" s="1" customFormat="1" ht="17.100000000000001" customHeight="1" x14ac:dyDescent="0.2">
      <c r="A34" s="132" t="s">
        <v>14</v>
      </c>
      <c r="B34" s="226">
        <v>150000</v>
      </c>
      <c r="C34" s="152">
        <v>150000</v>
      </c>
      <c r="D34" s="152">
        <v>150000</v>
      </c>
      <c r="E34" s="152">
        <v>150000</v>
      </c>
      <c r="F34" s="153">
        <f t="shared" si="7"/>
        <v>100</v>
      </c>
      <c r="G34" s="154">
        <f t="shared" si="7"/>
        <v>100</v>
      </c>
      <c r="H34" s="155">
        <f t="shared" si="7"/>
        <v>100</v>
      </c>
    </row>
    <row r="35" spans="1:8" s="1" customFormat="1" ht="17.100000000000001" customHeight="1" x14ac:dyDescent="0.2">
      <c r="A35" s="156" t="s">
        <v>385</v>
      </c>
      <c r="B35" s="226">
        <v>4000</v>
      </c>
      <c r="C35" s="152">
        <v>4000</v>
      </c>
      <c r="D35" s="152">
        <v>4000</v>
      </c>
      <c r="E35" s="152">
        <v>4000</v>
      </c>
      <c r="F35" s="153">
        <f t="shared" si="7"/>
        <v>100</v>
      </c>
      <c r="G35" s="154">
        <f t="shared" si="7"/>
        <v>100</v>
      </c>
      <c r="H35" s="155">
        <f t="shared" si="7"/>
        <v>100</v>
      </c>
    </row>
    <row r="36" spans="1:8" s="1" customFormat="1" ht="17.100000000000001" customHeight="1" x14ac:dyDescent="0.2">
      <c r="A36" s="132" t="s">
        <v>17</v>
      </c>
      <c r="B36" s="226">
        <v>15000</v>
      </c>
      <c r="C36" s="152">
        <v>15000</v>
      </c>
      <c r="D36" s="152">
        <v>15000</v>
      </c>
      <c r="E36" s="152">
        <v>15000</v>
      </c>
      <c r="F36" s="153">
        <f t="shared" si="7"/>
        <v>100</v>
      </c>
      <c r="G36" s="154">
        <f t="shared" si="7"/>
        <v>100</v>
      </c>
      <c r="H36" s="155">
        <f t="shared" si="7"/>
        <v>100</v>
      </c>
    </row>
    <row r="37" spans="1:8" s="1" customFormat="1" ht="17.100000000000001" customHeight="1" x14ac:dyDescent="0.2">
      <c r="A37" s="132" t="s">
        <v>565</v>
      </c>
      <c r="B37" s="226">
        <v>1000</v>
      </c>
      <c r="C37" s="152">
        <v>1000</v>
      </c>
      <c r="D37" s="152">
        <v>1000</v>
      </c>
      <c r="E37" s="152">
        <v>1000</v>
      </c>
      <c r="F37" s="153">
        <f t="shared" si="7"/>
        <v>100</v>
      </c>
      <c r="G37" s="154">
        <f t="shared" si="7"/>
        <v>100</v>
      </c>
      <c r="H37" s="155">
        <f t="shared" si="7"/>
        <v>100</v>
      </c>
    </row>
    <row r="38" spans="1:8" s="1" customFormat="1" ht="17.100000000000001" customHeight="1" x14ac:dyDescent="0.2">
      <c r="A38" s="156" t="s">
        <v>15</v>
      </c>
      <c r="B38" s="226">
        <v>2400</v>
      </c>
      <c r="C38" s="152">
        <v>2400</v>
      </c>
      <c r="D38" s="152">
        <v>2400</v>
      </c>
      <c r="E38" s="152">
        <v>2400</v>
      </c>
      <c r="F38" s="153">
        <f t="shared" si="7"/>
        <v>100</v>
      </c>
      <c r="G38" s="154">
        <f t="shared" si="7"/>
        <v>100</v>
      </c>
      <c r="H38" s="155">
        <f t="shared" si="7"/>
        <v>100</v>
      </c>
    </row>
    <row r="39" spans="1:8" s="3" customFormat="1" ht="17.100000000000001" customHeight="1" x14ac:dyDescent="0.2">
      <c r="A39" s="157" t="s">
        <v>3</v>
      </c>
      <c r="B39" s="224">
        <f>SUM(B40:B50)</f>
        <v>833043</v>
      </c>
      <c r="C39" s="146">
        <f>SUM(C40:C50)</f>
        <v>786554</v>
      </c>
      <c r="D39" s="146">
        <f>SUM(D40:D50)</f>
        <v>594869</v>
      </c>
      <c r="E39" s="146">
        <f>SUM(E40:E50)</f>
        <v>591213</v>
      </c>
      <c r="F39" s="147">
        <f t="shared" si="7"/>
        <v>94.419375710497533</v>
      </c>
      <c r="G39" s="148">
        <f t="shared" si="7"/>
        <v>75.629772399606381</v>
      </c>
      <c r="H39" s="149">
        <f t="shared" si="7"/>
        <v>99.385410905594341</v>
      </c>
    </row>
    <row r="40" spans="1:8" s="1" customFormat="1" ht="17.100000000000001" customHeight="1" x14ac:dyDescent="0.2">
      <c r="A40" s="132" t="s">
        <v>16</v>
      </c>
      <c r="B40" s="226">
        <v>80000</v>
      </c>
      <c r="C40" s="152">
        <v>50000</v>
      </c>
      <c r="D40" s="152">
        <v>50000</v>
      </c>
      <c r="E40" s="152">
        <v>45000</v>
      </c>
      <c r="F40" s="153">
        <f t="shared" si="7"/>
        <v>62.5</v>
      </c>
      <c r="G40" s="154">
        <f t="shared" si="7"/>
        <v>100</v>
      </c>
      <c r="H40" s="155">
        <f t="shared" si="7"/>
        <v>90</v>
      </c>
    </row>
    <row r="41" spans="1:8" s="1" customFormat="1" ht="17.100000000000001" customHeight="1" x14ac:dyDescent="0.2">
      <c r="A41" s="132" t="s">
        <v>255</v>
      </c>
      <c r="B41" s="226">
        <v>391134</v>
      </c>
      <c r="C41" s="152">
        <v>278866</v>
      </c>
      <c r="D41" s="152">
        <v>259000</v>
      </c>
      <c r="E41" s="152">
        <v>260000</v>
      </c>
      <c r="F41" s="153">
        <f t="shared" si="7"/>
        <v>71.296793426293803</v>
      </c>
      <c r="G41" s="154">
        <f t="shared" si="7"/>
        <v>92.876148401024153</v>
      </c>
      <c r="H41" s="155">
        <f t="shared" si="7"/>
        <v>100.38610038610038</v>
      </c>
    </row>
    <row r="42" spans="1:8" s="1" customFormat="1" ht="16.5" customHeight="1" x14ac:dyDescent="0.2">
      <c r="A42" s="135" t="s">
        <v>256</v>
      </c>
      <c r="B42" s="226">
        <v>201242</v>
      </c>
      <c r="C42" s="152">
        <v>235185</v>
      </c>
      <c r="D42" s="152">
        <v>201400</v>
      </c>
      <c r="E42" s="152">
        <v>201400</v>
      </c>
      <c r="F42" s="153">
        <f t="shared" si="7"/>
        <v>116.86675743632044</v>
      </c>
      <c r="G42" s="154">
        <f t="shared" si="7"/>
        <v>85.634713098199285</v>
      </c>
      <c r="H42" s="155">
        <f t="shared" si="7"/>
        <v>100</v>
      </c>
    </row>
    <row r="43" spans="1:8" s="1" customFormat="1" ht="17.100000000000001" customHeight="1" x14ac:dyDescent="0.2">
      <c r="A43" s="132" t="s">
        <v>52</v>
      </c>
      <c r="B43" s="226">
        <v>15185</v>
      </c>
      <c r="C43" s="152">
        <v>11700</v>
      </c>
      <c r="D43" s="152">
        <v>11759</v>
      </c>
      <c r="E43" s="152">
        <v>11819</v>
      </c>
      <c r="F43" s="153">
        <f t="shared" ref="F43:F52" si="8">C43/B43*100</f>
        <v>77.049720118538033</v>
      </c>
      <c r="G43" s="154">
        <f t="shared" ref="G43:G52" si="9">D43/C43*100</f>
        <v>100.50427350427351</v>
      </c>
      <c r="H43" s="155">
        <f t="shared" ref="H43:H52" si="10">E43/D43*100</f>
        <v>100.51024747002295</v>
      </c>
    </row>
    <row r="44" spans="1:8" s="1" customFormat="1" ht="17.100000000000001" customHeight="1" x14ac:dyDescent="0.2">
      <c r="A44" s="132" t="s">
        <v>401</v>
      </c>
      <c r="B44" s="226">
        <v>19477</v>
      </c>
      <c r="C44" s="152">
        <v>14475</v>
      </c>
      <c r="D44" s="152">
        <v>13035</v>
      </c>
      <c r="E44" s="152">
        <v>13035</v>
      </c>
      <c r="F44" s="153">
        <f t="shared" si="8"/>
        <v>74.318426862453151</v>
      </c>
      <c r="G44" s="154">
        <f t="shared" si="9"/>
        <v>90.051813471502598</v>
      </c>
      <c r="H44" s="155">
        <f t="shared" si="10"/>
        <v>100</v>
      </c>
    </row>
    <row r="45" spans="1:8" s="1" customFormat="1" ht="17.100000000000001" customHeight="1" x14ac:dyDescent="0.2">
      <c r="A45" s="132" t="s">
        <v>257</v>
      </c>
      <c r="B45" s="226">
        <v>29497</v>
      </c>
      <c r="C45" s="152">
        <v>29647</v>
      </c>
      <c r="D45" s="152">
        <v>29836</v>
      </c>
      <c r="E45" s="152">
        <v>30010</v>
      </c>
      <c r="F45" s="153">
        <f t="shared" si="8"/>
        <v>100.50852629080924</v>
      </c>
      <c r="G45" s="154">
        <f t="shared" si="9"/>
        <v>100.63750126488347</v>
      </c>
      <c r="H45" s="155">
        <f t="shared" si="10"/>
        <v>100.58318809491888</v>
      </c>
    </row>
    <row r="46" spans="1:8" s="3" customFormat="1" ht="17.100000000000001" customHeight="1" x14ac:dyDescent="0.2">
      <c r="A46" s="132" t="s">
        <v>18</v>
      </c>
      <c r="B46" s="226">
        <v>2500</v>
      </c>
      <c r="C46" s="152">
        <v>2500</v>
      </c>
      <c r="D46" s="152">
        <v>2500</v>
      </c>
      <c r="E46" s="152">
        <v>2500</v>
      </c>
      <c r="F46" s="153">
        <f t="shared" si="8"/>
        <v>100</v>
      </c>
      <c r="G46" s="154">
        <f t="shared" si="9"/>
        <v>100</v>
      </c>
      <c r="H46" s="155">
        <f t="shared" si="10"/>
        <v>100</v>
      </c>
    </row>
    <row r="47" spans="1:8" s="3" customFormat="1" ht="17.100000000000001" customHeight="1" x14ac:dyDescent="0.2">
      <c r="A47" s="132" t="s">
        <v>968</v>
      </c>
      <c r="B47" s="226">
        <v>50000</v>
      </c>
      <c r="C47" s="152">
        <v>100000</v>
      </c>
      <c r="D47" s="152">
        <v>0</v>
      </c>
      <c r="E47" s="152">
        <v>0</v>
      </c>
      <c r="F47" s="153">
        <f t="shared" si="8"/>
        <v>200</v>
      </c>
      <c r="G47" s="154">
        <f t="shared" si="9"/>
        <v>0</v>
      </c>
      <c r="H47" s="159" t="s">
        <v>384</v>
      </c>
    </row>
    <row r="48" spans="1:8" s="3" customFormat="1" ht="27.75" customHeight="1" x14ac:dyDescent="0.2">
      <c r="A48" s="135" t="s">
        <v>402</v>
      </c>
      <c r="B48" s="226">
        <v>0</v>
      </c>
      <c r="C48" s="187">
        <v>20000</v>
      </c>
      <c r="D48" s="152">
        <v>0</v>
      </c>
      <c r="E48" s="152">
        <v>0</v>
      </c>
      <c r="F48" s="356" t="s">
        <v>384</v>
      </c>
      <c r="G48" s="154">
        <f t="shared" si="9"/>
        <v>0</v>
      </c>
      <c r="H48" s="159" t="s">
        <v>384</v>
      </c>
    </row>
    <row r="49" spans="1:8" s="3" customFormat="1" ht="27.75" customHeight="1" x14ac:dyDescent="0.2">
      <c r="A49" s="135" t="s">
        <v>566</v>
      </c>
      <c r="B49" s="226">
        <v>16500</v>
      </c>
      <c r="C49" s="152">
        <v>16700</v>
      </c>
      <c r="D49" s="152">
        <v>0</v>
      </c>
      <c r="E49" s="152">
        <v>0</v>
      </c>
      <c r="F49" s="153">
        <f t="shared" si="8"/>
        <v>101.21212121212122</v>
      </c>
      <c r="G49" s="154">
        <f t="shared" si="9"/>
        <v>0</v>
      </c>
      <c r="H49" s="159" t="s">
        <v>384</v>
      </c>
    </row>
    <row r="50" spans="1:8" s="1" customFormat="1" ht="17.100000000000001" customHeight="1" x14ac:dyDescent="0.2">
      <c r="A50" s="132" t="s">
        <v>19</v>
      </c>
      <c r="B50" s="226">
        <v>27508</v>
      </c>
      <c r="C50" s="152">
        <v>27481</v>
      </c>
      <c r="D50" s="152">
        <v>27339</v>
      </c>
      <c r="E50" s="152">
        <v>27449</v>
      </c>
      <c r="F50" s="153">
        <f t="shared" si="8"/>
        <v>99.901846735495127</v>
      </c>
      <c r="G50" s="154">
        <f t="shared" si="9"/>
        <v>99.48327935664642</v>
      </c>
      <c r="H50" s="155">
        <f t="shared" si="10"/>
        <v>100.40235560920297</v>
      </c>
    </row>
    <row r="51" spans="1:8" s="1" customFormat="1" ht="16.5" customHeight="1" x14ac:dyDescent="0.2">
      <c r="A51" s="157" t="s">
        <v>4</v>
      </c>
      <c r="B51" s="224">
        <f>SUM(B52)</f>
        <v>5603</v>
      </c>
      <c r="C51" s="146">
        <f t="shared" ref="C51:E51" si="11">SUM(C52)</f>
        <v>4387</v>
      </c>
      <c r="D51" s="146">
        <f t="shared" si="11"/>
        <v>4387</v>
      </c>
      <c r="E51" s="146">
        <f t="shared" si="11"/>
        <v>4387</v>
      </c>
      <c r="F51" s="153">
        <f t="shared" si="8"/>
        <v>78.297340710333756</v>
      </c>
      <c r="G51" s="154">
        <f t="shared" si="9"/>
        <v>100</v>
      </c>
      <c r="H51" s="155">
        <f t="shared" si="10"/>
        <v>100</v>
      </c>
    </row>
    <row r="52" spans="1:8" s="3" customFormat="1" ht="17.100000000000001" customHeight="1" x14ac:dyDescent="0.2">
      <c r="A52" s="132" t="s">
        <v>20</v>
      </c>
      <c r="B52" s="226">
        <v>5603</v>
      </c>
      <c r="C52" s="152">
        <v>4387</v>
      </c>
      <c r="D52" s="152">
        <v>4387</v>
      </c>
      <c r="E52" s="152">
        <v>4387</v>
      </c>
      <c r="F52" s="153">
        <f t="shared" si="8"/>
        <v>78.297340710333756</v>
      </c>
      <c r="G52" s="154">
        <f t="shared" si="9"/>
        <v>100</v>
      </c>
      <c r="H52" s="155">
        <f t="shared" si="10"/>
        <v>100</v>
      </c>
    </row>
    <row r="53" spans="1:8" s="1" customFormat="1" ht="16.5" customHeight="1" x14ac:dyDescent="0.2">
      <c r="A53" s="158" t="s">
        <v>21</v>
      </c>
      <c r="B53" s="224">
        <f>SUM(B54:B56)</f>
        <v>27969653</v>
      </c>
      <c r="C53" s="146">
        <f>SUM(C54:C56)</f>
        <v>28875334</v>
      </c>
      <c r="D53" s="146">
        <f>SUM(D54:D56)</f>
        <v>28926398</v>
      </c>
      <c r="E53" s="146">
        <f>SUM(E54:E56)</f>
        <v>27280906</v>
      </c>
      <c r="F53" s="147">
        <f t="shared" si="7"/>
        <v>103.23808450537445</v>
      </c>
      <c r="G53" s="148">
        <f t="shared" si="7"/>
        <v>100.17684297608471</v>
      </c>
      <c r="H53" s="149">
        <f t="shared" si="7"/>
        <v>94.311452120654636</v>
      </c>
    </row>
    <row r="54" spans="1:8" ht="16.5" customHeight="1" x14ac:dyDescent="0.2">
      <c r="A54" s="156" t="s">
        <v>158</v>
      </c>
      <c r="B54" s="226">
        <v>26451172</v>
      </c>
      <c r="C54" s="152">
        <v>26379892</v>
      </c>
      <c r="D54" s="152">
        <v>26388523</v>
      </c>
      <c r="E54" s="152">
        <v>26563735</v>
      </c>
      <c r="F54" s="153">
        <f t="shared" si="7"/>
        <v>99.730522337535746</v>
      </c>
      <c r="G54" s="154">
        <f t="shared" si="7"/>
        <v>100.03271810210595</v>
      </c>
      <c r="H54" s="155">
        <f t="shared" si="7"/>
        <v>100.66397046928317</v>
      </c>
    </row>
    <row r="55" spans="1:8" ht="16.5" customHeight="1" x14ac:dyDescent="0.2">
      <c r="A55" s="156" t="s">
        <v>159</v>
      </c>
      <c r="B55" s="226">
        <v>249587</v>
      </c>
      <c r="C55" s="152">
        <v>152002</v>
      </c>
      <c r="D55" s="152">
        <v>253880</v>
      </c>
      <c r="E55" s="152">
        <v>207832</v>
      </c>
      <c r="F55" s="153">
        <f t="shared" si="7"/>
        <v>60.901409127879255</v>
      </c>
      <c r="G55" s="154">
        <f t="shared" si="7"/>
        <v>167.02411810370916</v>
      </c>
      <c r="H55" s="155">
        <f t="shared" si="7"/>
        <v>81.862297148259017</v>
      </c>
    </row>
    <row r="56" spans="1:8" ht="16.5" customHeight="1" x14ac:dyDescent="0.2">
      <c r="A56" s="160" t="s">
        <v>40</v>
      </c>
      <c r="B56" s="226">
        <v>1268894</v>
      </c>
      <c r="C56" s="152">
        <v>2343440</v>
      </c>
      <c r="D56" s="152">
        <v>2283995</v>
      </c>
      <c r="E56" s="152">
        <v>509339</v>
      </c>
      <c r="F56" s="153">
        <f t="shared" si="7"/>
        <v>184.68366940028088</v>
      </c>
      <c r="G56" s="154">
        <f t="shared" si="7"/>
        <v>97.463344485030561</v>
      </c>
      <c r="H56" s="155">
        <f t="shared" si="7"/>
        <v>22.300355298501088</v>
      </c>
    </row>
    <row r="57" spans="1:8" s="3" customFormat="1" ht="17.100000000000001" customHeight="1" x14ac:dyDescent="0.2">
      <c r="A57" s="158" t="s">
        <v>562</v>
      </c>
      <c r="B57" s="224">
        <v>267687</v>
      </c>
      <c r="C57" s="146">
        <v>191190</v>
      </c>
      <c r="D57" s="146">
        <v>81178</v>
      </c>
      <c r="E57" s="146">
        <v>49834</v>
      </c>
      <c r="F57" s="147">
        <f t="shared" ref="F57:H59" si="12">C57/B57*100</f>
        <v>71.422967869190515</v>
      </c>
      <c r="G57" s="148">
        <f t="shared" si="12"/>
        <v>42.45933364715728</v>
      </c>
      <c r="H57" s="149">
        <f t="shared" si="12"/>
        <v>61.388553548991112</v>
      </c>
    </row>
    <row r="58" spans="1:8" ht="29.25" customHeight="1" thickBot="1" x14ac:dyDescent="0.25">
      <c r="A58" s="161" t="s">
        <v>140</v>
      </c>
      <c r="B58" s="227">
        <v>232530</v>
      </c>
      <c r="C58" s="162">
        <v>169456</v>
      </c>
      <c r="D58" s="162">
        <v>104219</v>
      </c>
      <c r="E58" s="162">
        <v>93721</v>
      </c>
      <c r="F58" s="163">
        <f t="shared" si="12"/>
        <v>72.874897862641376</v>
      </c>
      <c r="G58" s="164">
        <f t="shared" si="12"/>
        <v>61.502100840336141</v>
      </c>
      <c r="H58" s="165">
        <f t="shared" si="12"/>
        <v>89.926980684903896</v>
      </c>
    </row>
    <row r="59" spans="1:8" ht="16.5" customHeight="1" thickBot="1" x14ac:dyDescent="0.25">
      <c r="A59" s="166" t="s">
        <v>41</v>
      </c>
      <c r="B59" s="228">
        <f>B32+B39+B51+B53+B57+B58</f>
        <v>40080916</v>
      </c>
      <c r="C59" s="167">
        <f>C32+C39+C51+C53+C57+C58</f>
        <v>41399321</v>
      </c>
      <c r="D59" s="167">
        <f>D32+D39+D51+D53+D57+D58</f>
        <v>41383451</v>
      </c>
      <c r="E59" s="167">
        <f>E32+E39+E51+E53+E57+E58</f>
        <v>39992461</v>
      </c>
      <c r="F59" s="168">
        <f t="shared" si="12"/>
        <v>103.28935845677778</v>
      </c>
      <c r="G59" s="169">
        <f t="shared" si="12"/>
        <v>99.961666037952654</v>
      </c>
      <c r="H59" s="170">
        <f t="shared" si="12"/>
        <v>96.638777176896156</v>
      </c>
    </row>
  </sheetData>
  <mergeCells count="5">
    <mergeCell ref="A3:H3"/>
    <mergeCell ref="A30:A31"/>
    <mergeCell ref="F30:F31"/>
    <mergeCell ref="G30:G31"/>
    <mergeCell ref="H30:H31"/>
  </mergeCells>
  <printOptions horizontalCentered="1"/>
  <pageMargins left="0.31496062992125984" right="0.31496062992125984" top="0.59055118110236227" bottom="0.39370078740157483" header="0.31496062992125984" footer="0.11811023622047245"/>
  <pageSetup paperSize="9" scale="65" firstPageNumber="2" fitToHeight="0" orientation="portrait" useFirstPageNumber="1" r:id="rId1"/>
  <headerFooter>
    <oddHeader>&amp;L&amp;"Tahoma,Kurzíva"Střednědobý výhled rozpočtu Moravskoslezského kraje na léta 2026-2028&amp;R&amp;"Tahoma,Kurzíva"Bilance příjmů a výdajů v letech 2026-2028</oddHeader>
    <oddFooter>&amp;C&amp;"Tahoma,Obyčejné"&amp;P</oddFooter>
  </headerFooter>
  <ignoredErrors>
    <ignoredError sqref="B53:E5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CE9C6-10BF-477E-BE36-9EC298764CA2}">
  <sheetPr>
    <outlinePr summaryBelow="0"/>
    <pageSetUpPr fitToPage="1"/>
  </sheetPr>
  <dimension ref="A1:H72"/>
  <sheetViews>
    <sheetView zoomScaleNormal="100" zoomScaleSheetLayoutView="100" workbookViewId="0">
      <pane ySplit="3" topLeftCell="A4" activePane="bottomLeft" state="frozen"/>
      <selection activeCell="E24" sqref="E24"/>
      <selection pane="bottomLeft" activeCell="J17" sqref="J17"/>
    </sheetView>
  </sheetViews>
  <sheetFormatPr defaultColWidth="9.140625" defaultRowHeight="12.75" x14ac:dyDescent="0.2"/>
  <cols>
    <col min="1" max="1" width="51.7109375" style="2" customWidth="1"/>
    <col min="2" max="2" width="13.7109375" style="6" customWidth="1"/>
    <col min="3" max="5" width="13.7109375" style="7" customWidth="1"/>
    <col min="6" max="8" width="12" style="2" customWidth="1"/>
    <col min="9" max="12" width="14.7109375" style="2" customWidth="1"/>
    <col min="13" max="16384" width="9.140625" style="2"/>
  </cols>
  <sheetData>
    <row r="1" spans="1:8" ht="13.5" thickBot="1" x14ac:dyDescent="0.25"/>
    <row r="2" spans="1:8" s="1" customFormat="1" ht="16.5" customHeight="1" x14ac:dyDescent="0.2">
      <c r="A2" s="621" t="s">
        <v>22</v>
      </c>
      <c r="B2" s="222">
        <v>2025</v>
      </c>
      <c r="C2" s="13">
        <v>2026</v>
      </c>
      <c r="D2" s="14">
        <v>2027</v>
      </c>
      <c r="E2" s="13">
        <v>2028</v>
      </c>
      <c r="F2" s="615" t="s">
        <v>560</v>
      </c>
      <c r="G2" s="617" t="s">
        <v>399</v>
      </c>
      <c r="H2" s="619" t="s">
        <v>561</v>
      </c>
    </row>
    <row r="3" spans="1:8" s="8" customFormat="1" ht="36" customHeight="1" thickBot="1" x14ac:dyDescent="0.25">
      <c r="A3" s="622"/>
      <c r="B3" s="223" t="s">
        <v>282</v>
      </c>
      <c r="C3" s="15" t="s">
        <v>42</v>
      </c>
      <c r="D3" s="16" t="s">
        <v>42</v>
      </c>
      <c r="E3" s="15" t="s">
        <v>42</v>
      </c>
      <c r="F3" s="616"/>
      <c r="G3" s="618"/>
      <c r="H3" s="620"/>
    </row>
    <row r="4" spans="1:8" s="3" customFormat="1" ht="16.5" customHeight="1" x14ac:dyDescent="0.2">
      <c r="A4" s="171" t="s">
        <v>8</v>
      </c>
      <c r="B4" s="224">
        <v>829209</v>
      </c>
      <c r="C4" s="146">
        <v>834403</v>
      </c>
      <c r="D4" s="146">
        <v>839519</v>
      </c>
      <c r="E4" s="146">
        <v>846751</v>
      </c>
      <c r="F4" s="172">
        <f t="shared" ref="F4:H19" si="0">C4/B4*100</f>
        <v>100.62638008029339</v>
      </c>
      <c r="G4" s="173">
        <f t="shared" si="0"/>
        <v>100.61313298250366</v>
      </c>
      <c r="H4" s="174">
        <f t="shared" si="0"/>
        <v>100.86144566114643</v>
      </c>
    </row>
    <row r="5" spans="1:8" s="3" customFormat="1" ht="16.5" customHeight="1" x14ac:dyDescent="0.2">
      <c r="A5" s="171" t="s">
        <v>9</v>
      </c>
      <c r="B5" s="224">
        <f>SUM(B6:B11)</f>
        <v>502486</v>
      </c>
      <c r="C5" s="146">
        <f>SUM(C6:C11)</f>
        <v>506371</v>
      </c>
      <c r="D5" s="146">
        <f>SUM(D6:D11)</f>
        <v>493706</v>
      </c>
      <c r="E5" s="146">
        <f>SUM(E6:E11)</f>
        <v>463761</v>
      </c>
      <c r="F5" s="175">
        <f t="shared" si="0"/>
        <v>100.77315586901922</v>
      </c>
      <c r="G5" s="175">
        <f t="shared" si="0"/>
        <v>97.49886940602839</v>
      </c>
      <c r="H5" s="176">
        <f t="shared" si="0"/>
        <v>93.934649366222004</v>
      </c>
    </row>
    <row r="6" spans="1:8" s="3" customFormat="1" ht="16.5" customHeight="1" x14ac:dyDescent="0.2">
      <c r="A6" s="177" t="s">
        <v>23</v>
      </c>
      <c r="B6" s="226">
        <v>176501</v>
      </c>
      <c r="C6" s="152">
        <v>176501</v>
      </c>
      <c r="D6" s="152">
        <v>176501</v>
      </c>
      <c r="E6" s="152">
        <v>176501</v>
      </c>
      <c r="F6" s="178">
        <f t="shared" si="0"/>
        <v>100</v>
      </c>
      <c r="G6" s="178">
        <f t="shared" si="0"/>
        <v>100</v>
      </c>
      <c r="H6" s="179">
        <f t="shared" si="0"/>
        <v>100</v>
      </c>
    </row>
    <row r="7" spans="1:8" s="3" customFormat="1" ht="16.5" customHeight="1" x14ac:dyDescent="0.2">
      <c r="A7" s="177" t="s">
        <v>24</v>
      </c>
      <c r="B7" s="226">
        <v>154000</v>
      </c>
      <c r="C7" s="152">
        <v>160000</v>
      </c>
      <c r="D7" s="152">
        <v>140000</v>
      </c>
      <c r="E7" s="152">
        <v>110000</v>
      </c>
      <c r="F7" s="178">
        <f t="shared" si="0"/>
        <v>103.89610389610388</v>
      </c>
      <c r="G7" s="178">
        <f t="shared" si="0"/>
        <v>87.5</v>
      </c>
      <c r="H7" s="179">
        <f t="shared" si="0"/>
        <v>78.571428571428569</v>
      </c>
    </row>
    <row r="8" spans="1:8" s="3" customFormat="1" ht="16.5" customHeight="1" x14ac:dyDescent="0.2">
      <c r="A8" s="177" t="s">
        <v>383</v>
      </c>
      <c r="B8" s="226">
        <v>750</v>
      </c>
      <c r="C8" s="152">
        <v>750</v>
      </c>
      <c r="D8" s="152">
        <v>750</v>
      </c>
      <c r="E8" s="152">
        <v>750</v>
      </c>
      <c r="F8" s="178">
        <f t="shared" si="0"/>
        <v>100</v>
      </c>
      <c r="G8" s="178">
        <f t="shared" si="0"/>
        <v>100</v>
      </c>
      <c r="H8" s="179">
        <f t="shared" si="0"/>
        <v>100</v>
      </c>
    </row>
    <row r="9" spans="1:8" s="3" customFormat="1" ht="16.5" customHeight="1" x14ac:dyDescent="0.2">
      <c r="A9" s="177" t="s">
        <v>25</v>
      </c>
      <c r="B9" s="226">
        <v>87500</v>
      </c>
      <c r="C9" s="152">
        <v>90000</v>
      </c>
      <c r="D9" s="152">
        <v>100000</v>
      </c>
      <c r="E9" s="152">
        <v>100000</v>
      </c>
      <c r="F9" s="178">
        <f t="shared" si="0"/>
        <v>102.85714285714285</v>
      </c>
      <c r="G9" s="178">
        <f t="shared" si="0"/>
        <v>111.11111111111111</v>
      </c>
      <c r="H9" s="179">
        <f t="shared" si="0"/>
        <v>100</v>
      </c>
    </row>
    <row r="10" spans="1:8" s="3" customFormat="1" ht="27.75" customHeight="1" x14ac:dyDescent="0.2">
      <c r="A10" s="177" t="s">
        <v>26</v>
      </c>
      <c r="B10" s="226">
        <v>50000</v>
      </c>
      <c r="C10" s="152">
        <v>50000</v>
      </c>
      <c r="D10" s="152">
        <v>50000</v>
      </c>
      <c r="E10" s="152">
        <v>50000</v>
      </c>
      <c r="F10" s="178">
        <f t="shared" si="0"/>
        <v>100</v>
      </c>
      <c r="G10" s="178">
        <f t="shared" si="0"/>
        <v>100</v>
      </c>
      <c r="H10" s="179">
        <f t="shared" si="0"/>
        <v>100</v>
      </c>
    </row>
    <row r="11" spans="1:8" s="3" customFormat="1" ht="16.5" customHeight="1" x14ac:dyDescent="0.2">
      <c r="A11" s="180" t="s">
        <v>27</v>
      </c>
      <c r="B11" s="226">
        <v>33735</v>
      </c>
      <c r="C11" s="152">
        <v>29120</v>
      </c>
      <c r="D11" s="152">
        <v>26455</v>
      </c>
      <c r="E11" s="152">
        <v>26510</v>
      </c>
      <c r="F11" s="178">
        <f t="shared" si="0"/>
        <v>86.319845857418116</v>
      </c>
      <c r="G11" s="178">
        <f t="shared" si="0"/>
        <v>90.848214285714292</v>
      </c>
      <c r="H11" s="179">
        <f t="shared" si="0"/>
        <v>100.2079002079002</v>
      </c>
    </row>
    <row r="12" spans="1:8" s="3" customFormat="1" ht="29.25" customHeight="1" collapsed="1" x14ac:dyDescent="0.2">
      <c r="A12" s="181" t="s">
        <v>47</v>
      </c>
      <c r="B12" s="224">
        <f>SUM(B13:B26)</f>
        <v>30838089</v>
      </c>
      <c r="C12" s="146">
        <f>SUM(C13:C26)</f>
        <v>30333745</v>
      </c>
      <c r="D12" s="146">
        <f t="shared" ref="D12:E12" si="1">SUM(D13:D26)</f>
        <v>30495382</v>
      </c>
      <c r="E12" s="146">
        <f t="shared" si="1"/>
        <v>30800708</v>
      </c>
      <c r="F12" s="175">
        <f t="shared" si="0"/>
        <v>98.364541979238723</v>
      </c>
      <c r="G12" s="175">
        <f t="shared" si="0"/>
        <v>100.53286199907068</v>
      </c>
      <c r="H12" s="176">
        <f t="shared" si="0"/>
        <v>101.00122044708277</v>
      </c>
    </row>
    <row r="13" spans="1:8" s="3" customFormat="1" ht="16.5" customHeight="1" x14ac:dyDescent="0.2">
      <c r="A13" s="180" t="s">
        <v>258</v>
      </c>
      <c r="B13" s="226">
        <v>1700000</v>
      </c>
      <c r="C13" s="152">
        <v>1845000</v>
      </c>
      <c r="D13" s="152">
        <v>2044000</v>
      </c>
      <c r="E13" s="152">
        <v>2244000</v>
      </c>
      <c r="F13" s="178">
        <f t="shared" si="0"/>
        <v>108.52941176470587</v>
      </c>
      <c r="G13" s="178">
        <f t="shared" si="0"/>
        <v>110.78590785907858</v>
      </c>
      <c r="H13" s="179">
        <f t="shared" si="0"/>
        <v>109.78473581213308</v>
      </c>
    </row>
    <row r="14" spans="1:8" s="3" customFormat="1" ht="16.5" customHeight="1" x14ac:dyDescent="0.2">
      <c r="A14" s="180" t="s">
        <v>259</v>
      </c>
      <c r="B14" s="226">
        <v>1250000</v>
      </c>
      <c r="C14" s="152">
        <v>1287500</v>
      </c>
      <c r="D14" s="152">
        <v>1370000</v>
      </c>
      <c r="E14" s="152">
        <v>1460000</v>
      </c>
      <c r="F14" s="178">
        <f t="shared" si="0"/>
        <v>103</v>
      </c>
      <c r="G14" s="178">
        <f t="shared" si="0"/>
        <v>106.40776699029126</v>
      </c>
      <c r="H14" s="179">
        <f t="shared" si="0"/>
        <v>106.56934306569343</v>
      </c>
    </row>
    <row r="15" spans="1:8" s="3" customFormat="1" ht="16.5" customHeight="1" x14ac:dyDescent="0.2">
      <c r="A15" s="180" t="s">
        <v>260</v>
      </c>
      <c r="B15" s="226">
        <v>411036</v>
      </c>
      <c r="C15" s="152">
        <v>120422</v>
      </c>
      <c r="D15" s="152">
        <v>100422</v>
      </c>
      <c r="E15" s="152">
        <v>100422</v>
      </c>
      <c r="F15" s="178">
        <f t="shared" si="0"/>
        <v>29.297190513726289</v>
      </c>
      <c r="G15" s="178">
        <f t="shared" si="0"/>
        <v>83.391739051003967</v>
      </c>
      <c r="H15" s="179">
        <f t="shared" si="0"/>
        <v>100</v>
      </c>
    </row>
    <row r="16" spans="1:8" s="3" customFormat="1" ht="16.5" customHeight="1" x14ac:dyDescent="0.2">
      <c r="A16" s="180" t="s">
        <v>564</v>
      </c>
      <c r="B16" s="226">
        <v>40942</v>
      </c>
      <c r="C16" s="152">
        <v>41042</v>
      </c>
      <c r="D16" s="152">
        <v>41042</v>
      </c>
      <c r="E16" s="152">
        <v>43202</v>
      </c>
      <c r="F16" s="178">
        <f t="shared" si="0"/>
        <v>100.24424796052953</v>
      </c>
      <c r="G16" s="178">
        <f t="shared" si="0"/>
        <v>100</v>
      </c>
      <c r="H16" s="179">
        <f t="shared" si="0"/>
        <v>105.26290141805954</v>
      </c>
    </row>
    <row r="17" spans="1:8" s="3" customFormat="1" ht="16.5" customHeight="1" x14ac:dyDescent="0.2">
      <c r="A17" s="180" t="s">
        <v>28</v>
      </c>
      <c r="B17" s="226">
        <f>214997+7200</f>
        <v>222197</v>
      </c>
      <c r="C17" s="152">
        <f>117250+7200</f>
        <v>124450</v>
      </c>
      <c r="D17" s="152">
        <f>119796+7200</f>
        <v>126996</v>
      </c>
      <c r="E17" s="152">
        <f>122672+7200</f>
        <v>129872</v>
      </c>
      <c r="F17" s="178">
        <f t="shared" si="0"/>
        <v>56.008857005270094</v>
      </c>
      <c r="G17" s="178">
        <f t="shared" si="0"/>
        <v>102.04580152671755</v>
      </c>
      <c r="H17" s="179">
        <f t="shared" si="0"/>
        <v>102.26463825632304</v>
      </c>
    </row>
    <row r="18" spans="1:8" s="3" customFormat="1" ht="16.5" customHeight="1" x14ac:dyDescent="0.2">
      <c r="A18" s="180" t="s">
        <v>29</v>
      </c>
      <c r="B18" s="226">
        <f>199579+24300</f>
        <v>223879</v>
      </c>
      <c r="C18" s="152">
        <f>89829+24300</f>
        <v>114129</v>
      </c>
      <c r="D18" s="152">
        <f>89829+24300</f>
        <v>114129</v>
      </c>
      <c r="E18" s="152">
        <f>146829+24300</f>
        <v>171129</v>
      </c>
      <c r="F18" s="178">
        <f t="shared" si="0"/>
        <v>50.977983642949987</v>
      </c>
      <c r="G18" s="178">
        <f t="shared" si="0"/>
        <v>100</v>
      </c>
      <c r="H18" s="179">
        <f t="shared" si="0"/>
        <v>149.94348500381147</v>
      </c>
    </row>
    <row r="19" spans="1:8" s="3" customFormat="1" ht="16.5" customHeight="1" x14ac:dyDescent="0.2">
      <c r="A19" s="180" t="s">
        <v>30</v>
      </c>
      <c r="B19" s="226">
        <v>31148</v>
      </c>
      <c r="C19" s="152">
        <v>31148</v>
      </c>
      <c r="D19" s="152">
        <v>31148</v>
      </c>
      <c r="E19" s="152">
        <v>31148</v>
      </c>
      <c r="F19" s="178">
        <f t="shared" si="0"/>
        <v>100</v>
      </c>
      <c r="G19" s="178">
        <f t="shared" si="0"/>
        <v>100</v>
      </c>
      <c r="H19" s="179">
        <f t="shared" si="0"/>
        <v>100</v>
      </c>
    </row>
    <row r="20" spans="1:8" s="3" customFormat="1" ht="16.149999999999999" customHeight="1" x14ac:dyDescent="0.2">
      <c r="A20" s="180" t="s">
        <v>31</v>
      </c>
      <c r="B20" s="226">
        <f>309216+71136</f>
        <v>380352</v>
      </c>
      <c r="C20" s="152">
        <f>110816+62190</f>
        <v>173006</v>
      </c>
      <c r="D20" s="152">
        <f>111066+61126</f>
        <v>172192</v>
      </c>
      <c r="E20" s="152">
        <f>107816+60376</f>
        <v>168192</v>
      </c>
      <c r="F20" s="178">
        <f t="shared" ref="F20:H35" si="2">C20/B20*100</f>
        <v>45.485760558640415</v>
      </c>
      <c r="G20" s="178">
        <f t="shared" si="2"/>
        <v>99.529496086840922</v>
      </c>
      <c r="H20" s="179">
        <f t="shared" si="2"/>
        <v>97.677011707860999</v>
      </c>
    </row>
    <row r="21" spans="1:8" s="3" customFormat="1" ht="16.5" customHeight="1" x14ac:dyDescent="0.2">
      <c r="A21" s="180" t="s">
        <v>32</v>
      </c>
      <c r="B21" s="226">
        <f>113702+49646</f>
        <v>163348</v>
      </c>
      <c r="C21" s="152">
        <f>125595+45875</f>
        <v>171470</v>
      </c>
      <c r="D21" s="152">
        <f>63845+52000</f>
        <v>115845</v>
      </c>
      <c r="E21" s="152">
        <f>65555+45000</f>
        <v>110555</v>
      </c>
      <c r="F21" s="178">
        <f t="shared" si="2"/>
        <v>104.97220657736857</v>
      </c>
      <c r="G21" s="178">
        <f t="shared" si="2"/>
        <v>67.55992301860384</v>
      </c>
      <c r="H21" s="179">
        <f t="shared" si="2"/>
        <v>95.433553455047686</v>
      </c>
    </row>
    <row r="22" spans="1:8" s="3" customFormat="1" ht="16.5" customHeight="1" x14ac:dyDescent="0.2">
      <c r="A22" s="180" t="s">
        <v>33</v>
      </c>
      <c r="B22" s="226">
        <f>3035485+335342</f>
        <v>3370827</v>
      </c>
      <c r="C22" s="152">
        <f>3038285+335500</f>
        <v>3373785</v>
      </c>
      <c r="D22" s="152">
        <f>3038285+335500</f>
        <v>3373785</v>
      </c>
      <c r="E22" s="152">
        <f>3038285+335500</f>
        <v>3373785</v>
      </c>
      <c r="F22" s="178">
        <f t="shared" si="2"/>
        <v>100.08775294608712</v>
      </c>
      <c r="G22" s="178">
        <f t="shared" si="2"/>
        <v>100</v>
      </c>
      <c r="H22" s="179">
        <f t="shared" si="2"/>
        <v>100</v>
      </c>
    </row>
    <row r="23" spans="1:8" s="3" customFormat="1" ht="16.5" customHeight="1" x14ac:dyDescent="0.2">
      <c r="A23" s="180" t="s">
        <v>34</v>
      </c>
      <c r="B23" s="226">
        <f>22879686+58238</f>
        <v>22937924</v>
      </c>
      <c r="C23" s="152">
        <f>22892069+58238</f>
        <v>22950307</v>
      </c>
      <c r="D23" s="152">
        <f>22846099+58238</f>
        <v>22904337</v>
      </c>
      <c r="E23" s="152">
        <f>22808599+58238</f>
        <v>22866837</v>
      </c>
      <c r="F23" s="178">
        <f t="shared" si="2"/>
        <v>100.05398483315228</v>
      </c>
      <c r="G23" s="178">
        <f t="shared" si="2"/>
        <v>99.799697668532275</v>
      </c>
      <c r="H23" s="179">
        <f t="shared" si="2"/>
        <v>99.836275549036841</v>
      </c>
    </row>
    <row r="24" spans="1:8" s="3" customFormat="1" ht="16.5" customHeight="1" x14ac:dyDescent="0.2">
      <c r="A24" s="180" t="s">
        <v>35</v>
      </c>
      <c r="B24" s="226">
        <v>11629</v>
      </c>
      <c r="C24" s="152">
        <v>11229</v>
      </c>
      <c r="D24" s="152">
        <v>11229</v>
      </c>
      <c r="E24" s="152">
        <v>11229</v>
      </c>
      <c r="F24" s="178">
        <f t="shared" si="2"/>
        <v>96.560323329607016</v>
      </c>
      <c r="G24" s="178">
        <f t="shared" si="2"/>
        <v>100</v>
      </c>
      <c r="H24" s="179">
        <f t="shared" si="2"/>
        <v>100</v>
      </c>
    </row>
    <row r="25" spans="1:8" s="3" customFormat="1" ht="16.5" customHeight="1" x14ac:dyDescent="0.2">
      <c r="A25" s="180" t="s">
        <v>36</v>
      </c>
      <c r="B25" s="226">
        <f>45470+8000</f>
        <v>53470</v>
      </c>
      <c r="C25" s="152">
        <f t="shared" ref="C25:E25" si="3">45470+8000</f>
        <v>53470</v>
      </c>
      <c r="D25" s="152">
        <f t="shared" si="3"/>
        <v>53470</v>
      </c>
      <c r="E25" s="152">
        <f t="shared" si="3"/>
        <v>53470</v>
      </c>
      <c r="F25" s="178">
        <f t="shared" si="2"/>
        <v>100</v>
      </c>
      <c r="G25" s="178">
        <f t="shared" si="2"/>
        <v>100</v>
      </c>
      <c r="H25" s="179">
        <f t="shared" si="2"/>
        <v>100</v>
      </c>
    </row>
    <row r="26" spans="1:8" s="3" customFormat="1" ht="16.5" customHeight="1" x14ac:dyDescent="0.2">
      <c r="A26" s="180" t="s">
        <v>37</v>
      </c>
      <c r="B26" s="226">
        <f>20412+20925</f>
        <v>41337</v>
      </c>
      <c r="C26" s="152">
        <f>15862+20925</f>
        <v>36787</v>
      </c>
      <c r="D26" s="152">
        <f>15862+20925</f>
        <v>36787</v>
      </c>
      <c r="E26" s="152">
        <f>15942+20925</f>
        <v>36867</v>
      </c>
      <c r="F26" s="178">
        <f t="shared" si="2"/>
        <v>88.992911919103946</v>
      </c>
      <c r="G26" s="178">
        <f t="shared" si="2"/>
        <v>100</v>
      </c>
      <c r="H26" s="179">
        <f t="shared" si="2"/>
        <v>100.21746812732759</v>
      </c>
    </row>
    <row r="27" spans="1:8" s="3" customFormat="1" ht="16.5" customHeight="1" x14ac:dyDescent="0.2">
      <c r="A27" s="171" t="s">
        <v>10</v>
      </c>
      <c r="B27" s="224">
        <f>SUM(B28:B34)</f>
        <v>3449933</v>
      </c>
      <c r="C27" s="146">
        <f t="shared" ref="C27:E27" si="4">SUM(C28:C34)</f>
        <v>3544159</v>
      </c>
      <c r="D27" s="146">
        <f t="shared" si="4"/>
        <v>3689537</v>
      </c>
      <c r="E27" s="146">
        <f t="shared" si="4"/>
        <v>3769647</v>
      </c>
      <c r="F27" s="175">
        <f t="shared" si="2"/>
        <v>102.73124144729768</v>
      </c>
      <c r="G27" s="175">
        <f t="shared" si="2"/>
        <v>104.10190400599973</v>
      </c>
      <c r="H27" s="176">
        <f t="shared" si="2"/>
        <v>102.17127514915829</v>
      </c>
    </row>
    <row r="28" spans="1:8" s="3" customFormat="1" ht="16.5" customHeight="1" x14ac:dyDescent="0.2">
      <c r="A28" s="180" t="s">
        <v>261</v>
      </c>
      <c r="B28" s="226">
        <v>846510</v>
      </c>
      <c r="C28" s="152">
        <v>863440</v>
      </c>
      <c r="D28" s="152">
        <v>880709</v>
      </c>
      <c r="E28" s="152">
        <v>898323</v>
      </c>
      <c r="F28" s="178">
        <f t="shared" si="2"/>
        <v>101.99997637358094</v>
      </c>
      <c r="G28" s="178">
        <f t="shared" si="2"/>
        <v>102.0000231631613</v>
      </c>
      <c r="H28" s="179">
        <f t="shared" si="2"/>
        <v>101.99997956192112</v>
      </c>
    </row>
    <row r="29" spans="1:8" s="3" customFormat="1" ht="16.5" customHeight="1" x14ac:dyDescent="0.2">
      <c r="A29" s="180" t="s">
        <v>564</v>
      </c>
      <c r="B29" s="226">
        <v>66492</v>
      </c>
      <c r="C29" s="152">
        <v>59152</v>
      </c>
      <c r="D29" s="152">
        <v>60336</v>
      </c>
      <c r="E29" s="152">
        <v>61543</v>
      </c>
      <c r="F29" s="178">
        <f t="shared" si="2"/>
        <v>88.961078024423983</v>
      </c>
      <c r="G29" s="178">
        <f t="shared" si="2"/>
        <v>102.00162293751691</v>
      </c>
      <c r="H29" s="179">
        <f t="shared" si="2"/>
        <v>102.0004640678865</v>
      </c>
    </row>
    <row r="30" spans="1:8" s="3" customFormat="1" ht="16.5" customHeight="1" x14ac:dyDescent="0.2">
      <c r="A30" s="180" t="s">
        <v>29</v>
      </c>
      <c r="B30" s="226">
        <v>387081</v>
      </c>
      <c r="C30" s="152">
        <v>422776</v>
      </c>
      <c r="D30" s="152">
        <v>512986</v>
      </c>
      <c r="E30" s="152">
        <v>521826</v>
      </c>
      <c r="F30" s="178">
        <f t="shared" si="2"/>
        <v>109.22158411288594</v>
      </c>
      <c r="G30" s="178">
        <f t="shared" si="2"/>
        <v>121.33754044695063</v>
      </c>
      <c r="H30" s="179">
        <f t="shared" si="2"/>
        <v>101.7232439091905</v>
      </c>
    </row>
    <row r="31" spans="1:8" s="3" customFormat="1" ht="16.5" customHeight="1" x14ac:dyDescent="0.2">
      <c r="A31" s="180" t="s">
        <v>33</v>
      </c>
      <c r="B31" s="226">
        <v>309323</v>
      </c>
      <c r="C31" s="152">
        <v>325560</v>
      </c>
      <c r="D31" s="152">
        <v>329121</v>
      </c>
      <c r="E31" s="152">
        <v>332753</v>
      </c>
      <c r="F31" s="178">
        <f t="shared" si="2"/>
        <v>105.24920552302932</v>
      </c>
      <c r="G31" s="178">
        <f t="shared" si="2"/>
        <v>101.09380759307041</v>
      </c>
      <c r="H31" s="179">
        <f t="shared" si="2"/>
        <v>101.10354550454088</v>
      </c>
    </row>
    <row r="32" spans="1:8" s="3" customFormat="1" ht="16.5" customHeight="1" x14ac:dyDescent="0.2">
      <c r="A32" s="180" t="s">
        <v>34</v>
      </c>
      <c r="B32" s="226">
        <v>1045229</v>
      </c>
      <c r="C32" s="152">
        <v>1064238</v>
      </c>
      <c r="D32" s="152">
        <v>1083626</v>
      </c>
      <c r="E32" s="152">
        <v>1103403</v>
      </c>
      <c r="F32" s="178">
        <f t="shared" si="2"/>
        <v>101.8186445267018</v>
      </c>
      <c r="G32" s="178">
        <f t="shared" si="2"/>
        <v>101.8217729492839</v>
      </c>
      <c r="H32" s="179">
        <f t="shared" si="2"/>
        <v>101.82507617941982</v>
      </c>
    </row>
    <row r="33" spans="1:8" s="3" customFormat="1" ht="16.5" customHeight="1" x14ac:dyDescent="0.2">
      <c r="A33" s="180" t="s">
        <v>36</v>
      </c>
      <c r="B33" s="226">
        <v>763557</v>
      </c>
      <c r="C33" s="152">
        <v>776453</v>
      </c>
      <c r="D33" s="152">
        <v>789608</v>
      </c>
      <c r="E33" s="152">
        <v>803025</v>
      </c>
      <c r="F33" s="178">
        <f t="shared" si="2"/>
        <v>101.68893743361662</v>
      </c>
      <c r="G33" s="178">
        <f t="shared" si="2"/>
        <v>101.69424292262377</v>
      </c>
      <c r="H33" s="179">
        <f t="shared" si="2"/>
        <v>101.69919757651897</v>
      </c>
    </row>
    <row r="34" spans="1:8" s="3" customFormat="1" ht="16.5" customHeight="1" x14ac:dyDescent="0.2">
      <c r="A34" s="180" t="s">
        <v>37</v>
      </c>
      <c r="B34" s="226">
        <v>31741</v>
      </c>
      <c r="C34" s="152">
        <v>32540</v>
      </c>
      <c r="D34" s="152">
        <v>33151</v>
      </c>
      <c r="E34" s="152">
        <v>48774</v>
      </c>
      <c r="F34" s="178">
        <f t="shared" ref="F34" si="5">C34/B34*100</f>
        <v>102.51724898396395</v>
      </c>
      <c r="G34" s="178">
        <f t="shared" ref="G34" si="6">D34/C34*100</f>
        <v>101.87768899815612</v>
      </c>
      <c r="H34" s="179">
        <f t="shared" ref="H34" si="7">E34/D34*100</f>
        <v>147.12678350577659</v>
      </c>
    </row>
    <row r="35" spans="1:8" s="3" customFormat="1" ht="16.5" customHeight="1" x14ac:dyDescent="0.2">
      <c r="A35" s="171" t="s">
        <v>50</v>
      </c>
      <c r="B35" s="224">
        <f>SUM(B36:B39)</f>
        <v>262082</v>
      </c>
      <c r="C35" s="146">
        <f>SUM(C36:C39)</f>
        <v>259812</v>
      </c>
      <c r="D35" s="146">
        <f>SUM(D36:D39)</f>
        <v>250946</v>
      </c>
      <c r="E35" s="146">
        <f>SUM(E36:E39)</f>
        <v>231000</v>
      </c>
      <c r="F35" s="175">
        <f t="shared" si="2"/>
        <v>99.133858868598381</v>
      </c>
      <c r="G35" s="175">
        <f t="shared" si="2"/>
        <v>96.587532523517012</v>
      </c>
      <c r="H35" s="176">
        <f t="shared" si="2"/>
        <v>92.0516764562894</v>
      </c>
    </row>
    <row r="36" spans="1:8" s="3" customFormat="1" ht="16.5" customHeight="1" x14ac:dyDescent="0.2">
      <c r="A36" s="180" t="s">
        <v>33</v>
      </c>
      <c r="B36" s="226">
        <v>196000</v>
      </c>
      <c r="C36" s="152">
        <v>196000</v>
      </c>
      <c r="D36" s="152">
        <v>196000</v>
      </c>
      <c r="E36" s="152">
        <v>196000</v>
      </c>
      <c r="F36" s="178">
        <f t="shared" ref="F36:F39" si="8">C36/B36*100</f>
        <v>100</v>
      </c>
      <c r="G36" s="178">
        <f t="shared" ref="G36" si="9">D36/C36*100</f>
        <v>100</v>
      </c>
      <c r="H36" s="179">
        <f t="shared" ref="H36" si="10">E36/D36*100</f>
        <v>100</v>
      </c>
    </row>
    <row r="37" spans="1:8" s="3" customFormat="1" ht="16.5" customHeight="1" x14ac:dyDescent="0.2">
      <c r="A37" s="180" t="s">
        <v>34</v>
      </c>
      <c r="B37" s="226">
        <v>35000</v>
      </c>
      <c r="C37" s="152">
        <v>35000</v>
      </c>
      <c r="D37" s="152">
        <v>35000</v>
      </c>
      <c r="E37" s="152">
        <v>35000</v>
      </c>
      <c r="F37" s="178">
        <f t="shared" si="8"/>
        <v>100</v>
      </c>
      <c r="G37" s="178">
        <f t="shared" ref="G37:G39" si="11">D37/C37*100</f>
        <v>100</v>
      </c>
      <c r="H37" s="179">
        <f t="shared" ref="H37:H39" si="12">E37/D37*100</f>
        <v>100</v>
      </c>
    </row>
    <row r="38" spans="1:8" s="3" customFormat="1" ht="16.5" customHeight="1" x14ac:dyDescent="0.2">
      <c r="A38" s="180" t="s">
        <v>36</v>
      </c>
      <c r="B38" s="226">
        <v>11134</v>
      </c>
      <c r="C38" s="152">
        <v>8866</v>
      </c>
      <c r="D38" s="152">
        <v>0</v>
      </c>
      <c r="E38" s="152">
        <v>0</v>
      </c>
      <c r="F38" s="178">
        <f t="shared" ref="F38" si="13">C38/B38*100</f>
        <v>79.629962277707918</v>
      </c>
      <c r="G38" s="178">
        <f t="shared" ref="G38" si="14">D38/C38*100</f>
        <v>0</v>
      </c>
      <c r="H38" s="182" t="s">
        <v>384</v>
      </c>
    </row>
    <row r="39" spans="1:8" s="3" customFormat="1" ht="16.5" customHeight="1" x14ac:dyDescent="0.2">
      <c r="A39" s="180" t="s">
        <v>37</v>
      </c>
      <c r="B39" s="226">
        <v>19948</v>
      </c>
      <c r="C39" s="152">
        <v>19946</v>
      </c>
      <c r="D39" s="152">
        <v>19946</v>
      </c>
      <c r="E39" s="152">
        <v>0</v>
      </c>
      <c r="F39" s="178">
        <f t="shared" si="8"/>
        <v>99.989973932223791</v>
      </c>
      <c r="G39" s="178">
        <f t="shared" si="11"/>
        <v>100</v>
      </c>
      <c r="H39" s="179">
        <f t="shared" si="12"/>
        <v>0</v>
      </c>
    </row>
    <row r="40" spans="1:8" s="3" customFormat="1" ht="6" customHeight="1" x14ac:dyDescent="0.2">
      <c r="A40" s="183"/>
      <c r="B40" s="226"/>
      <c r="C40" s="152"/>
      <c r="D40" s="152"/>
      <c r="E40" s="152"/>
      <c r="F40" s="184"/>
      <c r="G40" s="184"/>
      <c r="H40" s="185"/>
    </row>
    <row r="41" spans="1:8" s="3" customFormat="1" ht="29.25" customHeight="1" x14ac:dyDescent="0.2">
      <c r="A41" s="181" t="s">
        <v>563</v>
      </c>
      <c r="B41" s="224">
        <v>267687</v>
      </c>
      <c r="C41" s="146">
        <v>191190</v>
      </c>
      <c r="D41" s="146">
        <v>81178</v>
      </c>
      <c r="E41" s="146">
        <v>49834</v>
      </c>
      <c r="F41" s="175">
        <f t="shared" ref="F41:H41" si="15">C41/B41*100</f>
        <v>71.422967869190515</v>
      </c>
      <c r="G41" s="175">
        <f t="shared" si="15"/>
        <v>42.45933364715728</v>
      </c>
      <c r="H41" s="176">
        <f t="shared" si="15"/>
        <v>61.388553548991112</v>
      </c>
    </row>
    <row r="42" spans="1:8" s="3" customFormat="1" ht="6" customHeight="1" x14ac:dyDescent="0.2">
      <c r="A42" s="186"/>
      <c r="B42" s="224"/>
      <c r="C42" s="146"/>
      <c r="D42" s="146"/>
      <c r="E42" s="146"/>
      <c r="F42" s="184"/>
      <c r="G42" s="184"/>
      <c r="H42" s="185"/>
    </row>
    <row r="43" spans="1:8" s="3" customFormat="1" ht="29.25" customHeight="1" x14ac:dyDescent="0.2">
      <c r="A43" s="181" t="s">
        <v>38</v>
      </c>
      <c r="B43" s="224">
        <f>SUM(B44:B53)</f>
        <v>2793299</v>
      </c>
      <c r="C43" s="146">
        <f t="shared" ref="C43:E43" si="16">SUM(C44:C53)</f>
        <v>2284995</v>
      </c>
      <c r="D43" s="146">
        <f t="shared" si="16"/>
        <v>1777453</v>
      </c>
      <c r="E43" s="146">
        <f t="shared" si="16"/>
        <v>816268</v>
      </c>
      <c r="F43" s="175">
        <f t="shared" ref="F43:H44" si="17">C43/B43*100</f>
        <v>81.802735761549343</v>
      </c>
      <c r="G43" s="175">
        <f t="shared" si="17"/>
        <v>77.788047676253129</v>
      </c>
      <c r="H43" s="176">
        <f t="shared" si="17"/>
        <v>45.923464642946961</v>
      </c>
    </row>
    <row r="44" spans="1:8" s="3" customFormat="1" ht="16.5" customHeight="1" x14ac:dyDescent="0.2">
      <c r="A44" s="180" t="s">
        <v>53</v>
      </c>
      <c r="B44" s="226">
        <v>19023</v>
      </c>
      <c r="C44" s="152">
        <v>29600</v>
      </c>
      <c r="D44" s="152">
        <v>6400</v>
      </c>
      <c r="E44" s="152">
        <v>8600</v>
      </c>
      <c r="F44" s="178">
        <f t="shared" si="17"/>
        <v>155.60111444041425</v>
      </c>
      <c r="G44" s="178">
        <f t="shared" si="17"/>
        <v>21.621621621621621</v>
      </c>
      <c r="H44" s="179">
        <f t="shared" si="17"/>
        <v>134.375</v>
      </c>
    </row>
    <row r="45" spans="1:8" s="1" customFormat="1" ht="16.5" customHeight="1" x14ac:dyDescent="0.2">
      <c r="A45" s="180" t="s">
        <v>39</v>
      </c>
      <c r="B45" s="226">
        <v>53000</v>
      </c>
      <c r="C45" s="152">
        <v>53000</v>
      </c>
      <c r="D45" s="152">
        <v>53000</v>
      </c>
      <c r="E45" s="152">
        <v>53000</v>
      </c>
      <c r="F45" s="178">
        <f t="shared" ref="F45" si="18">C45/B45*100</f>
        <v>100</v>
      </c>
      <c r="G45" s="178">
        <f t="shared" ref="G45" si="19">D45/C45*100</f>
        <v>100</v>
      </c>
      <c r="H45" s="179">
        <f t="shared" ref="H45" si="20">E45/D45*100</f>
        <v>100</v>
      </c>
    </row>
    <row r="46" spans="1:8" s="3" customFormat="1" ht="16.5" customHeight="1" x14ac:dyDescent="0.2">
      <c r="A46" s="180" t="s">
        <v>261</v>
      </c>
      <c r="B46" s="226">
        <v>795608</v>
      </c>
      <c r="C46" s="152">
        <f>497654+6825</f>
        <v>504479</v>
      </c>
      <c r="D46" s="152">
        <f>818264+463</f>
        <v>818727</v>
      </c>
      <c r="E46" s="152">
        <f>461954+36913</f>
        <v>498867</v>
      </c>
      <c r="F46" s="178">
        <f t="shared" ref="F46:F53" si="21">C46/B46*100</f>
        <v>63.407984836753783</v>
      </c>
      <c r="G46" s="178">
        <f t="shared" ref="G46:G53" si="22">D46/C46*100</f>
        <v>162.29159191958436</v>
      </c>
      <c r="H46" s="179">
        <f t="shared" ref="H46:H53" si="23">E46/D46*100</f>
        <v>60.93203228915133</v>
      </c>
    </row>
    <row r="47" spans="1:8" s="3" customFormat="1" ht="16.5" customHeight="1" x14ac:dyDescent="0.2">
      <c r="A47" s="180" t="s">
        <v>564</v>
      </c>
      <c r="B47" s="226">
        <v>229318</v>
      </c>
      <c r="C47" s="152">
        <v>152676</v>
      </c>
      <c r="D47" s="152">
        <v>27676</v>
      </c>
      <c r="E47" s="152">
        <v>28276</v>
      </c>
      <c r="F47" s="178">
        <f t="shared" si="21"/>
        <v>66.578288664649094</v>
      </c>
      <c r="G47" s="178">
        <f t="shared" si="22"/>
        <v>18.127276061725482</v>
      </c>
      <c r="H47" s="179">
        <f t="shared" si="23"/>
        <v>102.16794334441393</v>
      </c>
    </row>
    <row r="48" spans="1:8" s="3" customFormat="1" ht="16.5" customHeight="1" x14ac:dyDescent="0.2">
      <c r="A48" s="180" t="s">
        <v>28</v>
      </c>
      <c r="B48" s="226">
        <v>1000</v>
      </c>
      <c r="C48" s="152">
        <v>0</v>
      </c>
      <c r="D48" s="152">
        <v>0</v>
      </c>
      <c r="E48" s="152">
        <v>0</v>
      </c>
      <c r="F48" s="178">
        <f t="shared" ref="F48" si="24">C48/B48*100</f>
        <v>0</v>
      </c>
      <c r="G48" s="357" t="s">
        <v>384</v>
      </c>
      <c r="H48" s="182" t="s">
        <v>384</v>
      </c>
    </row>
    <row r="49" spans="1:8" s="3" customFormat="1" ht="16.5" customHeight="1" x14ac:dyDescent="0.2">
      <c r="A49" s="180" t="s">
        <v>29</v>
      </c>
      <c r="B49" s="226">
        <v>77173</v>
      </c>
      <c r="C49" s="152">
        <v>116588</v>
      </c>
      <c r="D49" s="152">
        <v>208838</v>
      </c>
      <c r="E49" s="152">
        <v>50588</v>
      </c>
      <c r="F49" s="178">
        <f t="shared" si="21"/>
        <v>151.07356199707152</v>
      </c>
      <c r="G49" s="178">
        <f t="shared" si="22"/>
        <v>179.1247812810924</v>
      </c>
      <c r="H49" s="179">
        <f t="shared" si="23"/>
        <v>24.223560846206148</v>
      </c>
    </row>
    <row r="50" spans="1:8" s="3" customFormat="1" ht="16.5" customHeight="1" x14ac:dyDescent="0.2">
      <c r="A50" s="180" t="s">
        <v>33</v>
      </c>
      <c r="B50" s="226">
        <v>174903</v>
      </c>
      <c r="C50" s="152">
        <v>76385</v>
      </c>
      <c r="D50" s="152">
        <v>71900</v>
      </c>
      <c r="E50" s="152">
        <v>32000</v>
      </c>
      <c r="F50" s="178">
        <f t="shared" si="21"/>
        <v>43.672778625866911</v>
      </c>
      <c r="G50" s="178">
        <f t="shared" si="22"/>
        <v>94.128428356352686</v>
      </c>
      <c r="H50" s="179">
        <f t="shared" si="23"/>
        <v>44.506258692628656</v>
      </c>
    </row>
    <row r="51" spans="1:8" s="3" customFormat="1" ht="16.5" customHeight="1" x14ac:dyDescent="0.2">
      <c r="A51" s="180" t="s">
        <v>34</v>
      </c>
      <c r="B51" s="226">
        <v>905257</v>
      </c>
      <c r="C51" s="152">
        <v>1055275</v>
      </c>
      <c r="D51" s="152">
        <v>418140</v>
      </c>
      <c r="E51" s="152">
        <v>25000</v>
      </c>
      <c r="F51" s="178">
        <f t="shared" si="21"/>
        <v>116.57186854119881</v>
      </c>
      <c r="G51" s="178">
        <f t="shared" si="22"/>
        <v>39.623794745445501</v>
      </c>
      <c r="H51" s="179">
        <f t="shared" si="23"/>
        <v>5.9788587554407613</v>
      </c>
    </row>
    <row r="52" spans="1:8" s="3" customFormat="1" ht="16.5" customHeight="1" x14ac:dyDescent="0.2">
      <c r="A52" s="180" t="s">
        <v>36</v>
      </c>
      <c r="B52" s="226">
        <v>487917</v>
      </c>
      <c r="C52" s="152">
        <v>246892</v>
      </c>
      <c r="D52" s="152">
        <v>122672</v>
      </c>
      <c r="E52" s="152">
        <v>69837</v>
      </c>
      <c r="F52" s="178">
        <f t="shared" si="21"/>
        <v>50.601229307443688</v>
      </c>
      <c r="G52" s="178">
        <f t="shared" si="22"/>
        <v>49.686502600327273</v>
      </c>
      <c r="H52" s="179">
        <f t="shared" si="23"/>
        <v>56.929861745141523</v>
      </c>
    </row>
    <row r="53" spans="1:8" s="3" customFormat="1" ht="16.5" customHeight="1" x14ac:dyDescent="0.2">
      <c r="A53" s="180" t="s">
        <v>37</v>
      </c>
      <c r="B53" s="226">
        <v>50100</v>
      </c>
      <c r="C53" s="152">
        <v>50100</v>
      </c>
      <c r="D53" s="152">
        <v>50100</v>
      </c>
      <c r="E53" s="152">
        <v>50100</v>
      </c>
      <c r="F53" s="178">
        <f t="shared" si="21"/>
        <v>100</v>
      </c>
      <c r="G53" s="178">
        <f t="shared" si="22"/>
        <v>100</v>
      </c>
      <c r="H53" s="179">
        <f t="shared" si="23"/>
        <v>100</v>
      </c>
    </row>
    <row r="54" spans="1:8" s="3" customFormat="1" ht="6" customHeight="1" x14ac:dyDescent="0.2">
      <c r="A54" s="188"/>
      <c r="B54" s="226"/>
      <c r="C54" s="152"/>
      <c r="D54" s="152"/>
      <c r="E54" s="152"/>
      <c r="F54" s="286"/>
      <c r="G54" s="184"/>
      <c r="H54" s="185"/>
    </row>
    <row r="55" spans="1:8" s="9" customFormat="1" ht="16.5" customHeight="1" x14ac:dyDescent="0.2">
      <c r="A55" s="189" t="s">
        <v>51</v>
      </c>
      <c r="B55" s="224">
        <f>SUM(B56:B66)</f>
        <v>4046977</v>
      </c>
      <c r="C55" s="146">
        <f>SUM(C56:C66)</f>
        <v>3196395</v>
      </c>
      <c r="D55" s="146">
        <f>SUM(D56:D66)</f>
        <v>1583542</v>
      </c>
      <c r="E55" s="146">
        <f>SUM(E56:E66)</f>
        <v>599716</v>
      </c>
      <c r="F55" s="175">
        <f t="shared" ref="F55:H55" si="25">C55/B55*100</f>
        <v>78.982287272697619</v>
      </c>
      <c r="G55" s="175">
        <f t="shared" si="25"/>
        <v>49.541499095074293</v>
      </c>
      <c r="H55" s="176">
        <f t="shared" si="25"/>
        <v>37.871808894238356</v>
      </c>
    </row>
    <row r="56" spans="1:8" s="9" customFormat="1" ht="16.5" customHeight="1" x14ac:dyDescent="0.2">
      <c r="A56" s="180" t="s">
        <v>261</v>
      </c>
      <c r="B56" s="226">
        <v>465350</v>
      </c>
      <c r="C56" s="152">
        <v>314690</v>
      </c>
      <c r="D56" s="152">
        <v>74320</v>
      </c>
      <c r="E56" s="152">
        <v>50274</v>
      </c>
      <c r="F56" s="178">
        <f t="shared" ref="F56" si="26">C56/B56*100</f>
        <v>67.624368754700754</v>
      </c>
      <c r="G56" s="178">
        <f t="shared" ref="G56" si="27">D56/C56*100</f>
        <v>23.61689281515142</v>
      </c>
      <c r="H56" s="179">
        <f t="shared" ref="H56" si="28">E56/D56*100</f>
        <v>67.645317545748114</v>
      </c>
    </row>
    <row r="57" spans="1:8" s="9" customFormat="1" ht="16.5" customHeight="1" x14ac:dyDescent="0.2">
      <c r="A57" s="180" t="s">
        <v>564</v>
      </c>
      <c r="B57" s="226">
        <v>57525</v>
      </c>
      <c r="C57" s="152">
        <v>15838</v>
      </c>
      <c r="D57" s="152">
        <v>0</v>
      </c>
      <c r="E57" s="152">
        <v>0</v>
      </c>
      <c r="F57" s="178">
        <f t="shared" ref="F57:F66" si="29">C57/B57*100</f>
        <v>27.532377227292482</v>
      </c>
      <c r="G57" s="178">
        <f t="shared" ref="G57:G66" si="30">D57/C57*100</f>
        <v>0</v>
      </c>
      <c r="H57" s="182" t="s">
        <v>384</v>
      </c>
    </row>
    <row r="58" spans="1:8" s="9" customFormat="1" ht="16.5" customHeight="1" x14ac:dyDescent="0.2">
      <c r="A58" s="180" t="s">
        <v>28</v>
      </c>
      <c r="B58" s="226">
        <v>150000</v>
      </c>
      <c r="C58" s="152">
        <v>104000</v>
      </c>
      <c r="D58" s="152">
        <v>0</v>
      </c>
      <c r="E58" s="152">
        <v>0</v>
      </c>
      <c r="F58" s="178">
        <f t="shared" si="29"/>
        <v>69.333333333333343</v>
      </c>
      <c r="G58" s="178">
        <f t="shared" si="30"/>
        <v>0</v>
      </c>
      <c r="H58" s="182" t="s">
        <v>384</v>
      </c>
    </row>
    <row r="59" spans="1:8" s="9" customFormat="1" ht="16.5" customHeight="1" x14ac:dyDescent="0.2">
      <c r="A59" s="180" t="s">
        <v>29</v>
      </c>
      <c r="B59" s="226">
        <v>1129126</v>
      </c>
      <c r="C59" s="152">
        <v>1390673</v>
      </c>
      <c r="D59" s="152">
        <v>729072</v>
      </c>
      <c r="E59" s="152">
        <v>238748</v>
      </c>
      <c r="F59" s="178">
        <f t="shared" si="29"/>
        <v>123.16366818229321</v>
      </c>
      <c r="G59" s="178">
        <f t="shared" si="30"/>
        <v>52.425839863145399</v>
      </c>
      <c r="H59" s="179">
        <f t="shared" ref="H59:H66" si="31">E59/D59*100</f>
        <v>32.746834331862971</v>
      </c>
    </row>
    <row r="60" spans="1:8" s="9" customFormat="1" ht="16.5" customHeight="1" x14ac:dyDescent="0.2">
      <c r="A60" s="180" t="s">
        <v>31</v>
      </c>
      <c r="B60" s="226">
        <v>160549</v>
      </c>
      <c r="C60" s="152">
        <v>32299</v>
      </c>
      <c r="D60" s="152">
        <v>30685</v>
      </c>
      <c r="E60" s="152">
        <v>31030</v>
      </c>
      <c r="F60" s="178">
        <f t="shared" si="29"/>
        <v>20.117845642140406</v>
      </c>
      <c r="G60" s="178">
        <f t="shared" si="30"/>
        <v>95.002941267531497</v>
      </c>
      <c r="H60" s="179">
        <f t="shared" si="31"/>
        <v>101.12432784748249</v>
      </c>
    </row>
    <row r="61" spans="1:8" s="9" customFormat="1" ht="16.5" customHeight="1" x14ac:dyDescent="0.2">
      <c r="A61" s="180" t="s">
        <v>32</v>
      </c>
      <c r="B61" s="226">
        <v>3300</v>
      </c>
      <c r="C61" s="152">
        <v>3900</v>
      </c>
      <c r="D61" s="152">
        <v>2200</v>
      </c>
      <c r="E61" s="152">
        <v>1381</v>
      </c>
      <c r="F61" s="178">
        <f t="shared" si="29"/>
        <v>118.18181818181819</v>
      </c>
      <c r="G61" s="178">
        <f t="shared" si="30"/>
        <v>56.410256410256409</v>
      </c>
      <c r="H61" s="179">
        <f t="shared" si="31"/>
        <v>62.772727272727266</v>
      </c>
    </row>
    <row r="62" spans="1:8" s="9" customFormat="1" ht="16.5" customHeight="1" x14ac:dyDescent="0.2">
      <c r="A62" s="180" t="s">
        <v>33</v>
      </c>
      <c r="B62" s="226">
        <v>706161</v>
      </c>
      <c r="C62" s="152">
        <v>283128</v>
      </c>
      <c r="D62" s="152">
        <v>49975</v>
      </c>
      <c r="E62" s="152">
        <v>1526</v>
      </c>
      <c r="F62" s="178">
        <f t="shared" si="29"/>
        <v>40.093972904196065</v>
      </c>
      <c r="G62" s="178">
        <f t="shared" si="30"/>
        <v>17.651027097284622</v>
      </c>
      <c r="H62" s="179">
        <f t="shared" si="31"/>
        <v>3.0535267633816909</v>
      </c>
    </row>
    <row r="63" spans="1:8" s="9" customFormat="1" ht="16.5" customHeight="1" x14ac:dyDescent="0.2">
      <c r="A63" s="180" t="s">
        <v>34</v>
      </c>
      <c r="B63" s="229">
        <v>1026090</v>
      </c>
      <c r="C63" s="187">
        <v>837188</v>
      </c>
      <c r="D63" s="187">
        <v>663191</v>
      </c>
      <c r="E63" s="187">
        <v>259626</v>
      </c>
      <c r="F63" s="178">
        <f t="shared" si="29"/>
        <v>81.590113927628181</v>
      </c>
      <c r="G63" s="178">
        <f t="shared" si="30"/>
        <v>79.216496175291567</v>
      </c>
      <c r="H63" s="179">
        <f t="shared" si="31"/>
        <v>39.147998088031954</v>
      </c>
    </row>
    <row r="64" spans="1:8" s="9" customFormat="1" ht="16.5" customHeight="1" x14ac:dyDescent="0.2">
      <c r="A64" s="180" t="s">
        <v>35</v>
      </c>
      <c r="B64" s="226">
        <v>65000</v>
      </c>
      <c r="C64" s="152">
        <v>0</v>
      </c>
      <c r="D64" s="152">
        <v>0</v>
      </c>
      <c r="E64" s="152">
        <v>0</v>
      </c>
      <c r="F64" s="178">
        <f t="shared" si="29"/>
        <v>0</v>
      </c>
      <c r="G64" s="357" t="s">
        <v>384</v>
      </c>
      <c r="H64" s="182" t="s">
        <v>384</v>
      </c>
    </row>
    <row r="65" spans="1:8" s="9" customFormat="1" ht="16.5" customHeight="1" x14ac:dyDescent="0.2">
      <c r="A65" s="180" t="s">
        <v>36</v>
      </c>
      <c r="B65" s="226">
        <v>115752</v>
      </c>
      <c r="C65" s="152">
        <v>163859</v>
      </c>
      <c r="D65" s="152">
        <v>11365</v>
      </c>
      <c r="E65" s="152">
        <v>0</v>
      </c>
      <c r="F65" s="178">
        <f t="shared" si="29"/>
        <v>141.56040500380124</v>
      </c>
      <c r="G65" s="178">
        <f t="shared" si="30"/>
        <v>6.9358411805271611</v>
      </c>
      <c r="H65" s="179">
        <f t="shared" si="31"/>
        <v>0</v>
      </c>
    </row>
    <row r="66" spans="1:8" s="9" customFormat="1" ht="16.5" customHeight="1" x14ac:dyDescent="0.2">
      <c r="A66" s="180" t="s">
        <v>37</v>
      </c>
      <c r="B66" s="226">
        <v>168124</v>
      </c>
      <c r="C66" s="152">
        <v>50820</v>
      </c>
      <c r="D66" s="152">
        <v>22734</v>
      </c>
      <c r="E66" s="152">
        <v>17131</v>
      </c>
      <c r="F66" s="178">
        <f t="shared" si="29"/>
        <v>30.227689086626537</v>
      </c>
      <c r="G66" s="178">
        <f t="shared" si="30"/>
        <v>44.734356552538365</v>
      </c>
      <c r="H66" s="179">
        <f t="shared" si="31"/>
        <v>75.354095187824399</v>
      </c>
    </row>
    <row r="67" spans="1:8" s="3" customFormat="1" ht="6" customHeight="1" x14ac:dyDescent="0.2">
      <c r="A67" s="183"/>
      <c r="B67" s="226"/>
      <c r="C67" s="152"/>
      <c r="D67" s="152"/>
      <c r="E67" s="152"/>
      <c r="F67" s="184"/>
      <c r="G67" s="184"/>
      <c r="H67" s="185"/>
    </row>
    <row r="68" spans="1:8" s="3" customFormat="1" ht="29.25" customHeight="1" x14ac:dyDescent="0.2">
      <c r="A68" s="181" t="s">
        <v>262</v>
      </c>
      <c r="B68" s="227">
        <v>232530</v>
      </c>
      <c r="C68" s="162">
        <v>169456</v>
      </c>
      <c r="D68" s="162">
        <v>104219</v>
      </c>
      <c r="E68" s="162">
        <v>93721</v>
      </c>
      <c r="F68" s="175">
        <f t="shared" ref="F68:H68" si="32">C68/B68*100</f>
        <v>72.874897862641376</v>
      </c>
      <c r="G68" s="175">
        <f t="shared" si="32"/>
        <v>61.502100840336141</v>
      </c>
      <c r="H68" s="176">
        <f t="shared" si="32"/>
        <v>89.926980684903896</v>
      </c>
    </row>
    <row r="69" spans="1:8" s="10" customFormat="1" ht="6" customHeight="1" x14ac:dyDescent="0.2">
      <c r="A69" s="190"/>
      <c r="B69" s="227"/>
      <c r="C69" s="162"/>
      <c r="D69" s="162"/>
      <c r="E69" s="162"/>
      <c r="F69" s="191"/>
      <c r="G69" s="191"/>
      <c r="H69" s="192"/>
    </row>
    <row r="70" spans="1:8" s="3" customFormat="1" ht="16.5" customHeight="1" x14ac:dyDescent="0.2">
      <c r="A70" s="181" t="s">
        <v>254</v>
      </c>
      <c r="B70" s="227">
        <v>0</v>
      </c>
      <c r="C70" s="162">
        <v>320000</v>
      </c>
      <c r="D70" s="162">
        <v>800000</v>
      </c>
      <c r="E70" s="162">
        <v>1880000</v>
      </c>
      <c r="F70" s="231" t="s">
        <v>384</v>
      </c>
      <c r="G70" s="175">
        <f t="shared" ref="G70" si="33">D70/C70*100</f>
        <v>250</v>
      </c>
      <c r="H70" s="176">
        <f t="shared" ref="H70" si="34">E70/D70*100</f>
        <v>235</v>
      </c>
    </row>
    <row r="71" spans="1:8" s="10" customFormat="1" ht="6" customHeight="1" thickBot="1" x14ac:dyDescent="0.25">
      <c r="A71" s="190"/>
      <c r="B71" s="227"/>
      <c r="C71" s="162"/>
      <c r="D71" s="162"/>
      <c r="E71" s="162"/>
      <c r="F71" s="191"/>
      <c r="G71" s="191"/>
      <c r="H71" s="192"/>
    </row>
    <row r="72" spans="1:8" s="9" customFormat="1" ht="16.5" customHeight="1" thickBot="1" x14ac:dyDescent="0.25">
      <c r="A72" s="193" t="s">
        <v>7</v>
      </c>
      <c r="B72" s="228">
        <f>B4+B5+B12+B27+B35+B41+B43+B55+B68+B70</f>
        <v>43222292</v>
      </c>
      <c r="C72" s="167">
        <f>C4+C5+C12+C27+C35+C41+C43+C55+C68+C70</f>
        <v>41640526</v>
      </c>
      <c r="D72" s="167">
        <f>D4+D5+D12+D27+D35+D41+D43+D55+D68+D70</f>
        <v>40115482</v>
      </c>
      <c r="E72" s="167">
        <f>E4+E5+E12+E27+E35+E41+E43+E55+E68+E70</f>
        <v>39551406</v>
      </c>
      <c r="F72" s="194">
        <f t="shared" ref="F72:H72" si="35">C72/B72*100</f>
        <v>96.340393054583956</v>
      </c>
      <c r="G72" s="194">
        <f t="shared" si="35"/>
        <v>96.337596696064793</v>
      </c>
      <c r="H72" s="195">
        <f t="shared" si="35"/>
        <v>98.593869568861209</v>
      </c>
    </row>
  </sheetData>
  <mergeCells count="4">
    <mergeCell ref="A2:A3"/>
    <mergeCell ref="F2:F3"/>
    <mergeCell ref="G2:G3"/>
    <mergeCell ref="H2:H3"/>
  </mergeCells>
  <printOptions horizontalCentered="1"/>
  <pageMargins left="0.31496062992125984" right="0.31496062992125984" top="0.59055118110236227" bottom="0.39370078740157483" header="0.31496062992125984" footer="0.11811023622047245"/>
  <pageSetup paperSize="9" scale="69" firstPageNumber="3" fitToHeight="0" orientation="portrait" useFirstPageNumber="1" r:id="rId1"/>
  <headerFooter>
    <oddHeader>&amp;L&amp;"Tahoma,Kurzíva"Střednědobý výhled rozpočtu Moravskoslezského kraje na léta 2026-2028&amp;R&amp;"Tahoma,Kurzíva"Bilance příjmů a výdajů v letech 2026-2028</oddHeader>
    <oddFooter>&amp;C&amp;"Tahoma,Obyčejné"&amp;P</oddFooter>
  </headerFooter>
  <rowBreaks count="1" manualBreakCount="1">
    <brk id="6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23AC2-2D03-4C09-AA7C-C8A09803F46D}">
  <sheetPr>
    <pageSetUpPr fitToPage="1"/>
  </sheetPr>
  <dimension ref="A1:M69"/>
  <sheetViews>
    <sheetView zoomScaleNormal="100" zoomScaleSheetLayoutView="100" workbookViewId="0">
      <pane ySplit="4" topLeftCell="A5" activePane="bottomLeft" state="frozen"/>
      <selection activeCell="E24" sqref="E24"/>
      <selection pane="bottomLeft" activeCell="G2" sqref="G2"/>
    </sheetView>
  </sheetViews>
  <sheetFormatPr defaultColWidth="9" defaultRowHeight="12.75" x14ac:dyDescent="0.2"/>
  <cols>
    <col min="1" max="1" width="57.42578125" style="35" customWidth="1"/>
    <col min="2" max="2" width="12.42578125" style="35" hidden="1" customWidth="1"/>
    <col min="3" max="6" width="11.28515625" style="35" customWidth="1"/>
    <col min="7" max="16384" width="9" style="35"/>
  </cols>
  <sheetData>
    <row r="1" spans="1:13" ht="15" customHeight="1" x14ac:dyDescent="0.2">
      <c r="A1" s="21" t="s">
        <v>55</v>
      </c>
    </row>
    <row r="2" spans="1:13" ht="27.75" customHeight="1" thickBot="1" x14ac:dyDescent="0.25">
      <c r="A2" s="623" t="s">
        <v>544</v>
      </c>
      <c r="B2" s="623"/>
      <c r="C2" s="623"/>
      <c r="D2" s="623"/>
      <c r="E2" s="623"/>
      <c r="F2" s="623"/>
    </row>
    <row r="3" spans="1:13" s="36" customFormat="1" ht="27.75" customHeight="1" x14ac:dyDescent="0.2">
      <c r="A3" s="624" t="s">
        <v>65</v>
      </c>
      <c r="B3" s="626" t="s">
        <v>66</v>
      </c>
      <c r="C3" s="628" t="s">
        <v>556</v>
      </c>
      <c r="D3" s="628"/>
      <c r="E3" s="628"/>
      <c r="F3" s="629"/>
    </row>
    <row r="4" spans="1:13" s="36" customFormat="1" ht="18" customHeight="1" thickBot="1" x14ac:dyDescent="0.25">
      <c r="A4" s="625"/>
      <c r="B4" s="627"/>
      <c r="C4" s="211">
        <v>2025</v>
      </c>
      <c r="D4" s="211">
        <v>2026</v>
      </c>
      <c r="E4" s="351">
        <v>2027</v>
      </c>
      <c r="F4" s="341">
        <v>2028</v>
      </c>
    </row>
    <row r="5" spans="1:13" s="36" customFormat="1" ht="16.5" customHeight="1" x14ac:dyDescent="0.2">
      <c r="A5" s="215" t="s">
        <v>67</v>
      </c>
      <c r="B5" s="216"/>
      <c r="C5" s="217">
        <f>C7+C23+C31</f>
        <v>27969653</v>
      </c>
      <c r="D5" s="217">
        <f>D7+D23+D31</f>
        <v>28875334</v>
      </c>
      <c r="E5" s="217">
        <f>E7+E23+E31</f>
        <v>28926398</v>
      </c>
      <c r="F5" s="342">
        <f>F7+F23+F31</f>
        <v>27280906</v>
      </c>
      <c r="J5" s="81"/>
      <c r="K5" s="81"/>
      <c r="L5" s="81"/>
      <c r="M5" s="81"/>
    </row>
    <row r="6" spans="1:13" s="36" customFormat="1" ht="15" customHeight="1" x14ac:dyDescent="0.2">
      <c r="A6" s="255" t="s">
        <v>68</v>
      </c>
      <c r="B6" s="256"/>
      <c r="C6" s="257"/>
      <c r="D6" s="257"/>
      <c r="E6" s="257"/>
      <c r="F6" s="258"/>
    </row>
    <row r="7" spans="1:13" s="36" customFormat="1" ht="15.75" customHeight="1" x14ac:dyDescent="0.2">
      <c r="A7" s="259" t="s">
        <v>160</v>
      </c>
      <c r="B7" s="256"/>
      <c r="C7" s="266">
        <f>SUM(C8:C22)</f>
        <v>26451172</v>
      </c>
      <c r="D7" s="266">
        <f>SUM(D8:D22)</f>
        <v>26379892</v>
      </c>
      <c r="E7" s="266">
        <f>SUM(E8:E22)</f>
        <v>26388523</v>
      </c>
      <c r="F7" s="343">
        <f>SUM(F8:F22)</f>
        <v>26563735</v>
      </c>
    </row>
    <row r="8" spans="1:13" s="36" customFormat="1" ht="15" customHeight="1" x14ac:dyDescent="0.2">
      <c r="A8" s="260" t="s">
        <v>161</v>
      </c>
      <c r="B8" s="256"/>
      <c r="C8" s="261">
        <v>230958</v>
      </c>
      <c r="D8" s="261">
        <v>230958</v>
      </c>
      <c r="E8" s="261">
        <v>230958</v>
      </c>
      <c r="F8" s="262">
        <v>230958</v>
      </c>
    </row>
    <row r="9" spans="1:13" s="36" customFormat="1" ht="25.5" customHeight="1" x14ac:dyDescent="0.2">
      <c r="A9" s="260" t="s">
        <v>162</v>
      </c>
      <c r="B9" s="256">
        <v>27355</v>
      </c>
      <c r="C9" s="261">
        <v>438424</v>
      </c>
      <c r="D9" s="261">
        <v>451477</v>
      </c>
      <c r="E9" s="261">
        <v>460608</v>
      </c>
      <c r="F9" s="262">
        <v>634820</v>
      </c>
    </row>
    <row r="10" spans="1:13" s="36" customFormat="1" ht="25.5" customHeight="1" x14ac:dyDescent="0.2">
      <c r="A10" s="260" t="s">
        <v>281</v>
      </c>
      <c r="B10" s="256" t="s">
        <v>278</v>
      </c>
      <c r="C10" s="261">
        <v>4000</v>
      </c>
      <c r="D10" s="261">
        <v>3000</v>
      </c>
      <c r="E10" s="261">
        <v>3000</v>
      </c>
      <c r="F10" s="262">
        <v>3000</v>
      </c>
    </row>
    <row r="11" spans="1:13" s="36" customFormat="1" ht="15" customHeight="1" x14ac:dyDescent="0.2">
      <c r="A11" s="214" t="s">
        <v>280</v>
      </c>
      <c r="B11" s="213" t="s">
        <v>277</v>
      </c>
      <c r="C11" s="272">
        <v>5333</v>
      </c>
      <c r="D11" s="272">
        <v>0</v>
      </c>
      <c r="E11" s="272">
        <v>0</v>
      </c>
      <c r="F11" s="273">
        <v>0</v>
      </c>
    </row>
    <row r="12" spans="1:13" s="36" customFormat="1" ht="25.5" customHeight="1" x14ac:dyDescent="0.2">
      <c r="A12" s="199" t="s">
        <v>546</v>
      </c>
      <c r="B12" s="256">
        <v>13015</v>
      </c>
      <c r="C12" s="319">
        <v>1868</v>
      </c>
      <c r="D12" s="319">
        <v>1868</v>
      </c>
      <c r="E12" s="319">
        <v>1868</v>
      </c>
      <c r="F12" s="348">
        <v>1868</v>
      </c>
    </row>
    <row r="13" spans="1:13" s="36" customFormat="1" ht="35.25" customHeight="1" x14ac:dyDescent="0.2">
      <c r="A13" s="199" t="s">
        <v>547</v>
      </c>
      <c r="B13" s="256">
        <v>13305</v>
      </c>
      <c r="C13" s="319">
        <v>2985510</v>
      </c>
      <c r="D13" s="319">
        <v>2985510</v>
      </c>
      <c r="E13" s="319">
        <v>2985510</v>
      </c>
      <c r="F13" s="348">
        <v>2985510</v>
      </c>
    </row>
    <row r="14" spans="1:13" s="36" customFormat="1" ht="25.5" customHeight="1" x14ac:dyDescent="0.2">
      <c r="A14" s="199" t="s">
        <v>548</v>
      </c>
      <c r="B14" s="256">
        <v>13307</v>
      </c>
      <c r="C14" s="319">
        <v>26000</v>
      </c>
      <c r="D14" s="319">
        <v>28000</v>
      </c>
      <c r="E14" s="319">
        <v>28000</v>
      </c>
      <c r="F14" s="348">
        <v>28000</v>
      </c>
    </row>
    <row r="15" spans="1:13" s="36" customFormat="1" ht="25.5" customHeight="1" x14ac:dyDescent="0.2">
      <c r="A15" s="260" t="s">
        <v>393</v>
      </c>
      <c r="B15" s="256">
        <v>13501</v>
      </c>
      <c r="C15" s="261">
        <v>20000</v>
      </c>
      <c r="D15" s="261">
        <v>0</v>
      </c>
      <c r="E15" s="261">
        <v>0</v>
      </c>
      <c r="F15" s="262">
        <v>0</v>
      </c>
    </row>
    <row r="16" spans="1:13" s="36" customFormat="1" ht="15" customHeight="1" x14ac:dyDescent="0.2">
      <c r="A16" s="199" t="s">
        <v>549</v>
      </c>
      <c r="B16" s="256">
        <v>33155</v>
      </c>
      <c r="C16" s="319">
        <v>1598335</v>
      </c>
      <c r="D16" s="319">
        <v>1598335</v>
      </c>
      <c r="E16" s="319">
        <v>1598335</v>
      </c>
      <c r="F16" s="348">
        <v>1598335</v>
      </c>
    </row>
    <row r="17" spans="1:6" s="36" customFormat="1" ht="24" customHeight="1" x14ac:dyDescent="0.2">
      <c r="A17" s="199" t="s">
        <v>550</v>
      </c>
      <c r="B17" s="256">
        <v>33353</v>
      </c>
      <c r="C17" s="319">
        <v>21080244</v>
      </c>
      <c r="D17" s="319">
        <v>21080244</v>
      </c>
      <c r="E17" s="319">
        <v>21080244</v>
      </c>
      <c r="F17" s="348">
        <v>21080244</v>
      </c>
    </row>
    <row r="18" spans="1:6" s="36" customFormat="1" ht="40.5" customHeight="1" x14ac:dyDescent="0.2">
      <c r="A18" s="260" t="s">
        <v>283</v>
      </c>
      <c r="B18" s="256"/>
      <c r="C18" s="261">
        <v>60000</v>
      </c>
      <c r="D18" s="261">
        <v>0</v>
      </c>
      <c r="E18" s="261">
        <v>0</v>
      </c>
      <c r="F18" s="262">
        <v>0</v>
      </c>
    </row>
    <row r="19" spans="1:6" s="36" customFormat="1" ht="25.5" customHeight="1" x14ac:dyDescent="0.2">
      <c r="A19" s="328" t="s">
        <v>551</v>
      </c>
      <c r="B19" s="213">
        <v>98071</v>
      </c>
      <c r="C19" s="319">
        <v>500</v>
      </c>
      <c r="D19" s="319">
        <v>0</v>
      </c>
      <c r="E19" s="319">
        <v>0</v>
      </c>
      <c r="F19" s="348">
        <v>0</v>
      </c>
    </row>
    <row r="20" spans="1:6" s="36" customFormat="1" ht="25.5" customHeight="1" x14ac:dyDescent="0.2">
      <c r="A20" s="328" t="s">
        <v>552</v>
      </c>
      <c r="B20" s="213">
        <v>98187</v>
      </c>
      <c r="C20" s="319">
        <v>0</v>
      </c>
      <c r="D20" s="319">
        <v>500</v>
      </c>
      <c r="E20" s="319">
        <v>0</v>
      </c>
      <c r="F20" s="348">
        <v>0</v>
      </c>
    </row>
    <row r="21" spans="1:6" s="36" customFormat="1" ht="25.5" customHeight="1" x14ac:dyDescent="0.2">
      <c r="A21" s="327" t="s">
        <v>553</v>
      </c>
      <c r="B21" s="213">
        <v>98008</v>
      </c>
      <c r="C21" s="319">
        <v>0</v>
      </c>
      <c r="D21" s="319">
        <v>0</v>
      </c>
      <c r="E21" s="319">
        <v>0</v>
      </c>
      <c r="F21" s="348">
        <v>500</v>
      </c>
    </row>
    <row r="22" spans="1:6" s="36" customFormat="1" ht="25.5" customHeight="1" x14ac:dyDescent="0.2">
      <c r="A22" s="327" t="s">
        <v>403</v>
      </c>
      <c r="B22" s="213">
        <v>98193</v>
      </c>
      <c r="C22" s="319">
        <v>0</v>
      </c>
      <c r="D22" s="319">
        <v>0</v>
      </c>
      <c r="E22" s="319">
        <v>0</v>
      </c>
      <c r="F22" s="348">
        <v>500</v>
      </c>
    </row>
    <row r="23" spans="1:6" s="36" customFormat="1" ht="15.75" customHeight="1" x14ac:dyDescent="0.2">
      <c r="A23" s="230" t="s">
        <v>263</v>
      </c>
      <c r="B23" s="213"/>
      <c r="C23" s="257">
        <f>SUM(C24:C30)</f>
        <v>249587</v>
      </c>
      <c r="D23" s="257">
        <f t="shared" ref="D23:F23" si="0">SUM(D24:D30)</f>
        <v>152002</v>
      </c>
      <c r="E23" s="257">
        <f t="shared" si="0"/>
        <v>253880</v>
      </c>
      <c r="F23" s="258">
        <f t="shared" si="0"/>
        <v>207832</v>
      </c>
    </row>
    <row r="24" spans="1:6" s="36" customFormat="1" ht="15" customHeight="1" x14ac:dyDescent="0.2">
      <c r="A24" s="214" t="s">
        <v>176</v>
      </c>
      <c r="B24" s="213"/>
      <c r="C24" s="261">
        <v>86161</v>
      </c>
      <c r="D24" s="261">
        <v>88746</v>
      </c>
      <c r="E24" s="261">
        <v>90521</v>
      </c>
      <c r="F24" s="262">
        <v>92331</v>
      </c>
    </row>
    <row r="25" spans="1:6" s="36" customFormat="1" ht="15" customHeight="1" x14ac:dyDescent="0.2">
      <c r="A25" s="214" t="s">
        <v>163</v>
      </c>
      <c r="B25" s="213"/>
      <c r="C25" s="261">
        <v>22560</v>
      </c>
      <c r="D25" s="261">
        <v>22236</v>
      </c>
      <c r="E25" s="261">
        <v>23701</v>
      </c>
      <c r="F25" s="262">
        <v>24175</v>
      </c>
    </row>
    <row r="26" spans="1:6" s="36" customFormat="1" ht="15" customHeight="1" x14ac:dyDescent="0.2">
      <c r="A26" s="214" t="s">
        <v>320</v>
      </c>
      <c r="B26" s="213"/>
      <c r="C26" s="261">
        <v>30166</v>
      </c>
      <c r="D26" s="261">
        <v>31071</v>
      </c>
      <c r="E26" s="261">
        <v>31692</v>
      </c>
      <c r="F26" s="262">
        <v>32326</v>
      </c>
    </row>
    <row r="27" spans="1:6" s="36" customFormat="1" ht="25.5" customHeight="1" x14ac:dyDescent="0.2">
      <c r="A27" s="214" t="s">
        <v>394</v>
      </c>
      <c r="B27" s="256"/>
      <c r="C27" s="272">
        <v>2200</v>
      </c>
      <c r="D27" s="272">
        <v>1449</v>
      </c>
      <c r="E27" s="272">
        <v>0</v>
      </c>
      <c r="F27" s="273">
        <v>0</v>
      </c>
    </row>
    <row r="28" spans="1:6" s="36" customFormat="1" ht="25.5" customHeight="1" x14ac:dyDescent="0.2">
      <c r="A28" s="214" t="s">
        <v>395</v>
      </c>
      <c r="B28" s="256"/>
      <c r="C28" s="272">
        <v>1500</v>
      </c>
      <c r="D28" s="272">
        <v>1500</v>
      </c>
      <c r="E28" s="272">
        <v>966</v>
      </c>
      <c r="F28" s="273">
        <v>0</v>
      </c>
    </row>
    <row r="29" spans="1:6" s="36" customFormat="1" ht="45" x14ac:dyDescent="0.2">
      <c r="A29" s="214" t="s">
        <v>279</v>
      </c>
      <c r="B29" s="256"/>
      <c r="C29" s="261">
        <v>7000</v>
      </c>
      <c r="D29" s="261">
        <v>7000</v>
      </c>
      <c r="E29" s="261">
        <v>7000</v>
      </c>
      <c r="F29" s="262">
        <v>9000</v>
      </c>
    </row>
    <row r="30" spans="1:6" s="36" customFormat="1" ht="25.5" customHeight="1" x14ac:dyDescent="0.2">
      <c r="A30" s="214" t="s">
        <v>375</v>
      </c>
      <c r="B30" s="213"/>
      <c r="C30" s="261">
        <v>100000</v>
      </c>
      <c r="D30" s="261">
        <v>0</v>
      </c>
      <c r="E30" s="261">
        <v>100000</v>
      </c>
      <c r="F30" s="262">
        <v>50000</v>
      </c>
    </row>
    <row r="31" spans="1:6" s="36" customFormat="1" ht="27" customHeight="1" x14ac:dyDescent="0.2">
      <c r="A31" s="230" t="s">
        <v>164</v>
      </c>
      <c r="B31" s="213"/>
      <c r="C31" s="317">
        <v>1268894</v>
      </c>
      <c r="D31" s="317">
        <v>2343440</v>
      </c>
      <c r="E31" s="317">
        <v>2283995</v>
      </c>
      <c r="F31" s="318">
        <v>509339</v>
      </c>
    </row>
    <row r="32" spans="1:6" s="36" customFormat="1" ht="6" customHeight="1" x14ac:dyDescent="0.2">
      <c r="A32" s="201"/>
      <c r="B32" s="200"/>
      <c r="C32" s="252"/>
      <c r="D32" s="252"/>
      <c r="E32" s="251"/>
      <c r="F32" s="344"/>
    </row>
    <row r="33" spans="1:6" s="36" customFormat="1" ht="16.5" customHeight="1" x14ac:dyDescent="0.2">
      <c r="A33" s="37" t="s">
        <v>545</v>
      </c>
      <c r="B33" s="38"/>
      <c r="C33" s="268">
        <f>C35+C37+C40+C48+C62</f>
        <v>267687</v>
      </c>
      <c r="D33" s="268">
        <f t="shared" ref="D33:F33" si="1">D35+D37+D40+D48+D62</f>
        <v>191190</v>
      </c>
      <c r="E33" s="268">
        <f t="shared" si="1"/>
        <v>81178</v>
      </c>
      <c r="F33" s="345">
        <f t="shared" si="1"/>
        <v>49834</v>
      </c>
    </row>
    <row r="34" spans="1:6" s="36" customFormat="1" ht="15" customHeight="1" x14ac:dyDescent="0.2">
      <c r="A34" s="196" t="s">
        <v>68</v>
      </c>
      <c r="B34" s="197"/>
      <c r="C34" s="250"/>
      <c r="D34" s="250"/>
      <c r="E34" s="249"/>
      <c r="F34" s="346"/>
    </row>
    <row r="35" spans="1:6" s="36" customFormat="1" ht="15.75" customHeight="1" x14ac:dyDescent="0.2">
      <c r="A35" s="198" t="s">
        <v>70</v>
      </c>
      <c r="B35" s="197"/>
      <c r="C35" s="267">
        <f t="shared" ref="C35:F35" si="2">SUM(C36)</f>
        <v>300</v>
      </c>
      <c r="D35" s="267">
        <f t="shared" si="2"/>
        <v>466</v>
      </c>
      <c r="E35" s="266">
        <f t="shared" si="2"/>
        <v>500</v>
      </c>
      <c r="F35" s="343">
        <f t="shared" si="2"/>
        <v>500</v>
      </c>
    </row>
    <row r="36" spans="1:6" s="36" customFormat="1" ht="15" customHeight="1" x14ac:dyDescent="0.2">
      <c r="A36" s="199" t="s">
        <v>69</v>
      </c>
      <c r="B36" s="197">
        <v>4001</v>
      </c>
      <c r="C36" s="264">
        <v>300</v>
      </c>
      <c r="D36" s="264">
        <v>466</v>
      </c>
      <c r="E36" s="263">
        <v>500</v>
      </c>
      <c r="F36" s="347">
        <v>500</v>
      </c>
    </row>
    <row r="37" spans="1:6" s="36" customFormat="1" ht="15.75" customHeight="1" x14ac:dyDescent="0.2">
      <c r="A37" s="198" t="s">
        <v>74</v>
      </c>
      <c r="B37" s="197"/>
      <c r="C37" s="266">
        <f>SUM(C38:C39)</f>
        <v>28185</v>
      </c>
      <c r="D37" s="266">
        <f>SUM(D38:D39)</f>
        <v>20524</v>
      </c>
      <c r="E37" s="266">
        <f>SUM(E38:E39)</f>
        <v>16298</v>
      </c>
      <c r="F37" s="343">
        <f>SUM(F38:F39)</f>
        <v>15254</v>
      </c>
    </row>
    <row r="38" spans="1:6" s="36" customFormat="1" ht="25.5" customHeight="1" x14ac:dyDescent="0.2">
      <c r="A38" s="199" t="s">
        <v>71</v>
      </c>
      <c r="B38" s="197">
        <v>35018</v>
      </c>
      <c r="C38" s="264">
        <v>12000</v>
      </c>
      <c r="D38" s="264">
        <v>12000</v>
      </c>
      <c r="E38" s="264">
        <v>12000</v>
      </c>
      <c r="F38" s="265">
        <v>12000</v>
      </c>
    </row>
    <row r="39" spans="1:6" s="36" customFormat="1" ht="25.5" customHeight="1" x14ac:dyDescent="0.2">
      <c r="A39" s="199" t="s">
        <v>72</v>
      </c>
      <c r="B39" s="197" t="s">
        <v>73</v>
      </c>
      <c r="C39" s="264">
        <v>16185</v>
      </c>
      <c r="D39" s="264">
        <v>8524</v>
      </c>
      <c r="E39" s="264">
        <v>4298</v>
      </c>
      <c r="F39" s="265">
        <v>3254</v>
      </c>
    </row>
    <row r="40" spans="1:6" s="36" customFormat="1" ht="15.75" customHeight="1" x14ac:dyDescent="0.2">
      <c r="A40" s="320" t="s">
        <v>274</v>
      </c>
      <c r="B40" s="321"/>
      <c r="C40" s="266">
        <f>SUM(C41:C47)</f>
        <v>13029</v>
      </c>
      <c r="D40" s="266">
        <f>SUM(D41:D47)</f>
        <v>6530</v>
      </c>
      <c r="E40" s="266">
        <f>SUM(E41:E47)</f>
        <v>6530</v>
      </c>
      <c r="F40" s="343">
        <f>SUM(F41:F47)</f>
        <v>6530</v>
      </c>
    </row>
    <row r="41" spans="1:6" s="36" customFormat="1" ht="15" customHeight="1" x14ac:dyDescent="0.2">
      <c r="A41" s="199" t="s">
        <v>75</v>
      </c>
      <c r="B41" s="197">
        <v>33122</v>
      </c>
      <c r="C41" s="264">
        <v>690</v>
      </c>
      <c r="D41" s="264">
        <v>690</v>
      </c>
      <c r="E41" s="264">
        <v>690</v>
      </c>
      <c r="F41" s="265">
        <v>690</v>
      </c>
    </row>
    <row r="42" spans="1:6" s="36" customFormat="1" ht="15" customHeight="1" x14ac:dyDescent="0.2">
      <c r="A42" s="199" t="s">
        <v>76</v>
      </c>
      <c r="B42" s="197">
        <v>33160</v>
      </c>
      <c r="C42" s="264">
        <v>200</v>
      </c>
      <c r="D42" s="264">
        <v>200</v>
      </c>
      <c r="E42" s="264">
        <v>200</v>
      </c>
      <c r="F42" s="265">
        <v>200</v>
      </c>
    </row>
    <row r="43" spans="1:6" s="36" customFormat="1" ht="15" customHeight="1" x14ac:dyDescent="0.2">
      <c r="A43" s="199" t="s">
        <v>77</v>
      </c>
      <c r="B43" s="197">
        <v>33354</v>
      </c>
      <c r="C43" s="264">
        <v>3500</v>
      </c>
      <c r="D43" s="264">
        <v>3500</v>
      </c>
      <c r="E43" s="264">
        <v>3500</v>
      </c>
      <c r="F43" s="265">
        <v>3500</v>
      </c>
    </row>
    <row r="44" spans="1:6" s="36" customFormat="1" ht="15" customHeight="1" x14ac:dyDescent="0.2">
      <c r="A44" s="199" t="s">
        <v>78</v>
      </c>
      <c r="B44" s="197">
        <v>33166</v>
      </c>
      <c r="C44" s="264">
        <v>2000</v>
      </c>
      <c r="D44" s="264">
        <v>2000</v>
      </c>
      <c r="E44" s="264">
        <v>2000</v>
      </c>
      <c r="F44" s="265">
        <v>2000</v>
      </c>
    </row>
    <row r="45" spans="1:6" s="36" customFormat="1" ht="15" customHeight="1" x14ac:dyDescent="0.2">
      <c r="A45" s="199" t="s">
        <v>79</v>
      </c>
      <c r="B45" s="197">
        <v>33192</v>
      </c>
      <c r="C45" s="264">
        <v>140</v>
      </c>
      <c r="D45" s="264">
        <v>140</v>
      </c>
      <c r="E45" s="264">
        <v>140</v>
      </c>
      <c r="F45" s="265">
        <v>140</v>
      </c>
    </row>
    <row r="46" spans="1:6" s="36" customFormat="1" ht="15" customHeight="1" x14ac:dyDescent="0.2">
      <c r="A46" s="199" t="s">
        <v>554</v>
      </c>
      <c r="B46" s="197">
        <v>33351</v>
      </c>
      <c r="C46" s="264">
        <v>2313</v>
      </c>
      <c r="D46" s="264">
        <v>0</v>
      </c>
      <c r="E46" s="264">
        <v>0</v>
      </c>
      <c r="F46" s="265">
        <v>0</v>
      </c>
    </row>
    <row r="47" spans="1:6" s="36" customFormat="1" ht="15" customHeight="1" x14ac:dyDescent="0.2">
      <c r="A47" s="199" t="s">
        <v>555</v>
      </c>
      <c r="B47" s="197">
        <v>33095</v>
      </c>
      <c r="C47" s="264">
        <v>4186</v>
      </c>
      <c r="D47" s="264">
        <v>0</v>
      </c>
      <c r="E47" s="264">
        <v>0</v>
      </c>
      <c r="F47" s="265">
        <v>0</v>
      </c>
    </row>
    <row r="48" spans="1:6" s="36" customFormat="1" ht="15.75" customHeight="1" x14ac:dyDescent="0.2">
      <c r="A48" s="198" t="s">
        <v>85</v>
      </c>
      <c r="B48" s="197"/>
      <c r="C48" s="266">
        <f>SUM(C49:C61)</f>
        <v>14173</v>
      </c>
      <c r="D48" s="267">
        <f>SUM(D49:D61)</f>
        <v>18670</v>
      </c>
      <c r="E48" s="266">
        <f>SUM(E49:E61)</f>
        <v>15850</v>
      </c>
      <c r="F48" s="343">
        <f>SUM(F49:F61)</f>
        <v>15550</v>
      </c>
    </row>
    <row r="49" spans="1:6" s="36" customFormat="1" ht="15" customHeight="1" x14ac:dyDescent="0.2">
      <c r="A49" s="322" t="s">
        <v>80</v>
      </c>
      <c r="B49" s="321" t="s">
        <v>276</v>
      </c>
      <c r="C49" s="323">
        <f>695+130</f>
        <v>825</v>
      </c>
      <c r="D49" s="323">
        <f>770+130</f>
        <v>900</v>
      </c>
      <c r="E49" s="323">
        <f>1020+130</f>
        <v>1150</v>
      </c>
      <c r="F49" s="324">
        <f>970+130</f>
        <v>1100</v>
      </c>
    </row>
    <row r="50" spans="1:6" s="36" customFormat="1" ht="15" customHeight="1" x14ac:dyDescent="0.2">
      <c r="A50" s="199" t="s">
        <v>165</v>
      </c>
      <c r="B50" s="197">
        <v>34013</v>
      </c>
      <c r="C50" s="323">
        <v>0</v>
      </c>
      <c r="D50" s="323">
        <v>100</v>
      </c>
      <c r="E50" s="323">
        <v>100</v>
      </c>
      <c r="F50" s="324">
        <v>0</v>
      </c>
    </row>
    <row r="51" spans="1:6" s="36" customFormat="1" ht="15" customHeight="1" x14ac:dyDescent="0.2">
      <c r="A51" s="322" t="s">
        <v>264</v>
      </c>
      <c r="B51" s="321">
        <v>34021</v>
      </c>
      <c r="C51" s="323">
        <v>250</v>
      </c>
      <c r="D51" s="323">
        <v>600</v>
      </c>
      <c r="E51" s="323">
        <v>0</v>
      </c>
      <c r="F51" s="324">
        <v>0</v>
      </c>
    </row>
    <row r="52" spans="1:6" s="36" customFormat="1" ht="25.5" customHeight="1" x14ac:dyDescent="0.2">
      <c r="A52" s="322" t="s">
        <v>265</v>
      </c>
      <c r="B52" s="321">
        <v>34031</v>
      </c>
      <c r="C52" s="323">
        <v>1255</v>
      </c>
      <c r="D52" s="323">
        <v>470</v>
      </c>
      <c r="E52" s="323">
        <v>500</v>
      </c>
      <c r="F52" s="324">
        <v>850</v>
      </c>
    </row>
    <row r="53" spans="1:6" s="36" customFormat="1" ht="15" customHeight="1" x14ac:dyDescent="0.2">
      <c r="A53" s="322" t="s">
        <v>396</v>
      </c>
      <c r="B53" s="321" t="s">
        <v>398</v>
      </c>
      <c r="C53" s="323">
        <v>0</v>
      </c>
      <c r="D53" s="323">
        <v>900</v>
      </c>
      <c r="E53" s="323">
        <v>900</v>
      </c>
      <c r="F53" s="324">
        <v>0</v>
      </c>
    </row>
    <row r="54" spans="1:6" s="36" customFormat="1" ht="15" customHeight="1" x14ac:dyDescent="0.2">
      <c r="A54" s="199" t="s">
        <v>267</v>
      </c>
      <c r="B54" s="321">
        <v>34017</v>
      </c>
      <c r="C54" s="323">
        <v>750</v>
      </c>
      <c r="D54" s="323">
        <v>750</v>
      </c>
      <c r="E54" s="323">
        <v>300</v>
      </c>
      <c r="F54" s="324">
        <v>300</v>
      </c>
    </row>
    <row r="55" spans="1:6" s="36" customFormat="1" ht="15" customHeight="1" x14ac:dyDescent="0.2">
      <c r="A55" s="199" t="s">
        <v>268</v>
      </c>
      <c r="B55" s="197">
        <v>34502</v>
      </c>
      <c r="C55" s="323">
        <v>1300</v>
      </c>
      <c r="D55" s="323">
        <v>1400</v>
      </c>
      <c r="E55" s="323">
        <v>1400</v>
      </c>
      <c r="F55" s="324">
        <v>1300</v>
      </c>
    </row>
    <row r="56" spans="1:6" s="36" customFormat="1" ht="15" customHeight="1" x14ac:dyDescent="0.2">
      <c r="A56" s="325" t="s">
        <v>266</v>
      </c>
      <c r="B56" s="197">
        <v>34503</v>
      </c>
      <c r="C56" s="323">
        <v>2250</v>
      </c>
      <c r="D56" s="323">
        <v>2650</v>
      </c>
      <c r="E56" s="323">
        <v>1250</v>
      </c>
      <c r="F56" s="324">
        <v>1150</v>
      </c>
    </row>
    <row r="57" spans="1:6" s="36" customFormat="1" ht="25.5" customHeight="1" x14ac:dyDescent="0.2">
      <c r="A57" s="199" t="s">
        <v>269</v>
      </c>
      <c r="B57" s="197">
        <v>34949</v>
      </c>
      <c r="C57" s="323">
        <v>0</v>
      </c>
      <c r="D57" s="323">
        <v>700</v>
      </c>
      <c r="E57" s="323">
        <v>0</v>
      </c>
      <c r="F57" s="324">
        <v>400</v>
      </c>
    </row>
    <row r="58" spans="1:6" s="36" customFormat="1" ht="15" customHeight="1" x14ac:dyDescent="0.2">
      <c r="A58" s="199" t="s">
        <v>81</v>
      </c>
      <c r="B58" s="197" t="s">
        <v>82</v>
      </c>
      <c r="C58" s="323">
        <v>193</v>
      </c>
      <c r="D58" s="323">
        <v>400</v>
      </c>
      <c r="E58" s="323">
        <v>200</v>
      </c>
      <c r="F58" s="324">
        <v>200</v>
      </c>
    </row>
    <row r="59" spans="1:6" s="36" customFormat="1" ht="15" customHeight="1" x14ac:dyDescent="0.2">
      <c r="A59" s="199" t="s">
        <v>83</v>
      </c>
      <c r="B59" s="197">
        <v>34090</v>
      </c>
      <c r="C59" s="323">
        <v>350</v>
      </c>
      <c r="D59" s="323">
        <v>400</v>
      </c>
      <c r="E59" s="323">
        <v>450</v>
      </c>
      <c r="F59" s="324">
        <v>450</v>
      </c>
    </row>
    <row r="60" spans="1:6" s="36" customFormat="1" ht="25.5" customHeight="1" x14ac:dyDescent="0.2">
      <c r="A60" s="199" t="s">
        <v>84</v>
      </c>
      <c r="B60" s="197">
        <v>34352</v>
      </c>
      <c r="C60" s="323">
        <v>7000</v>
      </c>
      <c r="D60" s="323">
        <v>7000</v>
      </c>
      <c r="E60" s="323">
        <v>7000</v>
      </c>
      <c r="F60" s="324">
        <v>7000</v>
      </c>
    </row>
    <row r="61" spans="1:6" s="36" customFormat="1" ht="15" customHeight="1" x14ac:dyDescent="0.2">
      <c r="A61" s="199" t="s">
        <v>166</v>
      </c>
      <c r="B61" s="197">
        <v>34341</v>
      </c>
      <c r="C61" s="323">
        <v>0</v>
      </c>
      <c r="D61" s="323">
        <v>2400</v>
      </c>
      <c r="E61" s="323">
        <v>2600</v>
      </c>
      <c r="F61" s="324">
        <v>2800</v>
      </c>
    </row>
    <row r="62" spans="1:6" s="36" customFormat="1" ht="15.75" customHeight="1" x14ac:dyDescent="0.2">
      <c r="A62" s="198" t="s">
        <v>177</v>
      </c>
      <c r="B62" s="197"/>
      <c r="C62" s="266">
        <f>SUM(C63:C65)</f>
        <v>212000</v>
      </c>
      <c r="D62" s="266">
        <f>SUM(D63:D65)</f>
        <v>145000</v>
      </c>
      <c r="E62" s="266">
        <f>SUM(E63:E65)</f>
        <v>42000</v>
      </c>
      <c r="F62" s="343">
        <f>SUM(F63:F65)</f>
        <v>12000</v>
      </c>
    </row>
    <row r="63" spans="1:6" s="36" customFormat="1" ht="15" customHeight="1" x14ac:dyDescent="0.2">
      <c r="A63" s="199" t="s">
        <v>275</v>
      </c>
      <c r="B63" s="197"/>
      <c r="C63" s="264">
        <v>55000</v>
      </c>
      <c r="D63" s="264">
        <v>40000</v>
      </c>
      <c r="E63" s="264">
        <v>20000</v>
      </c>
      <c r="F63" s="265">
        <v>5000</v>
      </c>
    </row>
    <row r="64" spans="1:6" s="36" customFormat="1" ht="15" customHeight="1" x14ac:dyDescent="0.2">
      <c r="A64" s="326" t="s">
        <v>397</v>
      </c>
      <c r="B64" s="200"/>
      <c r="C64" s="352">
        <v>150000</v>
      </c>
      <c r="D64" s="352">
        <v>100000</v>
      </c>
      <c r="E64" s="352">
        <v>20000</v>
      </c>
      <c r="F64" s="353">
        <v>5000</v>
      </c>
    </row>
    <row r="65" spans="1:6" s="36" customFormat="1" ht="15" customHeight="1" x14ac:dyDescent="0.2">
      <c r="A65" s="326" t="s">
        <v>321</v>
      </c>
      <c r="B65" s="200"/>
      <c r="C65" s="352">
        <v>7000</v>
      </c>
      <c r="D65" s="352">
        <v>5000</v>
      </c>
      <c r="E65" s="352">
        <v>2000</v>
      </c>
      <c r="F65" s="353">
        <v>2000</v>
      </c>
    </row>
    <row r="66" spans="1:6" s="36" customFormat="1" ht="6" customHeight="1" x14ac:dyDescent="0.2">
      <c r="A66" s="201"/>
      <c r="B66" s="200"/>
      <c r="C66" s="252"/>
      <c r="D66" s="252"/>
      <c r="E66" s="251"/>
      <c r="F66" s="344"/>
    </row>
    <row r="67" spans="1:6" s="36" customFormat="1" ht="29.25" customHeight="1" x14ac:dyDescent="0.2">
      <c r="A67" s="37" t="s">
        <v>167</v>
      </c>
      <c r="B67" s="38"/>
      <c r="C67" s="269">
        <f>34775+197755</f>
        <v>232530</v>
      </c>
      <c r="D67" s="270">
        <f>30225+139231</f>
        <v>169456</v>
      </c>
      <c r="E67" s="270">
        <f>15000+89219</f>
        <v>104219</v>
      </c>
      <c r="F67" s="271">
        <f>30000+63721</f>
        <v>93721</v>
      </c>
    </row>
    <row r="68" spans="1:6" s="36" customFormat="1" ht="6" customHeight="1" x14ac:dyDescent="0.2">
      <c r="A68" s="202"/>
      <c r="B68" s="200"/>
      <c r="C68" s="254"/>
      <c r="D68" s="254"/>
      <c r="E68" s="253"/>
      <c r="F68" s="349"/>
    </row>
    <row r="69" spans="1:6" s="36" customFormat="1" ht="16.5" customHeight="1" thickBot="1" x14ac:dyDescent="0.25">
      <c r="A69" s="39" t="s">
        <v>86</v>
      </c>
      <c r="B69" s="40"/>
      <c r="C69" s="281">
        <f>C5+C33+C67</f>
        <v>28469870</v>
      </c>
      <c r="D69" s="281">
        <f t="shared" ref="D69:F69" si="3">D5+D33+D67</f>
        <v>29235980</v>
      </c>
      <c r="E69" s="280">
        <f t="shared" si="3"/>
        <v>29111795</v>
      </c>
      <c r="F69" s="350">
        <f t="shared" si="3"/>
        <v>27424461</v>
      </c>
    </row>
  </sheetData>
  <mergeCells count="4">
    <mergeCell ref="A2:F2"/>
    <mergeCell ref="A3:A4"/>
    <mergeCell ref="B3:B4"/>
    <mergeCell ref="C3:F3"/>
  </mergeCells>
  <printOptions horizontalCentered="1"/>
  <pageMargins left="0.39370078740157483" right="0.39370078740157483" top="0.59055118110236227" bottom="0.39370078740157483" header="0.31496062992125984" footer="0.11811023622047245"/>
  <pageSetup paperSize="9" scale="94" firstPageNumber="5" fitToHeight="0" orientation="portrait" useFirstPageNumber="1" r:id="rId1"/>
  <headerFooter>
    <oddHeader>&amp;L&amp;"Tahoma,Kurzíva"&amp;9Střednědobý výhled rozpočtu Moravskoslezského kraje na léta 2026-2028&amp;R&amp;"Tahoma,Kurzíva"&amp;9Přehled očekávaných účelových dotací v letech 2026-2028</oddHeader>
    <oddFooter>&amp;C&amp;"Tahoma,Obyčejné"&amp;P</oddFooter>
  </headerFooter>
  <rowBreaks count="1" manualBreakCount="1">
    <brk id="36" max="5" man="1"/>
  </rowBreaks>
  <ignoredErrors>
    <ignoredError sqref="C23:F2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F3D17-2EF7-438F-8563-0AB59181ABE3}">
  <sheetPr>
    <pageSetUpPr fitToPage="1"/>
  </sheetPr>
  <dimension ref="A1:H143"/>
  <sheetViews>
    <sheetView zoomScaleNormal="100" zoomScaleSheetLayoutView="100" workbookViewId="0">
      <pane ySplit="5" topLeftCell="A6" activePane="bottomLeft" state="frozen"/>
      <selection activeCell="E24" sqref="E24"/>
      <selection pane="bottomLeft" activeCell="I3" sqref="I3"/>
    </sheetView>
  </sheetViews>
  <sheetFormatPr defaultRowHeight="15" x14ac:dyDescent="0.25"/>
  <cols>
    <col min="1" max="1" width="42.7109375" style="493" customWidth="1"/>
    <col min="2" max="2" width="10.5703125" style="493" hidden="1" customWidth="1"/>
    <col min="3" max="7" width="10.7109375" style="493" customWidth="1"/>
    <col min="8" max="8" width="44.7109375" style="493" customWidth="1"/>
    <col min="9" max="16384" width="9.140625" style="494"/>
  </cols>
  <sheetData>
    <row r="1" spans="1:8" x14ac:dyDescent="0.25">
      <c r="A1" s="536" t="s">
        <v>56</v>
      </c>
    </row>
    <row r="2" spans="1:8" s="54" customFormat="1" ht="30" customHeight="1" x14ac:dyDescent="0.2">
      <c r="A2" s="630" t="s">
        <v>153</v>
      </c>
      <c r="B2" s="631"/>
      <c r="C2" s="631"/>
      <c r="D2" s="631"/>
      <c r="E2" s="631"/>
      <c r="F2" s="631"/>
      <c r="G2" s="631"/>
      <c r="H2" s="631"/>
    </row>
    <row r="3" spans="1:8" s="54" customFormat="1" ht="13.5" thickBot="1" x14ac:dyDescent="0.25">
      <c r="A3" s="55"/>
      <c r="B3" s="55"/>
      <c r="C3" s="495"/>
      <c r="D3" s="495"/>
      <c r="E3" s="495"/>
      <c r="F3" s="495"/>
      <c r="G3" s="495"/>
      <c r="H3" s="56" t="s">
        <v>88</v>
      </c>
    </row>
    <row r="4" spans="1:8" s="54" customFormat="1" ht="21" customHeight="1" x14ac:dyDescent="0.2">
      <c r="A4" s="632" t="s">
        <v>114</v>
      </c>
      <c r="B4" s="634" t="s">
        <v>772</v>
      </c>
      <c r="C4" s="636" t="s">
        <v>116</v>
      </c>
      <c r="D4" s="638" t="s">
        <v>139</v>
      </c>
      <c r="E4" s="639"/>
      <c r="F4" s="640"/>
      <c r="G4" s="641"/>
      <c r="H4" s="642" t="s">
        <v>773</v>
      </c>
    </row>
    <row r="5" spans="1:8" s="54" customFormat="1" ht="21" customHeight="1" x14ac:dyDescent="0.2">
      <c r="A5" s="633"/>
      <c r="B5" s="635"/>
      <c r="C5" s="637"/>
      <c r="D5" s="496" t="s">
        <v>322</v>
      </c>
      <c r="E5" s="497" t="s">
        <v>416</v>
      </c>
      <c r="F5" s="497" t="s">
        <v>586</v>
      </c>
      <c r="G5" s="498" t="s">
        <v>587</v>
      </c>
      <c r="H5" s="643"/>
    </row>
    <row r="6" spans="1:8" s="57" customFormat="1" ht="18" customHeight="1" x14ac:dyDescent="0.2">
      <c r="A6" s="499" t="s">
        <v>229</v>
      </c>
      <c r="B6" s="500"/>
      <c r="C6" s="500"/>
      <c r="D6" s="500"/>
      <c r="E6" s="500"/>
      <c r="F6" s="500"/>
      <c r="G6" s="500"/>
      <c r="H6" s="501"/>
    </row>
    <row r="7" spans="1:8" s="57" customFormat="1" ht="45" customHeight="1" x14ac:dyDescent="0.2">
      <c r="A7" s="233" t="s">
        <v>774</v>
      </c>
      <c r="B7" s="98">
        <v>3522</v>
      </c>
      <c r="C7" s="90">
        <f t="shared" ref="C7:C11" si="0">SUM(D7:G7)</f>
        <v>2120</v>
      </c>
      <c r="D7" s="90">
        <v>2000</v>
      </c>
      <c r="E7" s="90">
        <v>120</v>
      </c>
      <c r="F7" s="90">
        <v>0</v>
      </c>
      <c r="G7" s="502">
        <v>0</v>
      </c>
      <c r="H7" s="276" t="s">
        <v>849</v>
      </c>
    </row>
    <row r="8" spans="1:8" s="57" customFormat="1" ht="24" customHeight="1" x14ac:dyDescent="0.2">
      <c r="A8" s="233" t="s">
        <v>775</v>
      </c>
      <c r="B8" s="98">
        <v>3668</v>
      </c>
      <c r="C8" s="90">
        <f t="shared" si="0"/>
        <v>129250</v>
      </c>
      <c r="D8" s="90">
        <v>129250</v>
      </c>
      <c r="E8" s="90">
        <v>0</v>
      </c>
      <c r="F8" s="90">
        <v>0</v>
      </c>
      <c r="G8" s="502">
        <v>0</v>
      </c>
      <c r="H8" s="276" t="s">
        <v>847</v>
      </c>
    </row>
    <row r="9" spans="1:8" s="57" customFormat="1" ht="24" customHeight="1" x14ac:dyDescent="0.2">
      <c r="A9" s="233" t="s">
        <v>776</v>
      </c>
      <c r="B9" s="98">
        <v>3669</v>
      </c>
      <c r="C9" s="90">
        <f t="shared" si="0"/>
        <v>50000</v>
      </c>
      <c r="D9" s="90">
        <v>50000</v>
      </c>
      <c r="E9" s="90">
        <v>0</v>
      </c>
      <c r="F9" s="90">
        <v>0</v>
      </c>
      <c r="G9" s="502">
        <v>0</v>
      </c>
      <c r="H9" s="276" t="s">
        <v>848</v>
      </c>
    </row>
    <row r="10" spans="1:8" s="57" customFormat="1" ht="45" customHeight="1" x14ac:dyDescent="0.2">
      <c r="A10" s="233" t="s">
        <v>529</v>
      </c>
      <c r="B10" s="98">
        <v>3583</v>
      </c>
      <c r="C10" s="90">
        <f t="shared" si="0"/>
        <v>2974</v>
      </c>
      <c r="D10" s="90">
        <v>1500</v>
      </c>
      <c r="E10" s="90">
        <v>1200</v>
      </c>
      <c r="F10" s="90">
        <v>274</v>
      </c>
      <c r="G10" s="502">
        <v>0</v>
      </c>
      <c r="H10" s="276" t="s">
        <v>777</v>
      </c>
    </row>
    <row r="11" spans="1:8" s="57" customFormat="1" ht="24.75" customHeight="1" thickBot="1" x14ac:dyDescent="0.25">
      <c r="A11" s="314" t="s">
        <v>528</v>
      </c>
      <c r="B11" s="110">
        <v>3576</v>
      </c>
      <c r="C11" s="95">
        <f t="shared" si="0"/>
        <v>70140</v>
      </c>
      <c r="D11" s="95">
        <v>70140</v>
      </c>
      <c r="E11" s="95">
        <v>0</v>
      </c>
      <c r="F11" s="95">
        <v>0</v>
      </c>
      <c r="G11" s="506">
        <v>0</v>
      </c>
      <c r="H11" s="507" t="s">
        <v>778</v>
      </c>
    </row>
    <row r="12" spans="1:8" s="57" customFormat="1" ht="16.5" customHeight="1" thickBot="1" x14ac:dyDescent="0.25">
      <c r="A12" s="58" t="s">
        <v>253</v>
      </c>
      <c r="B12" s="82">
        <f>COUNT(B7:B11)</f>
        <v>5</v>
      </c>
      <c r="C12" s="59">
        <f>SUM(C7:C11)</f>
        <v>254484</v>
      </c>
      <c r="D12" s="59">
        <f>SUM(D7:D11)</f>
        <v>252890</v>
      </c>
      <c r="E12" s="59">
        <f>SUM(E7:E11)</f>
        <v>1320</v>
      </c>
      <c r="F12" s="59">
        <f>SUM(F7:F11)</f>
        <v>274</v>
      </c>
      <c r="G12" s="59">
        <f>SUM(G7:G11)</f>
        <v>0</v>
      </c>
      <c r="H12" s="60"/>
    </row>
    <row r="13" spans="1:8" s="57" customFormat="1" ht="18" customHeight="1" x14ac:dyDescent="0.2">
      <c r="A13" s="313" t="s">
        <v>635</v>
      </c>
      <c r="B13" s="315"/>
      <c r="C13" s="315"/>
      <c r="D13" s="315"/>
      <c r="E13" s="315"/>
      <c r="F13" s="315"/>
      <c r="G13" s="315"/>
      <c r="H13" s="316"/>
    </row>
    <row r="14" spans="1:8" s="57" customFormat="1" ht="24" customHeight="1" x14ac:dyDescent="0.2">
      <c r="A14" s="233" t="s">
        <v>779</v>
      </c>
      <c r="B14" s="98">
        <v>3630</v>
      </c>
      <c r="C14" s="90">
        <f>SUM(D14:G14)</f>
        <v>15838</v>
      </c>
      <c r="D14" s="90">
        <v>15838</v>
      </c>
      <c r="E14" s="90">
        <v>0</v>
      </c>
      <c r="F14" s="90">
        <v>0</v>
      </c>
      <c r="G14" s="502">
        <v>0</v>
      </c>
      <c r="H14" s="276" t="s">
        <v>780</v>
      </c>
    </row>
    <row r="15" spans="1:8" s="57" customFormat="1" ht="24.75" customHeight="1" thickBot="1" x14ac:dyDescent="0.25">
      <c r="A15" s="314" t="s">
        <v>781</v>
      </c>
      <c r="B15" s="110">
        <v>3671</v>
      </c>
      <c r="C15" s="95">
        <f>SUM(D15:G15)</f>
        <v>55500</v>
      </c>
      <c r="D15" s="95">
        <v>55500</v>
      </c>
      <c r="E15" s="95">
        <v>0</v>
      </c>
      <c r="F15" s="95">
        <v>0</v>
      </c>
      <c r="G15" s="506">
        <v>0</v>
      </c>
      <c r="H15" s="507" t="s">
        <v>780</v>
      </c>
    </row>
    <row r="16" spans="1:8" s="57" customFormat="1" ht="26.25" customHeight="1" thickBot="1" x14ac:dyDescent="0.25">
      <c r="A16" s="58" t="s">
        <v>782</v>
      </c>
      <c r="B16" s="82">
        <f>COUNT(B14:B15)</f>
        <v>2</v>
      </c>
      <c r="C16" s="59">
        <f>SUM(C14:C15)</f>
        <v>71338</v>
      </c>
      <c r="D16" s="59">
        <f t="shared" ref="D16:G16" si="1">SUM(D14:D15)</f>
        <v>71338</v>
      </c>
      <c r="E16" s="59">
        <f t="shared" si="1"/>
        <v>0</v>
      </c>
      <c r="F16" s="59">
        <f t="shared" si="1"/>
        <v>0</v>
      </c>
      <c r="G16" s="59">
        <f t="shared" si="1"/>
        <v>0</v>
      </c>
      <c r="H16" s="60"/>
    </row>
    <row r="17" spans="1:8" s="57" customFormat="1" ht="18" customHeight="1" x14ac:dyDescent="0.2">
      <c r="A17" s="313" t="s">
        <v>117</v>
      </c>
      <c r="B17" s="315"/>
      <c r="C17" s="315"/>
      <c r="D17" s="315"/>
      <c r="E17" s="315"/>
      <c r="F17" s="315"/>
      <c r="G17" s="315"/>
      <c r="H17" s="316"/>
    </row>
    <row r="18" spans="1:8" s="57" customFormat="1" ht="24.75" customHeight="1" thickBot="1" x14ac:dyDescent="0.25">
      <c r="A18" s="314" t="s">
        <v>407</v>
      </c>
      <c r="B18" s="110">
        <v>3519</v>
      </c>
      <c r="C18" s="95">
        <f>SUM(D18:G18)</f>
        <v>104000</v>
      </c>
      <c r="D18" s="95">
        <v>104000</v>
      </c>
      <c r="E18" s="95">
        <v>0</v>
      </c>
      <c r="F18" s="95">
        <v>0</v>
      </c>
      <c r="G18" s="506">
        <v>0</v>
      </c>
      <c r="H18" s="507" t="s">
        <v>783</v>
      </c>
    </row>
    <row r="19" spans="1:8" s="57" customFormat="1" ht="16.5" customHeight="1" thickBot="1" x14ac:dyDescent="0.25">
      <c r="A19" s="58" t="s">
        <v>118</v>
      </c>
      <c r="B19" s="82">
        <f>COUNT(B18)</f>
        <v>1</v>
      </c>
      <c r="C19" s="59">
        <f t="shared" ref="C19:G19" si="2">SUM(C18)</f>
        <v>104000</v>
      </c>
      <c r="D19" s="59">
        <f t="shared" si="2"/>
        <v>104000</v>
      </c>
      <c r="E19" s="59">
        <f t="shared" si="2"/>
        <v>0</v>
      </c>
      <c r="F19" s="59">
        <f t="shared" si="2"/>
        <v>0</v>
      </c>
      <c r="G19" s="59">
        <f t="shared" si="2"/>
        <v>0</v>
      </c>
      <c r="H19" s="60"/>
    </row>
    <row r="20" spans="1:8" s="57" customFormat="1" ht="18" customHeight="1" x14ac:dyDescent="0.2">
      <c r="A20" s="313" t="s">
        <v>93</v>
      </c>
      <c r="B20" s="315"/>
      <c r="C20" s="315"/>
      <c r="D20" s="315"/>
      <c r="E20" s="315"/>
      <c r="F20" s="315"/>
      <c r="G20" s="315"/>
      <c r="H20" s="316"/>
    </row>
    <row r="21" spans="1:8" s="57" customFormat="1" ht="24" customHeight="1" x14ac:dyDescent="0.2">
      <c r="A21" s="233" t="s">
        <v>324</v>
      </c>
      <c r="B21" s="98">
        <v>3505</v>
      </c>
      <c r="C21" s="90">
        <f>SUM(D21:G21)</f>
        <v>1673197</v>
      </c>
      <c r="D21" s="90">
        <v>926377</v>
      </c>
      <c r="E21" s="90">
        <v>526572</v>
      </c>
      <c r="F21" s="90">
        <v>220248</v>
      </c>
      <c r="G21" s="502">
        <v>0</v>
      </c>
      <c r="H21" s="276" t="s">
        <v>784</v>
      </c>
    </row>
    <row r="22" spans="1:8" s="57" customFormat="1" ht="24" customHeight="1" x14ac:dyDescent="0.2">
      <c r="A22" s="233" t="s">
        <v>530</v>
      </c>
      <c r="B22" s="98">
        <v>3577</v>
      </c>
      <c r="C22" s="90">
        <f t="shared" ref="C22:C27" si="3">SUM(D22:G22)</f>
        <v>15620</v>
      </c>
      <c r="D22" s="90">
        <v>15620</v>
      </c>
      <c r="E22" s="90">
        <v>0</v>
      </c>
      <c r="F22" s="90">
        <v>0</v>
      </c>
      <c r="G22" s="502">
        <v>0</v>
      </c>
      <c r="H22" s="276" t="s">
        <v>846</v>
      </c>
    </row>
    <row r="23" spans="1:8" s="57" customFormat="1" ht="24" customHeight="1" x14ac:dyDescent="0.2">
      <c r="A23" s="233" t="s">
        <v>325</v>
      </c>
      <c r="B23" s="98">
        <v>3523</v>
      </c>
      <c r="C23" s="90">
        <f t="shared" si="3"/>
        <v>87000</v>
      </c>
      <c r="D23" s="90">
        <v>87000</v>
      </c>
      <c r="E23" s="90">
        <v>0</v>
      </c>
      <c r="F23" s="90">
        <v>0</v>
      </c>
      <c r="G23" s="502">
        <v>0</v>
      </c>
      <c r="H23" s="276" t="s">
        <v>785</v>
      </c>
    </row>
    <row r="24" spans="1:8" s="57" customFormat="1" ht="24" customHeight="1" x14ac:dyDescent="0.2">
      <c r="A24" s="233" t="s">
        <v>326</v>
      </c>
      <c r="B24" s="98">
        <v>3555</v>
      </c>
      <c r="C24" s="90">
        <f t="shared" si="3"/>
        <v>47982</v>
      </c>
      <c r="D24" s="90">
        <v>47982</v>
      </c>
      <c r="E24" s="90">
        <v>0</v>
      </c>
      <c r="F24" s="90">
        <v>0</v>
      </c>
      <c r="G24" s="502">
        <v>0</v>
      </c>
      <c r="H24" s="276" t="s">
        <v>786</v>
      </c>
    </row>
    <row r="25" spans="1:8" s="57" customFormat="1" ht="24" customHeight="1" x14ac:dyDescent="0.2">
      <c r="A25" s="233" t="s">
        <v>531</v>
      </c>
      <c r="B25" s="98">
        <v>3554</v>
      </c>
      <c r="C25" s="90">
        <f t="shared" si="3"/>
        <v>4294</v>
      </c>
      <c r="D25" s="90">
        <v>4294</v>
      </c>
      <c r="E25" s="90">
        <v>0</v>
      </c>
      <c r="F25" s="90">
        <v>0</v>
      </c>
      <c r="G25" s="502">
        <v>0</v>
      </c>
      <c r="H25" s="276" t="s">
        <v>787</v>
      </c>
    </row>
    <row r="26" spans="1:8" s="57" customFormat="1" ht="24" customHeight="1" x14ac:dyDescent="0.2">
      <c r="A26" s="233" t="s">
        <v>788</v>
      </c>
      <c r="B26" s="98">
        <v>3563</v>
      </c>
      <c r="C26" s="90">
        <f t="shared" si="3"/>
        <v>39400</v>
      </c>
      <c r="D26" s="90">
        <v>39400</v>
      </c>
      <c r="E26" s="90">
        <v>0</v>
      </c>
      <c r="F26" s="90">
        <v>0</v>
      </c>
      <c r="G26" s="502">
        <v>0</v>
      </c>
      <c r="H26" s="276" t="s">
        <v>789</v>
      </c>
    </row>
    <row r="27" spans="1:8" s="57" customFormat="1" ht="24.75" customHeight="1" thickBot="1" x14ac:dyDescent="0.25">
      <c r="A27" s="314" t="s">
        <v>323</v>
      </c>
      <c r="B27" s="110">
        <v>3556</v>
      </c>
      <c r="C27" s="95">
        <f t="shared" si="3"/>
        <v>468000</v>
      </c>
      <c r="D27" s="95">
        <v>270000</v>
      </c>
      <c r="E27" s="95">
        <v>198000</v>
      </c>
      <c r="F27" s="95">
        <v>0</v>
      </c>
      <c r="G27" s="506">
        <v>0</v>
      </c>
      <c r="H27" s="507" t="s">
        <v>790</v>
      </c>
    </row>
    <row r="28" spans="1:8" s="57" customFormat="1" ht="16.5" customHeight="1" thickBot="1" x14ac:dyDescent="0.25">
      <c r="A28" s="58" t="s">
        <v>94</v>
      </c>
      <c r="B28" s="82">
        <f>COUNT(B21:B27)</f>
        <v>7</v>
      </c>
      <c r="C28" s="59">
        <f>SUM(C21:C27)</f>
        <v>2335493</v>
      </c>
      <c r="D28" s="59">
        <f>SUM(D21:D27)</f>
        <v>1390673</v>
      </c>
      <c r="E28" s="59">
        <f>SUM(E21:E27)</f>
        <v>724572</v>
      </c>
      <c r="F28" s="59">
        <f>SUM(F21:F27)</f>
        <v>220248</v>
      </c>
      <c r="G28" s="59">
        <f>SUM(G21:G27)</f>
        <v>0</v>
      </c>
      <c r="H28" s="60"/>
    </row>
    <row r="29" spans="1:8" s="57" customFormat="1" ht="18" customHeight="1" x14ac:dyDescent="0.2">
      <c r="A29" s="313" t="s">
        <v>95</v>
      </c>
      <c r="B29" s="315"/>
      <c r="C29" s="315"/>
      <c r="D29" s="315"/>
      <c r="E29" s="315"/>
      <c r="F29" s="315"/>
      <c r="G29" s="315"/>
      <c r="H29" s="316"/>
    </row>
    <row r="30" spans="1:8" s="57" customFormat="1" ht="24" customHeight="1" x14ac:dyDescent="0.2">
      <c r="A30" s="233" t="s">
        <v>533</v>
      </c>
      <c r="B30" s="98">
        <v>3585</v>
      </c>
      <c r="C30" s="90">
        <f>SUM(D30:G30)</f>
        <v>1000</v>
      </c>
      <c r="D30" s="90">
        <v>1000</v>
      </c>
      <c r="E30" s="90">
        <v>0</v>
      </c>
      <c r="F30" s="90">
        <v>0</v>
      </c>
      <c r="G30" s="502">
        <v>0</v>
      </c>
      <c r="H30" s="276" t="s">
        <v>534</v>
      </c>
    </row>
    <row r="31" spans="1:8" s="57" customFormat="1" ht="24" customHeight="1" x14ac:dyDescent="0.2">
      <c r="A31" s="233" t="s">
        <v>535</v>
      </c>
      <c r="B31" s="98">
        <v>3586</v>
      </c>
      <c r="C31" s="90">
        <f t="shared" ref="C31:C32" si="4">SUM(D31:G31)</f>
        <v>1900</v>
      </c>
      <c r="D31" s="90">
        <v>1300</v>
      </c>
      <c r="E31" s="90">
        <v>600</v>
      </c>
      <c r="F31" s="90">
        <v>0</v>
      </c>
      <c r="G31" s="502">
        <v>0</v>
      </c>
      <c r="H31" s="276" t="s">
        <v>534</v>
      </c>
    </row>
    <row r="32" spans="1:8" s="57" customFormat="1" ht="24.75" customHeight="1" thickBot="1" x14ac:dyDescent="0.25">
      <c r="A32" s="314" t="s">
        <v>791</v>
      </c>
      <c r="B32" s="110">
        <v>3665</v>
      </c>
      <c r="C32" s="95">
        <f t="shared" si="4"/>
        <v>4581</v>
      </c>
      <c r="D32" s="95">
        <v>1600</v>
      </c>
      <c r="E32" s="95">
        <v>1600</v>
      </c>
      <c r="F32" s="95">
        <v>1381</v>
      </c>
      <c r="G32" s="506">
        <v>0</v>
      </c>
      <c r="H32" s="507" t="s">
        <v>792</v>
      </c>
    </row>
    <row r="33" spans="1:8" s="57" customFormat="1" ht="16.5" customHeight="1" thickBot="1" x14ac:dyDescent="0.25">
      <c r="A33" s="58" t="s">
        <v>96</v>
      </c>
      <c r="B33" s="82">
        <f>COUNT(B30:B32)</f>
        <v>3</v>
      </c>
      <c r="C33" s="59">
        <f t="shared" ref="C33:G33" si="5">SUM(C30:C32)</f>
        <v>7481</v>
      </c>
      <c r="D33" s="59">
        <f t="shared" si="5"/>
        <v>3900</v>
      </c>
      <c r="E33" s="59">
        <f t="shared" si="5"/>
        <v>2200</v>
      </c>
      <c r="F33" s="59">
        <f t="shared" si="5"/>
        <v>1381</v>
      </c>
      <c r="G33" s="59">
        <f t="shared" si="5"/>
        <v>0</v>
      </c>
      <c r="H33" s="60"/>
    </row>
    <row r="34" spans="1:8" s="57" customFormat="1" ht="18" customHeight="1" x14ac:dyDescent="0.2">
      <c r="A34" s="313" t="s">
        <v>97</v>
      </c>
      <c r="B34" s="315"/>
      <c r="C34" s="315"/>
      <c r="D34" s="315"/>
      <c r="E34" s="315"/>
      <c r="F34" s="315"/>
      <c r="G34" s="315"/>
      <c r="H34" s="316"/>
    </row>
    <row r="35" spans="1:8" s="57" customFormat="1" ht="34.5" customHeight="1" x14ac:dyDescent="0.2">
      <c r="A35" s="233" t="s">
        <v>329</v>
      </c>
      <c r="B35" s="98">
        <v>3562</v>
      </c>
      <c r="C35" s="90">
        <f>SUM(D35:G35)</f>
        <v>1614</v>
      </c>
      <c r="D35" s="90">
        <v>1614</v>
      </c>
      <c r="E35" s="90">
        <v>0</v>
      </c>
      <c r="F35" s="90">
        <v>0</v>
      </c>
      <c r="G35" s="502">
        <v>0</v>
      </c>
      <c r="H35" s="276" t="s">
        <v>793</v>
      </c>
    </row>
    <row r="36" spans="1:8" s="57" customFormat="1" ht="24.75" customHeight="1" thickBot="1" x14ac:dyDescent="0.25">
      <c r="A36" s="314" t="s">
        <v>532</v>
      </c>
      <c r="B36" s="110">
        <v>3597</v>
      </c>
      <c r="C36" s="95">
        <f>SUM(D36:G36)</f>
        <v>2400</v>
      </c>
      <c r="D36" s="95">
        <v>685</v>
      </c>
      <c r="E36" s="95">
        <v>685</v>
      </c>
      <c r="F36" s="95">
        <v>1030</v>
      </c>
      <c r="G36" s="506">
        <v>0</v>
      </c>
      <c r="H36" s="507" t="s">
        <v>794</v>
      </c>
    </row>
    <row r="37" spans="1:8" s="57" customFormat="1" ht="16.5" customHeight="1" thickBot="1" x14ac:dyDescent="0.25">
      <c r="A37" s="58" t="s">
        <v>98</v>
      </c>
      <c r="B37" s="82">
        <f>COUNT(B35:B36)</f>
        <v>2</v>
      </c>
      <c r="C37" s="59">
        <f>SUM(C35:C36)</f>
        <v>4014</v>
      </c>
      <c r="D37" s="59">
        <f>SUM(D35:D36)</f>
        <v>2299</v>
      </c>
      <c r="E37" s="59">
        <f>SUM(E35:E36)</f>
        <v>685</v>
      </c>
      <c r="F37" s="59">
        <f>SUM(F35:F36)</f>
        <v>1030</v>
      </c>
      <c r="G37" s="59">
        <f>SUM(G35:G36)</f>
        <v>0</v>
      </c>
      <c r="H37" s="60"/>
    </row>
    <row r="38" spans="1:8" s="57" customFormat="1" ht="18" customHeight="1" x14ac:dyDescent="0.2">
      <c r="A38" s="313" t="s">
        <v>99</v>
      </c>
      <c r="B38" s="315"/>
      <c r="C38" s="315"/>
      <c r="D38" s="315"/>
      <c r="E38" s="315"/>
      <c r="F38" s="315"/>
      <c r="G38" s="315"/>
      <c r="H38" s="316"/>
    </row>
    <row r="39" spans="1:8" s="57" customFormat="1" ht="24" customHeight="1" x14ac:dyDescent="0.2">
      <c r="A39" s="233" t="s">
        <v>795</v>
      </c>
      <c r="B39" s="98">
        <v>3591</v>
      </c>
      <c r="C39" s="90">
        <f>SUM(D39:G39)</f>
        <v>27500</v>
      </c>
      <c r="D39" s="90">
        <v>27500</v>
      </c>
      <c r="E39" s="90">
        <v>0</v>
      </c>
      <c r="F39" s="90">
        <v>0</v>
      </c>
      <c r="G39" s="502">
        <v>0</v>
      </c>
      <c r="H39" s="276" t="s">
        <v>796</v>
      </c>
    </row>
    <row r="40" spans="1:8" s="57" customFormat="1" ht="24" customHeight="1" x14ac:dyDescent="0.2">
      <c r="A40" s="233" t="s">
        <v>797</v>
      </c>
      <c r="B40" s="98">
        <v>3672</v>
      </c>
      <c r="C40" s="90">
        <f t="shared" ref="C40:C54" si="6">SUM(D40:G40)</f>
        <v>16250</v>
      </c>
      <c r="D40" s="90">
        <v>16250</v>
      </c>
      <c r="E40" s="90">
        <v>0</v>
      </c>
      <c r="F40" s="90">
        <v>0</v>
      </c>
      <c r="G40" s="502">
        <v>0</v>
      </c>
      <c r="H40" s="276" t="s">
        <v>856</v>
      </c>
    </row>
    <row r="41" spans="1:8" s="57" customFormat="1" ht="34.5" customHeight="1" x14ac:dyDescent="0.2">
      <c r="A41" s="233" t="s">
        <v>536</v>
      </c>
      <c r="B41" s="98">
        <v>3539</v>
      </c>
      <c r="C41" s="90">
        <f t="shared" si="6"/>
        <v>639</v>
      </c>
      <c r="D41" s="90">
        <v>639</v>
      </c>
      <c r="E41" s="90">
        <v>0</v>
      </c>
      <c r="F41" s="90">
        <v>0</v>
      </c>
      <c r="G41" s="502">
        <v>0</v>
      </c>
      <c r="H41" s="276" t="s">
        <v>798</v>
      </c>
    </row>
    <row r="42" spans="1:8" s="57" customFormat="1" ht="34.5" customHeight="1" x14ac:dyDescent="0.2">
      <c r="A42" s="233" t="s">
        <v>332</v>
      </c>
      <c r="B42" s="98">
        <v>3506</v>
      </c>
      <c r="C42" s="90">
        <f t="shared" si="6"/>
        <v>50</v>
      </c>
      <c r="D42" s="90">
        <v>50</v>
      </c>
      <c r="E42" s="90">
        <v>0</v>
      </c>
      <c r="F42" s="90">
        <v>0</v>
      </c>
      <c r="G42" s="502">
        <v>0</v>
      </c>
      <c r="H42" s="276" t="s">
        <v>799</v>
      </c>
    </row>
    <row r="43" spans="1:8" s="57" customFormat="1" ht="34.5" customHeight="1" x14ac:dyDescent="0.2">
      <c r="A43" s="233" t="s">
        <v>333</v>
      </c>
      <c r="B43" s="98">
        <v>3540</v>
      </c>
      <c r="C43" s="90">
        <f t="shared" si="6"/>
        <v>92</v>
      </c>
      <c r="D43" s="90">
        <v>92</v>
      </c>
      <c r="E43" s="90">
        <v>0</v>
      </c>
      <c r="F43" s="90">
        <v>0</v>
      </c>
      <c r="G43" s="502">
        <v>0</v>
      </c>
      <c r="H43" s="276" t="s">
        <v>800</v>
      </c>
    </row>
    <row r="44" spans="1:8" s="57" customFormat="1" ht="34.5" customHeight="1" x14ac:dyDescent="0.2">
      <c r="A44" s="233" t="s">
        <v>331</v>
      </c>
      <c r="B44" s="98">
        <v>3507</v>
      </c>
      <c r="C44" s="90">
        <f t="shared" si="6"/>
        <v>687</v>
      </c>
      <c r="D44" s="90">
        <v>687</v>
      </c>
      <c r="E44" s="90">
        <v>0</v>
      </c>
      <c r="F44" s="90">
        <v>0</v>
      </c>
      <c r="G44" s="502">
        <v>0</v>
      </c>
      <c r="H44" s="276" t="s">
        <v>801</v>
      </c>
    </row>
    <row r="45" spans="1:8" s="57" customFormat="1" ht="34.5" customHeight="1" x14ac:dyDescent="0.2">
      <c r="A45" s="233" t="s">
        <v>802</v>
      </c>
      <c r="B45" s="98">
        <v>3631</v>
      </c>
      <c r="C45" s="90">
        <f t="shared" si="6"/>
        <v>2300</v>
      </c>
      <c r="D45" s="90">
        <v>700</v>
      </c>
      <c r="E45" s="90">
        <v>800</v>
      </c>
      <c r="F45" s="90">
        <v>800</v>
      </c>
      <c r="G45" s="502">
        <v>0</v>
      </c>
      <c r="H45" s="276" t="s">
        <v>803</v>
      </c>
    </row>
    <row r="46" spans="1:8" s="57" customFormat="1" ht="24" customHeight="1" x14ac:dyDescent="0.2">
      <c r="A46" s="233" t="s">
        <v>804</v>
      </c>
      <c r="B46" s="98">
        <v>3545</v>
      </c>
      <c r="C46" s="90">
        <f t="shared" si="6"/>
        <v>55700</v>
      </c>
      <c r="D46" s="90">
        <v>50500</v>
      </c>
      <c r="E46" s="90">
        <v>5200</v>
      </c>
      <c r="F46" s="90">
        <v>0</v>
      </c>
      <c r="G46" s="502">
        <v>0</v>
      </c>
      <c r="H46" s="276" t="s">
        <v>805</v>
      </c>
    </row>
    <row r="47" spans="1:8" s="57" customFormat="1" ht="34.5" customHeight="1" x14ac:dyDescent="0.2">
      <c r="A47" s="233" t="s">
        <v>806</v>
      </c>
      <c r="B47" s="98">
        <v>3662</v>
      </c>
      <c r="C47" s="90">
        <f t="shared" si="6"/>
        <v>3250</v>
      </c>
      <c r="D47" s="90">
        <v>1625</v>
      </c>
      <c r="E47" s="90">
        <v>1625</v>
      </c>
      <c r="F47" s="90">
        <v>0</v>
      </c>
      <c r="G47" s="502">
        <v>0</v>
      </c>
      <c r="H47" s="276" t="s">
        <v>807</v>
      </c>
    </row>
    <row r="48" spans="1:8" s="57" customFormat="1" ht="24" customHeight="1" x14ac:dyDescent="0.2">
      <c r="A48" s="233" t="s">
        <v>808</v>
      </c>
      <c r="B48" s="98">
        <v>3664</v>
      </c>
      <c r="C48" s="90">
        <f t="shared" si="6"/>
        <v>2933</v>
      </c>
      <c r="D48" s="90">
        <v>1000</v>
      </c>
      <c r="E48" s="90">
        <v>1000</v>
      </c>
      <c r="F48" s="90">
        <v>933</v>
      </c>
      <c r="G48" s="502">
        <v>0</v>
      </c>
      <c r="H48" s="276" t="s">
        <v>809</v>
      </c>
    </row>
    <row r="49" spans="1:8" s="57" customFormat="1" ht="24" customHeight="1" x14ac:dyDescent="0.2">
      <c r="A49" s="233" t="s">
        <v>810</v>
      </c>
      <c r="B49" s="98">
        <v>3581</v>
      </c>
      <c r="C49" s="90">
        <f t="shared" si="6"/>
        <v>96525</v>
      </c>
      <c r="D49" s="90">
        <v>56525</v>
      </c>
      <c r="E49" s="90">
        <v>40000</v>
      </c>
      <c r="F49" s="90">
        <v>0</v>
      </c>
      <c r="G49" s="502">
        <v>0</v>
      </c>
      <c r="H49" s="276" t="s">
        <v>811</v>
      </c>
    </row>
    <row r="50" spans="1:8" s="57" customFormat="1" ht="24" customHeight="1" x14ac:dyDescent="0.2">
      <c r="A50" s="233" t="s">
        <v>812</v>
      </c>
      <c r="B50" s="98">
        <v>3579</v>
      </c>
      <c r="C50" s="90">
        <f t="shared" si="6"/>
        <v>27500</v>
      </c>
      <c r="D50" s="90">
        <v>27500</v>
      </c>
      <c r="E50" s="90">
        <v>0</v>
      </c>
      <c r="F50" s="90">
        <v>0</v>
      </c>
      <c r="G50" s="502">
        <v>0</v>
      </c>
      <c r="H50" s="276" t="s">
        <v>811</v>
      </c>
    </row>
    <row r="51" spans="1:8" s="57" customFormat="1" ht="24" customHeight="1" x14ac:dyDescent="0.2">
      <c r="A51" s="233" t="s">
        <v>813</v>
      </c>
      <c r="B51" s="98">
        <v>3580</v>
      </c>
      <c r="C51" s="90">
        <f t="shared" si="6"/>
        <v>32000</v>
      </c>
      <c r="D51" s="90">
        <v>32000</v>
      </c>
      <c r="E51" s="90">
        <v>0</v>
      </c>
      <c r="F51" s="90">
        <v>0</v>
      </c>
      <c r="G51" s="502">
        <v>0</v>
      </c>
      <c r="H51" s="276" t="s">
        <v>811</v>
      </c>
    </row>
    <row r="52" spans="1:8" s="57" customFormat="1" ht="24" customHeight="1" x14ac:dyDescent="0.2">
      <c r="A52" s="233" t="s">
        <v>814</v>
      </c>
      <c r="B52" s="98">
        <v>3582</v>
      </c>
      <c r="C52" s="90">
        <f t="shared" si="6"/>
        <v>67000</v>
      </c>
      <c r="D52" s="90">
        <v>67000</v>
      </c>
      <c r="E52" s="90">
        <v>0</v>
      </c>
      <c r="F52" s="90">
        <v>0</v>
      </c>
      <c r="G52" s="502">
        <v>0</v>
      </c>
      <c r="H52" s="276" t="s">
        <v>811</v>
      </c>
    </row>
    <row r="53" spans="1:8" s="57" customFormat="1" ht="24" customHeight="1" x14ac:dyDescent="0.2">
      <c r="A53" s="233" t="s">
        <v>537</v>
      </c>
      <c r="B53" s="98">
        <v>3543</v>
      </c>
      <c r="C53" s="90">
        <f t="shared" si="6"/>
        <v>660</v>
      </c>
      <c r="D53" s="90">
        <v>660</v>
      </c>
      <c r="E53" s="90">
        <v>0</v>
      </c>
      <c r="F53" s="90">
        <v>0</v>
      </c>
      <c r="G53" s="502">
        <v>0</v>
      </c>
      <c r="H53" s="276" t="s">
        <v>815</v>
      </c>
    </row>
    <row r="54" spans="1:8" s="57" customFormat="1" ht="36.75" customHeight="1" thickBot="1" x14ac:dyDescent="0.25">
      <c r="A54" s="314" t="s">
        <v>816</v>
      </c>
      <c r="B54" s="110">
        <v>3663</v>
      </c>
      <c r="C54" s="95">
        <f t="shared" si="6"/>
        <v>1750</v>
      </c>
      <c r="D54" s="95">
        <v>400</v>
      </c>
      <c r="E54" s="95">
        <v>1350</v>
      </c>
      <c r="F54" s="95">
        <v>0</v>
      </c>
      <c r="G54" s="506">
        <v>0</v>
      </c>
      <c r="H54" s="507" t="s">
        <v>807</v>
      </c>
    </row>
    <row r="55" spans="1:8" s="57" customFormat="1" ht="16.5" customHeight="1" thickBot="1" x14ac:dyDescent="0.25">
      <c r="A55" s="58" t="s">
        <v>100</v>
      </c>
      <c r="B55" s="82">
        <f>COUNT(B39:B54)</f>
        <v>16</v>
      </c>
      <c r="C55" s="59">
        <f>SUM(C39:C54)</f>
        <v>334836</v>
      </c>
      <c r="D55" s="59">
        <f>SUM(D39:D54)</f>
        <v>283128</v>
      </c>
      <c r="E55" s="59">
        <f>SUM(E39:E54)</f>
        <v>49975</v>
      </c>
      <c r="F55" s="59">
        <f>SUM(F39:F54)</f>
        <v>1733</v>
      </c>
      <c r="G55" s="59">
        <f>SUM(G39:G54)</f>
        <v>0</v>
      </c>
      <c r="H55" s="60"/>
    </row>
    <row r="56" spans="1:8" s="57" customFormat="1" ht="18" customHeight="1" x14ac:dyDescent="0.2">
      <c r="A56" s="313" t="s">
        <v>101</v>
      </c>
      <c r="B56" s="315"/>
      <c r="C56" s="315"/>
      <c r="D56" s="315"/>
      <c r="E56" s="315"/>
      <c r="F56" s="315"/>
      <c r="G56" s="315"/>
      <c r="H56" s="316"/>
    </row>
    <row r="57" spans="1:8" s="57" customFormat="1" ht="24" customHeight="1" x14ac:dyDescent="0.2">
      <c r="A57" s="233" t="s">
        <v>817</v>
      </c>
      <c r="B57" s="98">
        <v>3618</v>
      </c>
      <c r="C57" s="90">
        <f>SUM(D57:G57)</f>
        <v>66035</v>
      </c>
      <c r="D57" s="90">
        <v>66035</v>
      </c>
      <c r="E57" s="90">
        <v>0</v>
      </c>
      <c r="F57" s="90">
        <v>0</v>
      </c>
      <c r="G57" s="502">
        <v>0</v>
      </c>
      <c r="H57" s="276" t="s">
        <v>850</v>
      </c>
    </row>
    <row r="58" spans="1:8" s="57" customFormat="1" ht="24" customHeight="1" x14ac:dyDescent="0.2">
      <c r="A58" s="233" t="s">
        <v>818</v>
      </c>
      <c r="B58" s="98">
        <v>3620</v>
      </c>
      <c r="C58" s="90">
        <f t="shared" ref="C58:C79" si="7">SUM(D58:G58)</f>
        <v>81737</v>
      </c>
      <c r="D58" s="90">
        <v>0</v>
      </c>
      <c r="E58" s="90">
        <v>53590</v>
      </c>
      <c r="F58" s="90">
        <v>28147</v>
      </c>
      <c r="G58" s="502">
        <v>0</v>
      </c>
      <c r="H58" s="276" t="s">
        <v>850</v>
      </c>
    </row>
    <row r="59" spans="1:8" s="57" customFormat="1" ht="24" customHeight="1" x14ac:dyDescent="0.2">
      <c r="A59" s="233" t="s">
        <v>819</v>
      </c>
      <c r="B59" s="98">
        <v>3626</v>
      </c>
      <c r="C59" s="90">
        <f t="shared" si="7"/>
        <v>49634</v>
      </c>
      <c r="D59" s="90">
        <v>0</v>
      </c>
      <c r="E59" s="90">
        <v>0</v>
      </c>
      <c r="F59" s="90">
        <v>49634</v>
      </c>
      <c r="G59" s="502">
        <v>0</v>
      </c>
      <c r="H59" s="276" t="s">
        <v>850</v>
      </c>
    </row>
    <row r="60" spans="1:8" s="57" customFormat="1" ht="24" customHeight="1" x14ac:dyDescent="0.2">
      <c r="A60" s="233" t="s">
        <v>820</v>
      </c>
      <c r="B60" s="98">
        <v>3615</v>
      </c>
      <c r="C60" s="90">
        <f t="shared" si="7"/>
        <v>71704</v>
      </c>
      <c r="D60" s="90">
        <v>35420</v>
      </c>
      <c r="E60" s="90">
        <v>36284</v>
      </c>
      <c r="F60" s="90">
        <v>0</v>
      </c>
      <c r="G60" s="502">
        <v>0</v>
      </c>
      <c r="H60" s="276" t="s">
        <v>850</v>
      </c>
    </row>
    <row r="61" spans="1:8" s="57" customFormat="1" ht="24" customHeight="1" x14ac:dyDescent="0.2">
      <c r="A61" s="233" t="s">
        <v>821</v>
      </c>
      <c r="B61" s="98">
        <v>3611</v>
      </c>
      <c r="C61" s="90">
        <f t="shared" si="7"/>
        <v>219724</v>
      </c>
      <c r="D61" s="90">
        <v>71320</v>
      </c>
      <c r="E61" s="90">
        <v>71320</v>
      </c>
      <c r="F61" s="90">
        <v>77084</v>
      </c>
      <c r="G61" s="502">
        <v>0</v>
      </c>
      <c r="H61" s="276" t="s">
        <v>850</v>
      </c>
    </row>
    <row r="62" spans="1:8" s="57" customFormat="1" ht="24" customHeight="1" x14ac:dyDescent="0.2">
      <c r="A62" s="233" t="s">
        <v>822</v>
      </c>
      <c r="B62" s="98">
        <v>3619</v>
      </c>
      <c r="C62" s="90">
        <f t="shared" si="7"/>
        <v>115541</v>
      </c>
      <c r="D62" s="90">
        <v>0</v>
      </c>
      <c r="E62" s="90">
        <v>59180</v>
      </c>
      <c r="F62" s="90">
        <v>56361</v>
      </c>
      <c r="G62" s="502">
        <v>0</v>
      </c>
      <c r="H62" s="276" t="s">
        <v>850</v>
      </c>
    </row>
    <row r="63" spans="1:8" s="57" customFormat="1" ht="24" customHeight="1" x14ac:dyDescent="0.2">
      <c r="A63" s="233" t="s">
        <v>823</v>
      </c>
      <c r="B63" s="98">
        <v>3607</v>
      </c>
      <c r="C63" s="90">
        <f t="shared" si="7"/>
        <v>67394</v>
      </c>
      <c r="D63" s="90">
        <v>33170</v>
      </c>
      <c r="E63" s="90">
        <v>34224</v>
      </c>
      <c r="F63" s="90">
        <v>0</v>
      </c>
      <c r="G63" s="502">
        <v>0</v>
      </c>
      <c r="H63" s="276" t="s">
        <v>850</v>
      </c>
    </row>
    <row r="64" spans="1:8" s="57" customFormat="1" ht="24" customHeight="1" x14ac:dyDescent="0.2">
      <c r="A64" s="233" t="s">
        <v>824</v>
      </c>
      <c r="B64" s="98">
        <v>3608</v>
      </c>
      <c r="C64" s="90">
        <f t="shared" si="7"/>
        <v>50355</v>
      </c>
      <c r="D64" s="90">
        <v>50355</v>
      </c>
      <c r="E64" s="90">
        <v>0</v>
      </c>
      <c r="F64" s="90">
        <v>0</v>
      </c>
      <c r="G64" s="502">
        <v>0</v>
      </c>
      <c r="H64" s="276" t="s">
        <v>850</v>
      </c>
    </row>
    <row r="65" spans="1:8" s="57" customFormat="1" ht="24" customHeight="1" x14ac:dyDescent="0.2">
      <c r="A65" s="233" t="s">
        <v>825</v>
      </c>
      <c r="B65" s="98">
        <v>3571</v>
      </c>
      <c r="C65" s="90">
        <f t="shared" si="7"/>
        <v>30000</v>
      </c>
      <c r="D65" s="90">
        <v>20000</v>
      </c>
      <c r="E65" s="90">
        <v>10000</v>
      </c>
      <c r="F65" s="90">
        <v>0</v>
      </c>
      <c r="G65" s="502">
        <v>0</v>
      </c>
      <c r="H65" s="276" t="s">
        <v>850</v>
      </c>
    </row>
    <row r="66" spans="1:8" s="57" customFormat="1" ht="24" customHeight="1" x14ac:dyDescent="0.2">
      <c r="A66" s="233" t="s">
        <v>826</v>
      </c>
      <c r="B66" s="98">
        <v>3637</v>
      </c>
      <c r="C66" s="90">
        <f t="shared" si="7"/>
        <v>29500</v>
      </c>
      <c r="D66" s="90">
        <v>29500</v>
      </c>
      <c r="E66" s="90">
        <v>0</v>
      </c>
      <c r="F66" s="90">
        <v>0</v>
      </c>
      <c r="G66" s="502">
        <v>0</v>
      </c>
      <c r="H66" s="276" t="s">
        <v>851</v>
      </c>
    </row>
    <row r="67" spans="1:8" s="57" customFormat="1" ht="34.5" customHeight="1" x14ac:dyDescent="0.2">
      <c r="A67" s="233" t="s">
        <v>538</v>
      </c>
      <c r="B67" s="98">
        <v>3596</v>
      </c>
      <c r="C67" s="90">
        <f t="shared" si="7"/>
        <v>17400</v>
      </c>
      <c r="D67" s="90">
        <v>5500</v>
      </c>
      <c r="E67" s="90">
        <v>5500</v>
      </c>
      <c r="F67" s="90">
        <v>6400</v>
      </c>
      <c r="G67" s="502">
        <v>0</v>
      </c>
      <c r="H67" s="276" t="s">
        <v>852</v>
      </c>
    </row>
    <row r="68" spans="1:8" s="57" customFormat="1" ht="31.5" x14ac:dyDescent="0.2">
      <c r="A68" s="233" t="s">
        <v>411</v>
      </c>
      <c r="B68" s="98">
        <v>3515</v>
      </c>
      <c r="C68" s="90">
        <f t="shared" si="7"/>
        <v>20801</v>
      </c>
      <c r="D68" s="90">
        <v>20801</v>
      </c>
      <c r="E68" s="90">
        <v>0</v>
      </c>
      <c r="F68" s="90">
        <v>0</v>
      </c>
      <c r="G68" s="502">
        <v>0</v>
      </c>
      <c r="H68" s="276" t="s">
        <v>853</v>
      </c>
    </row>
    <row r="69" spans="1:8" s="57" customFormat="1" ht="31.5" x14ac:dyDescent="0.2">
      <c r="A69" s="233" t="s">
        <v>412</v>
      </c>
      <c r="B69" s="98">
        <v>3516</v>
      </c>
      <c r="C69" s="90">
        <f t="shared" si="7"/>
        <v>86210</v>
      </c>
      <c r="D69" s="90">
        <v>86210</v>
      </c>
      <c r="E69" s="90">
        <v>0</v>
      </c>
      <c r="F69" s="90">
        <v>0</v>
      </c>
      <c r="G69" s="502">
        <v>0</v>
      </c>
      <c r="H69" s="276" t="s">
        <v>853</v>
      </c>
    </row>
    <row r="70" spans="1:8" s="57" customFormat="1" ht="24" customHeight="1" x14ac:dyDescent="0.2">
      <c r="A70" s="233" t="s">
        <v>827</v>
      </c>
      <c r="B70" s="98">
        <v>3517</v>
      </c>
      <c r="C70" s="90">
        <f t="shared" si="7"/>
        <v>56100</v>
      </c>
      <c r="D70" s="90">
        <v>56100</v>
      </c>
      <c r="E70" s="90">
        <v>0</v>
      </c>
      <c r="F70" s="90">
        <v>0</v>
      </c>
      <c r="G70" s="502">
        <v>0</v>
      </c>
      <c r="H70" s="276" t="s">
        <v>854</v>
      </c>
    </row>
    <row r="71" spans="1:8" s="57" customFormat="1" ht="24" customHeight="1" x14ac:dyDescent="0.2">
      <c r="A71" s="233" t="s">
        <v>828</v>
      </c>
      <c r="B71" s="98">
        <v>3435</v>
      </c>
      <c r="C71" s="90">
        <f t="shared" si="7"/>
        <v>14774</v>
      </c>
      <c r="D71" s="90">
        <v>14774</v>
      </c>
      <c r="E71" s="90">
        <v>0</v>
      </c>
      <c r="F71" s="90">
        <v>0</v>
      </c>
      <c r="G71" s="502">
        <v>0</v>
      </c>
      <c r="H71" s="276" t="s">
        <v>855</v>
      </c>
    </row>
    <row r="72" spans="1:8" s="57" customFormat="1" ht="24" customHeight="1" x14ac:dyDescent="0.2">
      <c r="A72" s="233" t="s">
        <v>829</v>
      </c>
      <c r="B72" s="98">
        <v>3434</v>
      </c>
      <c r="C72" s="90">
        <f t="shared" si="7"/>
        <v>16369</v>
      </c>
      <c r="D72" s="90">
        <v>16369</v>
      </c>
      <c r="E72" s="90">
        <v>0</v>
      </c>
      <c r="F72" s="90">
        <v>0</v>
      </c>
      <c r="G72" s="502">
        <v>0</v>
      </c>
      <c r="H72" s="276" t="s">
        <v>855</v>
      </c>
    </row>
    <row r="73" spans="1:8" s="57" customFormat="1" ht="24" customHeight="1" x14ac:dyDescent="0.2">
      <c r="A73" s="233" t="s">
        <v>334</v>
      </c>
      <c r="B73" s="98">
        <v>3502</v>
      </c>
      <c r="C73" s="90">
        <f t="shared" si="7"/>
        <v>717227</v>
      </c>
      <c r="D73" s="90">
        <v>324134</v>
      </c>
      <c r="E73" s="90">
        <v>393093</v>
      </c>
      <c r="F73" s="90">
        <v>0</v>
      </c>
      <c r="G73" s="502">
        <v>0</v>
      </c>
      <c r="H73" s="276" t="s">
        <v>830</v>
      </c>
    </row>
    <row r="74" spans="1:8" s="57" customFormat="1" ht="24" customHeight="1" x14ac:dyDescent="0.2">
      <c r="A74" s="233" t="s">
        <v>831</v>
      </c>
      <c r="B74" s="98">
        <v>3616</v>
      </c>
      <c r="C74" s="90">
        <f t="shared" si="7"/>
        <v>21171</v>
      </c>
      <c r="D74" s="90">
        <v>0</v>
      </c>
      <c r="E74" s="90">
        <v>0</v>
      </c>
      <c r="F74" s="90">
        <v>0</v>
      </c>
      <c r="G74" s="502">
        <v>21171</v>
      </c>
      <c r="H74" s="276" t="s">
        <v>832</v>
      </c>
    </row>
    <row r="75" spans="1:8" s="57" customFormat="1" ht="24" customHeight="1" x14ac:dyDescent="0.2">
      <c r="A75" s="233" t="s">
        <v>833</v>
      </c>
      <c r="B75" s="98">
        <v>3621</v>
      </c>
      <c r="C75" s="90">
        <f t="shared" si="7"/>
        <v>20000</v>
      </c>
      <c r="D75" s="90">
        <v>0</v>
      </c>
      <c r="E75" s="90">
        <v>0</v>
      </c>
      <c r="F75" s="90">
        <v>0</v>
      </c>
      <c r="G75" s="502">
        <v>20000</v>
      </c>
      <c r="H75" s="276" t="s">
        <v>832</v>
      </c>
    </row>
    <row r="76" spans="1:8" s="57" customFormat="1" ht="24" customHeight="1" x14ac:dyDescent="0.2">
      <c r="A76" s="233" t="s">
        <v>834</v>
      </c>
      <c r="B76" s="98">
        <v>3622</v>
      </c>
      <c r="C76" s="90">
        <f t="shared" si="7"/>
        <v>27079</v>
      </c>
      <c r="D76" s="90">
        <v>0</v>
      </c>
      <c r="E76" s="90">
        <v>0</v>
      </c>
      <c r="F76" s="90">
        <v>0</v>
      </c>
      <c r="G76" s="502">
        <v>27079</v>
      </c>
      <c r="H76" s="276" t="s">
        <v>832</v>
      </c>
    </row>
    <row r="77" spans="1:8" s="57" customFormat="1" ht="24" customHeight="1" x14ac:dyDescent="0.2">
      <c r="A77" s="233" t="s">
        <v>835</v>
      </c>
      <c r="B77" s="98">
        <v>3623</v>
      </c>
      <c r="C77" s="90">
        <f t="shared" si="7"/>
        <v>14500</v>
      </c>
      <c r="D77" s="90">
        <v>0</v>
      </c>
      <c r="E77" s="90">
        <v>0</v>
      </c>
      <c r="F77" s="90">
        <v>0</v>
      </c>
      <c r="G77" s="502">
        <v>14500</v>
      </c>
      <c r="H77" s="276" t="s">
        <v>832</v>
      </c>
    </row>
    <row r="78" spans="1:8" s="57" customFormat="1" ht="24" customHeight="1" x14ac:dyDescent="0.2">
      <c r="A78" s="233" t="s">
        <v>836</v>
      </c>
      <c r="B78" s="98">
        <v>3624</v>
      </c>
      <c r="C78" s="90">
        <f t="shared" si="7"/>
        <v>12000</v>
      </c>
      <c r="D78" s="90">
        <v>0</v>
      </c>
      <c r="E78" s="90">
        <v>0</v>
      </c>
      <c r="F78" s="90">
        <v>0</v>
      </c>
      <c r="G78" s="502">
        <v>12000</v>
      </c>
      <c r="H78" s="276" t="s">
        <v>832</v>
      </c>
    </row>
    <row r="79" spans="1:8" s="57" customFormat="1" ht="24.75" customHeight="1" thickBot="1" x14ac:dyDescent="0.25">
      <c r="A79" s="314" t="s">
        <v>837</v>
      </c>
      <c r="B79" s="110">
        <v>3625</v>
      </c>
      <c r="C79" s="95">
        <f t="shared" si="7"/>
        <v>42000</v>
      </c>
      <c r="D79" s="95">
        <v>0</v>
      </c>
      <c r="E79" s="95">
        <v>0</v>
      </c>
      <c r="F79" s="95">
        <v>42000</v>
      </c>
      <c r="G79" s="506">
        <v>0</v>
      </c>
      <c r="H79" s="507" t="s">
        <v>832</v>
      </c>
    </row>
    <row r="80" spans="1:8" s="57" customFormat="1" ht="16.5" customHeight="1" thickBot="1" x14ac:dyDescent="0.25">
      <c r="A80" s="58" t="s">
        <v>102</v>
      </c>
      <c r="B80" s="82">
        <f>COUNT(B57:B79)</f>
        <v>23</v>
      </c>
      <c r="C80" s="59">
        <f>SUM(C57:C79)</f>
        <v>1847255</v>
      </c>
      <c r="D80" s="59">
        <f>SUM(D57:D79)</f>
        <v>829688</v>
      </c>
      <c r="E80" s="59">
        <f>SUM(E57:E79)</f>
        <v>663191</v>
      </c>
      <c r="F80" s="59">
        <f>SUM(F57:F79)</f>
        <v>259626</v>
      </c>
      <c r="G80" s="59">
        <f>SUM(G57:G79)</f>
        <v>94750</v>
      </c>
      <c r="H80" s="60"/>
    </row>
    <row r="81" spans="1:8" s="57" customFormat="1" ht="18" customHeight="1" x14ac:dyDescent="0.2">
      <c r="A81" s="313" t="s">
        <v>103</v>
      </c>
      <c r="B81" s="315"/>
      <c r="C81" s="315"/>
      <c r="D81" s="315"/>
      <c r="E81" s="315"/>
      <c r="F81" s="315"/>
      <c r="G81" s="315"/>
      <c r="H81" s="316"/>
    </row>
    <row r="82" spans="1:8" s="57" customFormat="1" ht="24" customHeight="1" x14ac:dyDescent="0.2">
      <c r="A82" s="233" t="s">
        <v>335</v>
      </c>
      <c r="B82" s="98">
        <v>3292</v>
      </c>
      <c r="C82" s="90">
        <f>SUM(D82:G82)</f>
        <v>117095</v>
      </c>
      <c r="D82" s="90">
        <v>105730</v>
      </c>
      <c r="E82" s="90">
        <v>11365</v>
      </c>
      <c r="F82" s="90">
        <v>0</v>
      </c>
      <c r="G82" s="502">
        <v>0</v>
      </c>
      <c r="H82" s="276" t="s">
        <v>838</v>
      </c>
    </row>
    <row r="83" spans="1:8" s="57" customFormat="1" ht="35.25" customHeight="1" thickBot="1" x14ac:dyDescent="0.25">
      <c r="A83" s="314" t="s">
        <v>972</v>
      </c>
      <c r="B83" s="110">
        <v>7062</v>
      </c>
      <c r="C83" s="95">
        <f t="shared" ref="C83" si="8">SUM(D83:G83)</f>
        <v>2652</v>
      </c>
      <c r="D83" s="95">
        <v>2652</v>
      </c>
      <c r="E83" s="95">
        <v>0</v>
      </c>
      <c r="F83" s="95">
        <v>0</v>
      </c>
      <c r="G83" s="506">
        <v>0</v>
      </c>
      <c r="H83" s="507" t="s">
        <v>839</v>
      </c>
    </row>
    <row r="84" spans="1:8" s="57" customFormat="1" ht="16.5" customHeight="1" thickBot="1" x14ac:dyDescent="0.25">
      <c r="A84" s="58" t="s">
        <v>104</v>
      </c>
      <c r="B84" s="82">
        <f>COUNT(B82:B83)</f>
        <v>2</v>
      </c>
      <c r="C84" s="59">
        <f>SUM(C82:C83)</f>
        <v>119747</v>
      </c>
      <c r="D84" s="59">
        <f>SUM(D82:D83)</f>
        <v>108382</v>
      </c>
      <c r="E84" s="59">
        <f>SUM(E82:E83)</f>
        <v>11365</v>
      </c>
      <c r="F84" s="59">
        <f>SUM(F82:F83)</f>
        <v>0</v>
      </c>
      <c r="G84" s="59">
        <f>SUM(G82:G83)</f>
        <v>0</v>
      </c>
      <c r="H84" s="60"/>
    </row>
    <row r="85" spans="1:8" s="57" customFormat="1" ht="18" customHeight="1" x14ac:dyDescent="0.2">
      <c r="A85" s="313" t="s">
        <v>121</v>
      </c>
      <c r="B85" s="315"/>
      <c r="C85" s="315"/>
      <c r="D85" s="315"/>
      <c r="E85" s="315"/>
      <c r="F85" s="315"/>
      <c r="G85" s="315"/>
      <c r="H85" s="316"/>
    </row>
    <row r="86" spans="1:8" s="57" customFormat="1" ht="24" customHeight="1" x14ac:dyDescent="0.2">
      <c r="A86" s="233" t="s">
        <v>840</v>
      </c>
      <c r="B86" s="98">
        <v>3598</v>
      </c>
      <c r="C86" s="90">
        <f>SUM(D86:G86)</f>
        <v>168</v>
      </c>
      <c r="D86" s="90">
        <v>85</v>
      </c>
      <c r="E86" s="90">
        <v>83</v>
      </c>
      <c r="F86" s="90">
        <v>0</v>
      </c>
      <c r="G86" s="502">
        <v>0</v>
      </c>
      <c r="H86" s="276" t="s">
        <v>841</v>
      </c>
    </row>
    <row r="87" spans="1:8" s="57" customFormat="1" ht="34.5" customHeight="1" x14ac:dyDescent="0.2">
      <c r="A87" s="233" t="s">
        <v>973</v>
      </c>
      <c r="B87" s="98">
        <v>3452</v>
      </c>
      <c r="C87" s="90">
        <f t="shared" ref="C87:C90" si="9">SUM(D87:G87)</f>
        <v>77293</v>
      </c>
      <c r="D87" s="90">
        <v>18000</v>
      </c>
      <c r="E87" s="90">
        <v>18000</v>
      </c>
      <c r="F87" s="90">
        <v>16000</v>
      </c>
      <c r="G87" s="502">
        <f>16000+9293</f>
        <v>25293</v>
      </c>
      <c r="H87" s="276" t="s">
        <v>842</v>
      </c>
    </row>
    <row r="88" spans="1:8" s="57" customFormat="1" ht="34.5" customHeight="1" x14ac:dyDescent="0.2">
      <c r="A88" s="233" t="s">
        <v>414</v>
      </c>
      <c r="B88" s="98">
        <v>3599</v>
      </c>
      <c r="C88" s="90">
        <f t="shared" si="9"/>
        <v>6699</v>
      </c>
      <c r="D88" s="90">
        <v>1131</v>
      </c>
      <c r="E88" s="90">
        <v>1131</v>
      </c>
      <c r="F88" s="90">
        <v>1131</v>
      </c>
      <c r="G88" s="502">
        <f>1131+2175</f>
        <v>3306</v>
      </c>
      <c r="H88" s="276" t="s">
        <v>843</v>
      </c>
    </row>
    <row r="89" spans="1:8" s="57" customFormat="1" ht="115.5" x14ac:dyDescent="0.2">
      <c r="A89" s="233" t="s">
        <v>844</v>
      </c>
      <c r="B89" s="98">
        <v>3570</v>
      </c>
      <c r="C89" s="90">
        <f t="shared" si="9"/>
        <v>3000</v>
      </c>
      <c r="D89" s="90">
        <v>3000</v>
      </c>
      <c r="E89" s="90">
        <v>0</v>
      </c>
      <c r="F89" s="90">
        <v>0</v>
      </c>
      <c r="G89" s="502">
        <v>0</v>
      </c>
      <c r="H89" s="276" t="s">
        <v>543</v>
      </c>
    </row>
    <row r="90" spans="1:8" s="57" customFormat="1" ht="24.75" customHeight="1" thickBot="1" x14ac:dyDescent="0.25">
      <c r="A90" s="314" t="s">
        <v>304</v>
      </c>
      <c r="B90" s="110">
        <v>7043</v>
      </c>
      <c r="C90" s="95">
        <f t="shared" si="9"/>
        <v>7039.8</v>
      </c>
      <c r="D90" s="95">
        <v>3519.9</v>
      </c>
      <c r="E90" s="95">
        <v>3519.9</v>
      </c>
      <c r="F90" s="95">
        <v>0</v>
      </c>
      <c r="G90" s="506">
        <v>0</v>
      </c>
      <c r="H90" s="507" t="s">
        <v>845</v>
      </c>
    </row>
    <row r="91" spans="1:8" s="57" customFormat="1" ht="16.5" customHeight="1" thickBot="1" x14ac:dyDescent="0.25">
      <c r="A91" s="58" t="s">
        <v>105</v>
      </c>
      <c r="B91" s="82">
        <f>COUNT(B86:B90)</f>
        <v>5</v>
      </c>
      <c r="C91" s="59">
        <f>SUM(C86:C90)</f>
        <v>94199.8</v>
      </c>
      <c r="D91" s="59">
        <f>SUM(D86:D90)</f>
        <v>25735.9</v>
      </c>
      <c r="E91" s="59">
        <f>SUM(E86:E90)</f>
        <v>22733.9</v>
      </c>
      <c r="F91" s="59">
        <f>SUM(F86:F90)</f>
        <v>17131</v>
      </c>
      <c r="G91" s="59">
        <f>SUM(G86:G90)</f>
        <v>28599</v>
      </c>
      <c r="H91" s="60"/>
    </row>
    <row r="92" spans="1:8" s="57" customFormat="1" ht="9" customHeight="1" thickBot="1" x14ac:dyDescent="0.25">
      <c r="A92" s="121"/>
      <c r="B92" s="76"/>
      <c r="C92" s="508"/>
      <c r="D92" s="76"/>
      <c r="E92" s="76"/>
      <c r="F92" s="76"/>
      <c r="G92" s="76"/>
      <c r="H92" s="122"/>
    </row>
    <row r="93" spans="1:8" s="57" customFormat="1" ht="18" customHeight="1" thickBot="1" x14ac:dyDescent="0.25">
      <c r="A93" s="64" t="s">
        <v>106</v>
      </c>
      <c r="B93" s="86">
        <f>B91+B84+B80+B55+B37+B33+B28+B19+B16</f>
        <v>61</v>
      </c>
      <c r="C93" s="59">
        <f>C91+C84+C80+C55+C37+C33+C28+C19+C16+C12</f>
        <v>5172847.8</v>
      </c>
      <c r="D93" s="59">
        <f>D91+D84+D80+D55+D37+D33+D28+D19+D16+D12</f>
        <v>3072033.9</v>
      </c>
      <c r="E93" s="59">
        <f>E91+E84+E80+E55+E37+E33+E28+E19+E16+E12</f>
        <v>1476041.9</v>
      </c>
      <c r="F93" s="59">
        <f>F91+F84+F80+F55+F37+F33+F28+F19+F16+F12</f>
        <v>501423</v>
      </c>
      <c r="G93" s="59">
        <f>G91+G84+G80+G55+G37+G33+G28+G19+G16+G12</f>
        <v>123349</v>
      </c>
      <c r="H93" s="65"/>
    </row>
    <row r="94" spans="1:8" ht="15" customHeight="1" x14ac:dyDescent="0.25">
      <c r="C94" s="503"/>
    </row>
    <row r="95" spans="1:8" x14ac:dyDescent="0.25">
      <c r="B95" s="504"/>
      <c r="C95" s="505"/>
      <c r="D95" s="505"/>
      <c r="E95" s="505"/>
    </row>
    <row r="96" spans="1:8" x14ac:dyDescent="0.25">
      <c r="B96" s="504"/>
      <c r="C96" s="505"/>
      <c r="D96" s="505"/>
      <c r="E96" s="505"/>
    </row>
    <row r="97" spans="2:5" x14ac:dyDescent="0.25">
      <c r="B97" s="504"/>
      <c r="C97" s="505"/>
      <c r="D97" s="505"/>
      <c r="E97" s="505"/>
    </row>
    <row r="98" spans="2:5" x14ac:dyDescent="0.25">
      <c r="B98" s="504"/>
      <c r="C98" s="505"/>
      <c r="D98" s="505"/>
      <c r="E98" s="505"/>
    </row>
    <row r="99" spans="2:5" x14ac:dyDescent="0.25">
      <c r="B99" s="504"/>
      <c r="C99" s="505"/>
      <c r="D99" s="505"/>
      <c r="E99" s="505"/>
    </row>
    <row r="100" spans="2:5" x14ac:dyDescent="0.25">
      <c r="B100" s="504"/>
      <c r="C100" s="505"/>
      <c r="D100" s="505"/>
      <c r="E100" s="505"/>
    </row>
    <row r="101" spans="2:5" x14ac:dyDescent="0.25">
      <c r="B101" s="504"/>
      <c r="C101" s="505"/>
      <c r="D101" s="505"/>
      <c r="E101" s="505"/>
    </row>
    <row r="102" spans="2:5" x14ac:dyDescent="0.25">
      <c r="B102" s="504"/>
      <c r="C102" s="505"/>
      <c r="D102" s="505"/>
      <c r="E102" s="505"/>
    </row>
    <row r="103" spans="2:5" x14ac:dyDescent="0.25">
      <c r="B103" s="504"/>
      <c r="C103" s="505"/>
      <c r="D103" s="505"/>
      <c r="E103" s="505"/>
    </row>
    <row r="104" spans="2:5" x14ac:dyDescent="0.25">
      <c r="B104" s="504"/>
      <c r="C104" s="505"/>
      <c r="D104" s="505"/>
      <c r="E104" s="505"/>
    </row>
    <row r="105" spans="2:5" x14ac:dyDescent="0.25">
      <c r="B105" s="504"/>
      <c r="C105" s="505"/>
      <c r="D105" s="505"/>
      <c r="E105" s="505"/>
    </row>
    <row r="106" spans="2:5" x14ac:dyDescent="0.25">
      <c r="B106" s="504"/>
      <c r="C106" s="505"/>
      <c r="D106" s="505"/>
      <c r="E106" s="505"/>
    </row>
    <row r="107" spans="2:5" x14ac:dyDescent="0.25">
      <c r="B107" s="504"/>
      <c r="C107" s="505"/>
      <c r="D107" s="505"/>
      <c r="E107" s="505"/>
    </row>
    <row r="108" spans="2:5" x14ac:dyDescent="0.25">
      <c r="B108" s="504"/>
      <c r="C108" s="505"/>
      <c r="D108" s="505"/>
      <c r="E108" s="505"/>
    </row>
    <row r="109" spans="2:5" x14ac:dyDescent="0.25">
      <c r="B109" s="504"/>
      <c r="C109" s="505"/>
      <c r="D109" s="505"/>
      <c r="E109" s="505"/>
    </row>
    <row r="110" spans="2:5" x14ac:dyDescent="0.25">
      <c r="B110" s="504"/>
      <c r="C110" s="505"/>
      <c r="D110" s="505"/>
      <c r="E110" s="505"/>
    </row>
    <row r="111" spans="2:5" x14ac:dyDescent="0.25">
      <c r="B111" s="504"/>
      <c r="C111" s="505"/>
      <c r="D111" s="505"/>
      <c r="E111" s="505"/>
    </row>
    <row r="112" spans="2:5" x14ac:dyDescent="0.25">
      <c r="B112" s="504"/>
      <c r="C112" s="505"/>
      <c r="D112" s="505"/>
      <c r="E112" s="505"/>
    </row>
    <row r="113" spans="2:5" x14ac:dyDescent="0.25">
      <c r="B113" s="504"/>
      <c r="C113" s="505"/>
      <c r="D113" s="505"/>
      <c r="E113" s="505"/>
    </row>
    <row r="114" spans="2:5" x14ac:dyDescent="0.25">
      <c r="B114" s="504"/>
      <c r="C114" s="505"/>
      <c r="D114" s="505"/>
      <c r="E114" s="505"/>
    </row>
    <row r="115" spans="2:5" x14ac:dyDescent="0.25">
      <c r="B115" s="504"/>
      <c r="C115" s="505"/>
      <c r="D115" s="505"/>
      <c r="E115" s="505"/>
    </row>
    <row r="116" spans="2:5" x14ac:dyDescent="0.25">
      <c r="B116" s="504"/>
      <c r="C116" s="505"/>
      <c r="D116" s="505"/>
      <c r="E116" s="505"/>
    </row>
    <row r="117" spans="2:5" x14ac:dyDescent="0.25">
      <c r="B117" s="504"/>
      <c r="C117" s="505"/>
      <c r="D117" s="505"/>
      <c r="E117" s="505"/>
    </row>
    <row r="118" spans="2:5" x14ac:dyDescent="0.25">
      <c r="B118" s="504"/>
      <c r="C118" s="505"/>
      <c r="D118" s="505"/>
      <c r="E118" s="505"/>
    </row>
    <row r="119" spans="2:5" x14ac:dyDescent="0.25">
      <c r="B119" s="504"/>
      <c r="C119" s="505"/>
      <c r="D119" s="505"/>
      <c r="E119" s="505"/>
    </row>
    <row r="120" spans="2:5" x14ac:dyDescent="0.25">
      <c r="B120" s="504"/>
      <c r="C120" s="505"/>
      <c r="D120" s="505"/>
      <c r="E120" s="505"/>
    </row>
    <row r="121" spans="2:5" x14ac:dyDescent="0.25">
      <c r="B121" s="504"/>
      <c r="C121" s="505"/>
      <c r="D121" s="505"/>
      <c r="E121" s="505"/>
    </row>
    <row r="122" spans="2:5" x14ac:dyDescent="0.25">
      <c r="B122" s="504"/>
      <c r="C122" s="505"/>
      <c r="D122" s="505"/>
      <c r="E122" s="505"/>
    </row>
    <row r="123" spans="2:5" x14ac:dyDescent="0.25">
      <c r="B123" s="504"/>
      <c r="C123" s="505"/>
      <c r="D123" s="505"/>
      <c r="E123" s="505"/>
    </row>
    <row r="124" spans="2:5" x14ac:dyDescent="0.25">
      <c r="B124" s="504"/>
      <c r="C124" s="505"/>
      <c r="D124" s="505"/>
      <c r="E124" s="505"/>
    </row>
    <row r="125" spans="2:5" x14ac:dyDescent="0.25">
      <c r="B125" s="504"/>
      <c r="C125" s="505"/>
      <c r="D125" s="505"/>
      <c r="E125" s="505"/>
    </row>
    <row r="126" spans="2:5" x14ac:dyDescent="0.25">
      <c r="B126" s="504"/>
      <c r="C126" s="505"/>
      <c r="D126" s="505"/>
      <c r="E126" s="505"/>
    </row>
    <row r="127" spans="2:5" x14ac:dyDescent="0.25">
      <c r="B127" s="504"/>
      <c r="C127" s="505"/>
      <c r="D127" s="505"/>
      <c r="E127" s="505"/>
    </row>
    <row r="128" spans="2:5" x14ac:dyDescent="0.25">
      <c r="B128" s="504"/>
      <c r="C128" s="505"/>
      <c r="D128" s="505"/>
      <c r="E128" s="505"/>
    </row>
    <row r="129" spans="2:5" x14ac:dyDescent="0.25">
      <c r="B129" s="504"/>
      <c r="C129" s="505"/>
      <c r="D129" s="505"/>
      <c r="E129" s="505"/>
    </row>
    <row r="130" spans="2:5" x14ac:dyDescent="0.25">
      <c r="B130" s="504"/>
      <c r="C130" s="505"/>
      <c r="D130" s="505"/>
      <c r="E130" s="505"/>
    </row>
    <row r="131" spans="2:5" x14ac:dyDescent="0.25">
      <c r="B131" s="504"/>
      <c r="C131" s="505"/>
      <c r="D131" s="505"/>
      <c r="E131" s="505"/>
    </row>
    <row r="132" spans="2:5" x14ac:dyDescent="0.25">
      <c r="B132" s="504"/>
      <c r="C132" s="505"/>
      <c r="D132" s="505"/>
      <c r="E132" s="505"/>
    </row>
    <row r="133" spans="2:5" x14ac:dyDescent="0.25">
      <c r="B133" s="504"/>
      <c r="C133" s="505"/>
      <c r="D133" s="505"/>
      <c r="E133" s="505"/>
    </row>
    <row r="134" spans="2:5" x14ac:dyDescent="0.25">
      <c r="B134" s="504"/>
      <c r="C134" s="505"/>
      <c r="D134" s="505"/>
      <c r="E134" s="505"/>
    </row>
    <row r="135" spans="2:5" x14ac:dyDescent="0.25">
      <c r="B135" s="504"/>
      <c r="C135" s="505"/>
      <c r="D135" s="505"/>
      <c r="E135" s="505"/>
    </row>
    <row r="136" spans="2:5" x14ac:dyDescent="0.25">
      <c r="B136" s="504"/>
      <c r="C136" s="505"/>
      <c r="D136" s="505"/>
      <c r="E136" s="505"/>
    </row>
    <row r="137" spans="2:5" x14ac:dyDescent="0.25">
      <c r="B137" s="504"/>
      <c r="C137" s="505"/>
      <c r="D137" s="505"/>
      <c r="E137" s="505"/>
    </row>
    <row r="138" spans="2:5" x14ac:dyDescent="0.25">
      <c r="B138" s="504"/>
      <c r="C138" s="505"/>
      <c r="D138" s="505"/>
      <c r="E138" s="505"/>
    </row>
    <row r="139" spans="2:5" x14ac:dyDescent="0.25">
      <c r="B139" s="504"/>
      <c r="C139" s="505"/>
      <c r="D139" s="505"/>
      <c r="E139" s="505"/>
    </row>
    <row r="140" spans="2:5" x14ac:dyDescent="0.25">
      <c r="B140" s="504"/>
      <c r="C140" s="505"/>
      <c r="D140" s="505"/>
      <c r="E140" s="505"/>
    </row>
    <row r="141" spans="2:5" x14ac:dyDescent="0.25">
      <c r="B141" s="504"/>
      <c r="C141" s="505"/>
      <c r="D141" s="505"/>
      <c r="E141" s="505"/>
    </row>
    <row r="142" spans="2:5" x14ac:dyDescent="0.25">
      <c r="B142" s="504"/>
      <c r="C142" s="505"/>
      <c r="D142" s="505"/>
      <c r="E142" s="505"/>
    </row>
    <row r="143" spans="2:5" x14ac:dyDescent="0.25">
      <c r="B143" s="504"/>
      <c r="C143" s="505"/>
      <c r="D143" s="505"/>
      <c r="E143" s="505"/>
    </row>
  </sheetData>
  <mergeCells count="6">
    <mergeCell ref="A2:H2"/>
    <mergeCell ref="A4:A5"/>
    <mergeCell ref="B4:B5"/>
    <mergeCell ref="C4:C5"/>
    <mergeCell ref="D4:G4"/>
    <mergeCell ref="H4:H5"/>
  </mergeCells>
  <printOptions horizontalCentered="1"/>
  <pageMargins left="0.39370078740157483" right="0.39370078740157483" top="0.59055118110236227" bottom="0.39370078740157483" header="0.31496062992125984" footer="0.11811023622047245"/>
  <pageSetup paperSize="9" firstPageNumber="7" fitToHeight="0" orientation="landscape" useFirstPageNumber="1" r:id="rId1"/>
  <headerFooter>
    <oddHeader>&amp;L&amp;"Tahoma,Kurzíva"&amp;9Střednědobý výhled rozpočtu Moravskoslezského kraje na léta 2026-2028&amp;R&amp;"Tahoma,Kurzíva"&amp;9Přehled závazků kraje u akcí spolufinancovaných z evropských finančních zdrojů</oddHeader>
    <oddFooter>&amp;C&amp;"Tahoma,Obyčejné"&amp;P</oddFooter>
  </headerFooter>
  <rowBreaks count="4" manualBreakCount="4">
    <brk id="22" max="16383" man="1"/>
    <brk id="41" max="16383" man="1"/>
    <brk id="58" max="16383" man="1"/>
    <brk id="7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4B0CD-D9DA-4F39-868D-D8F8DA59BBE1}">
  <sheetPr>
    <pageSetUpPr fitToPage="1"/>
  </sheetPr>
  <dimension ref="A1:S106"/>
  <sheetViews>
    <sheetView zoomScaleNormal="100" zoomScaleSheetLayoutView="100" workbookViewId="0">
      <pane ySplit="5" topLeftCell="A6" activePane="bottomLeft" state="frozen"/>
      <selection activeCell="E24" sqref="E24"/>
      <selection pane="bottomLeft" activeCell="B84" sqref="B84"/>
    </sheetView>
  </sheetViews>
  <sheetFormatPr defaultColWidth="9.140625" defaultRowHeight="10.5" x14ac:dyDescent="0.15"/>
  <cols>
    <col min="1" max="1" width="0.28515625" style="537" customWidth="1"/>
    <col min="2" max="2" width="42.7109375" style="538" customWidth="1"/>
    <col min="3" max="3" width="10.7109375" style="539" hidden="1" customWidth="1"/>
    <col min="4" max="4" width="8.140625" style="537" hidden="1" customWidth="1"/>
    <col min="5" max="5" width="9.7109375" style="540" hidden="1" customWidth="1"/>
    <col min="6" max="6" width="9.7109375" style="541" hidden="1" customWidth="1"/>
    <col min="7" max="7" width="10.7109375" style="542" customWidth="1"/>
    <col min="8" max="11" width="10.7109375" style="537" customWidth="1"/>
    <col min="12" max="12" width="44.7109375" style="537" customWidth="1"/>
    <col min="13" max="16384" width="9.140625" style="537"/>
  </cols>
  <sheetData>
    <row r="1" spans="1:19" s="204" customFormat="1" ht="15" customHeight="1" x14ac:dyDescent="0.2">
      <c r="A1" s="21" t="s">
        <v>57</v>
      </c>
      <c r="B1" s="203"/>
      <c r="H1" s="312"/>
    </row>
    <row r="2" spans="1:19" s="204" customFormat="1" ht="30" customHeight="1" x14ac:dyDescent="0.2">
      <c r="A2" s="644" t="s">
        <v>156</v>
      </c>
      <c r="B2" s="644"/>
      <c r="C2" s="644"/>
      <c r="D2" s="644"/>
      <c r="E2" s="644"/>
      <c r="F2" s="644"/>
      <c r="G2" s="644"/>
      <c r="H2" s="644"/>
      <c r="I2" s="644"/>
      <c r="J2" s="644"/>
      <c r="K2" s="644"/>
      <c r="L2" s="644"/>
    </row>
    <row r="3" spans="1:19" s="204" customFormat="1" ht="13.5" customHeight="1" thickBot="1" x14ac:dyDescent="0.25">
      <c r="B3" s="203"/>
      <c r="H3" s="212"/>
      <c r="L3" s="212" t="s">
        <v>88</v>
      </c>
    </row>
    <row r="4" spans="1:19" s="543" customFormat="1" ht="21" customHeight="1" x14ac:dyDescent="0.25">
      <c r="A4" s="661" t="s">
        <v>285</v>
      </c>
      <c r="B4" s="663" t="s">
        <v>114</v>
      </c>
      <c r="C4" s="665" t="s">
        <v>115</v>
      </c>
      <c r="D4" s="665" t="s">
        <v>863</v>
      </c>
      <c r="E4" s="667" t="s">
        <v>864</v>
      </c>
      <c r="F4" s="668"/>
      <c r="G4" s="654" t="s">
        <v>116</v>
      </c>
      <c r="H4" s="656" t="s">
        <v>139</v>
      </c>
      <c r="I4" s="657"/>
      <c r="J4" s="657"/>
      <c r="K4" s="658"/>
      <c r="L4" s="659" t="s">
        <v>773</v>
      </c>
      <c r="M4" s="653"/>
      <c r="N4" s="653"/>
      <c r="O4" s="653"/>
      <c r="P4" s="653"/>
      <c r="Q4" s="653"/>
      <c r="R4" s="653"/>
      <c r="S4" s="653"/>
    </row>
    <row r="5" spans="1:19" s="543" customFormat="1" ht="21" customHeight="1" thickBot="1" x14ac:dyDescent="0.2">
      <c r="A5" s="662"/>
      <c r="B5" s="664"/>
      <c r="C5" s="666"/>
      <c r="D5" s="666"/>
      <c r="E5" s="544" t="s">
        <v>865</v>
      </c>
      <c r="F5" s="545" t="s">
        <v>866</v>
      </c>
      <c r="G5" s="655"/>
      <c r="H5" s="544">
        <v>2026</v>
      </c>
      <c r="I5" s="544">
        <v>2027</v>
      </c>
      <c r="J5" s="544">
        <v>2028</v>
      </c>
      <c r="K5" s="544" t="s">
        <v>587</v>
      </c>
      <c r="L5" s="660"/>
    </row>
    <row r="6" spans="1:19" s="553" customFormat="1" ht="18" customHeight="1" x14ac:dyDescent="0.2">
      <c r="A6" s="546"/>
      <c r="B6" s="547" t="s">
        <v>119</v>
      </c>
      <c r="C6" s="548"/>
      <c r="D6" s="546"/>
      <c r="E6" s="549"/>
      <c r="F6" s="550"/>
      <c r="G6" s="551"/>
      <c r="H6" s="551"/>
      <c r="I6" s="551"/>
      <c r="J6" s="551"/>
      <c r="K6" s="551"/>
      <c r="L6" s="552"/>
    </row>
    <row r="7" spans="1:19" s="562" customFormat="1" ht="34.5" customHeight="1" x14ac:dyDescent="0.2">
      <c r="A7" s="554">
        <v>7</v>
      </c>
      <c r="B7" s="555" t="s">
        <v>867</v>
      </c>
      <c r="C7" s="556">
        <v>4077</v>
      </c>
      <c r="D7" s="557" t="s">
        <v>868</v>
      </c>
      <c r="E7" s="558">
        <v>3000</v>
      </c>
      <c r="F7" s="559" t="s">
        <v>322</v>
      </c>
      <c r="G7" s="560">
        <f>SUM(H7:K7)</f>
        <v>3000</v>
      </c>
      <c r="H7" s="560">
        <v>3000</v>
      </c>
      <c r="I7" s="560">
        <v>0</v>
      </c>
      <c r="J7" s="560">
        <v>0</v>
      </c>
      <c r="K7" s="560">
        <v>0</v>
      </c>
      <c r="L7" s="561" t="s">
        <v>869</v>
      </c>
    </row>
    <row r="8" spans="1:19" s="562" customFormat="1" ht="34.5" customHeight="1" thickBot="1" x14ac:dyDescent="0.25">
      <c r="A8" s="554">
        <v>2</v>
      </c>
      <c r="B8" s="589" t="s">
        <v>870</v>
      </c>
      <c r="C8" s="590">
        <v>5338</v>
      </c>
      <c r="D8" s="591" t="s">
        <v>871</v>
      </c>
      <c r="E8" s="592">
        <v>19900</v>
      </c>
      <c r="F8" s="593" t="s">
        <v>872</v>
      </c>
      <c r="G8" s="594">
        <f>SUM(H8:K8)</f>
        <v>16800</v>
      </c>
      <c r="H8" s="594">
        <v>16800</v>
      </c>
      <c r="I8" s="594">
        <v>0</v>
      </c>
      <c r="J8" s="594">
        <v>0</v>
      </c>
      <c r="K8" s="594">
        <v>0</v>
      </c>
      <c r="L8" s="595" t="s">
        <v>869</v>
      </c>
    </row>
    <row r="9" spans="1:19" s="562" customFormat="1" ht="29.25" customHeight="1" thickBot="1" x14ac:dyDescent="0.25">
      <c r="A9" s="554"/>
      <c r="B9" s="596" t="s">
        <v>120</v>
      </c>
      <c r="C9" s="581"/>
      <c r="D9" s="582"/>
      <c r="E9" s="597"/>
      <c r="F9" s="598"/>
      <c r="G9" s="585">
        <f t="shared" ref="G9:K9" si="0">SUM(G7:G8)</f>
        <v>19800</v>
      </c>
      <c r="H9" s="585">
        <f t="shared" si="0"/>
        <v>19800</v>
      </c>
      <c r="I9" s="585">
        <f t="shared" si="0"/>
        <v>0</v>
      </c>
      <c r="J9" s="585">
        <f t="shared" si="0"/>
        <v>0</v>
      </c>
      <c r="K9" s="585">
        <f t="shared" si="0"/>
        <v>0</v>
      </c>
      <c r="L9" s="586"/>
    </row>
    <row r="10" spans="1:19" s="553" customFormat="1" ht="18" customHeight="1" x14ac:dyDescent="0.2">
      <c r="A10" s="546"/>
      <c r="B10" s="547" t="s">
        <v>873</v>
      </c>
      <c r="C10" s="548"/>
      <c r="D10" s="546"/>
      <c r="E10" s="549"/>
      <c r="F10" s="550"/>
      <c r="G10" s="551"/>
      <c r="H10" s="551"/>
      <c r="I10" s="551"/>
      <c r="J10" s="551"/>
      <c r="K10" s="551"/>
      <c r="L10" s="552"/>
    </row>
    <row r="11" spans="1:19" s="562" customFormat="1" ht="24" customHeight="1" thickBot="1" x14ac:dyDescent="0.25">
      <c r="A11" s="554">
        <v>7</v>
      </c>
      <c r="B11" s="599" t="s">
        <v>874</v>
      </c>
      <c r="C11" s="600">
        <v>5344</v>
      </c>
      <c r="D11" s="591" t="s">
        <v>875</v>
      </c>
      <c r="E11" s="647" t="s">
        <v>251</v>
      </c>
      <c r="F11" s="648"/>
      <c r="G11" s="594">
        <f>SUM(H11:K11)</f>
        <v>150000</v>
      </c>
      <c r="H11" s="601">
        <v>50000</v>
      </c>
      <c r="I11" s="601">
        <v>50000</v>
      </c>
      <c r="J11" s="601">
        <v>50000</v>
      </c>
      <c r="K11" s="601">
        <v>0</v>
      </c>
      <c r="L11" s="595" t="s">
        <v>508</v>
      </c>
    </row>
    <row r="12" spans="1:19" s="562" customFormat="1" ht="15.75" customHeight="1" thickBot="1" x14ac:dyDescent="0.25">
      <c r="A12" s="554"/>
      <c r="B12" s="602" t="s">
        <v>876</v>
      </c>
      <c r="C12" s="581"/>
      <c r="D12" s="582"/>
      <c r="E12" s="603"/>
      <c r="F12" s="598"/>
      <c r="G12" s="585">
        <f>SUM(G11:G11)</f>
        <v>150000</v>
      </c>
      <c r="H12" s="585">
        <f t="shared" ref="H12:K12" si="1">SUM(H11:H11)</f>
        <v>50000</v>
      </c>
      <c r="I12" s="585">
        <f t="shared" si="1"/>
        <v>50000</v>
      </c>
      <c r="J12" s="585">
        <f t="shared" si="1"/>
        <v>50000</v>
      </c>
      <c r="K12" s="585">
        <f t="shared" si="1"/>
        <v>0</v>
      </c>
      <c r="L12" s="586"/>
    </row>
    <row r="13" spans="1:19" s="553" customFormat="1" ht="18" customHeight="1" x14ac:dyDescent="0.2">
      <c r="A13" s="546"/>
      <c r="B13" s="547" t="s">
        <v>229</v>
      </c>
      <c r="C13" s="548"/>
      <c r="D13" s="546"/>
      <c r="E13" s="549"/>
      <c r="F13" s="550"/>
      <c r="G13" s="551"/>
      <c r="H13" s="551"/>
      <c r="I13" s="551"/>
      <c r="J13" s="551"/>
      <c r="K13" s="551"/>
      <c r="L13" s="552"/>
    </row>
    <row r="14" spans="1:19" s="562" customFormat="1" ht="34.5" customHeight="1" x14ac:dyDescent="0.2">
      <c r="A14" s="554">
        <v>16</v>
      </c>
      <c r="B14" s="563" t="s">
        <v>877</v>
      </c>
      <c r="C14" s="564">
        <v>4334</v>
      </c>
      <c r="D14" s="556" t="s">
        <v>878</v>
      </c>
      <c r="E14" s="645" t="s">
        <v>251</v>
      </c>
      <c r="F14" s="646"/>
      <c r="G14" s="560">
        <f>SUM(H14:K14)</f>
        <v>61000</v>
      </c>
      <c r="H14" s="565">
        <v>25000</v>
      </c>
      <c r="I14" s="565">
        <v>36000</v>
      </c>
      <c r="J14" s="565">
        <v>0</v>
      </c>
      <c r="K14" s="565">
        <v>0</v>
      </c>
      <c r="L14" s="561" t="s">
        <v>879</v>
      </c>
    </row>
    <row r="15" spans="1:19" s="562" customFormat="1" ht="34.5" customHeight="1" x14ac:dyDescent="0.2">
      <c r="A15" s="554">
        <v>7</v>
      </c>
      <c r="B15" s="563" t="s">
        <v>880</v>
      </c>
      <c r="C15" s="564">
        <v>4343</v>
      </c>
      <c r="D15" s="557" t="s">
        <v>875</v>
      </c>
      <c r="E15" s="645" t="s">
        <v>222</v>
      </c>
      <c r="F15" s="646" t="s">
        <v>881</v>
      </c>
      <c r="G15" s="560">
        <f t="shared" ref="G15:G20" si="2">SUM(H15:K15)</f>
        <v>93700</v>
      </c>
      <c r="H15" s="565">
        <v>58700</v>
      </c>
      <c r="I15" s="565">
        <v>35000</v>
      </c>
      <c r="J15" s="565">
        <v>0</v>
      </c>
      <c r="K15" s="565">
        <v>0</v>
      </c>
      <c r="L15" s="561" t="s">
        <v>882</v>
      </c>
    </row>
    <row r="16" spans="1:19" s="562" customFormat="1" ht="34.5" customHeight="1" x14ac:dyDescent="0.2">
      <c r="A16" s="554">
        <v>7</v>
      </c>
      <c r="B16" s="563" t="s">
        <v>883</v>
      </c>
      <c r="C16" s="564">
        <v>4342</v>
      </c>
      <c r="D16" s="557" t="s">
        <v>875</v>
      </c>
      <c r="E16" s="645" t="s">
        <v>222</v>
      </c>
      <c r="F16" s="646" t="s">
        <v>884</v>
      </c>
      <c r="G16" s="560">
        <f t="shared" si="2"/>
        <v>7000</v>
      </c>
      <c r="H16" s="565">
        <v>7000</v>
      </c>
      <c r="I16" s="565">
        <v>0</v>
      </c>
      <c r="J16" s="565">
        <v>0</v>
      </c>
      <c r="K16" s="565">
        <v>0</v>
      </c>
      <c r="L16" s="561" t="s">
        <v>882</v>
      </c>
    </row>
    <row r="17" spans="1:12" s="569" customFormat="1" ht="34.5" customHeight="1" x14ac:dyDescent="0.2">
      <c r="A17" s="566">
        <v>16</v>
      </c>
      <c r="B17" s="563" t="s">
        <v>885</v>
      </c>
      <c r="C17" s="564">
        <v>4335</v>
      </c>
      <c r="D17" s="557">
        <v>0</v>
      </c>
      <c r="E17" s="567">
        <v>55800</v>
      </c>
      <c r="F17" s="568" t="s">
        <v>886</v>
      </c>
      <c r="G17" s="560">
        <f t="shared" si="2"/>
        <v>102000</v>
      </c>
      <c r="H17" s="565">
        <v>2000</v>
      </c>
      <c r="I17" s="565">
        <v>100000</v>
      </c>
      <c r="J17" s="565">
        <v>0</v>
      </c>
      <c r="K17" s="565">
        <v>0</v>
      </c>
      <c r="L17" s="561" t="s">
        <v>879</v>
      </c>
    </row>
    <row r="18" spans="1:12" s="569" customFormat="1" ht="34.5" customHeight="1" x14ac:dyDescent="0.2">
      <c r="A18" s="570">
        <v>7</v>
      </c>
      <c r="B18" s="563" t="s">
        <v>887</v>
      </c>
      <c r="C18" s="564">
        <v>4341</v>
      </c>
      <c r="D18" s="557">
        <v>0</v>
      </c>
      <c r="E18" s="567">
        <v>303820</v>
      </c>
      <c r="F18" s="568" t="s">
        <v>886</v>
      </c>
      <c r="G18" s="560">
        <f t="shared" si="2"/>
        <v>255310</v>
      </c>
      <c r="H18" s="565">
        <v>50000</v>
      </c>
      <c r="I18" s="565">
        <v>205310</v>
      </c>
      <c r="J18" s="565">
        <v>0</v>
      </c>
      <c r="K18" s="565">
        <v>0</v>
      </c>
      <c r="L18" s="561" t="s">
        <v>888</v>
      </c>
    </row>
    <row r="19" spans="1:12" s="569" customFormat="1" ht="34.5" customHeight="1" x14ac:dyDescent="0.2">
      <c r="A19" s="566">
        <v>16</v>
      </c>
      <c r="B19" s="563" t="s">
        <v>509</v>
      </c>
      <c r="C19" s="564">
        <v>4571</v>
      </c>
      <c r="D19" s="557">
        <v>0</v>
      </c>
      <c r="E19" s="567">
        <v>292000</v>
      </c>
      <c r="F19" s="568" t="s">
        <v>889</v>
      </c>
      <c r="G19" s="560">
        <f t="shared" si="2"/>
        <v>280000</v>
      </c>
      <c r="H19" s="565">
        <v>0</v>
      </c>
      <c r="I19" s="565">
        <v>50000</v>
      </c>
      <c r="J19" s="565">
        <v>150000</v>
      </c>
      <c r="K19" s="565">
        <v>80000</v>
      </c>
      <c r="L19" s="561" t="s">
        <v>890</v>
      </c>
    </row>
    <row r="20" spans="1:12" s="569" customFormat="1" ht="24" customHeight="1" thickBot="1" x14ac:dyDescent="0.25">
      <c r="A20" s="570">
        <v>7</v>
      </c>
      <c r="B20" s="599" t="s">
        <v>318</v>
      </c>
      <c r="C20" s="604" t="s">
        <v>6</v>
      </c>
      <c r="D20" s="591">
        <v>0</v>
      </c>
      <c r="E20" s="605" t="s">
        <v>891</v>
      </c>
      <c r="F20" s="606"/>
      <c r="G20" s="594">
        <f t="shared" si="2"/>
        <v>83000</v>
      </c>
      <c r="H20" s="601">
        <v>3000</v>
      </c>
      <c r="I20" s="601">
        <v>80000</v>
      </c>
      <c r="J20" s="601">
        <v>0</v>
      </c>
      <c r="K20" s="601">
        <v>0</v>
      </c>
      <c r="L20" s="595" t="s">
        <v>892</v>
      </c>
    </row>
    <row r="21" spans="1:12" s="562" customFormat="1" ht="15.75" customHeight="1" thickBot="1" x14ac:dyDescent="0.25">
      <c r="A21" s="554"/>
      <c r="B21" s="602" t="s">
        <v>253</v>
      </c>
      <c r="C21" s="581"/>
      <c r="D21" s="582"/>
      <c r="E21" s="597"/>
      <c r="F21" s="598"/>
      <c r="G21" s="585">
        <f>SUM(G14:G20)</f>
        <v>882010</v>
      </c>
      <c r="H21" s="585">
        <f>SUM(H14:H20)</f>
        <v>145700</v>
      </c>
      <c r="I21" s="585">
        <f>SUM(I14:I20)</f>
        <v>506310</v>
      </c>
      <c r="J21" s="585">
        <f>SUM(J14:J20)</f>
        <v>150000</v>
      </c>
      <c r="K21" s="585">
        <f>SUM(K14:K20)</f>
        <v>80000</v>
      </c>
      <c r="L21" s="586"/>
    </row>
    <row r="22" spans="1:12" s="553" customFormat="1" ht="18" customHeight="1" x14ac:dyDescent="0.2">
      <c r="A22" s="546"/>
      <c r="B22" s="547" t="s">
        <v>635</v>
      </c>
      <c r="C22" s="548"/>
      <c r="D22" s="546"/>
      <c r="E22" s="549"/>
      <c r="F22" s="550"/>
      <c r="G22" s="551"/>
      <c r="H22" s="551"/>
      <c r="I22" s="551"/>
      <c r="J22" s="551"/>
      <c r="K22" s="551"/>
      <c r="L22" s="552"/>
    </row>
    <row r="23" spans="1:12" s="562" customFormat="1" ht="34.5" customHeight="1" x14ac:dyDescent="0.2">
      <c r="A23" s="554">
        <v>5</v>
      </c>
      <c r="B23" s="563" t="s">
        <v>377</v>
      </c>
      <c r="C23" s="564">
        <v>5878</v>
      </c>
      <c r="D23" s="557" t="s">
        <v>878</v>
      </c>
      <c r="E23" s="645" t="s">
        <v>222</v>
      </c>
      <c r="F23" s="646"/>
      <c r="G23" s="560">
        <f t="shared" ref="G23:G24" si="3">SUM(H23:K23)</f>
        <v>48378</v>
      </c>
      <c r="H23" s="565">
        <v>16126</v>
      </c>
      <c r="I23" s="565">
        <v>16126</v>
      </c>
      <c r="J23" s="565">
        <v>16126</v>
      </c>
      <c r="K23" s="565">
        <v>0</v>
      </c>
      <c r="L23" s="561" t="s">
        <v>893</v>
      </c>
    </row>
    <row r="24" spans="1:12" s="562" customFormat="1" ht="24" customHeight="1" thickBot="1" x14ac:dyDescent="0.25">
      <c r="A24" s="554">
        <v>5</v>
      </c>
      <c r="B24" s="599" t="s">
        <v>526</v>
      </c>
      <c r="C24" s="600">
        <v>4621</v>
      </c>
      <c r="D24" s="591" t="s">
        <v>871</v>
      </c>
      <c r="E24" s="592">
        <v>309994</v>
      </c>
      <c r="F24" s="593" t="s">
        <v>894</v>
      </c>
      <c r="G24" s="594">
        <f t="shared" si="3"/>
        <v>120000</v>
      </c>
      <c r="H24" s="601">
        <v>120000</v>
      </c>
      <c r="I24" s="601">
        <v>0</v>
      </c>
      <c r="J24" s="601">
        <v>0</v>
      </c>
      <c r="K24" s="601">
        <v>0</v>
      </c>
      <c r="L24" s="595" t="s">
        <v>895</v>
      </c>
    </row>
    <row r="25" spans="1:12" s="562" customFormat="1" ht="26.25" customHeight="1" thickBot="1" x14ac:dyDescent="0.25">
      <c r="A25" s="554"/>
      <c r="B25" s="596" t="s">
        <v>782</v>
      </c>
      <c r="C25" s="581"/>
      <c r="D25" s="582"/>
      <c r="E25" s="603"/>
      <c r="F25" s="598"/>
      <c r="G25" s="585">
        <f>SUM(G23:G24)</f>
        <v>168378</v>
      </c>
      <c r="H25" s="585">
        <f t="shared" ref="H25:K25" si="4">SUM(H23:H24)</f>
        <v>136126</v>
      </c>
      <c r="I25" s="585">
        <f t="shared" si="4"/>
        <v>16126</v>
      </c>
      <c r="J25" s="585">
        <f t="shared" si="4"/>
        <v>16126</v>
      </c>
      <c r="K25" s="585">
        <f t="shared" si="4"/>
        <v>0</v>
      </c>
      <c r="L25" s="586"/>
    </row>
    <row r="26" spans="1:12" s="553" customFormat="1" ht="18" customHeight="1" x14ac:dyDescent="0.2">
      <c r="A26" s="546"/>
      <c r="B26" s="547" t="s">
        <v>93</v>
      </c>
      <c r="C26" s="548"/>
      <c r="D26" s="546"/>
      <c r="E26" s="549"/>
      <c r="F26" s="550"/>
      <c r="G26" s="551"/>
      <c r="H26" s="551"/>
      <c r="I26" s="551"/>
      <c r="J26" s="551"/>
      <c r="K26" s="551"/>
      <c r="L26" s="552"/>
    </row>
    <row r="27" spans="1:12" s="562" customFormat="1" ht="34.5" customHeight="1" x14ac:dyDescent="0.2">
      <c r="A27" s="554">
        <v>7</v>
      </c>
      <c r="B27" s="555" t="s">
        <v>896</v>
      </c>
      <c r="C27" s="556">
        <v>4472</v>
      </c>
      <c r="D27" s="557" t="s">
        <v>868</v>
      </c>
      <c r="E27" s="558">
        <v>31150</v>
      </c>
      <c r="F27" s="559" t="s">
        <v>872</v>
      </c>
      <c r="G27" s="560">
        <f t="shared" ref="G27:G33" si="5">SUM(H27:K27)</f>
        <v>31000</v>
      </c>
      <c r="H27" s="560">
        <v>20000</v>
      </c>
      <c r="I27" s="560">
        <v>11000</v>
      </c>
      <c r="J27" s="560">
        <v>0</v>
      </c>
      <c r="K27" s="560">
        <v>0</v>
      </c>
      <c r="L27" s="561" t="s">
        <v>869</v>
      </c>
    </row>
    <row r="28" spans="1:12" s="562" customFormat="1" ht="34.5" customHeight="1" x14ac:dyDescent="0.2">
      <c r="A28" s="554">
        <v>7</v>
      </c>
      <c r="B28" s="555" t="s">
        <v>897</v>
      </c>
      <c r="C28" s="556">
        <v>4420</v>
      </c>
      <c r="D28" s="557" t="s">
        <v>875</v>
      </c>
      <c r="E28" s="645" t="s">
        <v>222</v>
      </c>
      <c r="F28" s="646" t="s">
        <v>898</v>
      </c>
      <c r="G28" s="560">
        <f t="shared" si="5"/>
        <v>2000</v>
      </c>
      <c r="H28" s="560">
        <v>2000</v>
      </c>
      <c r="I28" s="560">
        <v>0</v>
      </c>
      <c r="J28" s="560">
        <v>0</v>
      </c>
      <c r="K28" s="560">
        <v>0</v>
      </c>
      <c r="L28" s="561" t="s">
        <v>899</v>
      </c>
    </row>
    <row r="29" spans="1:12" s="562" customFormat="1" ht="42" x14ac:dyDescent="0.2">
      <c r="A29" s="554">
        <v>7</v>
      </c>
      <c r="B29" s="555" t="s">
        <v>512</v>
      </c>
      <c r="C29" s="556">
        <v>4419</v>
      </c>
      <c r="D29" s="557" t="s">
        <v>868</v>
      </c>
      <c r="E29" s="558">
        <v>35000</v>
      </c>
      <c r="F29" s="559" t="s">
        <v>884</v>
      </c>
      <c r="G29" s="560">
        <f t="shared" si="5"/>
        <v>30000</v>
      </c>
      <c r="H29" s="560">
        <v>30000</v>
      </c>
      <c r="I29" s="560">
        <v>0</v>
      </c>
      <c r="J29" s="560">
        <v>0</v>
      </c>
      <c r="K29" s="560">
        <v>0</v>
      </c>
      <c r="L29" s="561" t="s">
        <v>900</v>
      </c>
    </row>
    <row r="30" spans="1:12" s="562" customFormat="1" ht="42" x14ac:dyDescent="0.2">
      <c r="A30" s="554">
        <v>7</v>
      </c>
      <c r="B30" s="555" t="s">
        <v>510</v>
      </c>
      <c r="C30" s="556">
        <v>4416</v>
      </c>
      <c r="D30" s="557" t="s">
        <v>868</v>
      </c>
      <c r="E30" s="558">
        <v>30000</v>
      </c>
      <c r="F30" s="559" t="s">
        <v>894</v>
      </c>
      <c r="G30" s="560">
        <f t="shared" si="5"/>
        <v>27500</v>
      </c>
      <c r="H30" s="560">
        <v>4000</v>
      </c>
      <c r="I30" s="560">
        <v>23500</v>
      </c>
      <c r="J30" s="560">
        <v>0</v>
      </c>
      <c r="K30" s="560">
        <v>0</v>
      </c>
      <c r="L30" s="561" t="s">
        <v>900</v>
      </c>
    </row>
    <row r="31" spans="1:12" s="562" customFormat="1" ht="34.5" customHeight="1" x14ac:dyDescent="0.2">
      <c r="A31" s="554">
        <v>7</v>
      </c>
      <c r="B31" s="555" t="s">
        <v>511</v>
      </c>
      <c r="C31" s="556">
        <v>4347</v>
      </c>
      <c r="D31" s="557" t="s">
        <v>868</v>
      </c>
      <c r="E31" s="558">
        <v>177000</v>
      </c>
      <c r="F31" s="559" t="s">
        <v>886</v>
      </c>
      <c r="G31" s="560">
        <f t="shared" si="5"/>
        <v>168900</v>
      </c>
      <c r="H31" s="560">
        <v>35000</v>
      </c>
      <c r="I31" s="560">
        <v>133900</v>
      </c>
      <c r="J31" s="560">
        <v>0</v>
      </c>
      <c r="K31" s="560">
        <v>0</v>
      </c>
      <c r="L31" s="561" t="s">
        <v>901</v>
      </c>
    </row>
    <row r="32" spans="1:12" s="562" customFormat="1" ht="34.5" customHeight="1" x14ac:dyDescent="0.2">
      <c r="A32" s="554">
        <v>17</v>
      </c>
      <c r="B32" s="555" t="s">
        <v>902</v>
      </c>
      <c r="C32" s="556">
        <v>4415</v>
      </c>
      <c r="D32" s="557" t="s">
        <v>871</v>
      </c>
      <c r="E32" s="558">
        <v>15500</v>
      </c>
      <c r="F32" s="559" t="s">
        <v>884</v>
      </c>
      <c r="G32" s="560">
        <f t="shared" si="5"/>
        <v>10000</v>
      </c>
      <c r="H32" s="560">
        <v>10000</v>
      </c>
      <c r="I32" s="560">
        <v>0</v>
      </c>
      <c r="J32" s="560">
        <v>0</v>
      </c>
      <c r="K32" s="560">
        <v>0</v>
      </c>
      <c r="L32" s="561" t="s">
        <v>890</v>
      </c>
    </row>
    <row r="33" spans="1:12" s="562" customFormat="1" ht="34.5" customHeight="1" thickBot="1" x14ac:dyDescent="0.25">
      <c r="A33" s="554">
        <v>17</v>
      </c>
      <c r="B33" s="589" t="s">
        <v>903</v>
      </c>
      <c r="C33" s="590">
        <v>4469</v>
      </c>
      <c r="D33" s="591" t="s">
        <v>871</v>
      </c>
      <c r="E33" s="592">
        <v>30000</v>
      </c>
      <c r="F33" s="593" t="s">
        <v>904</v>
      </c>
      <c r="G33" s="594">
        <f t="shared" si="5"/>
        <v>29850</v>
      </c>
      <c r="H33" s="594">
        <v>5000</v>
      </c>
      <c r="I33" s="594">
        <v>24850</v>
      </c>
      <c r="J33" s="594">
        <v>0</v>
      </c>
      <c r="K33" s="594">
        <v>0</v>
      </c>
      <c r="L33" s="595" t="s">
        <v>869</v>
      </c>
    </row>
    <row r="34" spans="1:12" s="562" customFormat="1" ht="15.75" customHeight="1" thickBot="1" x14ac:dyDescent="0.25">
      <c r="A34" s="554"/>
      <c r="B34" s="602" t="s">
        <v>94</v>
      </c>
      <c r="C34" s="581"/>
      <c r="D34" s="582"/>
      <c r="E34" s="603"/>
      <c r="F34" s="598"/>
      <c r="G34" s="585">
        <f>SUM(G27:G33)</f>
        <v>299250</v>
      </c>
      <c r="H34" s="585">
        <f>SUM(H27:H33)</f>
        <v>106000</v>
      </c>
      <c r="I34" s="585">
        <f>SUM(I27:I33)</f>
        <v>193250</v>
      </c>
      <c r="J34" s="585">
        <f>SUM(J27:J33)</f>
        <v>0</v>
      </c>
      <c r="K34" s="585">
        <f>SUM(K27:K33)</f>
        <v>0</v>
      </c>
      <c r="L34" s="586"/>
    </row>
    <row r="35" spans="1:12" s="553" customFormat="1" ht="18" customHeight="1" x14ac:dyDescent="0.2">
      <c r="A35" s="546"/>
      <c r="B35" s="547" t="s">
        <v>99</v>
      </c>
      <c r="C35" s="548"/>
      <c r="D35" s="546"/>
      <c r="E35" s="549"/>
      <c r="F35" s="550"/>
      <c r="G35" s="551"/>
      <c r="H35" s="551"/>
      <c r="I35" s="551"/>
      <c r="J35" s="551"/>
      <c r="K35" s="551"/>
      <c r="L35" s="552"/>
    </row>
    <row r="36" spans="1:12" s="562" customFormat="1" ht="34.5" customHeight="1" x14ac:dyDescent="0.2">
      <c r="A36" s="554">
        <v>7</v>
      </c>
      <c r="B36" s="555" t="s">
        <v>513</v>
      </c>
      <c r="C36" s="556">
        <v>4424</v>
      </c>
      <c r="D36" s="557" t="s">
        <v>868</v>
      </c>
      <c r="E36" s="558">
        <v>64000</v>
      </c>
      <c r="F36" s="559" t="s">
        <v>886</v>
      </c>
      <c r="G36" s="560">
        <f t="shared" ref="G36:G38" si="6">SUM(H36:K36)</f>
        <v>60900</v>
      </c>
      <c r="H36" s="560">
        <v>21000</v>
      </c>
      <c r="I36" s="560">
        <v>39900</v>
      </c>
      <c r="J36" s="560">
        <v>0</v>
      </c>
      <c r="K36" s="560">
        <v>0</v>
      </c>
      <c r="L36" s="561" t="s">
        <v>905</v>
      </c>
    </row>
    <row r="37" spans="1:12" s="562" customFormat="1" ht="34.5" customHeight="1" x14ac:dyDescent="0.2">
      <c r="A37" s="554">
        <v>7</v>
      </c>
      <c r="B37" s="555" t="s">
        <v>514</v>
      </c>
      <c r="C37" s="556">
        <v>4155</v>
      </c>
      <c r="D37" s="557" t="s">
        <v>868</v>
      </c>
      <c r="E37" s="558">
        <v>65000</v>
      </c>
      <c r="F37" s="559" t="s">
        <v>906</v>
      </c>
      <c r="G37" s="560">
        <f t="shared" si="6"/>
        <v>63385</v>
      </c>
      <c r="H37" s="560">
        <v>3385</v>
      </c>
      <c r="I37" s="560">
        <v>30000</v>
      </c>
      <c r="J37" s="560">
        <v>30000</v>
      </c>
      <c r="K37" s="560">
        <v>0</v>
      </c>
      <c r="L37" s="561" t="s">
        <v>907</v>
      </c>
    </row>
    <row r="38" spans="1:12" s="562" customFormat="1" ht="34.5" customHeight="1" thickBot="1" x14ac:dyDescent="0.25">
      <c r="A38" s="554">
        <v>14</v>
      </c>
      <c r="B38" s="589" t="s">
        <v>284</v>
      </c>
      <c r="C38" s="590">
        <v>5758</v>
      </c>
      <c r="D38" s="591" t="s">
        <v>871</v>
      </c>
      <c r="E38" s="592">
        <v>332000</v>
      </c>
      <c r="F38" s="593" t="s">
        <v>908</v>
      </c>
      <c r="G38" s="594">
        <f t="shared" si="6"/>
        <v>50000</v>
      </c>
      <c r="H38" s="594">
        <v>50000</v>
      </c>
      <c r="I38" s="594">
        <v>0</v>
      </c>
      <c r="J38" s="594">
        <v>0</v>
      </c>
      <c r="K38" s="594">
        <v>0</v>
      </c>
      <c r="L38" s="595" t="s">
        <v>909</v>
      </c>
    </row>
    <row r="39" spans="1:12" s="562" customFormat="1" ht="15.75" customHeight="1" thickBot="1" x14ac:dyDescent="0.25">
      <c r="A39" s="554"/>
      <c r="B39" s="602" t="s">
        <v>100</v>
      </c>
      <c r="C39" s="581"/>
      <c r="D39" s="582"/>
      <c r="E39" s="603"/>
      <c r="F39" s="598"/>
      <c r="G39" s="585">
        <f>SUM(G36:G38)</f>
        <v>174285</v>
      </c>
      <c r="H39" s="585">
        <f t="shared" ref="H39:K39" si="7">SUM(H36:H38)</f>
        <v>74385</v>
      </c>
      <c r="I39" s="585">
        <f t="shared" si="7"/>
        <v>69900</v>
      </c>
      <c r="J39" s="585">
        <f t="shared" si="7"/>
        <v>30000</v>
      </c>
      <c r="K39" s="585">
        <f t="shared" si="7"/>
        <v>0</v>
      </c>
      <c r="L39" s="586"/>
    </row>
    <row r="40" spans="1:12" s="553" customFormat="1" ht="18" customHeight="1" x14ac:dyDescent="0.2">
      <c r="A40" s="546"/>
      <c r="B40" s="547" t="s">
        <v>101</v>
      </c>
      <c r="C40" s="548"/>
      <c r="D40" s="546"/>
      <c r="E40" s="549"/>
      <c r="F40" s="550"/>
      <c r="G40" s="551"/>
      <c r="H40" s="551"/>
      <c r="I40" s="551"/>
      <c r="J40" s="551"/>
      <c r="K40" s="551"/>
      <c r="L40" s="552"/>
    </row>
    <row r="41" spans="1:12" s="562" customFormat="1" ht="34.5" customHeight="1" x14ac:dyDescent="0.2">
      <c r="A41" s="554">
        <v>7</v>
      </c>
      <c r="B41" s="555" t="s">
        <v>379</v>
      </c>
      <c r="C41" s="556">
        <v>4289</v>
      </c>
      <c r="D41" s="557" t="s">
        <v>868</v>
      </c>
      <c r="E41" s="645" t="s">
        <v>222</v>
      </c>
      <c r="F41" s="646"/>
      <c r="G41" s="560">
        <f t="shared" ref="G41:G85" si="8">SUM(H41:K41)</f>
        <v>90000</v>
      </c>
      <c r="H41" s="560">
        <v>20000</v>
      </c>
      <c r="I41" s="560">
        <v>70000</v>
      </c>
      <c r="J41" s="560">
        <v>0</v>
      </c>
      <c r="K41" s="560">
        <v>0</v>
      </c>
      <c r="L41" s="561" t="s">
        <v>910</v>
      </c>
    </row>
    <row r="42" spans="1:12" s="562" customFormat="1" ht="45" customHeight="1" x14ac:dyDescent="0.2">
      <c r="A42" s="554">
        <v>7</v>
      </c>
      <c r="B42" s="555" t="s">
        <v>317</v>
      </c>
      <c r="C42" s="556">
        <v>5868</v>
      </c>
      <c r="D42" s="557" t="s">
        <v>868</v>
      </c>
      <c r="E42" s="558">
        <v>80000</v>
      </c>
      <c r="F42" s="559" t="s">
        <v>898</v>
      </c>
      <c r="G42" s="560">
        <f t="shared" si="8"/>
        <v>41539</v>
      </c>
      <c r="H42" s="560">
        <v>41539</v>
      </c>
      <c r="I42" s="560">
        <v>0</v>
      </c>
      <c r="J42" s="560">
        <v>0</v>
      </c>
      <c r="K42" s="560">
        <v>0</v>
      </c>
      <c r="L42" s="561" t="s">
        <v>911</v>
      </c>
    </row>
    <row r="43" spans="1:12" s="562" customFormat="1" ht="34.5" customHeight="1" x14ac:dyDescent="0.2">
      <c r="A43" s="554">
        <v>7</v>
      </c>
      <c r="B43" s="555" t="s">
        <v>168</v>
      </c>
      <c r="C43" s="556">
        <v>5867</v>
      </c>
      <c r="D43" s="557" t="s">
        <v>868</v>
      </c>
      <c r="E43" s="558">
        <v>190000</v>
      </c>
      <c r="F43" s="559" t="s">
        <v>908</v>
      </c>
      <c r="G43" s="560">
        <f t="shared" si="8"/>
        <v>37653.050000000003</v>
      </c>
      <c r="H43" s="560">
        <v>37653.050000000003</v>
      </c>
      <c r="I43" s="560">
        <v>0</v>
      </c>
      <c r="J43" s="560">
        <v>0</v>
      </c>
      <c r="K43" s="560">
        <v>0</v>
      </c>
      <c r="L43" s="561" t="s">
        <v>911</v>
      </c>
    </row>
    <row r="44" spans="1:12" s="562" customFormat="1" ht="34.5" customHeight="1" x14ac:dyDescent="0.2">
      <c r="A44" s="554">
        <v>7</v>
      </c>
      <c r="B44" s="555" t="s">
        <v>912</v>
      </c>
      <c r="C44" s="556">
        <v>5681</v>
      </c>
      <c r="D44" s="557" t="s">
        <v>868</v>
      </c>
      <c r="E44" s="558">
        <v>20000</v>
      </c>
      <c r="F44" s="559" t="s">
        <v>908</v>
      </c>
      <c r="G44" s="560">
        <f t="shared" si="8"/>
        <v>5176</v>
      </c>
      <c r="H44" s="560">
        <v>5176</v>
      </c>
      <c r="I44" s="560">
        <v>0</v>
      </c>
      <c r="J44" s="560">
        <v>0</v>
      </c>
      <c r="K44" s="560">
        <v>0</v>
      </c>
      <c r="L44" s="561" t="s">
        <v>913</v>
      </c>
    </row>
    <row r="45" spans="1:12" s="562" customFormat="1" ht="34.5" customHeight="1" x14ac:dyDescent="0.2">
      <c r="A45" s="554">
        <v>7</v>
      </c>
      <c r="B45" s="555" t="s">
        <v>378</v>
      </c>
      <c r="C45" s="556">
        <v>4263</v>
      </c>
      <c r="D45" s="557" t="s">
        <v>868</v>
      </c>
      <c r="E45" s="558">
        <v>110000</v>
      </c>
      <c r="F45" s="559" t="s">
        <v>914</v>
      </c>
      <c r="G45" s="560">
        <f t="shared" si="8"/>
        <v>63000</v>
      </c>
      <c r="H45" s="560">
        <v>50000</v>
      </c>
      <c r="I45" s="560">
        <v>13000</v>
      </c>
      <c r="J45" s="560">
        <v>0</v>
      </c>
      <c r="K45" s="560">
        <v>0</v>
      </c>
      <c r="L45" s="561" t="s">
        <v>915</v>
      </c>
    </row>
    <row r="46" spans="1:12" s="562" customFormat="1" ht="34.5" customHeight="1" x14ac:dyDescent="0.2">
      <c r="A46" s="554">
        <v>7</v>
      </c>
      <c r="B46" s="555" t="s">
        <v>515</v>
      </c>
      <c r="C46" s="556">
        <v>4095</v>
      </c>
      <c r="D46" s="557" t="s">
        <v>868</v>
      </c>
      <c r="E46" s="558">
        <v>135000</v>
      </c>
      <c r="F46" s="559" t="s">
        <v>916</v>
      </c>
      <c r="G46" s="560">
        <f t="shared" si="8"/>
        <v>77500</v>
      </c>
      <c r="H46" s="560">
        <v>77500</v>
      </c>
      <c r="I46" s="560">
        <v>0</v>
      </c>
      <c r="J46" s="560">
        <v>0</v>
      </c>
      <c r="K46" s="560">
        <v>0</v>
      </c>
      <c r="L46" s="561" t="s">
        <v>917</v>
      </c>
    </row>
    <row r="47" spans="1:12" s="562" customFormat="1" ht="34.5" customHeight="1" x14ac:dyDescent="0.2">
      <c r="A47" s="554">
        <v>7</v>
      </c>
      <c r="B47" s="555" t="s">
        <v>516</v>
      </c>
      <c r="C47" s="556">
        <v>4034</v>
      </c>
      <c r="D47" s="557" t="s">
        <v>868</v>
      </c>
      <c r="E47" s="558">
        <v>28000</v>
      </c>
      <c r="F47" s="559" t="s">
        <v>918</v>
      </c>
      <c r="G47" s="560">
        <f t="shared" si="8"/>
        <v>5057</v>
      </c>
      <c r="H47" s="560">
        <v>5057</v>
      </c>
      <c r="I47" s="560">
        <v>0</v>
      </c>
      <c r="J47" s="560">
        <v>0</v>
      </c>
      <c r="K47" s="560">
        <v>0</v>
      </c>
      <c r="L47" s="561" t="s">
        <v>919</v>
      </c>
    </row>
    <row r="48" spans="1:12" s="562" customFormat="1" ht="34.5" customHeight="1" x14ac:dyDescent="0.2">
      <c r="A48" s="554">
        <v>7</v>
      </c>
      <c r="B48" s="555" t="s">
        <v>920</v>
      </c>
      <c r="C48" s="556">
        <v>4376</v>
      </c>
      <c r="D48" s="557" t="s">
        <v>875</v>
      </c>
      <c r="E48" s="645" t="s">
        <v>222</v>
      </c>
      <c r="F48" s="646" t="s">
        <v>884</v>
      </c>
      <c r="G48" s="560">
        <f t="shared" si="8"/>
        <v>11500</v>
      </c>
      <c r="H48" s="560">
        <v>11500</v>
      </c>
      <c r="I48" s="560">
        <v>0</v>
      </c>
      <c r="J48" s="560">
        <v>0</v>
      </c>
      <c r="K48" s="560">
        <v>0</v>
      </c>
      <c r="L48" s="561" t="s">
        <v>905</v>
      </c>
    </row>
    <row r="49" spans="1:12" s="562" customFormat="1" ht="34.5" customHeight="1" x14ac:dyDescent="0.2">
      <c r="A49" s="554">
        <v>7</v>
      </c>
      <c r="B49" s="555" t="s">
        <v>517</v>
      </c>
      <c r="C49" s="556">
        <v>4377</v>
      </c>
      <c r="D49" s="557" t="s">
        <v>875</v>
      </c>
      <c r="E49" s="645" t="s">
        <v>222</v>
      </c>
      <c r="F49" s="646" t="s">
        <v>916</v>
      </c>
      <c r="G49" s="560">
        <f t="shared" si="8"/>
        <v>15000</v>
      </c>
      <c r="H49" s="560">
        <v>15000</v>
      </c>
      <c r="I49" s="560">
        <v>0</v>
      </c>
      <c r="J49" s="560">
        <v>0</v>
      </c>
      <c r="K49" s="560">
        <v>0</v>
      </c>
      <c r="L49" s="561" t="s">
        <v>905</v>
      </c>
    </row>
    <row r="50" spans="1:12" s="562" customFormat="1" ht="34.5" customHeight="1" x14ac:dyDescent="0.2">
      <c r="A50" s="554">
        <v>7</v>
      </c>
      <c r="B50" s="555" t="s">
        <v>969</v>
      </c>
      <c r="C50" s="556">
        <v>4392</v>
      </c>
      <c r="D50" s="557" t="s">
        <v>875</v>
      </c>
      <c r="E50" s="645" t="s">
        <v>222</v>
      </c>
      <c r="F50" s="646" t="s">
        <v>884</v>
      </c>
      <c r="G50" s="560">
        <f t="shared" si="8"/>
        <v>4000</v>
      </c>
      <c r="H50" s="560">
        <v>4000</v>
      </c>
      <c r="I50" s="560">
        <v>0</v>
      </c>
      <c r="J50" s="560">
        <v>0</v>
      </c>
      <c r="K50" s="560">
        <v>0</v>
      </c>
      <c r="L50" s="561" t="s">
        <v>905</v>
      </c>
    </row>
    <row r="51" spans="1:12" s="562" customFormat="1" ht="34.5" customHeight="1" x14ac:dyDescent="0.2">
      <c r="A51" s="554">
        <v>7</v>
      </c>
      <c r="B51" s="555" t="s">
        <v>518</v>
      </c>
      <c r="C51" s="556">
        <v>4393</v>
      </c>
      <c r="D51" s="557" t="s">
        <v>875</v>
      </c>
      <c r="E51" s="645" t="s">
        <v>222</v>
      </c>
      <c r="F51" s="646" t="s">
        <v>884</v>
      </c>
      <c r="G51" s="560">
        <f t="shared" si="8"/>
        <v>25000</v>
      </c>
      <c r="H51" s="560">
        <v>25000</v>
      </c>
      <c r="I51" s="560">
        <v>0</v>
      </c>
      <c r="J51" s="560">
        <v>0</v>
      </c>
      <c r="K51" s="560">
        <v>0</v>
      </c>
      <c r="L51" s="561" t="s">
        <v>921</v>
      </c>
    </row>
    <row r="52" spans="1:12" s="562" customFormat="1" ht="34.5" customHeight="1" x14ac:dyDescent="0.2">
      <c r="A52" s="554">
        <v>7</v>
      </c>
      <c r="B52" s="555" t="s">
        <v>922</v>
      </c>
      <c r="C52" s="556">
        <v>4397</v>
      </c>
      <c r="D52" s="557" t="s">
        <v>875</v>
      </c>
      <c r="E52" s="645" t="s">
        <v>222</v>
      </c>
      <c r="F52" s="646" t="s">
        <v>894</v>
      </c>
      <c r="G52" s="560">
        <f t="shared" si="8"/>
        <v>34500</v>
      </c>
      <c r="H52" s="560">
        <v>19500</v>
      </c>
      <c r="I52" s="560">
        <v>15000</v>
      </c>
      <c r="J52" s="560">
        <v>0</v>
      </c>
      <c r="K52" s="560">
        <v>0</v>
      </c>
      <c r="L52" s="561" t="s">
        <v>905</v>
      </c>
    </row>
    <row r="53" spans="1:12" s="562" customFormat="1" ht="34.5" customHeight="1" x14ac:dyDescent="0.2">
      <c r="A53" s="554">
        <v>7</v>
      </c>
      <c r="B53" s="555" t="s">
        <v>519</v>
      </c>
      <c r="C53" s="556">
        <v>4401</v>
      </c>
      <c r="D53" s="557" t="s">
        <v>875</v>
      </c>
      <c r="E53" s="645" t="s">
        <v>222</v>
      </c>
      <c r="F53" s="646" t="s">
        <v>884</v>
      </c>
      <c r="G53" s="560">
        <f t="shared" si="8"/>
        <v>10000</v>
      </c>
      <c r="H53" s="560">
        <v>10000</v>
      </c>
      <c r="I53" s="560">
        <v>0</v>
      </c>
      <c r="J53" s="560">
        <v>0</v>
      </c>
      <c r="K53" s="560">
        <v>0</v>
      </c>
      <c r="L53" s="561" t="s">
        <v>921</v>
      </c>
    </row>
    <row r="54" spans="1:12" s="562" customFormat="1" ht="34.5" customHeight="1" x14ac:dyDescent="0.2">
      <c r="A54" s="554">
        <v>7</v>
      </c>
      <c r="B54" s="555" t="s">
        <v>978</v>
      </c>
      <c r="C54" s="556">
        <v>4412</v>
      </c>
      <c r="D54" s="557" t="s">
        <v>875</v>
      </c>
      <c r="E54" s="645" t="s">
        <v>222</v>
      </c>
      <c r="F54" s="646" t="s">
        <v>894</v>
      </c>
      <c r="G54" s="560">
        <f t="shared" si="8"/>
        <v>20000</v>
      </c>
      <c r="H54" s="560">
        <v>10000</v>
      </c>
      <c r="I54" s="560">
        <v>10000</v>
      </c>
      <c r="J54" s="560">
        <v>0</v>
      </c>
      <c r="K54" s="560">
        <v>0</v>
      </c>
      <c r="L54" s="561" t="s">
        <v>921</v>
      </c>
    </row>
    <row r="55" spans="1:12" s="562" customFormat="1" ht="42" x14ac:dyDescent="0.2">
      <c r="A55" s="554">
        <v>7</v>
      </c>
      <c r="B55" s="555" t="s">
        <v>970</v>
      </c>
      <c r="C55" s="556">
        <v>5837</v>
      </c>
      <c r="D55" s="557" t="s">
        <v>868</v>
      </c>
      <c r="E55" s="558">
        <v>135000</v>
      </c>
      <c r="F55" s="559" t="s">
        <v>923</v>
      </c>
      <c r="G55" s="560">
        <f t="shared" si="8"/>
        <v>129449</v>
      </c>
      <c r="H55" s="560">
        <v>20500</v>
      </c>
      <c r="I55" s="560">
        <v>108949</v>
      </c>
      <c r="J55" s="560">
        <v>0</v>
      </c>
      <c r="K55" s="560">
        <v>0</v>
      </c>
      <c r="L55" s="561" t="s">
        <v>900</v>
      </c>
    </row>
    <row r="56" spans="1:12" s="562" customFormat="1" ht="42" x14ac:dyDescent="0.2">
      <c r="A56" s="554">
        <v>7</v>
      </c>
      <c r="B56" s="555" t="s">
        <v>521</v>
      </c>
      <c r="C56" s="556">
        <v>5879</v>
      </c>
      <c r="D56" s="557" t="s">
        <v>868</v>
      </c>
      <c r="E56" s="558">
        <v>72300</v>
      </c>
      <c r="F56" s="559" t="s">
        <v>924</v>
      </c>
      <c r="G56" s="560">
        <f t="shared" si="8"/>
        <v>37735</v>
      </c>
      <c r="H56" s="560">
        <v>37735</v>
      </c>
      <c r="I56" s="560">
        <v>0</v>
      </c>
      <c r="J56" s="560">
        <v>0</v>
      </c>
      <c r="K56" s="560">
        <v>0</v>
      </c>
      <c r="L56" s="561" t="s">
        <v>900</v>
      </c>
    </row>
    <row r="57" spans="1:12" s="562" customFormat="1" ht="34.5" customHeight="1" x14ac:dyDescent="0.2">
      <c r="A57" s="554">
        <v>7</v>
      </c>
      <c r="B57" s="555" t="s">
        <v>925</v>
      </c>
      <c r="C57" s="556">
        <v>4276</v>
      </c>
      <c r="D57" s="557" t="s">
        <v>875</v>
      </c>
      <c r="E57" s="645" t="s">
        <v>222</v>
      </c>
      <c r="F57" s="649"/>
      <c r="G57" s="560">
        <f t="shared" si="8"/>
        <v>25000</v>
      </c>
      <c r="H57" s="560">
        <v>25000</v>
      </c>
      <c r="I57" s="560">
        <v>0</v>
      </c>
      <c r="J57" s="560">
        <v>0</v>
      </c>
      <c r="K57" s="560">
        <v>0</v>
      </c>
      <c r="L57" s="561" t="s">
        <v>926</v>
      </c>
    </row>
    <row r="58" spans="1:12" s="562" customFormat="1" ht="34.5" customHeight="1" x14ac:dyDescent="0.2">
      <c r="A58" s="554">
        <v>7</v>
      </c>
      <c r="B58" s="555" t="s">
        <v>522</v>
      </c>
      <c r="C58" s="556">
        <v>4080</v>
      </c>
      <c r="D58" s="557" t="s">
        <v>875</v>
      </c>
      <c r="E58" s="571" t="s">
        <v>251</v>
      </c>
      <c r="F58" s="572"/>
      <c r="G58" s="560">
        <f t="shared" si="8"/>
        <v>80000</v>
      </c>
      <c r="H58" s="560">
        <v>30000</v>
      </c>
      <c r="I58" s="560">
        <v>50000</v>
      </c>
      <c r="J58" s="560">
        <v>0</v>
      </c>
      <c r="K58" s="560">
        <v>0</v>
      </c>
      <c r="L58" s="561" t="s">
        <v>919</v>
      </c>
    </row>
    <row r="59" spans="1:12" s="562" customFormat="1" ht="42" x14ac:dyDescent="0.2">
      <c r="A59" s="554">
        <v>7</v>
      </c>
      <c r="B59" s="555" t="s">
        <v>979</v>
      </c>
      <c r="C59" s="556">
        <v>4430</v>
      </c>
      <c r="D59" s="557" t="s">
        <v>868</v>
      </c>
      <c r="E59" s="558">
        <v>115500</v>
      </c>
      <c r="F59" s="559" t="s">
        <v>886</v>
      </c>
      <c r="G59" s="560">
        <f t="shared" si="8"/>
        <v>111000</v>
      </c>
      <c r="H59" s="560">
        <v>30000</v>
      </c>
      <c r="I59" s="560">
        <v>81000</v>
      </c>
      <c r="J59" s="560">
        <v>0</v>
      </c>
      <c r="K59" s="560">
        <v>0</v>
      </c>
      <c r="L59" s="561" t="s">
        <v>900</v>
      </c>
    </row>
    <row r="60" spans="1:12" s="562" customFormat="1" ht="24" customHeight="1" x14ac:dyDescent="0.2">
      <c r="A60" s="554">
        <v>7</v>
      </c>
      <c r="B60" s="555" t="s">
        <v>523</v>
      </c>
      <c r="C60" s="556">
        <v>4435</v>
      </c>
      <c r="D60" s="557" t="s">
        <v>875</v>
      </c>
      <c r="E60" s="645" t="s">
        <v>222</v>
      </c>
      <c r="F60" s="649" t="s">
        <v>884</v>
      </c>
      <c r="G60" s="560">
        <f t="shared" si="8"/>
        <v>17500</v>
      </c>
      <c r="H60" s="560">
        <v>17500</v>
      </c>
      <c r="I60" s="560">
        <v>0</v>
      </c>
      <c r="J60" s="560">
        <v>0</v>
      </c>
      <c r="K60" s="560">
        <v>0</v>
      </c>
      <c r="L60" s="561" t="s">
        <v>895</v>
      </c>
    </row>
    <row r="61" spans="1:12" s="562" customFormat="1" ht="42" x14ac:dyDescent="0.2">
      <c r="A61" s="554">
        <v>7</v>
      </c>
      <c r="B61" s="555" t="s">
        <v>524</v>
      </c>
      <c r="C61" s="556">
        <v>4438</v>
      </c>
      <c r="D61" s="557" t="s">
        <v>875</v>
      </c>
      <c r="E61" s="645" t="s">
        <v>222</v>
      </c>
      <c r="F61" s="649" t="s">
        <v>884</v>
      </c>
      <c r="G61" s="560">
        <f t="shared" si="8"/>
        <v>19200</v>
      </c>
      <c r="H61" s="560">
        <v>19200</v>
      </c>
      <c r="I61" s="560">
        <v>0</v>
      </c>
      <c r="J61" s="560">
        <v>0</v>
      </c>
      <c r="K61" s="560">
        <v>0</v>
      </c>
      <c r="L61" s="561" t="s">
        <v>900</v>
      </c>
    </row>
    <row r="62" spans="1:12" s="562" customFormat="1" ht="42" x14ac:dyDescent="0.2">
      <c r="A62" s="554">
        <v>7</v>
      </c>
      <c r="B62" s="555" t="s">
        <v>927</v>
      </c>
      <c r="C62" s="556">
        <v>4439</v>
      </c>
      <c r="D62" s="557" t="s">
        <v>868</v>
      </c>
      <c r="E62" s="558">
        <v>55500</v>
      </c>
      <c r="F62" s="559" t="s">
        <v>881</v>
      </c>
      <c r="G62" s="560">
        <f t="shared" si="8"/>
        <v>53391</v>
      </c>
      <c r="H62" s="560">
        <v>35000</v>
      </c>
      <c r="I62" s="560">
        <v>18391</v>
      </c>
      <c r="J62" s="560">
        <v>0</v>
      </c>
      <c r="K62" s="560">
        <v>0</v>
      </c>
      <c r="L62" s="561" t="s">
        <v>900</v>
      </c>
    </row>
    <row r="63" spans="1:12" s="562" customFormat="1" ht="42" x14ac:dyDescent="0.2">
      <c r="A63" s="554">
        <v>7</v>
      </c>
      <c r="B63" s="555" t="s">
        <v>525</v>
      </c>
      <c r="C63" s="556">
        <v>4440</v>
      </c>
      <c r="D63" s="557" t="s">
        <v>875</v>
      </c>
      <c r="E63" s="645" t="s">
        <v>222</v>
      </c>
      <c r="F63" s="646"/>
      <c r="G63" s="560">
        <f t="shared" si="8"/>
        <v>10000</v>
      </c>
      <c r="H63" s="560">
        <v>10000</v>
      </c>
      <c r="I63" s="560">
        <v>0</v>
      </c>
      <c r="J63" s="560">
        <v>0</v>
      </c>
      <c r="K63" s="560">
        <v>0</v>
      </c>
      <c r="L63" s="561" t="s">
        <v>900</v>
      </c>
    </row>
    <row r="64" spans="1:12" s="562" customFormat="1" ht="34.5" customHeight="1" x14ac:dyDescent="0.2">
      <c r="A64" s="554">
        <v>7</v>
      </c>
      <c r="B64" s="555" t="s">
        <v>928</v>
      </c>
      <c r="C64" s="556">
        <v>4510</v>
      </c>
      <c r="D64" s="557" t="s">
        <v>875</v>
      </c>
      <c r="E64" s="645" t="s">
        <v>222</v>
      </c>
      <c r="F64" s="646"/>
      <c r="G64" s="560">
        <f t="shared" si="8"/>
        <v>7780</v>
      </c>
      <c r="H64" s="560">
        <v>7780</v>
      </c>
      <c r="I64" s="560">
        <v>0</v>
      </c>
      <c r="J64" s="560">
        <v>0</v>
      </c>
      <c r="K64" s="560">
        <v>0</v>
      </c>
      <c r="L64" s="561" t="s">
        <v>929</v>
      </c>
    </row>
    <row r="65" spans="1:12" s="562" customFormat="1" ht="34.5" customHeight="1" x14ac:dyDescent="0.2">
      <c r="A65" s="554">
        <v>7</v>
      </c>
      <c r="B65" s="555" t="s">
        <v>930</v>
      </c>
      <c r="C65" s="556">
        <v>4511</v>
      </c>
      <c r="D65" s="557" t="s">
        <v>875</v>
      </c>
      <c r="E65" s="645" t="s">
        <v>222</v>
      </c>
      <c r="F65" s="646" t="s">
        <v>884</v>
      </c>
      <c r="G65" s="560">
        <f t="shared" si="8"/>
        <v>10200</v>
      </c>
      <c r="H65" s="560">
        <v>10200</v>
      </c>
      <c r="I65" s="560">
        <v>0</v>
      </c>
      <c r="J65" s="560">
        <v>0</v>
      </c>
      <c r="K65" s="560">
        <v>0</v>
      </c>
      <c r="L65" s="561" t="s">
        <v>929</v>
      </c>
    </row>
    <row r="66" spans="1:12" s="562" customFormat="1" ht="34.5" customHeight="1" x14ac:dyDescent="0.2">
      <c r="A66" s="554">
        <v>7</v>
      </c>
      <c r="B66" s="555" t="s">
        <v>931</v>
      </c>
      <c r="C66" s="556">
        <v>4151</v>
      </c>
      <c r="D66" s="557" t="s">
        <v>868</v>
      </c>
      <c r="E66" s="558">
        <v>61000</v>
      </c>
      <c r="F66" s="559" t="s">
        <v>932</v>
      </c>
      <c r="G66" s="560">
        <f t="shared" si="8"/>
        <v>36885</v>
      </c>
      <c r="H66" s="560">
        <v>36885</v>
      </c>
      <c r="I66" s="560">
        <v>0</v>
      </c>
      <c r="J66" s="560">
        <v>0</v>
      </c>
      <c r="K66" s="560">
        <v>0</v>
      </c>
      <c r="L66" s="561" t="s">
        <v>933</v>
      </c>
    </row>
    <row r="67" spans="1:12" s="562" customFormat="1" ht="45" customHeight="1" x14ac:dyDescent="0.2">
      <c r="A67" s="554">
        <v>7</v>
      </c>
      <c r="B67" s="555" t="s">
        <v>934</v>
      </c>
      <c r="C67" s="556">
        <v>4536</v>
      </c>
      <c r="D67" s="557" t="s">
        <v>935</v>
      </c>
      <c r="E67" s="558">
        <v>170000</v>
      </c>
      <c r="F67" s="559" t="s">
        <v>884</v>
      </c>
      <c r="G67" s="560">
        <f t="shared" si="8"/>
        <v>94500</v>
      </c>
      <c r="H67" s="560">
        <v>94500</v>
      </c>
      <c r="I67" s="560">
        <v>0</v>
      </c>
      <c r="J67" s="560">
        <v>0</v>
      </c>
      <c r="K67" s="560">
        <v>0</v>
      </c>
      <c r="L67" s="561" t="s">
        <v>936</v>
      </c>
    </row>
    <row r="68" spans="1:12" s="562" customFormat="1" ht="24" customHeight="1" x14ac:dyDescent="0.2">
      <c r="A68" s="554">
        <v>7</v>
      </c>
      <c r="B68" s="555" t="s">
        <v>937</v>
      </c>
      <c r="C68" s="556">
        <v>4551</v>
      </c>
      <c r="D68" s="557" t="s">
        <v>875</v>
      </c>
      <c r="E68" s="645" t="s">
        <v>222</v>
      </c>
      <c r="F68" s="646" t="s">
        <v>904</v>
      </c>
      <c r="G68" s="560">
        <f t="shared" si="8"/>
        <v>20500</v>
      </c>
      <c r="H68" s="560">
        <v>7500</v>
      </c>
      <c r="I68" s="560">
        <v>13000</v>
      </c>
      <c r="J68" s="560">
        <v>0</v>
      </c>
      <c r="K68" s="560">
        <v>0</v>
      </c>
      <c r="L68" s="561" t="s">
        <v>938</v>
      </c>
    </row>
    <row r="69" spans="1:12" s="562" customFormat="1" ht="24" customHeight="1" x14ac:dyDescent="0.2">
      <c r="A69" s="554">
        <v>7</v>
      </c>
      <c r="B69" s="555" t="s">
        <v>939</v>
      </c>
      <c r="C69" s="556">
        <v>4576</v>
      </c>
      <c r="D69" s="557" t="s">
        <v>875</v>
      </c>
      <c r="E69" s="645" t="s">
        <v>222</v>
      </c>
      <c r="F69" s="646" t="s">
        <v>904</v>
      </c>
      <c r="G69" s="560">
        <f t="shared" si="8"/>
        <v>20000</v>
      </c>
      <c r="H69" s="560">
        <v>10000</v>
      </c>
      <c r="I69" s="560">
        <v>10000</v>
      </c>
      <c r="J69" s="560">
        <v>0</v>
      </c>
      <c r="K69" s="560">
        <v>0</v>
      </c>
      <c r="L69" s="561" t="s">
        <v>938</v>
      </c>
    </row>
    <row r="70" spans="1:12" s="562" customFormat="1" ht="24" customHeight="1" x14ac:dyDescent="0.2">
      <c r="A70" s="554">
        <v>7</v>
      </c>
      <c r="B70" s="555" t="s">
        <v>940</v>
      </c>
      <c r="C70" s="556">
        <v>4588</v>
      </c>
      <c r="D70" s="557" t="s">
        <v>875</v>
      </c>
      <c r="E70" s="645" t="s">
        <v>222</v>
      </c>
      <c r="F70" s="646" t="s">
        <v>872</v>
      </c>
      <c r="G70" s="560">
        <f t="shared" si="8"/>
        <v>25000</v>
      </c>
      <c r="H70" s="560">
        <v>25000</v>
      </c>
      <c r="I70" s="560">
        <v>0</v>
      </c>
      <c r="J70" s="560">
        <v>0</v>
      </c>
      <c r="K70" s="560">
        <v>0</v>
      </c>
      <c r="L70" s="561" t="s">
        <v>938</v>
      </c>
    </row>
    <row r="71" spans="1:12" s="562" customFormat="1" ht="24" customHeight="1" x14ac:dyDescent="0.2">
      <c r="A71" s="554">
        <v>7</v>
      </c>
      <c r="B71" s="555" t="s">
        <v>941</v>
      </c>
      <c r="C71" s="556">
        <v>4632</v>
      </c>
      <c r="D71" s="557" t="s">
        <v>875</v>
      </c>
      <c r="E71" s="645" t="s">
        <v>222</v>
      </c>
      <c r="F71" s="646" t="s">
        <v>872</v>
      </c>
      <c r="G71" s="560">
        <f t="shared" si="8"/>
        <v>3000</v>
      </c>
      <c r="H71" s="560">
        <v>3000</v>
      </c>
      <c r="I71" s="560">
        <v>0</v>
      </c>
      <c r="J71" s="560">
        <v>0</v>
      </c>
      <c r="K71" s="560">
        <v>0</v>
      </c>
      <c r="L71" s="561" t="s">
        <v>938</v>
      </c>
    </row>
    <row r="72" spans="1:12" s="562" customFormat="1" ht="24" customHeight="1" x14ac:dyDescent="0.2">
      <c r="A72" s="554">
        <v>7</v>
      </c>
      <c r="B72" s="555" t="s">
        <v>942</v>
      </c>
      <c r="C72" s="556">
        <v>4642</v>
      </c>
      <c r="D72" s="557" t="s">
        <v>875</v>
      </c>
      <c r="E72" s="645" t="s">
        <v>222</v>
      </c>
      <c r="F72" s="646" t="s">
        <v>872</v>
      </c>
      <c r="G72" s="560">
        <f t="shared" si="8"/>
        <v>10000</v>
      </c>
      <c r="H72" s="560">
        <v>10000</v>
      </c>
      <c r="I72" s="560">
        <v>0</v>
      </c>
      <c r="J72" s="560">
        <v>0</v>
      </c>
      <c r="K72" s="560">
        <v>0</v>
      </c>
      <c r="L72" s="561" t="s">
        <v>938</v>
      </c>
    </row>
    <row r="73" spans="1:12" s="562" customFormat="1" ht="24" customHeight="1" x14ac:dyDescent="0.2">
      <c r="A73" s="554">
        <v>7</v>
      </c>
      <c r="B73" s="555" t="s">
        <v>943</v>
      </c>
      <c r="C73" s="556">
        <v>4646</v>
      </c>
      <c r="D73" s="557" t="s">
        <v>875</v>
      </c>
      <c r="E73" s="645" t="s">
        <v>222</v>
      </c>
      <c r="F73" s="646" t="s">
        <v>884</v>
      </c>
      <c r="G73" s="560">
        <f t="shared" si="8"/>
        <v>10000</v>
      </c>
      <c r="H73" s="560">
        <v>10000</v>
      </c>
      <c r="I73" s="560">
        <v>0</v>
      </c>
      <c r="J73" s="560">
        <v>0</v>
      </c>
      <c r="K73" s="560">
        <v>0</v>
      </c>
      <c r="L73" s="561" t="s">
        <v>938</v>
      </c>
    </row>
    <row r="74" spans="1:12" s="562" customFormat="1" ht="24" customHeight="1" x14ac:dyDescent="0.2">
      <c r="A74" s="554">
        <v>7</v>
      </c>
      <c r="B74" s="555" t="s">
        <v>944</v>
      </c>
      <c r="C74" s="556">
        <v>4647</v>
      </c>
      <c r="D74" s="557" t="s">
        <v>875</v>
      </c>
      <c r="E74" s="645" t="s">
        <v>222</v>
      </c>
      <c r="F74" s="646" t="s">
        <v>904</v>
      </c>
      <c r="G74" s="560">
        <f t="shared" si="8"/>
        <v>8100</v>
      </c>
      <c r="H74" s="560">
        <v>4300</v>
      </c>
      <c r="I74" s="560">
        <v>3800</v>
      </c>
      <c r="J74" s="560">
        <v>0</v>
      </c>
      <c r="K74" s="560">
        <v>0</v>
      </c>
      <c r="L74" s="561" t="s">
        <v>938</v>
      </c>
    </row>
    <row r="75" spans="1:12" s="562" customFormat="1" ht="34.5" customHeight="1" x14ac:dyDescent="0.2">
      <c r="A75" s="554">
        <v>7</v>
      </c>
      <c r="B75" s="555" t="s">
        <v>945</v>
      </c>
      <c r="C75" s="556">
        <v>4650</v>
      </c>
      <c r="D75" s="557" t="s">
        <v>875</v>
      </c>
      <c r="E75" s="645" t="s">
        <v>222</v>
      </c>
      <c r="F75" s="646" t="s">
        <v>872</v>
      </c>
      <c r="G75" s="560">
        <f t="shared" si="8"/>
        <v>2650</v>
      </c>
      <c r="H75" s="560">
        <v>2650</v>
      </c>
      <c r="I75" s="560">
        <v>0</v>
      </c>
      <c r="J75" s="560">
        <v>0</v>
      </c>
      <c r="K75" s="560">
        <v>0</v>
      </c>
      <c r="L75" s="561" t="s">
        <v>938</v>
      </c>
    </row>
    <row r="76" spans="1:12" s="562" customFormat="1" ht="24" customHeight="1" x14ac:dyDescent="0.2">
      <c r="A76" s="554">
        <v>7</v>
      </c>
      <c r="B76" s="555" t="s">
        <v>946</v>
      </c>
      <c r="C76" s="556">
        <v>4651</v>
      </c>
      <c r="D76" s="557" t="s">
        <v>875</v>
      </c>
      <c r="E76" s="645" t="s">
        <v>222</v>
      </c>
      <c r="F76" s="646" t="s">
        <v>872</v>
      </c>
      <c r="G76" s="560">
        <f t="shared" si="8"/>
        <v>2000</v>
      </c>
      <c r="H76" s="560">
        <v>2000</v>
      </c>
      <c r="I76" s="560">
        <v>0</v>
      </c>
      <c r="J76" s="560">
        <v>0</v>
      </c>
      <c r="K76" s="560">
        <v>0</v>
      </c>
      <c r="L76" s="561" t="s">
        <v>938</v>
      </c>
    </row>
    <row r="77" spans="1:12" s="562" customFormat="1" ht="24" customHeight="1" x14ac:dyDescent="0.2">
      <c r="A77" s="554">
        <v>7</v>
      </c>
      <c r="B77" s="555" t="s">
        <v>947</v>
      </c>
      <c r="C77" s="556">
        <v>4652</v>
      </c>
      <c r="D77" s="557" t="s">
        <v>875</v>
      </c>
      <c r="E77" s="645" t="s">
        <v>222</v>
      </c>
      <c r="F77" s="646" t="s">
        <v>872</v>
      </c>
      <c r="G77" s="560">
        <f t="shared" si="8"/>
        <v>3000</v>
      </c>
      <c r="H77" s="560">
        <v>3000</v>
      </c>
      <c r="I77" s="560">
        <v>0</v>
      </c>
      <c r="J77" s="560">
        <v>0</v>
      </c>
      <c r="K77" s="560">
        <v>0</v>
      </c>
      <c r="L77" s="561" t="s">
        <v>938</v>
      </c>
    </row>
    <row r="78" spans="1:12" s="562" customFormat="1" ht="24" customHeight="1" x14ac:dyDescent="0.2">
      <c r="A78" s="554">
        <v>7</v>
      </c>
      <c r="B78" s="555" t="s">
        <v>948</v>
      </c>
      <c r="C78" s="556">
        <v>4656</v>
      </c>
      <c r="D78" s="557" t="s">
        <v>875</v>
      </c>
      <c r="E78" s="645" t="s">
        <v>222</v>
      </c>
      <c r="F78" s="646" t="s">
        <v>872</v>
      </c>
      <c r="G78" s="560">
        <f t="shared" si="8"/>
        <v>3700</v>
      </c>
      <c r="H78" s="560">
        <v>3700</v>
      </c>
      <c r="I78" s="560">
        <v>0</v>
      </c>
      <c r="J78" s="560">
        <v>0</v>
      </c>
      <c r="K78" s="560">
        <v>0</v>
      </c>
      <c r="L78" s="561" t="s">
        <v>938</v>
      </c>
    </row>
    <row r="79" spans="1:12" s="562" customFormat="1" ht="34.5" customHeight="1" x14ac:dyDescent="0.2">
      <c r="A79" s="554">
        <v>7</v>
      </c>
      <c r="B79" s="555" t="s">
        <v>949</v>
      </c>
      <c r="C79" s="556">
        <v>4658</v>
      </c>
      <c r="D79" s="557" t="s">
        <v>875</v>
      </c>
      <c r="E79" s="645" t="s">
        <v>222</v>
      </c>
      <c r="F79" s="646" t="s">
        <v>872</v>
      </c>
      <c r="G79" s="560">
        <f t="shared" si="8"/>
        <v>15000</v>
      </c>
      <c r="H79" s="560">
        <v>15000</v>
      </c>
      <c r="I79" s="560">
        <v>0</v>
      </c>
      <c r="J79" s="560">
        <v>0</v>
      </c>
      <c r="K79" s="560">
        <v>0</v>
      </c>
      <c r="L79" s="561" t="s">
        <v>869</v>
      </c>
    </row>
    <row r="80" spans="1:12" s="562" customFormat="1" ht="34.5" customHeight="1" x14ac:dyDescent="0.2">
      <c r="A80" s="554">
        <v>7</v>
      </c>
      <c r="B80" s="555" t="s">
        <v>950</v>
      </c>
      <c r="C80" s="556">
        <v>4659</v>
      </c>
      <c r="D80" s="557" t="s">
        <v>875</v>
      </c>
      <c r="E80" s="645" t="s">
        <v>222</v>
      </c>
      <c r="F80" s="646" t="s">
        <v>872</v>
      </c>
      <c r="G80" s="560">
        <f t="shared" si="8"/>
        <v>15900</v>
      </c>
      <c r="H80" s="560">
        <v>15900</v>
      </c>
      <c r="I80" s="560">
        <v>0</v>
      </c>
      <c r="J80" s="560">
        <v>0</v>
      </c>
      <c r="K80" s="560">
        <v>0</v>
      </c>
      <c r="L80" s="561" t="s">
        <v>869</v>
      </c>
    </row>
    <row r="81" spans="1:12" s="562" customFormat="1" ht="34.5" customHeight="1" x14ac:dyDescent="0.2">
      <c r="A81" s="554">
        <v>7</v>
      </c>
      <c r="B81" s="555" t="s">
        <v>951</v>
      </c>
      <c r="C81" s="556">
        <v>4661</v>
      </c>
      <c r="D81" s="557" t="s">
        <v>875</v>
      </c>
      <c r="E81" s="645" t="s">
        <v>222</v>
      </c>
      <c r="F81" s="646" t="s">
        <v>872</v>
      </c>
      <c r="G81" s="560">
        <f t="shared" si="8"/>
        <v>12500</v>
      </c>
      <c r="H81" s="560">
        <v>12500</v>
      </c>
      <c r="I81" s="560">
        <v>0</v>
      </c>
      <c r="J81" s="560">
        <v>0</v>
      </c>
      <c r="K81" s="560">
        <v>0</v>
      </c>
      <c r="L81" s="561" t="s">
        <v>869</v>
      </c>
    </row>
    <row r="82" spans="1:12" s="562" customFormat="1" ht="34.5" customHeight="1" x14ac:dyDescent="0.2">
      <c r="A82" s="554">
        <v>7</v>
      </c>
      <c r="B82" s="555" t="s">
        <v>952</v>
      </c>
      <c r="C82" s="556">
        <v>4662</v>
      </c>
      <c r="D82" s="557" t="s">
        <v>875</v>
      </c>
      <c r="E82" s="645" t="s">
        <v>222</v>
      </c>
      <c r="F82" s="646" t="s">
        <v>872</v>
      </c>
      <c r="G82" s="560">
        <f t="shared" si="8"/>
        <v>4000</v>
      </c>
      <c r="H82" s="560">
        <v>4000</v>
      </c>
      <c r="I82" s="560">
        <v>0</v>
      </c>
      <c r="J82" s="560">
        <v>0</v>
      </c>
      <c r="K82" s="560">
        <v>0</v>
      </c>
      <c r="L82" s="561" t="s">
        <v>869</v>
      </c>
    </row>
    <row r="83" spans="1:12" s="562" customFormat="1" ht="34.5" customHeight="1" x14ac:dyDescent="0.2">
      <c r="A83" s="554">
        <v>7</v>
      </c>
      <c r="B83" s="555" t="s">
        <v>953</v>
      </c>
      <c r="C83" s="556">
        <v>4664</v>
      </c>
      <c r="D83" s="557" t="s">
        <v>875</v>
      </c>
      <c r="E83" s="645" t="s">
        <v>222</v>
      </c>
      <c r="F83" s="646" t="s">
        <v>872</v>
      </c>
      <c r="G83" s="560">
        <f t="shared" si="8"/>
        <v>12500</v>
      </c>
      <c r="H83" s="560">
        <v>12500</v>
      </c>
      <c r="I83" s="560">
        <v>0</v>
      </c>
      <c r="J83" s="560">
        <v>0</v>
      </c>
      <c r="K83" s="560">
        <v>0</v>
      </c>
      <c r="L83" s="561" t="s">
        <v>869</v>
      </c>
    </row>
    <row r="84" spans="1:12" s="562" customFormat="1" ht="34.5" customHeight="1" x14ac:dyDescent="0.2">
      <c r="A84" s="554"/>
      <c r="B84" s="555" t="s">
        <v>520</v>
      </c>
      <c r="C84" s="556">
        <v>4405</v>
      </c>
      <c r="D84" s="557" t="s">
        <v>875</v>
      </c>
      <c r="E84" s="645" t="s">
        <v>222</v>
      </c>
      <c r="F84" s="646"/>
      <c r="G84" s="560">
        <f t="shared" si="8"/>
        <v>5000</v>
      </c>
      <c r="H84" s="560">
        <v>5000</v>
      </c>
      <c r="I84" s="560">
        <v>0</v>
      </c>
      <c r="J84" s="560">
        <v>0</v>
      </c>
      <c r="K84" s="560">
        <v>0</v>
      </c>
      <c r="L84" s="561" t="s">
        <v>954</v>
      </c>
    </row>
    <row r="85" spans="1:12" s="562" customFormat="1" ht="45.75" customHeight="1" thickBot="1" x14ac:dyDescent="0.25">
      <c r="A85" s="554">
        <v>14</v>
      </c>
      <c r="B85" s="589" t="s">
        <v>971</v>
      </c>
      <c r="C85" s="590">
        <v>4264</v>
      </c>
      <c r="D85" s="591" t="s">
        <v>871</v>
      </c>
      <c r="E85" s="592">
        <v>191000</v>
      </c>
      <c r="F85" s="593" t="s">
        <v>918</v>
      </c>
      <c r="G85" s="594">
        <f t="shared" si="8"/>
        <v>178000</v>
      </c>
      <c r="H85" s="594">
        <v>178000</v>
      </c>
      <c r="I85" s="594">
        <v>0</v>
      </c>
      <c r="J85" s="594">
        <v>0</v>
      </c>
      <c r="K85" s="594">
        <v>0</v>
      </c>
      <c r="L85" s="595" t="s">
        <v>879</v>
      </c>
    </row>
    <row r="86" spans="1:12" s="562" customFormat="1" ht="15.75" customHeight="1" thickBot="1" x14ac:dyDescent="0.25">
      <c r="A86" s="554"/>
      <c r="B86" s="602" t="s">
        <v>102</v>
      </c>
      <c r="C86" s="581"/>
      <c r="D86" s="582"/>
      <c r="E86" s="603"/>
      <c r="F86" s="598"/>
      <c r="G86" s="585">
        <f>SUM(G41:G85)</f>
        <v>1423415.05</v>
      </c>
      <c r="H86" s="585">
        <f t="shared" ref="H86:K86" si="9">SUM(H41:H85)</f>
        <v>1030275.05</v>
      </c>
      <c r="I86" s="585">
        <f t="shared" si="9"/>
        <v>393140</v>
      </c>
      <c r="J86" s="585">
        <f t="shared" si="9"/>
        <v>0</v>
      </c>
      <c r="K86" s="585">
        <f t="shared" si="9"/>
        <v>0</v>
      </c>
      <c r="L86" s="586"/>
    </row>
    <row r="87" spans="1:12" s="553" customFormat="1" ht="18" customHeight="1" x14ac:dyDescent="0.2">
      <c r="A87" s="546"/>
      <c r="B87" s="547" t="s">
        <v>103</v>
      </c>
      <c r="C87" s="548"/>
      <c r="D87" s="546"/>
      <c r="E87" s="549"/>
      <c r="F87" s="550"/>
      <c r="G87" s="551"/>
      <c r="H87" s="551"/>
      <c r="I87" s="551"/>
      <c r="J87" s="551"/>
      <c r="K87" s="551"/>
      <c r="L87" s="552"/>
    </row>
    <row r="88" spans="1:12" s="562" customFormat="1" ht="45" customHeight="1" x14ac:dyDescent="0.2">
      <c r="A88" s="554">
        <v>7</v>
      </c>
      <c r="B88" s="555" t="s">
        <v>955</v>
      </c>
      <c r="C88" s="556">
        <v>5100</v>
      </c>
      <c r="D88" s="557" t="s">
        <v>956</v>
      </c>
      <c r="E88" s="571" t="s">
        <v>222</v>
      </c>
      <c r="F88" s="572"/>
      <c r="G88" s="560">
        <f t="shared" ref="G88:G93" si="10">SUM(H88:K88)</f>
        <v>139950</v>
      </c>
      <c r="H88" s="560">
        <v>19492</v>
      </c>
      <c r="I88" s="560">
        <v>19672</v>
      </c>
      <c r="J88" s="560">
        <v>19837</v>
      </c>
      <c r="K88" s="560">
        <v>80949</v>
      </c>
      <c r="L88" s="561" t="s">
        <v>957</v>
      </c>
    </row>
    <row r="89" spans="1:12" s="562" customFormat="1" ht="34.5" customHeight="1" x14ac:dyDescent="0.2">
      <c r="A89" s="554">
        <v>7</v>
      </c>
      <c r="B89" s="555" t="s">
        <v>958</v>
      </c>
      <c r="C89" s="556">
        <v>4215</v>
      </c>
      <c r="D89" s="557" t="s">
        <v>875</v>
      </c>
      <c r="E89" s="571" t="s">
        <v>222</v>
      </c>
      <c r="F89" s="572"/>
      <c r="G89" s="560">
        <f t="shared" si="10"/>
        <v>91000</v>
      </c>
      <c r="H89" s="560">
        <v>45500</v>
      </c>
      <c r="I89" s="560">
        <v>45500</v>
      </c>
      <c r="J89" s="560">
        <v>0</v>
      </c>
      <c r="K89" s="560">
        <v>0</v>
      </c>
      <c r="L89" s="561" t="s">
        <v>959</v>
      </c>
    </row>
    <row r="90" spans="1:12" s="562" customFormat="1" ht="34.5" customHeight="1" x14ac:dyDescent="0.2">
      <c r="A90" s="554">
        <v>7</v>
      </c>
      <c r="B90" s="555" t="s">
        <v>960</v>
      </c>
      <c r="C90" s="556">
        <v>4408</v>
      </c>
      <c r="D90" s="557" t="s">
        <v>875</v>
      </c>
      <c r="E90" s="571" t="s">
        <v>222</v>
      </c>
      <c r="F90" s="572"/>
      <c r="G90" s="560">
        <f t="shared" si="10"/>
        <v>35000</v>
      </c>
      <c r="H90" s="560">
        <v>35000</v>
      </c>
      <c r="I90" s="560">
        <v>0</v>
      </c>
      <c r="J90" s="560">
        <v>0</v>
      </c>
      <c r="K90" s="560">
        <v>0</v>
      </c>
      <c r="L90" s="561" t="s">
        <v>961</v>
      </c>
    </row>
    <row r="91" spans="1:12" s="562" customFormat="1" ht="24" customHeight="1" x14ac:dyDescent="0.2">
      <c r="A91" s="554">
        <v>7</v>
      </c>
      <c r="B91" s="555" t="s">
        <v>962</v>
      </c>
      <c r="C91" s="556">
        <v>4686</v>
      </c>
      <c r="D91" s="557" t="s">
        <v>875</v>
      </c>
      <c r="E91" s="571" t="s">
        <v>222</v>
      </c>
      <c r="F91" s="572"/>
      <c r="G91" s="560">
        <f t="shared" si="10"/>
        <v>14400</v>
      </c>
      <c r="H91" s="560">
        <v>14400</v>
      </c>
      <c r="I91" s="560">
        <v>0</v>
      </c>
      <c r="J91" s="560">
        <v>0</v>
      </c>
      <c r="K91" s="560">
        <v>0</v>
      </c>
      <c r="L91" s="561" t="s">
        <v>938</v>
      </c>
    </row>
    <row r="92" spans="1:12" s="562" customFormat="1" ht="24" customHeight="1" x14ac:dyDescent="0.2">
      <c r="A92" s="554">
        <v>7</v>
      </c>
      <c r="B92" s="555" t="s">
        <v>963</v>
      </c>
      <c r="C92" s="556">
        <v>4687</v>
      </c>
      <c r="D92" s="557" t="s">
        <v>875</v>
      </c>
      <c r="E92" s="571" t="s">
        <v>222</v>
      </c>
      <c r="F92" s="572"/>
      <c r="G92" s="560">
        <f t="shared" si="10"/>
        <v>15000</v>
      </c>
      <c r="H92" s="560">
        <v>7500</v>
      </c>
      <c r="I92" s="560">
        <v>7500</v>
      </c>
      <c r="J92" s="560">
        <v>0</v>
      </c>
      <c r="K92" s="560">
        <v>0</v>
      </c>
      <c r="L92" s="561" t="s">
        <v>938</v>
      </c>
    </row>
    <row r="93" spans="1:12" s="562" customFormat="1" ht="34.5" customHeight="1" thickBot="1" x14ac:dyDescent="0.25">
      <c r="A93" s="554">
        <v>9</v>
      </c>
      <c r="B93" s="589" t="s">
        <v>964</v>
      </c>
      <c r="C93" s="590">
        <v>5912</v>
      </c>
      <c r="D93" s="591" t="s">
        <v>878</v>
      </c>
      <c r="E93" s="647" t="s">
        <v>251</v>
      </c>
      <c r="F93" s="648"/>
      <c r="G93" s="594">
        <f t="shared" si="10"/>
        <v>75000</v>
      </c>
      <c r="H93" s="594">
        <v>75000</v>
      </c>
      <c r="I93" s="594">
        <v>0</v>
      </c>
      <c r="J93" s="594">
        <v>0</v>
      </c>
      <c r="K93" s="594">
        <v>0</v>
      </c>
      <c r="L93" s="595" t="s">
        <v>869</v>
      </c>
    </row>
    <row r="94" spans="1:12" s="562" customFormat="1" ht="15.75" customHeight="1" thickBot="1" x14ac:dyDescent="0.25">
      <c r="A94" s="554"/>
      <c r="B94" s="602" t="s">
        <v>104</v>
      </c>
      <c r="C94" s="581"/>
      <c r="D94" s="582"/>
      <c r="E94" s="603"/>
      <c r="F94" s="598"/>
      <c r="G94" s="585">
        <f>SUM(G88:G93)</f>
        <v>370350</v>
      </c>
      <c r="H94" s="585">
        <f t="shared" ref="H94:K94" si="11">SUM(H88:H93)</f>
        <v>196892</v>
      </c>
      <c r="I94" s="585">
        <f t="shared" si="11"/>
        <v>72672</v>
      </c>
      <c r="J94" s="585">
        <f t="shared" si="11"/>
        <v>19837</v>
      </c>
      <c r="K94" s="585">
        <f t="shared" si="11"/>
        <v>80949</v>
      </c>
      <c r="L94" s="586"/>
    </row>
    <row r="95" spans="1:12" s="553" customFormat="1" ht="18" customHeight="1" x14ac:dyDescent="0.2">
      <c r="A95" s="546"/>
      <c r="B95" s="547" t="s">
        <v>121</v>
      </c>
      <c r="C95" s="548"/>
      <c r="D95" s="546"/>
      <c r="E95" s="549"/>
      <c r="F95" s="550"/>
      <c r="G95" s="551"/>
      <c r="H95" s="551"/>
      <c r="I95" s="551"/>
      <c r="J95" s="551"/>
      <c r="K95" s="551"/>
      <c r="L95" s="552"/>
    </row>
    <row r="96" spans="1:12" s="562" customFormat="1" ht="45" customHeight="1" thickBot="1" x14ac:dyDescent="0.25">
      <c r="A96" s="554">
        <v>12</v>
      </c>
      <c r="B96" s="589" t="s">
        <v>965</v>
      </c>
      <c r="C96" s="590">
        <v>5349</v>
      </c>
      <c r="D96" s="591" t="s">
        <v>871</v>
      </c>
      <c r="E96" s="592">
        <v>4660</v>
      </c>
      <c r="F96" s="593" t="s">
        <v>966</v>
      </c>
      <c r="G96" s="594">
        <f t="shared" ref="G96" si="12">SUM(H96:K96)</f>
        <v>300</v>
      </c>
      <c r="H96" s="594">
        <v>100</v>
      </c>
      <c r="I96" s="594">
        <v>100</v>
      </c>
      <c r="J96" s="594">
        <v>100</v>
      </c>
      <c r="K96" s="594">
        <v>0</v>
      </c>
      <c r="L96" s="595" t="s">
        <v>380</v>
      </c>
    </row>
    <row r="97" spans="1:12" s="562" customFormat="1" ht="15.75" customHeight="1" thickBot="1" x14ac:dyDescent="0.25">
      <c r="A97" s="554"/>
      <c r="B97" s="602" t="s">
        <v>105</v>
      </c>
      <c r="C97" s="581"/>
      <c r="D97" s="582"/>
      <c r="E97" s="603"/>
      <c r="F97" s="598"/>
      <c r="G97" s="585">
        <f>SUM(G96:G96)</f>
        <v>300</v>
      </c>
      <c r="H97" s="585">
        <f>SUM(H96:H96)</f>
        <v>100</v>
      </c>
      <c r="I97" s="585">
        <f>SUM(I96:I96)</f>
        <v>100</v>
      </c>
      <c r="J97" s="585">
        <f>SUM(J96:J96)</f>
        <v>100</v>
      </c>
      <c r="K97" s="585">
        <f>SUM(K96:K96)</f>
        <v>0</v>
      </c>
      <c r="L97" s="586"/>
    </row>
    <row r="98" spans="1:12" s="562" customFormat="1" ht="9" customHeight="1" thickBot="1" x14ac:dyDescent="0.25">
      <c r="A98" s="554"/>
      <c r="B98" s="573"/>
      <c r="C98" s="574"/>
      <c r="D98" s="575"/>
      <c r="E98" s="576"/>
      <c r="F98" s="577"/>
      <c r="G98" s="578"/>
      <c r="H98" s="578"/>
      <c r="I98" s="578"/>
      <c r="J98" s="578"/>
      <c r="K98" s="578"/>
      <c r="L98" s="579"/>
    </row>
    <row r="99" spans="1:12" s="562" customFormat="1" ht="18" customHeight="1" thickBot="1" x14ac:dyDescent="0.25">
      <c r="A99" s="554"/>
      <c r="B99" s="580" t="s">
        <v>106</v>
      </c>
      <c r="C99" s="581"/>
      <c r="D99" s="582"/>
      <c r="E99" s="583"/>
      <c r="F99" s="584"/>
      <c r="G99" s="585">
        <f>G97+G94+G86+G39+G34+G25+G21+G12+G9</f>
        <v>3487788.05</v>
      </c>
      <c r="H99" s="585">
        <f>H97+H94+H86+H39+H34+H25+H21+H12+H9</f>
        <v>1759278.05</v>
      </c>
      <c r="I99" s="585">
        <f>I97+I94+I86+I39+I34+I25+I21+I12+I9</f>
        <v>1301498</v>
      </c>
      <c r="J99" s="585">
        <f>J97+J94+J86+J39+J34+J25+J21+J12+J9</f>
        <v>266063</v>
      </c>
      <c r="K99" s="585">
        <f>K97+K94+K86+K39+K34+K25+K21+K12+K9</f>
        <v>160949</v>
      </c>
      <c r="L99" s="586"/>
    </row>
    <row r="100" spans="1:12" x14ac:dyDescent="0.15">
      <c r="G100" s="587"/>
      <c r="H100" s="588"/>
      <c r="I100" s="588"/>
      <c r="J100" s="588"/>
      <c r="K100" s="588"/>
    </row>
    <row r="101" spans="1:12" x14ac:dyDescent="0.15">
      <c r="G101" s="587"/>
      <c r="H101" s="588"/>
      <c r="I101" s="588"/>
      <c r="J101" s="588"/>
      <c r="K101" s="588"/>
    </row>
    <row r="102" spans="1:12" x14ac:dyDescent="0.15">
      <c r="G102" s="587"/>
      <c r="H102" s="588"/>
      <c r="I102" s="588"/>
      <c r="J102" s="588"/>
      <c r="K102" s="588"/>
    </row>
    <row r="103" spans="1:12" x14ac:dyDescent="0.15">
      <c r="G103" s="587"/>
      <c r="H103" s="588"/>
      <c r="I103" s="588"/>
      <c r="J103" s="588"/>
      <c r="K103" s="588"/>
    </row>
    <row r="104" spans="1:12" ht="25.5" customHeight="1" x14ac:dyDescent="0.25">
      <c r="B104" s="650"/>
      <c r="C104" s="651"/>
      <c r="D104" s="651"/>
      <c r="E104" s="651"/>
      <c r="F104" s="651"/>
      <c r="G104" s="651"/>
      <c r="H104" s="651"/>
      <c r="I104" s="651"/>
      <c r="J104" s="651"/>
      <c r="K104" s="651"/>
    </row>
    <row r="105" spans="1:12" x14ac:dyDescent="0.15">
      <c r="G105" s="587"/>
      <c r="H105" s="588"/>
      <c r="I105" s="588"/>
      <c r="J105" s="588"/>
      <c r="K105" s="588"/>
    </row>
    <row r="106" spans="1:12" ht="15" x14ac:dyDescent="0.25">
      <c r="B106" s="650"/>
      <c r="C106" s="652"/>
      <c r="D106" s="652"/>
      <c r="E106" s="652"/>
      <c r="F106" s="652"/>
      <c r="G106" s="652"/>
      <c r="H106" s="652"/>
      <c r="I106" s="652"/>
      <c r="J106" s="652"/>
      <c r="K106" s="652"/>
    </row>
  </sheetData>
  <mergeCells count="50">
    <mergeCell ref="A4:A5"/>
    <mergeCell ref="B4:B5"/>
    <mergeCell ref="C4:C5"/>
    <mergeCell ref="D4:D5"/>
    <mergeCell ref="E4:F4"/>
    <mergeCell ref="E50:F50"/>
    <mergeCell ref="M4:S4"/>
    <mergeCell ref="E11:F11"/>
    <mergeCell ref="E14:F14"/>
    <mergeCell ref="E15:F15"/>
    <mergeCell ref="E16:F16"/>
    <mergeCell ref="E23:F23"/>
    <mergeCell ref="G4:G5"/>
    <mergeCell ref="H4:K4"/>
    <mergeCell ref="L4:L5"/>
    <mergeCell ref="E28:F28"/>
    <mergeCell ref="E41:F41"/>
    <mergeCell ref="E48:F48"/>
    <mergeCell ref="E49:F49"/>
    <mergeCell ref="E69:F69"/>
    <mergeCell ref="E51:F51"/>
    <mergeCell ref="E52:F52"/>
    <mergeCell ref="E53:F53"/>
    <mergeCell ref="E54:F54"/>
    <mergeCell ref="E57:F57"/>
    <mergeCell ref="E60:F60"/>
    <mergeCell ref="B104:K104"/>
    <mergeCell ref="B106:K106"/>
    <mergeCell ref="E76:F76"/>
    <mergeCell ref="E77:F77"/>
    <mergeCell ref="E78:F78"/>
    <mergeCell ref="E79:F79"/>
    <mergeCell ref="E80:F80"/>
    <mergeCell ref="E81:F81"/>
    <mergeCell ref="A2:L2"/>
    <mergeCell ref="E82:F82"/>
    <mergeCell ref="E83:F83"/>
    <mergeCell ref="E84:F84"/>
    <mergeCell ref="E93:F93"/>
    <mergeCell ref="E70:F70"/>
    <mergeCell ref="E71:F71"/>
    <mergeCell ref="E72:F72"/>
    <mergeCell ref="E73:F73"/>
    <mergeCell ref="E74:F74"/>
    <mergeCell ref="E75:F75"/>
    <mergeCell ref="E61:F61"/>
    <mergeCell ref="E63:F63"/>
    <mergeCell ref="E64:F64"/>
    <mergeCell ref="E65:F65"/>
    <mergeCell ref="E68:F68"/>
  </mergeCells>
  <pageMargins left="0.39370078740157483" right="0.39370078740157483" top="0.59055118110236227" bottom="0.39370078740157483" header="0.31496062992125984" footer="0.11811023622047245"/>
  <pageSetup paperSize="9" firstPageNumber="12" fitToHeight="0" orientation="landscape" useFirstPageNumber="1" r:id="rId1"/>
  <headerFooter>
    <oddHeader>&amp;L&amp;"Tahoma,Kurzíva"&amp;9Střednědobý výhled Moravskoslezského kraje na léta 2026-2028&amp;R&amp;"Tahoma,Kurzíva"&amp;9Přehled závazků kraje u akcí reprodukce majetku kraje</oddHeader>
    <oddFooter>&amp;C&amp;"Tahoma,Obyčejné"&amp;P</oddFooter>
  </headerFooter>
  <rowBreaks count="3" manualBreakCount="3">
    <brk id="19" max="11" man="1"/>
    <brk id="34" max="11" man="1"/>
    <brk id="92"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21859-8C8C-4D45-9670-89EF235DC21B}">
  <sheetPr>
    <pageSetUpPr fitToPage="1"/>
  </sheetPr>
  <dimension ref="A1:O177"/>
  <sheetViews>
    <sheetView zoomScaleNormal="100" zoomScaleSheetLayoutView="100" workbookViewId="0">
      <pane ySplit="5" topLeftCell="A6" activePane="bottomLeft" state="frozen"/>
      <selection activeCell="E24" sqref="E24"/>
      <selection pane="bottomLeft" activeCell="K23" sqref="K23"/>
    </sheetView>
  </sheetViews>
  <sheetFormatPr defaultColWidth="9.140625" defaultRowHeight="15" x14ac:dyDescent="0.25"/>
  <cols>
    <col min="1" max="1" width="6.7109375" style="481" hidden="1" customWidth="1"/>
    <col min="2" max="2" width="30.7109375" style="387" customWidth="1"/>
    <col min="3" max="3" width="9.140625" style="387" hidden="1" customWidth="1"/>
    <col min="4" max="4" width="10.7109375" style="387" customWidth="1"/>
    <col min="5" max="5" width="9.85546875" style="388" customWidth="1"/>
    <col min="6" max="6" width="10.42578125" style="388" customWidth="1"/>
    <col min="7" max="8" width="10" style="388" customWidth="1"/>
    <col min="9" max="9" width="14.7109375" style="387" customWidth="1"/>
    <col min="10" max="10" width="14.42578125" style="387" customWidth="1"/>
    <col min="11" max="11" width="44.7109375" style="387" customWidth="1"/>
    <col min="12" max="12" width="9" style="387" hidden="1" customWidth="1"/>
    <col min="13" max="13" width="28.140625" style="389" customWidth="1"/>
    <col min="14" max="14" width="14.140625" style="387" customWidth="1"/>
    <col min="15" max="15" width="13.28515625" style="387" customWidth="1"/>
    <col min="16" max="16384" width="9.140625" style="387"/>
  </cols>
  <sheetData>
    <row r="1" spans="1:14" x14ac:dyDescent="0.25">
      <c r="A1" s="385"/>
      <c r="B1" s="386" t="s">
        <v>58</v>
      </c>
    </row>
    <row r="2" spans="1:14" s="391" customFormat="1" ht="30" customHeight="1" x14ac:dyDescent="0.2">
      <c r="A2" s="390"/>
      <c r="B2" s="669" t="s">
        <v>337</v>
      </c>
      <c r="C2" s="669"/>
      <c r="D2" s="669"/>
      <c r="E2" s="669"/>
      <c r="F2" s="669"/>
      <c r="G2" s="669"/>
      <c r="H2" s="669"/>
      <c r="I2" s="669"/>
      <c r="J2" s="669"/>
      <c r="K2" s="669"/>
      <c r="M2" s="392"/>
      <c r="N2" s="393"/>
    </row>
    <row r="3" spans="1:14" s="391" customFormat="1" ht="18.75" thickBot="1" x14ac:dyDescent="0.3">
      <c r="A3" s="390"/>
      <c r="B3" s="670"/>
      <c r="C3" s="670"/>
      <c r="D3" s="670"/>
      <c r="E3" s="670"/>
      <c r="F3" s="670"/>
      <c r="G3" s="670"/>
      <c r="H3" s="670"/>
      <c r="I3" s="670"/>
      <c r="J3" s="670"/>
      <c r="K3" s="123" t="s">
        <v>88</v>
      </c>
      <c r="M3" s="392"/>
    </row>
    <row r="4" spans="1:14" ht="18" customHeight="1" thickBot="1" x14ac:dyDescent="0.3">
      <c r="A4" s="671" t="s">
        <v>285</v>
      </c>
      <c r="B4" s="632" t="s">
        <v>415</v>
      </c>
      <c r="C4" s="674" t="s">
        <v>115</v>
      </c>
      <c r="D4" s="674" t="s">
        <v>116</v>
      </c>
      <c r="E4" s="676" t="s">
        <v>139</v>
      </c>
      <c r="F4" s="677"/>
      <c r="G4" s="677"/>
      <c r="H4" s="678"/>
      <c r="I4" s="674" t="s">
        <v>178</v>
      </c>
      <c r="J4" s="674" t="s">
        <v>767</v>
      </c>
      <c r="K4" s="679" t="s">
        <v>252</v>
      </c>
      <c r="L4" s="678" t="s">
        <v>285</v>
      </c>
    </row>
    <row r="5" spans="1:14" ht="21.75" customHeight="1" thickBot="1" x14ac:dyDescent="0.3">
      <c r="A5" s="672"/>
      <c r="B5" s="673"/>
      <c r="C5" s="675"/>
      <c r="D5" s="675"/>
      <c r="E5" s="489">
        <v>2026</v>
      </c>
      <c r="F5" s="489">
        <v>2027</v>
      </c>
      <c r="G5" s="489">
        <v>2028</v>
      </c>
      <c r="H5" s="275" t="s">
        <v>975</v>
      </c>
      <c r="I5" s="675"/>
      <c r="J5" s="675"/>
      <c r="K5" s="680"/>
      <c r="L5" s="678"/>
    </row>
    <row r="6" spans="1:14" ht="18" customHeight="1" x14ac:dyDescent="0.25">
      <c r="A6" s="395"/>
      <c r="B6" s="684" t="s">
        <v>119</v>
      </c>
      <c r="C6" s="684"/>
      <c r="D6" s="684"/>
      <c r="E6" s="684"/>
      <c r="F6" s="684"/>
      <c r="G6" s="684"/>
      <c r="H6" s="684"/>
      <c r="I6" s="684"/>
      <c r="J6" s="684"/>
      <c r="K6" s="685"/>
      <c r="L6" s="239"/>
    </row>
    <row r="7" spans="1:14" s="397" customFormat="1" ht="126" x14ac:dyDescent="0.2">
      <c r="A7" s="396">
        <v>1</v>
      </c>
      <c r="B7" s="100" t="s">
        <v>169</v>
      </c>
      <c r="C7" s="89" t="s">
        <v>180</v>
      </c>
      <c r="D7" s="85">
        <f>SUM(E7+F7+G7)</f>
        <v>3600</v>
      </c>
      <c r="E7" s="90">
        <v>1200</v>
      </c>
      <c r="F7" s="90">
        <v>1200</v>
      </c>
      <c r="G7" s="90">
        <v>1200</v>
      </c>
      <c r="H7" s="90" t="s">
        <v>6</v>
      </c>
      <c r="I7" s="91" t="s">
        <v>223</v>
      </c>
      <c r="J7" s="92" t="s">
        <v>6</v>
      </c>
      <c r="K7" s="93" t="s">
        <v>588</v>
      </c>
      <c r="L7" s="239">
        <v>1</v>
      </c>
      <c r="M7" s="389"/>
    </row>
    <row r="8" spans="1:14" s="397" customFormat="1" ht="67.5" customHeight="1" x14ac:dyDescent="0.2">
      <c r="A8" s="396">
        <v>18</v>
      </c>
      <c r="B8" s="100" t="s">
        <v>589</v>
      </c>
      <c r="C8" s="89" t="s">
        <v>590</v>
      </c>
      <c r="D8" s="85">
        <f>SUM(E8+DX8+F8+G8)</f>
        <v>150</v>
      </c>
      <c r="E8" s="90">
        <v>50</v>
      </c>
      <c r="F8" s="90">
        <v>50</v>
      </c>
      <c r="G8" s="90">
        <v>50</v>
      </c>
      <c r="H8" s="90" t="s">
        <v>6</v>
      </c>
      <c r="I8" s="91" t="s">
        <v>591</v>
      </c>
      <c r="J8" s="92" t="s">
        <v>592</v>
      </c>
      <c r="K8" s="93" t="s">
        <v>593</v>
      </c>
      <c r="L8" s="239"/>
      <c r="M8" s="389"/>
    </row>
    <row r="9" spans="1:14" s="397" customFormat="1" ht="55.5" customHeight="1" x14ac:dyDescent="0.2">
      <c r="A9" s="398">
        <v>2</v>
      </c>
      <c r="B9" s="399" t="s">
        <v>286</v>
      </c>
      <c r="C9" s="89" t="s">
        <v>181</v>
      </c>
      <c r="D9" s="85">
        <f>SUM(E9+DX9+F9+G9+H9)</f>
        <v>1655</v>
      </c>
      <c r="E9" s="90">
        <v>1655</v>
      </c>
      <c r="F9" s="90">
        <v>0</v>
      </c>
      <c r="G9" s="90">
        <v>0</v>
      </c>
      <c r="H9" s="90">
        <v>0</v>
      </c>
      <c r="I9" s="91" t="s">
        <v>287</v>
      </c>
      <c r="J9" s="92" t="s">
        <v>288</v>
      </c>
      <c r="K9" s="93" t="s">
        <v>289</v>
      </c>
      <c r="L9" s="239">
        <v>2</v>
      </c>
      <c r="M9" s="389"/>
    </row>
    <row r="10" spans="1:14" ht="68.25" customHeight="1" x14ac:dyDescent="0.25">
      <c r="A10" s="400" t="s">
        <v>594</v>
      </c>
      <c r="B10" s="401" t="s">
        <v>305</v>
      </c>
      <c r="C10" s="89" t="s">
        <v>590</v>
      </c>
      <c r="D10" s="85">
        <f>E10+F10+G10+H10</f>
        <v>1219</v>
      </c>
      <c r="E10" s="402">
        <v>1069</v>
      </c>
      <c r="F10" s="402">
        <v>150</v>
      </c>
      <c r="G10" s="402">
        <v>0</v>
      </c>
      <c r="H10" s="402">
        <v>0</v>
      </c>
      <c r="I10" s="403" t="s">
        <v>454</v>
      </c>
      <c r="J10" s="404" t="s">
        <v>455</v>
      </c>
      <c r="K10" s="111" t="s">
        <v>595</v>
      </c>
      <c r="L10" s="239">
        <v>19</v>
      </c>
    </row>
    <row r="11" spans="1:14" ht="63.75" thickBot="1" x14ac:dyDescent="0.3">
      <c r="A11" s="398">
        <v>2</v>
      </c>
      <c r="B11" s="405" t="s">
        <v>417</v>
      </c>
      <c r="C11" s="89" t="s">
        <v>181</v>
      </c>
      <c r="D11" s="85">
        <f>SUM(E11+DX11+F11+G11)</f>
        <v>142693</v>
      </c>
      <c r="E11" s="90">
        <v>46626</v>
      </c>
      <c r="F11" s="90">
        <v>47558</v>
      </c>
      <c r="G11" s="90">
        <v>48509</v>
      </c>
      <c r="H11" s="90" t="s">
        <v>6</v>
      </c>
      <c r="I11" s="91" t="s">
        <v>244</v>
      </c>
      <c r="J11" s="91" t="s">
        <v>214</v>
      </c>
      <c r="K11" s="93" t="s">
        <v>418</v>
      </c>
      <c r="L11" s="239"/>
    </row>
    <row r="12" spans="1:14" ht="37.5" customHeight="1" thickBot="1" x14ac:dyDescent="0.3">
      <c r="A12" s="394"/>
      <c r="B12" s="58" t="s">
        <v>120</v>
      </c>
      <c r="C12" s="86"/>
      <c r="D12" s="59">
        <f>SUM(D7:D11)</f>
        <v>149317</v>
      </c>
      <c r="E12" s="59">
        <f t="shared" ref="E12:H12" si="0">SUM(E7:E11)</f>
        <v>50600</v>
      </c>
      <c r="F12" s="59">
        <f t="shared" si="0"/>
        <v>48958</v>
      </c>
      <c r="G12" s="59">
        <f t="shared" si="0"/>
        <v>49759</v>
      </c>
      <c r="H12" s="59">
        <f t="shared" si="0"/>
        <v>0</v>
      </c>
      <c r="I12" s="59"/>
      <c r="J12" s="97"/>
      <c r="K12" s="60"/>
      <c r="L12" s="239"/>
    </row>
    <row r="13" spans="1:14" ht="18" customHeight="1" x14ac:dyDescent="0.25">
      <c r="A13" s="395"/>
      <c r="B13" s="686" t="s">
        <v>91</v>
      </c>
      <c r="C13" s="686"/>
      <c r="D13" s="686"/>
      <c r="E13" s="686"/>
      <c r="F13" s="686"/>
      <c r="G13" s="686"/>
      <c r="H13" s="686"/>
      <c r="I13" s="686"/>
      <c r="J13" s="686"/>
      <c r="K13" s="687"/>
      <c r="L13" s="239"/>
    </row>
    <row r="14" spans="1:14" ht="109.5" customHeight="1" x14ac:dyDescent="0.25">
      <c r="A14" s="406">
        <v>7</v>
      </c>
      <c r="B14" s="407" t="s">
        <v>123</v>
      </c>
      <c r="C14" s="311">
        <v>704</v>
      </c>
      <c r="D14" s="85">
        <f>SUM(E14:H14)</f>
        <v>44500</v>
      </c>
      <c r="E14" s="309">
        <v>44500</v>
      </c>
      <c r="F14" s="309">
        <v>0</v>
      </c>
      <c r="G14" s="309">
        <v>0</v>
      </c>
      <c r="H14" s="309">
        <v>0</v>
      </c>
      <c r="I14" s="116" t="s">
        <v>291</v>
      </c>
      <c r="J14" s="116" t="s">
        <v>338</v>
      </c>
      <c r="K14" s="109" t="s">
        <v>596</v>
      </c>
      <c r="L14" s="239">
        <v>7</v>
      </c>
    </row>
    <row r="15" spans="1:14" ht="120" customHeight="1" x14ac:dyDescent="0.25">
      <c r="A15" s="398">
        <v>7</v>
      </c>
      <c r="B15" s="399" t="s">
        <v>373</v>
      </c>
      <c r="C15" s="98">
        <v>705</v>
      </c>
      <c r="D15" s="85">
        <f t="shared" ref="D15:D23" si="1">SUM(E15:H15)</f>
        <v>9465</v>
      </c>
      <c r="E15" s="99">
        <v>3155</v>
      </c>
      <c r="F15" s="99">
        <v>3155</v>
      </c>
      <c r="G15" s="99">
        <v>3155</v>
      </c>
      <c r="H15" s="99" t="s">
        <v>6</v>
      </c>
      <c r="I15" s="91" t="s">
        <v>244</v>
      </c>
      <c r="J15" s="91" t="s">
        <v>597</v>
      </c>
      <c r="K15" s="93" t="s">
        <v>598</v>
      </c>
      <c r="L15" s="240" t="s">
        <v>292</v>
      </c>
    </row>
    <row r="16" spans="1:14" ht="99" customHeight="1" x14ac:dyDescent="0.25">
      <c r="A16" s="408">
        <v>7</v>
      </c>
      <c r="B16" s="401" t="s">
        <v>224</v>
      </c>
      <c r="C16" s="98" t="s">
        <v>599</v>
      </c>
      <c r="D16" s="85">
        <f t="shared" si="1"/>
        <v>3580</v>
      </c>
      <c r="E16" s="99">
        <v>1198</v>
      </c>
      <c r="F16" s="99">
        <v>1198</v>
      </c>
      <c r="G16" s="99">
        <v>1184</v>
      </c>
      <c r="H16" s="99">
        <v>0</v>
      </c>
      <c r="I16" s="91" t="s">
        <v>600</v>
      </c>
      <c r="J16" s="91" t="s">
        <v>601</v>
      </c>
      <c r="K16" s="93" t="s">
        <v>602</v>
      </c>
      <c r="L16" s="240" t="s">
        <v>292</v>
      </c>
    </row>
    <row r="17" spans="1:15" ht="99.75" customHeight="1" x14ac:dyDescent="0.25">
      <c r="A17" s="396">
        <v>8</v>
      </c>
      <c r="B17" s="100" t="s">
        <v>122</v>
      </c>
      <c r="C17" s="98">
        <v>804</v>
      </c>
      <c r="D17" s="85">
        <f t="shared" si="1"/>
        <v>2580</v>
      </c>
      <c r="E17" s="99">
        <v>835</v>
      </c>
      <c r="F17" s="99">
        <v>860</v>
      </c>
      <c r="G17" s="99">
        <v>885</v>
      </c>
      <c r="H17" s="99" t="s">
        <v>6</v>
      </c>
      <c r="I17" s="91" t="s">
        <v>293</v>
      </c>
      <c r="J17" s="92" t="s">
        <v>182</v>
      </c>
      <c r="K17" s="93" t="s">
        <v>339</v>
      </c>
      <c r="L17" s="239">
        <v>8</v>
      </c>
    </row>
    <row r="18" spans="1:15" ht="78" customHeight="1" x14ac:dyDescent="0.25">
      <c r="A18" s="398">
        <v>8</v>
      </c>
      <c r="B18" s="399" t="s">
        <v>340</v>
      </c>
      <c r="C18" s="98">
        <v>807</v>
      </c>
      <c r="D18" s="85">
        <f t="shared" si="1"/>
        <v>2250</v>
      </c>
      <c r="E18" s="99">
        <v>750</v>
      </c>
      <c r="F18" s="99">
        <v>750</v>
      </c>
      <c r="G18" s="99">
        <v>750</v>
      </c>
      <c r="H18" s="99" t="s">
        <v>6</v>
      </c>
      <c r="I18" s="91" t="s">
        <v>341</v>
      </c>
      <c r="J18" s="91" t="s">
        <v>6</v>
      </c>
      <c r="K18" s="409" t="s">
        <v>149</v>
      </c>
      <c r="L18" s="239">
        <v>8</v>
      </c>
    </row>
    <row r="19" spans="1:15" s="397" customFormat="1" ht="78" customHeight="1" x14ac:dyDescent="0.2">
      <c r="A19" s="398">
        <v>8</v>
      </c>
      <c r="B19" s="399" t="s">
        <v>342</v>
      </c>
      <c r="C19" s="102" t="s">
        <v>251</v>
      </c>
      <c r="D19" s="85">
        <f t="shared" si="1"/>
        <v>3000000</v>
      </c>
      <c r="E19" s="99">
        <v>300000</v>
      </c>
      <c r="F19" s="99">
        <v>300000</v>
      </c>
      <c r="G19" s="99">
        <v>300000</v>
      </c>
      <c r="H19" s="99">
        <v>2100000</v>
      </c>
      <c r="I19" s="91" t="s">
        <v>319</v>
      </c>
      <c r="J19" s="91" t="s">
        <v>227</v>
      </c>
      <c r="K19" s="104" t="s">
        <v>228</v>
      </c>
      <c r="L19" s="239">
        <v>8</v>
      </c>
      <c r="M19" s="389"/>
    </row>
    <row r="20" spans="1:15" ht="78" customHeight="1" x14ac:dyDescent="0.25">
      <c r="A20" s="398">
        <v>8</v>
      </c>
      <c r="B20" s="399" t="s">
        <v>343</v>
      </c>
      <c r="C20" s="102">
        <v>808</v>
      </c>
      <c r="D20" s="85">
        <f t="shared" si="1"/>
        <v>620000</v>
      </c>
      <c r="E20" s="99">
        <v>110000</v>
      </c>
      <c r="F20" s="99">
        <v>100000</v>
      </c>
      <c r="G20" s="99">
        <v>90000</v>
      </c>
      <c r="H20" s="99">
        <v>320000</v>
      </c>
      <c r="I20" s="91" t="s">
        <v>319</v>
      </c>
      <c r="J20" s="91" t="s">
        <v>227</v>
      </c>
      <c r="K20" s="104" t="s">
        <v>228</v>
      </c>
      <c r="L20" s="241">
        <v>8</v>
      </c>
    </row>
    <row r="21" spans="1:15" ht="89.25" customHeight="1" x14ac:dyDescent="0.25">
      <c r="A21" s="398">
        <v>8</v>
      </c>
      <c r="B21" s="399" t="s">
        <v>603</v>
      </c>
      <c r="C21" s="98" t="s">
        <v>6</v>
      </c>
      <c r="D21" s="85">
        <f t="shared" si="1"/>
        <v>3570322</v>
      </c>
      <c r="E21" s="103">
        <v>1373525</v>
      </c>
      <c r="F21" s="103">
        <v>1672248</v>
      </c>
      <c r="G21" s="103">
        <v>394949</v>
      </c>
      <c r="H21" s="103">
        <v>129600</v>
      </c>
      <c r="I21" s="101" t="s">
        <v>226</v>
      </c>
      <c r="J21" s="91" t="s">
        <v>604</v>
      </c>
      <c r="K21" s="104" t="s">
        <v>605</v>
      </c>
      <c r="L21" s="241"/>
    </row>
    <row r="22" spans="1:15" ht="89.25" customHeight="1" x14ac:dyDescent="0.25">
      <c r="A22" s="398">
        <v>8</v>
      </c>
      <c r="B22" s="399" t="s">
        <v>606</v>
      </c>
      <c r="C22" s="98">
        <v>808</v>
      </c>
      <c r="D22" s="85">
        <f t="shared" si="1"/>
        <v>120000</v>
      </c>
      <c r="E22" s="99">
        <v>50000</v>
      </c>
      <c r="F22" s="99">
        <v>40000</v>
      </c>
      <c r="G22" s="99">
        <v>20000</v>
      </c>
      <c r="H22" s="99">
        <v>10000</v>
      </c>
      <c r="I22" s="101" t="s">
        <v>226</v>
      </c>
      <c r="J22" s="91" t="s">
        <v>604</v>
      </c>
      <c r="K22" s="104" t="s">
        <v>605</v>
      </c>
      <c r="L22" s="241"/>
    </row>
    <row r="23" spans="1:15" ht="63" x14ac:dyDescent="0.25">
      <c r="A23" s="408">
        <v>8</v>
      </c>
      <c r="B23" s="399" t="s">
        <v>607</v>
      </c>
      <c r="C23" s="98">
        <v>1864</v>
      </c>
      <c r="D23" s="85">
        <f t="shared" si="1"/>
        <v>60</v>
      </c>
      <c r="E23" s="99">
        <v>30</v>
      </c>
      <c r="F23" s="99">
        <v>30</v>
      </c>
      <c r="G23" s="99">
        <v>0</v>
      </c>
      <c r="H23" s="99">
        <v>0</v>
      </c>
      <c r="I23" s="91" t="s">
        <v>225</v>
      </c>
      <c r="J23" s="92" t="s">
        <v>608</v>
      </c>
      <c r="K23" s="93" t="s">
        <v>977</v>
      </c>
      <c r="L23" s="241"/>
    </row>
    <row r="24" spans="1:15" ht="67.5" customHeight="1" thickBot="1" x14ac:dyDescent="0.3">
      <c r="A24" s="410">
        <v>5.3</v>
      </c>
      <c r="B24" s="411" t="s">
        <v>290</v>
      </c>
      <c r="C24" s="289">
        <v>301</v>
      </c>
      <c r="D24" s="85">
        <f>SUM(E24:H24)</f>
        <v>10299</v>
      </c>
      <c r="E24" s="232">
        <v>3433</v>
      </c>
      <c r="F24" s="232">
        <v>3433</v>
      </c>
      <c r="G24" s="232">
        <v>3433</v>
      </c>
      <c r="H24" s="232" t="s">
        <v>6</v>
      </c>
      <c r="I24" s="277" t="s">
        <v>244</v>
      </c>
      <c r="J24" s="290" t="s">
        <v>214</v>
      </c>
      <c r="K24" s="274" t="s">
        <v>768</v>
      </c>
      <c r="L24" s="241"/>
    </row>
    <row r="25" spans="1:15" ht="27" customHeight="1" thickBot="1" x14ac:dyDescent="0.3">
      <c r="A25" s="394"/>
      <c r="B25" s="61" t="s">
        <v>92</v>
      </c>
      <c r="C25" s="82"/>
      <c r="D25" s="63">
        <f>SUM(D14:D24)</f>
        <v>7383056</v>
      </c>
      <c r="E25" s="63">
        <f t="shared" ref="E25:H25" si="2">SUM(E14:E24)</f>
        <v>1887426</v>
      </c>
      <c r="F25" s="63">
        <f t="shared" si="2"/>
        <v>2121674</v>
      </c>
      <c r="G25" s="63">
        <f t="shared" si="2"/>
        <v>814356</v>
      </c>
      <c r="H25" s="63">
        <f t="shared" si="2"/>
        <v>2559600</v>
      </c>
      <c r="I25" s="97"/>
      <c r="J25" s="97"/>
      <c r="K25" s="60"/>
      <c r="L25" s="239"/>
    </row>
    <row r="26" spans="1:15" ht="18" customHeight="1" x14ac:dyDescent="0.25">
      <c r="A26" s="395"/>
      <c r="B26" s="688" t="s">
        <v>229</v>
      </c>
      <c r="C26" s="688"/>
      <c r="D26" s="688"/>
      <c r="E26" s="688"/>
      <c r="F26" s="688"/>
      <c r="G26" s="688"/>
      <c r="H26" s="688"/>
      <c r="I26" s="688"/>
      <c r="J26" s="688"/>
      <c r="K26" s="689"/>
      <c r="L26" s="239"/>
    </row>
    <row r="27" spans="1:15" ht="99" customHeight="1" x14ac:dyDescent="0.25">
      <c r="A27" s="398">
        <v>16</v>
      </c>
      <c r="B27" s="399" t="s">
        <v>344</v>
      </c>
      <c r="C27" s="98">
        <v>1603</v>
      </c>
      <c r="D27" s="85">
        <f>E27+F27+G27+H27</f>
        <v>12907393</v>
      </c>
      <c r="E27" s="412">
        <v>1397658</v>
      </c>
      <c r="F27" s="412">
        <v>1651216</v>
      </c>
      <c r="G27" s="412">
        <v>1705902</v>
      </c>
      <c r="H27" s="412">
        <v>8152617</v>
      </c>
      <c r="I27" s="413" t="s">
        <v>230</v>
      </c>
      <c r="J27" s="413" t="s">
        <v>419</v>
      </c>
      <c r="K27" s="409" t="s">
        <v>420</v>
      </c>
      <c r="L27" s="239">
        <v>16</v>
      </c>
      <c r="M27" s="414"/>
    </row>
    <row r="28" spans="1:15" s="397" customFormat="1" ht="67.5" customHeight="1" x14ac:dyDescent="0.2">
      <c r="A28" s="398">
        <v>16</v>
      </c>
      <c r="B28" s="399" t="s">
        <v>421</v>
      </c>
      <c r="C28" s="98">
        <v>1603</v>
      </c>
      <c r="D28" s="85">
        <f>E28+F28+G28+H28</f>
        <v>115120</v>
      </c>
      <c r="E28" s="412">
        <v>60060</v>
      </c>
      <c r="F28" s="412">
        <v>55060</v>
      </c>
      <c r="G28" s="412">
        <v>0</v>
      </c>
      <c r="H28" s="412">
        <v>0</v>
      </c>
      <c r="I28" s="413" t="s">
        <v>230</v>
      </c>
      <c r="J28" s="413" t="s">
        <v>419</v>
      </c>
      <c r="K28" s="409" t="s">
        <v>294</v>
      </c>
      <c r="L28" s="239">
        <v>16</v>
      </c>
      <c r="M28" s="389"/>
    </row>
    <row r="29" spans="1:15" ht="109.5" customHeight="1" x14ac:dyDescent="0.25">
      <c r="A29" s="398">
        <v>16</v>
      </c>
      <c r="B29" s="399" t="s">
        <v>609</v>
      </c>
      <c r="C29" s="98">
        <v>1603</v>
      </c>
      <c r="D29" s="85">
        <f>E29+F29+G29+H29</f>
        <v>218374</v>
      </c>
      <c r="E29" s="412">
        <v>18874</v>
      </c>
      <c r="F29" s="412">
        <v>18963</v>
      </c>
      <c r="G29" s="412">
        <v>18988</v>
      </c>
      <c r="H29" s="412">
        <f>141333+20216</f>
        <v>161549</v>
      </c>
      <c r="I29" s="415" t="s">
        <v>6</v>
      </c>
      <c r="J29" s="413" t="s">
        <v>422</v>
      </c>
      <c r="K29" s="409" t="s">
        <v>610</v>
      </c>
      <c r="L29" s="239"/>
      <c r="M29" s="414"/>
      <c r="N29" s="416"/>
      <c r="O29" s="417"/>
    </row>
    <row r="30" spans="1:15" ht="197.25" customHeight="1" x14ac:dyDescent="0.25">
      <c r="A30" s="398">
        <v>16</v>
      </c>
      <c r="B30" s="399" t="s">
        <v>423</v>
      </c>
      <c r="C30" s="98">
        <v>1603</v>
      </c>
      <c r="D30" s="85">
        <f>E30+F30+G30+H30</f>
        <v>1555555</v>
      </c>
      <c r="E30" s="412">
        <v>149954</v>
      </c>
      <c r="F30" s="412">
        <f>149954+6875</f>
        <v>156829</v>
      </c>
      <c r="G30" s="412">
        <f>149954+165000</f>
        <v>314954</v>
      </c>
      <c r="H30" s="412">
        <v>933818</v>
      </c>
      <c r="I30" s="413" t="s">
        <v>424</v>
      </c>
      <c r="J30" s="404" t="s">
        <v>611</v>
      </c>
      <c r="K30" s="409" t="s">
        <v>425</v>
      </c>
      <c r="L30" s="239"/>
      <c r="N30" s="418"/>
      <c r="O30" s="417"/>
    </row>
    <row r="31" spans="1:15" ht="79.5" customHeight="1" x14ac:dyDescent="0.25">
      <c r="A31" s="398">
        <v>16</v>
      </c>
      <c r="B31" s="399" t="s">
        <v>426</v>
      </c>
      <c r="C31" s="98">
        <v>1603</v>
      </c>
      <c r="D31" s="85">
        <f t="shared" ref="D31:D34" si="3">E31+F31+G31+H31</f>
        <v>442000</v>
      </c>
      <c r="E31" s="412">
        <v>225750</v>
      </c>
      <c r="F31" s="412">
        <v>216250</v>
      </c>
      <c r="G31" s="412">
        <v>0</v>
      </c>
      <c r="H31" s="412">
        <v>0</v>
      </c>
      <c r="I31" s="413" t="s">
        <v>230</v>
      </c>
      <c r="J31" s="419" t="s">
        <v>427</v>
      </c>
      <c r="K31" s="420" t="s">
        <v>345</v>
      </c>
      <c r="L31" s="239">
        <v>16</v>
      </c>
    </row>
    <row r="32" spans="1:15" ht="67.5" customHeight="1" x14ac:dyDescent="0.25">
      <c r="A32" s="398">
        <v>16</v>
      </c>
      <c r="B32" s="399" t="s">
        <v>428</v>
      </c>
      <c r="C32" s="98">
        <v>1603</v>
      </c>
      <c r="D32" s="85">
        <f t="shared" si="3"/>
        <v>135670</v>
      </c>
      <c r="E32" s="412">
        <v>22770</v>
      </c>
      <c r="F32" s="412">
        <v>22770</v>
      </c>
      <c r="G32" s="412">
        <v>22770</v>
      </c>
      <c r="H32" s="412">
        <v>67360</v>
      </c>
      <c r="I32" s="413" t="s">
        <v>6</v>
      </c>
      <c r="J32" s="404" t="s">
        <v>422</v>
      </c>
      <c r="K32" s="420" t="s">
        <v>612</v>
      </c>
      <c r="L32" s="239">
        <v>16</v>
      </c>
    </row>
    <row r="33" spans="1:13" s="397" customFormat="1" ht="111" customHeight="1" x14ac:dyDescent="0.2">
      <c r="A33" s="398">
        <v>16</v>
      </c>
      <c r="B33" s="399" t="s">
        <v>295</v>
      </c>
      <c r="C33" s="98">
        <v>1603</v>
      </c>
      <c r="D33" s="85">
        <f>E33+F33+G33+H33</f>
        <v>3600</v>
      </c>
      <c r="E33" s="412">
        <v>1800</v>
      </c>
      <c r="F33" s="412">
        <v>1800</v>
      </c>
      <c r="G33" s="412">
        <v>0</v>
      </c>
      <c r="H33" s="412">
        <v>0</v>
      </c>
      <c r="I33" s="413" t="s">
        <v>296</v>
      </c>
      <c r="J33" s="404" t="s">
        <v>346</v>
      </c>
      <c r="K33" s="409" t="s">
        <v>613</v>
      </c>
      <c r="L33" s="239">
        <v>16</v>
      </c>
      <c r="M33" s="389"/>
    </row>
    <row r="34" spans="1:13" s="397" customFormat="1" ht="78" customHeight="1" x14ac:dyDescent="0.2">
      <c r="A34" s="398">
        <v>16</v>
      </c>
      <c r="B34" s="399" t="s">
        <v>295</v>
      </c>
      <c r="C34" s="98">
        <v>1603</v>
      </c>
      <c r="D34" s="85">
        <f t="shared" si="3"/>
        <v>12000</v>
      </c>
      <c r="E34" s="421">
        <v>6000</v>
      </c>
      <c r="F34" s="421">
        <v>6000</v>
      </c>
      <c r="G34" s="421">
        <v>0</v>
      </c>
      <c r="H34" s="421">
        <v>0</v>
      </c>
      <c r="I34" s="413" t="s">
        <v>231</v>
      </c>
      <c r="J34" s="404" t="s">
        <v>297</v>
      </c>
      <c r="K34" s="409" t="s">
        <v>429</v>
      </c>
      <c r="L34" s="239">
        <v>16</v>
      </c>
      <c r="M34" s="389"/>
    </row>
    <row r="35" spans="1:13" ht="24" customHeight="1" x14ac:dyDescent="0.25">
      <c r="A35" s="422"/>
      <c r="B35" s="423" t="s">
        <v>232</v>
      </c>
      <c r="C35" s="424"/>
      <c r="D35" s="107">
        <f>SUM(D27:D34)</f>
        <v>15389712</v>
      </c>
      <c r="E35" s="107">
        <f t="shared" ref="E35:H35" si="4">SUM(E27:E34)</f>
        <v>1882866</v>
      </c>
      <c r="F35" s="107">
        <f t="shared" si="4"/>
        <v>2128888</v>
      </c>
      <c r="G35" s="107">
        <f t="shared" si="4"/>
        <v>2062614</v>
      </c>
      <c r="H35" s="107">
        <f t="shared" si="4"/>
        <v>9315344</v>
      </c>
      <c r="I35" s="424"/>
      <c r="J35" s="425"/>
      <c r="K35" s="426"/>
      <c r="L35" s="242"/>
    </row>
    <row r="36" spans="1:13" ht="120" customHeight="1" x14ac:dyDescent="0.25">
      <c r="A36" s="398">
        <v>16</v>
      </c>
      <c r="B36" s="399" t="s">
        <v>430</v>
      </c>
      <c r="C36" s="98">
        <v>1604</v>
      </c>
      <c r="D36" s="85">
        <f>SUM(E36:H36)</f>
        <v>1429615</v>
      </c>
      <c r="E36" s="427">
        <v>142062</v>
      </c>
      <c r="F36" s="427">
        <v>143062</v>
      </c>
      <c r="G36" s="427">
        <v>143062</v>
      </c>
      <c r="H36" s="427">
        <v>1001429</v>
      </c>
      <c r="I36" s="413" t="s">
        <v>6</v>
      </c>
      <c r="J36" s="413" t="s">
        <v>614</v>
      </c>
      <c r="K36" s="93" t="s">
        <v>431</v>
      </c>
      <c r="L36" s="239"/>
    </row>
    <row r="37" spans="1:13" ht="157.5" x14ac:dyDescent="0.25">
      <c r="A37" s="398">
        <v>16</v>
      </c>
      <c r="B37" s="399" t="s">
        <v>124</v>
      </c>
      <c r="C37" s="98">
        <v>1604</v>
      </c>
      <c r="D37" s="85">
        <f t="shared" ref="D37:D61" si="5">SUM(E37:H37)</f>
        <v>87778</v>
      </c>
      <c r="E37" s="428">
        <v>87778</v>
      </c>
      <c r="F37" s="428">
        <v>0</v>
      </c>
      <c r="G37" s="428">
        <v>0</v>
      </c>
      <c r="H37" s="428">
        <v>0</v>
      </c>
      <c r="I37" s="429" t="s">
        <v>190</v>
      </c>
      <c r="J37" s="404" t="s">
        <v>191</v>
      </c>
      <c r="K37" s="409" t="s">
        <v>432</v>
      </c>
      <c r="L37" s="239">
        <v>16</v>
      </c>
    </row>
    <row r="38" spans="1:13" ht="115.5" x14ac:dyDescent="0.25">
      <c r="A38" s="398">
        <v>16</v>
      </c>
      <c r="B38" s="399" t="s">
        <v>615</v>
      </c>
      <c r="C38" s="98">
        <v>1604</v>
      </c>
      <c r="D38" s="85">
        <f t="shared" si="5"/>
        <v>2043707</v>
      </c>
      <c r="E38" s="428">
        <v>1000</v>
      </c>
      <c r="F38" s="428">
        <f>204371-1000</f>
        <v>203371</v>
      </c>
      <c r="G38" s="428">
        <v>204371</v>
      </c>
      <c r="H38" s="428">
        <v>1634965</v>
      </c>
      <c r="I38" s="429" t="s">
        <v>616</v>
      </c>
      <c r="J38" s="404" t="s">
        <v>617</v>
      </c>
      <c r="K38" s="409" t="s">
        <v>618</v>
      </c>
      <c r="L38" s="239"/>
    </row>
    <row r="39" spans="1:13" ht="99" customHeight="1" x14ac:dyDescent="0.25">
      <c r="A39" s="398">
        <v>16</v>
      </c>
      <c r="B39" s="399" t="s">
        <v>126</v>
      </c>
      <c r="C39" s="98">
        <v>1604</v>
      </c>
      <c r="D39" s="85">
        <f t="shared" si="5"/>
        <v>145287</v>
      </c>
      <c r="E39" s="428">
        <v>58116</v>
      </c>
      <c r="F39" s="428">
        <v>58116</v>
      </c>
      <c r="G39" s="428">
        <v>29055</v>
      </c>
      <c r="H39" s="428">
        <v>0</v>
      </c>
      <c r="I39" s="413" t="s">
        <v>233</v>
      </c>
      <c r="J39" s="404" t="s">
        <v>192</v>
      </c>
      <c r="K39" s="409" t="s">
        <v>433</v>
      </c>
      <c r="L39" s="239">
        <v>16</v>
      </c>
    </row>
    <row r="40" spans="1:13" ht="109.5" customHeight="1" x14ac:dyDescent="0.25">
      <c r="A40" s="398">
        <v>16</v>
      </c>
      <c r="B40" s="399" t="s">
        <v>127</v>
      </c>
      <c r="C40" s="98">
        <v>1604</v>
      </c>
      <c r="D40" s="85">
        <f t="shared" si="5"/>
        <v>198702</v>
      </c>
      <c r="E40" s="428">
        <v>79480</v>
      </c>
      <c r="F40" s="428">
        <v>79480</v>
      </c>
      <c r="G40" s="428">
        <v>39742</v>
      </c>
      <c r="H40" s="428">
        <v>0</v>
      </c>
      <c r="I40" s="413" t="s">
        <v>233</v>
      </c>
      <c r="J40" s="404" t="s">
        <v>193</v>
      </c>
      <c r="K40" s="409" t="s">
        <v>434</v>
      </c>
      <c r="L40" s="239">
        <v>16</v>
      </c>
    </row>
    <row r="41" spans="1:13" ht="120" customHeight="1" x14ac:dyDescent="0.25">
      <c r="A41" s="398">
        <v>16</v>
      </c>
      <c r="B41" s="399" t="s">
        <v>128</v>
      </c>
      <c r="C41" s="98">
        <v>1604</v>
      </c>
      <c r="D41" s="85">
        <f t="shared" si="5"/>
        <v>93642</v>
      </c>
      <c r="E41" s="428">
        <v>31216</v>
      </c>
      <c r="F41" s="428">
        <v>31216</v>
      </c>
      <c r="G41" s="428">
        <v>31210</v>
      </c>
      <c r="H41" s="428">
        <v>0</v>
      </c>
      <c r="I41" s="413" t="s">
        <v>347</v>
      </c>
      <c r="J41" s="404" t="s">
        <v>194</v>
      </c>
      <c r="K41" s="409" t="s">
        <v>435</v>
      </c>
      <c r="L41" s="239">
        <v>16</v>
      </c>
    </row>
    <row r="42" spans="1:13" ht="120.75" customHeight="1" x14ac:dyDescent="0.25">
      <c r="A42" s="398">
        <v>16</v>
      </c>
      <c r="B42" s="399" t="s">
        <v>129</v>
      </c>
      <c r="C42" s="98">
        <v>1604</v>
      </c>
      <c r="D42" s="85">
        <f t="shared" si="5"/>
        <v>447321</v>
      </c>
      <c r="E42" s="428">
        <v>149107</v>
      </c>
      <c r="F42" s="428">
        <v>149107</v>
      </c>
      <c r="G42" s="428">
        <v>149107</v>
      </c>
      <c r="H42" s="428">
        <v>0</v>
      </c>
      <c r="I42" s="413" t="s">
        <v>234</v>
      </c>
      <c r="J42" s="404" t="s">
        <v>195</v>
      </c>
      <c r="K42" s="409" t="s">
        <v>436</v>
      </c>
      <c r="L42" s="239">
        <v>16</v>
      </c>
    </row>
    <row r="43" spans="1:13" ht="130.5" customHeight="1" x14ac:dyDescent="0.25">
      <c r="A43" s="398">
        <v>16</v>
      </c>
      <c r="B43" s="399" t="s">
        <v>130</v>
      </c>
      <c r="C43" s="98">
        <v>1604</v>
      </c>
      <c r="D43" s="85">
        <f t="shared" si="5"/>
        <v>348346</v>
      </c>
      <c r="E43" s="428">
        <v>116116</v>
      </c>
      <c r="F43" s="428">
        <v>116116</v>
      </c>
      <c r="G43" s="428">
        <v>116114</v>
      </c>
      <c r="H43" s="428">
        <v>0</v>
      </c>
      <c r="I43" s="413" t="s">
        <v>298</v>
      </c>
      <c r="J43" s="404" t="s">
        <v>196</v>
      </c>
      <c r="K43" s="409" t="s">
        <v>437</v>
      </c>
      <c r="L43" s="239">
        <v>16</v>
      </c>
    </row>
    <row r="44" spans="1:13" ht="130.5" customHeight="1" x14ac:dyDescent="0.25">
      <c r="A44" s="398">
        <v>16</v>
      </c>
      <c r="B44" s="399" t="s">
        <v>131</v>
      </c>
      <c r="C44" s="98">
        <v>1604</v>
      </c>
      <c r="D44" s="85">
        <f t="shared" si="5"/>
        <v>318547</v>
      </c>
      <c r="E44" s="428">
        <v>91015</v>
      </c>
      <c r="F44" s="428">
        <v>91015</v>
      </c>
      <c r="G44" s="428">
        <v>91015</v>
      </c>
      <c r="H44" s="428">
        <v>45502</v>
      </c>
      <c r="I44" s="413" t="s">
        <v>298</v>
      </c>
      <c r="J44" s="404" t="s">
        <v>198</v>
      </c>
      <c r="K44" s="409" t="s">
        <v>438</v>
      </c>
      <c r="L44" s="239">
        <v>16</v>
      </c>
    </row>
    <row r="45" spans="1:13" ht="120" customHeight="1" x14ac:dyDescent="0.25">
      <c r="A45" s="398">
        <v>16</v>
      </c>
      <c r="B45" s="399" t="s">
        <v>136</v>
      </c>
      <c r="C45" s="98">
        <v>1604</v>
      </c>
      <c r="D45" s="85">
        <f t="shared" si="5"/>
        <v>191514</v>
      </c>
      <c r="E45" s="428">
        <v>54719</v>
      </c>
      <c r="F45" s="428">
        <v>54719</v>
      </c>
      <c r="G45" s="428">
        <v>54719</v>
      </c>
      <c r="H45" s="428">
        <v>27357</v>
      </c>
      <c r="I45" s="413" t="s">
        <v>234</v>
      </c>
      <c r="J45" s="404" t="s">
        <v>199</v>
      </c>
      <c r="K45" s="108" t="s">
        <v>439</v>
      </c>
      <c r="L45" s="239">
        <v>16</v>
      </c>
    </row>
    <row r="46" spans="1:13" ht="130.5" customHeight="1" x14ac:dyDescent="0.25">
      <c r="A46" s="398">
        <v>16</v>
      </c>
      <c r="B46" s="399" t="s">
        <v>134</v>
      </c>
      <c r="C46" s="98">
        <v>1604</v>
      </c>
      <c r="D46" s="85">
        <f t="shared" si="5"/>
        <v>460530</v>
      </c>
      <c r="E46" s="428">
        <v>131582</v>
      </c>
      <c r="F46" s="428">
        <v>131582</v>
      </c>
      <c r="G46" s="428">
        <v>131582</v>
      </c>
      <c r="H46" s="428">
        <v>65784</v>
      </c>
      <c r="I46" s="413" t="s">
        <v>189</v>
      </c>
      <c r="J46" s="404" t="s">
        <v>200</v>
      </c>
      <c r="K46" s="108" t="s">
        <v>440</v>
      </c>
      <c r="L46" s="239">
        <v>16</v>
      </c>
    </row>
    <row r="47" spans="1:13" ht="84" x14ac:dyDescent="0.25">
      <c r="A47" s="398">
        <v>16</v>
      </c>
      <c r="B47" s="399" t="s">
        <v>299</v>
      </c>
      <c r="C47" s="98">
        <v>1604</v>
      </c>
      <c r="D47" s="85">
        <f t="shared" si="5"/>
        <v>72634</v>
      </c>
      <c r="E47" s="428">
        <v>32282</v>
      </c>
      <c r="F47" s="428">
        <v>32282</v>
      </c>
      <c r="G47" s="428">
        <v>8070</v>
      </c>
      <c r="H47" s="428">
        <v>0</v>
      </c>
      <c r="I47" s="413" t="s">
        <v>189</v>
      </c>
      <c r="J47" s="404" t="s">
        <v>200</v>
      </c>
      <c r="K47" s="108" t="s">
        <v>348</v>
      </c>
      <c r="L47" s="239">
        <v>16</v>
      </c>
    </row>
    <row r="48" spans="1:13" ht="130.5" customHeight="1" x14ac:dyDescent="0.25">
      <c r="A48" s="398">
        <v>16</v>
      </c>
      <c r="B48" s="399" t="s">
        <v>133</v>
      </c>
      <c r="C48" s="98">
        <v>1604</v>
      </c>
      <c r="D48" s="85">
        <f t="shared" si="5"/>
        <v>111423</v>
      </c>
      <c r="E48" s="428">
        <v>37140</v>
      </c>
      <c r="F48" s="428">
        <v>37140</v>
      </c>
      <c r="G48" s="428">
        <v>37143</v>
      </c>
      <c r="H48" s="428">
        <v>0</v>
      </c>
      <c r="I48" s="413" t="s">
        <v>197</v>
      </c>
      <c r="J48" s="404" t="s">
        <v>201</v>
      </c>
      <c r="K48" s="108" t="s">
        <v>441</v>
      </c>
      <c r="L48" s="239">
        <v>16</v>
      </c>
    </row>
    <row r="49" spans="1:15" ht="130.5" customHeight="1" x14ac:dyDescent="0.25">
      <c r="A49" s="398">
        <v>16</v>
      </c>
      <c r="B49" s="399" t="s">
        <v>137</v>
      </c>
      <c r="C49" s="98">
        <v>1604</v>
      </c>
      <c r="D49" s="85">
        <f t="shared" si="5"/>
        <v>207059</v>
      </c>
      <c r="E49" s="428">
        <v>69022</v>
      </c>
      <c r="F49" s="428">
        <v>69022</v>
      </c>
      <c r="G49" s="428">
        <v>69015</v>
      </c>
      <c r="H49" s="428">
        <v>0</v>
      </c>
      <c r="I49" s="413" t="s">
        <v>298</v>
      </c>
      <c r="J49" s="404" t="s">
        <v>202</v>
      </c>
      <c r="K49" s="108" t="s">
        <v>442</v>
      </c>
      <c r="L49" s="239">
        <v>16</v>
      </c>
    </row>
    <row r="50" spans="1:15" ht="130.5" customHeight="1" x14ac:dyDescent="0.25">
      <c r="A50" s="398">
        <v>16</v>
      </c>
      <c r="B50" s="399" t="s">
        <v>135</v>
      </c>
      <c r="C50" s="98">
        <v>1604</v>
      </c>
      <c r="D50" s="85">
        <f t="shared" si="5"/>
        <v>170697</v>
      </c>
      <c r="E50" s="428">
        <v>56899</v>
      </c>
      <c r="F50" s="428">
        <v>56899</v>
      </c>
      <c r="G50" s="428">
        <v>56899</v>
      </c>
      <c r="H50" s="428">
        <v>0</v>
      </c>
      <c r="I50" s="413" t="s">
        <v>298</v>
      </c>
      <c r="J50" s="404" t="s">
        <v>203</v>
      </c>
      <c r="K50" s="108" t="s">
        <v>443</v>
      </c>
      <c r="L50" s="239">
        <v>16</v>
      </c>
    </row>
    <row r="51" spans="1:15" ht="109.5" customHeight="1" x14ac:dyDescent="0.25">
      <c r="A51" s="398">
        <v>16</v>
      </c>
      <c r="B51" s="399" t="s">
        <v>174</v>
      </c>
      <c r="C51" s="98">
        <v>1604</v>
      </c>
      <c r="D51" s="85">
        <f t="shared" si="5"/>
        <v>275866</v>
      </c>
      <c r="E51" s="428">
        <v>78820</v>
      </c>
      <c r="F51" s="428">
        <v>78820</v>
      </c>
      <c r="G51" s="428">
        <v>78820</v>
      </c>
      <c r="H51" s="428">
        <v>39406</v>
      </c>
      <c r="I51" s="413" t="s">
        <v>347</v>
      </c>
      <c r="J51" s="404" t="s">
        <v>204</v>
      </c>
      <c r="K51" s="409" t="s">
        <v>444</v>
      </c>
      <c r="L51" s="239">
        <v>16</v>
      </c>
    </row>
    <row r="52" spans="1:15" ht="140.25" customHeight="1" x14ac:dyDescent="0.25">
      <c r="A52" s="398">
        <v>16</v>
      </c>
      <c r="B52" s="399" t="s">
        <v>132</v>
      </c>
      <c r="C52" s="98">
        <v>1604</v>
      </c>
      <c r="D52" s="85">
        <f t="shared" si="5"/>
        <v>454714</v>
      </c>
      <c r="E52" s="428">
        <v>101048</v>
      </c>
      <c r="F52" s="428">
        <v>101048</v>
      </c>
      <c r="G52" s="428">
        <v>101048</v>
      </c>
      <c r="H52" s="428">
        <v>151570</v>
      </c>
      <c r="I52" s="413" t="s">
        <v>235</v>
      </c>
      <c r="J52" s="404" t="s">
        <v>205</v>
      </c>
      <c r="K52" s="108" t="s">
        <v>445</v>
      </c>
      <c r="L52" s="239">
        <v>16</v>
      </c>
    </row>
    <row r="53" spans="1:15" ht="99" customHeight="1" x14ac:dyDescent="0.25">
      <c r="A53" s="398">
        <v>16</v>
      </c>
      <c r="B53" s="399" t="s">
        <v>171</v>
      </c>
      <c r="C53" s="98">
        <v>1604</v>
      </c>
      <c r="D53" s="85">
        <f t="shared" si="5"/>
        <v>60657</v>
      </c>
      <c r="E53" s="430">
        <v>20219</v>
      </c>
      <c r="F53" s="428">
        <v>20219</v>
      </c>
      <c r="G53" s="428">
        <v>20219</v>
      </c>
      <c r="H53" s="428">
        <v>0</v>
      </c>
      <c r="I53" s="413" t="s">
        <v>206</v>
      </c>
      <c r="J53" s="404" t="s">
        <v>207</v>
      </c>
      <c r="K53" s="409" t="s">
        <v>446</v>
      </c>
      <c r="L53" s="239">
        <v>16</v>
      </c>
    </row>
    <row r="54" spans="1:15" ht="84" x14ac:dyDescent="0.25">
      <c r="A54" s="398">
        <v>16</v>
      </c>
      <c r="B54" s="399" t="s">
        <v>172</v>
      </c>
      <c r="C54" s="98">
        <v>1604</v>
      </c>
      <c r="D54" s="85">
        <f t="shared" si="5"/>
        <v>5937</v>
      </c>
      <c r="E54" s="430">
        <v>1979</v>
      </c>
      <c r="F54" s="428">
        <v>1979</v>
      </c>
      <c r="G54" s="428">
        <v>1979</v>
      </c>
      <c r="H54" s="428">
        <v>0</v>
      </c>
      <c r="I54" s="413" t="s">
        <v>300</v>
      </c>
      <c r="J54" s="404" t="s">
        <v>208</v>
      </c>
      <c r="K54" s="409" t="s">
        <v>447</v>
      </c>
      <c r="L54" s="239">
        <v>16</v>
      </c>
    </row>
    <row r="55" spans="1:15" ht="84" x14ac:dyDescent="0.25">
      <c r="A55" s="398">
        <v>16</v>
      </c>
      <c r="B55" s="399" t="s">
        <v>448</v>
      </c>
      <c r="C55" s="98">
        <v>1604</v>
      </c>
      <c r="D55" s="85">
        <f t="shared" si="5"/>
        <v>6880</v>
      </c>
      <c r="E55" s="430">
        <v>860</v>
      </c>
      <c r="F55" s="430">
        <v>860</v>
      </c>
      <c r="G55" s="430">
        <v>860</v>
      </c>
      <c r="H55" s="430">
        <v>4300</v>
      </c>
      <c r="I55" s="413" t="s">
        <v>449</v>
      </c>
      <c r="J55" s="404" t="s">
        <v>619</v>
      </c>
      <c r="K55" s="409" t="s">
        <v>620</v>
      </c>
      <c r="L55" s="239"/>
    </row>
    <row r="56" spans="1:15" ht="81" customHeight="1" x14ac:dyDescent="0.25">
      <c r="A56" s="398">
        <v>16</v>
      </c>
      <c r="B56" s="399" t="s">
        <v>450</v>
      </c>
      <c r="C56" s="98">
        <v>1604</v>
      </c>
      <c r="D56" s="85">
        <f t="shared" si="5"/>
        <v>1720</v>
      </c>
      <c r="E56" s="430">
        <v>215</v>
      </c>
      <c r="F56" s="430">
        <v>215</v>
      </c>
      <c r="G56" s="430">
        <v>215</v>
      </c>
      <c r="H56" s="430">
        <v>1075</v>
      </c>
      <c r="I56" s="413" t="s">
        <v>451</v>
      </c>
      <c r="J56" s="404" t="s">
        <v>621</v>
      </c>
      <c r="K56" s="409" t="s">
        <v>622</v>
      </c>
      <c r="L56" s="239"/>
    </row>
    <row r="57" spans="1:15" ht="78" customHeight="1" x14ac:dyDescent="0.25">
      <c r="A57" s="398">
        <v>16</v>
      </c>
      <c r="B57" s="399" t="s">
        <v>623</v>
      </c>
      <c r="C57" s="98">
        <v>1604</v>
      </c>
      <c r="D57" s="85">
        <f t="shared" si="5"/>
        <v>283500</v>
      </c>
      <c r="E57" s="430">
        <v>31500</v>
      </c>
      <c r="F57" s="430">
        <v>31500</v>
      </c>
      <c r="G57" s="430">
        <v>31500</v>
      </c>
      <c r="H57" s="430">
        <v>189000</v>
      </c>
      <c r="I57" s="413" t="s">
        <v>624</v>
      </c>
      <c r="J57" s="431" t="s">
        <v>422</v>
      </c>
      <c r="K57" s="409" t="s">
        <v>625</v>
      </c>
      <c r="L57" s="239"/>
    </row>
    <row r="58" spans="1:15" ht="130.5" customHeight="1" x14ac:dyDescent="0.25">
      <c r="A58" s="398">
        <v>16</v>
      </c>
      <c r="B58" s="100" t="s">
        <v>125</v>
      </c>
      <c r="C58" s="98">
        <v>1604</v>
      </c>
      <c r="D58" s="85">
        <f t="shared" si="5"/>
        <v>14400</v>
      </c>
      <c r="E58" s="427">
        <v>7200</v>
      </c>
      <c r="F58" s="427">
        <v>7200</v>
      </c>
      <c r="G58" s="430">
        <v>0</v>
      </c>
      <c r="H58" s="430">
        <v>0</v>
      </c>
      <c r="I58" s="413" t="s">
        <v>236</v>
      </c>
      <c r="J58" s="404" t="s">
        <v>209</v>
      </c>
      <c r="K58" s="109" t="s">
        <v>452</v>
      </c>
      <c r="L58" s="239">
        <v>16</v>
      </c>
    </row>
    <row r="59" spans="1:15" ht="112.5" customHeight="1" x14ac:dyDescent="0.25">
      <c r="A59" s="398">
        <v>16</v>
      </c>
      <c r="B59" s="100" t="s">
        <v>173</v>
      </c>
      <c r="C59" s="98">
        <v>1604</v>
      </c>
      <c r="D59" s="85">
        <f t="shared" si="5"/>
        <v>7200</v>
      </c>
      <c r="E59" s="428">
        <v>2400</v>
      </c>
      <c r="F59" s="428">
        <v>2400</v>
      </c>
      <c r="G59" s="428">
        <v>2400</v>
      </c>
      <c r="H59" s="428">
        <v>0</v>
      </c>
      <c r="I59" s="413" t="s">
        <v>302</v>
      </c>
      <c r="J59" s="404" t="s">
        <v>210</v>
      </c>
      <c r="K59" s="109" t="s">
        <v>862</v>
      </c>
      <c r="L59" s="239">
        <v>16</v>
      </c>
    </row>
    <row r="60" spans="1:15" ht="120.75" customHeight="1" x14ac:dyDescent="0.25">
      <c r="A60" s="398">
        <v>16</v>
      </c>
      <c r="B60" s="399" t="s">
        <v>626</v>
      </c>
      <c r="C60" s="98">
        <v>1604</v>
      </c>
      <c r="D60" s="85">
        <f t="shared" si="5"/>
        <v>611223</v>
      </c>
      <c r="E60" s="428">
        <f>107135+75548</f>
        <v>182683</v>
      </c>
      <c r="F60" s="428">
        <v>107135</v>
      </c>
      <c r="G60" s="428">
        <v>107135</v>
      </c>
      <c r="H60" s="428">
        <v>214270</v>
      </c>
      <c r="I60" s="413" t="s">
        <v>235</v>
      </c>
      <c r="J60" s="404" t="s">
        <v>237</v>
      </c>
      <c r="K60" s="112" t="s">
        <v>769</v>
      </c>
      <c r="L60" s="239">
        <v>16</v>
      </c>
      <c r="M60" s="432"/>
      <c r="N60" s="432"/>
      <c r="O60" s="432"/>
    </row>
    <row r="61" spans="1:15" ht="120.75" customHeight="1" x14ac:dyDescent="0.25">
      <c r="A61" s="398">
        <v>16</v>
      </c>
      <c r="B61" s="399" t="s">
        <v>627</v>
      </c>
      <c r="C61" s="110">
        <v>1604</v>
      </c>
      <c r="D61" s="85">
        <f t="shared" si="5"/>
        <v>1039487</v>
      </c>
      <c r="E61" s="427">
        <v>1000</v>
      </c>
      <c r="F61" s="427">
        <v>102949</v>
      </c>
      <c r="G61" s="427">
        <v>103949</v>
      </c>
      <c r="H61" s="427">
        <v>831589</v>
      </c>
      <c r="I61" s="413" t="s">
        <v>6</v>
      </c>
      <c r="J61" s="413" t="s">
        <v>628</v>
      </c>
      <c r="K61" s="93" t="s">
        <v>453</v>
      </c>
      <c r="L61" s="239">
        <v>16</v>
      </c>
    </row>
    <row r="62" spans="1:15" ht="24" customHeight="1" x14ac:dyDescent="0.25">
      <c r="A62" s="422"/>
      <c r="B62" s="423" t="s">
        <v>238</v>
      </c>
      <c r="C62" s="106"/>
      <c r="D62" s="107">
        <f>SUM(D36:D61)</f>
        <v>9088386</v>
      </c>
      <c r="E62" s="107">
        <f t="shared" ref="E62:H62" si="6">SUM(E36:E61)</f>
        <v>1565458</v>
      </c>
      <c r="F62" s="107">
        <f t="shared" si="6"/>
        <v>1707452</v>
      </c>
      <c r="G62" s="107">
        <f t="shared" si="6"/>
        <v>1609229</v>
      </c>
      <c r="H62" s="107">
        <f t="shared" si="6"/>
        <v>4206247</v>
      </c>
      <c r="I62" s="424"/>
      <c r="J62" s="425"/>
      <c r="K62" s="426"/>
      <c r="L62" s="242"/>
    </row>
    <row r="63" spans="1:15" ht="109.5" customHeight="1" x14ac:dyDescent="0.25">
      <c r="A63" s="396">
        <v>16</v>
      </c>
      <c r="B63" s="100" t="s">
        <v>188</v>
      </c>
      <c r="C63" s="98">
        <v>1620</v>
      </c>
      <c r="D63" s="85">
        <f t="shared" ref="D63" si="7">SUM(E63:H63)</f>
        <v>20800</v>
      </c>
      <c r="E63" s="433">
        <v>20800</v>
      </c>
      <c r="F63" s="433">
        <v>0</v>
      </c>
      <c r="G63" s="433">
        <v>0</v>
      </c>
      <c r="H63" s="433">
        <v>0</v>
      </c>
      <c r="I63" s="413" t="s">
        <v>239</v>
      </c>
      <c r="J63" s="413" t="s">
        <v>240</v>
      </c>
      <c r="K63" s="93" t="s">
        <v>629</v>
      </c>
      <c r="L63" s="239">
        <v>16</v>
      </c>
    </row>
    <row r="64" spans="1:15" ht="24" customHeight="1" x14ac:dyDescent="0.25">
      <c r="A64" s="422"/>
      <c r="B64" s="423" t="s">
        <v>241</v>
      </c>
      <c r="C64" s="106"/>
      <c r="D64" s="107">
        <f>SUM(D63)</f>
        <v>20800</v>
      </c>
      <c r="E64" s="107">
        <f t="shared" ref="E64:H64" si="8">SUM(E63)</f>
        <v>20800</v>
      </c>
      <c r="F64" s="107">
        <f t="shared" si="8"/>
        <v>0</v>
      </c>
      <c r="G64" s="107">
        <f t="shared" si="8"/>
        <v>0</v>
      </c>
      <c r="H64" s="107">
        <f t="shared" si="8"/>
        <v>0</v>
      </c>
      <c r="I64" s="424"/>
      <c r="J64" s="425"/>
      <c r="K64" s="426"/>
      <c r="L64" s="242"/>
    </row>
    <row r="65" spans="1:14" ht="45" customHeight="1" x14ac:dyDescent="0.25">
      <c r="A65" s="398">
        <v>16</v>
      </c>
      <c r="B65" s="399" t="s">
        <v>183</v>
      </c>
      <c r="C65" s="98">
        <v>1616</v>
      </c>
      <c r="D65" s="85">
        <f>E65+F65+G65</f>
        <v>12000</v>
      </c>
      <c r="E65" s="434">
        <v>4000</v>
      </c>
      <c r="F65" s="434">
        <v>4000</v>
      </c>
      <c r="G65" s="434">
        <v>4000</v>
      </c>
      <c r="H65" s="434" t="s">
        <v>6</v>
      </c>
      <c r="I65" s="413" t="s">
        <v>349</v>
      </c>
      <c r="J65" s="404" t="s">
        <v>184</v>
      </c>
      <c r="K65" s="409" t="s">
        <v>185</v>
      </c>
      <c r="L65" s="239">
        <v>16</v>
      </c>
    </row>
    <row r="66" spans="1:14" ht="55.5" customHeight="1" x14ac:dyDescent="0.25">
      <c r="A66" s="398">
        <v>16</v>
      </c>
      <c r="B66" s="399" t="s">
        <v>170</v>
      </c>
      <c r="C66" s="98" t="s">
        <v>6</v>
      </c>
      <c r="D66" s="85">
        <f>E66+F66+G66+H66</f>
        <v>137105</v>
      </c>
      <c r="E66" s="412">
        <v>0</v>
      </c>
      <c r="F66" s="412">
        <v>0</v>
      </c>
      <c r="G66" s="412">
        <v>0</v>
      </c>
      <c r="H66" s="434">
        <v>137105</v>
      </c>
      <c r="I66" s="413" t="s">
        <v>303</v>
      </c>
      <c r="J66" s="404" t="s">
        <v>186</v>
      </c>
      <c r="K66" s="435" t="s">
        <v>187</v>
      </c>
      <c r="L66" s="239">
        <v>16</v>
      </c>
    </row>
    <row r="67" spans="1:14" ht="55.5" customHeight="1" x14ac:dyDescent="0.25">
      <c r="A67" s="398">
        <v>16</v>
      </c>
      <c r="B67" s="399" t="s">
        <v>463</v>
      </c>
      <c r="C67" s="98">
        <v>1624</v>
      </c>
      <c r="D67" s="85">
        <f>E67+F67+G67</f>
        <v>5649</v>
      </c>
      <c r="E67" s="427">
        <v>1883</v>
      </c>
      <c r="F67" s="427">
        <v>1883</v>
      </c>
      <c r="G67" s="427">
        <v>1883</v>
      </c>
      <c r="H67" s="436" t="s">
        <v>6</v>
      </c>
      <c r="I67" s="91" t="s">
        <v>352</v>
      </c>
      <c r="J67" s="404" t="s">
        <v>6</v>
      </c>
      <c r="K67" s="112" t="s">
        <v>630</v>
      </c>
      <c r="L67" s="239">
        <v>19</v>
      </c>
      <c r="M67" s="437"/>
      <c r="N67" s="438"/>
    </row>
    <row r="68" spans="1:14" ht="45" customHeight="1" x14ac:dyDescent="0.25">
      <c r="A68" s="398">
        <v>16</v>
      </c>
      <c r="B68" s="399" t="s">
        <v>464</v>
      </c>
      <c r="C68" s="98">
        <v>1624</v>
      </c>
      <c r="D68" s="85">
        <f t="shared" ref="D68:D69" si="9">E68+F68+G68</f>
        <v>285</v>
      </c>
      <c r="E68" s="427">
        <v>95</v>
      </c>
      <c r="F68" s="427">
        <v>95</v>
      </c>
      <c r="G68" s="427">
        <v>95</v>
      </c>
      <c r="H68" s="436" t="s">
        <v>6</v>
      </c>
      <c r="I68" s="91" t="s">
        <v>465</v>
      </c>
      <c r="J68" s="404" t="s">
        <v>6</v>
      </c>
      <c r="K68" s="112" t="s">
        <v>466</v>
      </c>
      <c r="L68" s="239"/>
    </row>
    <row r="69" spans="1:14" ht="90" customHeight="1" x14ac:dyDescent="0.25">
      <c r="A69" s="396">
        <v>5</v>
      </c>
      <c r="B69" s="243" t="s">
        <v>631</v>
      </c>
      <c r="C69" s="89" t="s">
        <v>351</v>
      </c>
      <c r="D69" s="85">
        <f t="shared" si="9"/>
        <v>21132</v>
      </c>
      <c r="E69" s="421">
        <v>7044</v>
      </c>
      <c r="F69" s="421">
        <v>7044</v>
      </c>
      <c r="G69" s="421">
        <v>7044</v>
      </c>
      <c r="H69" s="439" t="s">
        <v>6</v>
      </c>
      <c r="I69" s="291" t="s">
        <v>632</v>
      </c>
      <c r="J69" s="291" t="s">
        <v>633</v>
      </c>
      <c r="K69" s="112" t="s">
        <v>634</v>
      </c>
      <c r="L69" s="244">
        <v>16</v>
      </c>
    </row>
    <row r="70" spans="1:14" ht="15.75" thickBot="1" x14ac:dyDescent="0.3">
      <c r="A70" s="440"/>
      <c r="B70" s="441" t="s">
        <v>242</v>
      </c>
      <c r="C70" s="282"/>
      <c r="D70" s="283">
        <f>SUM(D65:D69)</f>
        <v>176171</v>
      </c>
      <c r="E70" s="283">
        <f t="shared" ref="E70:H70" si="10">SUM(E65:E69)</f>
        <v>13022</v>
      </c>
      <c r="F70" s="283">
        <f t="shared" si="10"/>
        <v>13022</v>
      </c>
      <c r="G70" s="283">
        <f t="shared" si="10"/>
        <v>13022</v>
      </c>
      <c r="H70" s="283">
        <f t="shared" si="10"/>
        <v>137105</v>
      </c>
      <c r="I70" s="442"/>
      <c r="J70" s="443"/>
      <c r="K70" s="444"/>
      <c r="L70" s="242"/>
    </row>
    <row r="71" spans="1:14" ht="15.75" customHeight="1" thickBot="1" x14ac:dyDescent="0.3">
      <c r="A71" s="394"/>
      <c r="B71" s="61" t="s">
        <v>253</v>
      </c>
      <c r="C71" s="82"/>
      <c r="D71" s="63">
        <f>SUM(D70,D64,D35,D62)</f>
        <v>24675069</v>
      </c>
      <c r="E71" s="63">
        <f t="shared" ref="E71:H71" si="11">SUM(E70,E64,E35,E62)</f>
        <v>3482146</v>
      </c>
      <c r="F71" s="63">
        <f t="shared" si="11"/>
        <v>3849362</v>
      </c>
      <c r="G71" s="63">
        <f t="shared" si="11"/>
        <v>3684865</v>
      </c>
      <c r="H71" s="63">
        <f t="shared" si="11"/>
        <v>13658696</v>
      </c>
      <c r="I71" s="97"/>
      <c r="J71" s="97"/>
      <c r="K71" s="60"/>
      <c r="L71" s="239"/>
    </row>
    <row r="72" spans="1:14" ht="18" customHeight="1" x14ac:dyDescent="0.25">
      <c r="A72" s="395"/>
      <c r="B72" s="684" t="s">
        <v>635</v>
      </c>
      <c r="C72" s="684"/>
      <c r="D72" s="684"/>
      <c r="E72" s="684"/>
      <c r="F72" s="684"/>
      <c r="G72" s="684"/>
      <c r="H72" s="684"/>
      <c r="I72" s="684"/>
      <c r="J72" s="684"/>
      <c r="K72" s="685"/>
      <c r="L72" s="239"/>
    </row>
    <row r="73" spans="1:14" ht="57" customHeight="1" x14ac:dyDescent="0.25">
      <c r="A73" s="398">
        <v>5</v>
      </c>
      <c r="B73" s="405" t="s">
        <v>636</v>
      </c>
      <c r="C73" s="445">
        <v>504</v>
      </c>
      <c r="D73" s="85">
        <f>SUM(E73+DX73+F73+G73)</f>
        <v>99459</v>
      </c>
      <c r="E73" s="90">
        <v>33143</v>
      </c>
      <c r="F73" s="90">
        <v>33158</v>
      </c>
      <c r="G73" s="90">
        <v>33158</v>
      </c>
      <c r="H73" s="90" t="s">
        <v>6</v>
      </c>
      <c r="I73" s="91" t="s">
        <v>244</v>
      </c>
      <c r="J73" s="91" t="s">
        <v>214</v>
      </c>
      <c r="K73" s="112" t="s">
        <v>637</v>
      </c>
      <c r="L73" s="239"/>
    </row>
    <row r="74" spans="1:14" ht="47.25" customHeight="1" x14ac:dyDescent="0.25">
      <c r="A74" s="408">
        <v>5</v>
      </c>
      <c r="B74" s="405" t="s">
        <v>638</v>
      </c>
      <c r="C74" s="445">
        <v>505</v>
      </c>
      <c r="D74" s="85">
        <f>SUM(E74+DX74+F74+G74)</f>
        <v>4890</v>
      </c>
      <c r="E74" s="95">
        <v>1630</v>
      </c>
      <c r="F74" s="95">
        <v>1630</v>
      </c>
      <c r="G74" s="95">
        <v>1630</v>
      </c>
      <c r="H74" s="90" t="s">
        <v>6</v>
      </c>
      <c r="I74" s="91" t="s">
        <v>244</v>
      </c>
      <c r="J74" s="91" t="s">
        <v>214</v>
      </c>
      <c r="K74" s="112" t="s">
        <v>639</v>
      </c>
      <c r="L74" s="239"/>
    </row>
    <row r="75" spans="1:14" ht="78" customHeight="1" x14ac:dyDescent="0.25">
      <c r="A75" s="400" t="s">
        <v>640</v>
      </c>
      <c r="B75" s="401" t="s">
        <v>458</v>
      </c>
      <c r="C75" s="89" t="s">
        <v>641</v>
      </c>
      <c r="D75" s="85">
        <f t="shared" ref="D75:D76" si="12">E75+F75+G75</f>
        <v>1785</v>
      </c>
      <c r="E75" s="402">
        <v>595</v>
      </c>
      <c r="F75" s="402">
        <v>595</v>
      </c>
      <c r="G75" s="402">
        <v>595</v>
      </c>
      <c r="H75" s="446" t="s">
        <v>6</v>
      </c>
      <c r="I75" s="403" t="s">
        <v>459</v>
      </c>
      <c r="J75" s="447" t="s">
        <v>460</v>
      </c>
      <c r="K75" s="111" t="s">
        <v>642</v>
      </c>
      <c r="L75" s="239"/>
    </row>
    <row r="76" spans="1:14" ht="68.25" customHeight="1" x14ac:dyDescent="0.25">
      <c r="A76" s="400" t="s">
        <v>640</v>
      </c>
      <c r="B76" s="399" t="s">
        <v>316</v>
      </c>
      <c r="C76" s="89" t="s">
        <v>641</v>
      </c>
      <c r="D76" s="85">
        <f t="shared" si="12"/>
        <v>483</v>
      </c>
      <c r="E76" s="427">
        <v>161</v>
      </c>
      <c r="F76" s="427">
        <v>161</v>
      </c>
      <c r="G76" s="427">
        <v>161</v>
      </c>
      <c r="H76" s="436" t="s">
        <v>6</v>
      </c>
      <c r="I76" s="413" t="s">
        <v>461</v>
      </c>
      <c r="J76" s="404" t="s">
        <v>462</v>
      </c>
      <c r="K76" s="112" t="s">
        <v>643</v>
      </c>
      <c r="L76" s="239"/>
    </row>
    <row r="77" spans="1:14" s="397" customFormat="1" ht="89.25" customHeight="1" x14ac:dyDescent="0.2">
      <c r="A77" s="398">
        <v>5</v>
      </c>
      <c r="B77" s="399" t="s">
        <v>486</v>
      </c>
      <c r="C77" s="306" t="s">
        <v>315</v>
      </c>
      <c r="D77" s="85">
        <f>SUM(E77:H77)</f>
        <v>48432</v>
      </c>
      <c r="E77" s="119">
        <v>15825</v>
      </c>
      <c r="F77" s="119">
        <v>16142</v>
      </c>
      <c r="G77" s="119">
        <v>16465</v>
      </c>
      <c r="H77" s="119">
        <v>0</v>
      </c>
      <c r="I77" s="101" t="s">
        <v>364</v>
      </c>
      <c r="J77" s="490" t="s">
        <v>6</v>
      </c>
      <c r="K77" s="112" t="s">
        <v>644</v>
      </c>
      <c r="L77" s="307">
        <v>9.19</v>
      </c>
      <c r="M77" s="448"/>
    </row>
    <row r="78" spans="1:14" ht="45.75" customHeight="1" thickBot="1" x14ac:dyDescent="0.3">
      <c r="A78" s="400" t="s">
        <v>640</v>
      </c>
      <c r="B78" s="399" t="s">
        <v>645</v>
      </c>
      <c r="C78" s="89" t="s">
        <v>646</v>
      </c>
      <c r="D78" s="85">
        <f t="shared" ref="D78" si="13">E78+F78+G78</f>
        <v>915</v>
      </c>
      <c r="E78" s="427">
        <v>305</v>
      </c>
      <c r="F78" s="427">
        <v>305</v>
      </c>
      <c r="G78" s="427">
        <v>305</v>
      </c>
      <c r="H78" s="436" t="s">
        <v>6</v>
      </c>
      <c r="I78" s="91" t="s">
        <v>244</v>
      </c>
      <c r="J78" s="91" t="s">
        <v>214</v>
      </c>
      <c r="K78" s="112" t="s">
        <v>467</v>
      </c>
      <c r="L78" s="239"/>
    </row>
    <row r="79" spans="1:14" ht="27" customHeight="1" thickBot="1" x14ac:dyDescent="0.3">
      <c r="A79" s="394"/>
      <c r="B79" s="61" t="s">
        <v>647</v>
      </c>
      <c r="C79" s="82"/>
      <c r="D79" s="63">
        <f>SUM(D73:D78)</f>
        <v>155964</v>
      </c>
      <c r="E79" s="63">
        <f t="shared" ref="E79:H79" si="14">SUM(E73:E78)</f>
        <v>51659</v>
      </c>
      <c r="F79" s="63">
        <f t="shared" si="14"/>
        <v>51991</v>
      </c>
      <c r="G79" s="63">
        <f t="shared" si="14"/>
        <v>52314</v>
      </c>
      <c r="H79" s="63">
        <f t="shared" si="14"/>
        <v>0</v>
      </c>
      <c r="I79" s="97"/>
      <c r="J79" s="97"/>
      <c r="K79" s="60"/>
      <c r="L79" s="239"/>
    </row>
    <row r="80" spans="1:14" ht="18" customHeight="1" x14ac:dyDescent="0.25">
      <c r="A80" s="395"/>
      <c r="B80" s="686" t="s">
        <v>117</v>
      </c>
      <c r="C80" s="686"/>
      <c r="D80" s="686"/>
      <c r="E80" s="686"/>
      <c r="F80" s="686"/>
      <c r="G80" s="686"/>
      <c r="H80" s="686"/>
      <c r="I80" s="686"/>
      <c r="J80" s="686"/>
      <c r="K80" s="687"/>
      <c r="L80" s="239"/>
    </row>
    <row r="81" spans="1:14" ht="45" customHeight="1" x14ac:dyDescent="0.25">
      <c r="A81" s="408">
        <v>5</v>
      </c>
      <c r="B81" s="401" t="s">
        <v>468</v>
      </c>
      <c r="C81" s="89" t="s">
        <v>211</v>
      </c>
      <c r="D81" s="85">
        <f>E81+F81+G81</f>
        <v>510</v>
      </c>
      <c r="E81" s="95">
        <v>170</v>
      </c>
      <c r="F81" s="95">
        <v>170</v>
      </c>
      <c r="G81" s="95">
        <v>170</v>
      </c>
      <c r="H81" s="95" t="s">
        <v>6</v>
      </c>
      <c r="I81" s="291" t="s">
        <v>244</v>
      </c>
      <c r="J81" s="291" t="s">
        <v>214</v>
      </c>
      <c r="K81" s="96" t="s">
        <v>469</v>
      </c>
      <c r="L81" s="239"/>
    </row>
    <row r="82" spans="1:14" ht="67.5" customHeight="1" thickBot="1" x14ac:dyDescent="0.3">
      <c r="A82" s="408">
        <v>1</v>
      </c>
      <c r="B82" s="401" t="s">
        <v>501</v>
      </c>
      <c r="C82" s="89" t="s">
        <v>648</v>
      </c>
      <c r="D82" s="85">
        <f>E82+F82+G82</f>
        <v>75741</v>
      </c>
      <c r="E82" s="95">
        <v>22591</v>
      </c>
      <c r="F82" s="95">
        <v>25137</v>
      </c>
      <c r="G82" s="95">
        <v>28013</v>
      </c>
      <c r="H82" s="95">
        <v>0</v>
      </c>
      <c r="I82" s="91" t="s">
        <v>303</v>
      </c>
      <c r="J82" s="92" t="s">
        <v>649</v>
      </c>
      <c r="K82" s="93" t="s">
        <v>650</v>
      </c>
      <c r="L82" s="239">
        <v>5</v>
      </c>
    </row>
    <row r="83" spans="1:14" ht="15.75" thickBot="1" x14ac:dyDescent="0.3">
      <c r="A83" s="394"/>
      <c r="B83" s="61" t="s">
        <v>118</v>
      </c>
      <c r="C83" s="82"/>
      <c r="D83" s="63">
        <f>SUM(D81:D82)</f>
        <v>76251</v>
      </c>
      <c r="E83" s="63">
        <f t="shared" ref="E83:H83" si="15">SUM(E81:E82)</f>
        <v>22761</v>
      </c>
      <c r="F83" s="63">
        <f t="shared" si="15"/>
        <v>25307</v>
      </c>
      <c r="G83" s="63">
        <f t="shared" si="15"/>
        <v>28183</v>
      </c>
      <c r="H83" s="63">
        <f t="shared" si="15"/>
        <v>0</v>
      </c>
      <c r="I83" s="97"/>
      <c r="J83" s="97"/>
      <c r="K83" s="60"/>
      <c r="L83" s="239"/>
    </row>
    <row r="84" spans="1:14" ht="18" customHeight="1" x14ac:dyDescent="0.25">
      <c r="A84" s="395"/>
      <c r="B84" s="690" t="s">
        <v>93</v>
      </c>
      <c r="C84" s="690"/>
      <c r="D84" s="690"/>
      <c r="E84" s="690"/>
      <c r="F84" s="690"/>
      <c r="G84" s="690"/>
      <c r="H84" s="690"/>
      <c r="I84" s="690"/>
      <c r="J84" s="690"/>
      <c r="K84" s="691"/>
      <c r="L84" s="239"/>
    </row>
    <row r="85" spans="1:14" ht="67.5" customHeight="1" x14ac:dyDescent="0.25">
      <c r="A85" s="396">
        <v>17</v>
      </c>
      <c r="B85" s="117" t="s">
        <v>353</v>
      </c>
      <c r="C85" s="98">
        <v>1863</v>
      </c>
      <c r="D85" s="85">
        <f>E85+F85+G85+H85</f>
        <v>200000</v>
      </c>
      <c r="E85" s="99">
        <v>100000</v>
      </c>
      <c r="F85" s="99">
        <v>0</v>
      </c>
      <c r="G85" s="99">
        <v>50000</v>
      </c>
      <c r="H85" s="99">
        <v>50000</v>
      </c>
      <c r="I85" s="91" t="s">
        <v>301</v>
      </c>
      <c r="J85" s="91" t="s">
        <v>651</v>
      </c>
      <c r="K85" s="112" t="s">
        <v>770</v>
      </c>
      <c r="L85" s="239">
        <v>17</v>
      </c>
      <c r="M85" s="449"/>
      <c r="N85" s="450"/>
    </row>
    <row r="86" spans="1:14" ht="36" customHeight="1" x14ac:dyDescent="0.25">
      <c r="A86" s="398">
        <v>17</v>
      </c>
      <c r="B86" s="401" t="s">
        <v>456</v>
      </c>
      <c r="C86" s="110">
        <v>1627</v>
      </c>
      <c r="D86" s="83">
        <f>E86+F86+G86</f>
        <v>10000</v>
      </c>
      <c r="E86" s="402">
        <v>1000</v>
      </c>
      <c r="F86" s="402">
        <v>1000</v>
      </c>
      <c r="G86" s="402">
        <v>8000</v>
      </c>
      <c r="H86" s="446" t="s">
        <v>6</v>
      </c>
      <c r="I86" s="403" t="s">
        <v>6</v>
      </c>
      <c r="J86" s="447" t="s">
        <v>6</v>
      </c>
      <c r="K86" s="111" t="s">
        <v>457</v>
      </c>
      <c r="L86" s="239"/>
    </row>
    <row r="87" spans="1:14" ht="45.75" customHeight="1" thickBot="1" x14ac:dyDescent="0.3">
      <c r="A87" s="451">
        <v>5</v>
      </c>
      <c r="B87" s="452" t="s">
        <v>470</v>
      </c>
      <c r="C87" s="110">
        <v>515</v>
      </c>
      <c r="D87" s="83">
        <f>E87+F87+G87</f>
        <v>2307</v>
      </c>
      <c r="E87" s="113">
        <v>769</v>
      </c>
      <c r="F87" s="113">
        <v>769</v>
      </c>
      <c r="G87" s="113">
        <v>769</v>
      </c>
      <c r="H87" s="113" t="s">
        <v>6</v>
      </c>
      <c r="I87" s="469" t="s">
        <v>244</v>
      </c>
      <c r="J87" s="469" t="s">
        <v>214</v>
      </c>
      <c r="K87" s="111" t="s">
        <v>467</v>
      </c>
      <c r="L87" s="239"/>
      <c r="M87" s="449"/>
    </row>
    <row r="88" spans="1:14" ht="15.75" thickBot="1" x14ac:dyDescent="0.3">
      <c r="A88" s="394"/>
      <c r="B88" s="61" t="s">
        <v>94</v>
      </c>
      <c r="C88" s="86"/>
      <c r="D88" s="63">
        <f>SUM(D85:D87)</f>
        <v>212307</v>
      </c>
      <c r="E88" s="63">
        <f t="shared" ref="E88:H88" si="16">SUM(E85:E87)</f>
        <v>101769</v>
      </c>
      <c r="F88" s="63">
        <f t="shared" si="16"/>
        <v>1769</v>
      </c>
      <c r="G88" s="63">
        <f t="shared" si="16"/>
        <v>58769</v>
      </c>
      <c r="H88" s="492">
        <f t="shared" si="16"/>
        <v>50000</v>
      </c>
      <c r="I88" s="63"/>
      <c r="J88" s="84"/>
      <c r="K88" s="62"/>
      <c r="L88" s="242"/>
    </row>
    <row r="89" spans="1:14" ht="18" customHeight="1" x14ac:dyDescent="0.25">
      <c r="A89" s="395"/>
      <c r="B89" s="688" t="s">
        <v>306</v>
      </c>
      <c r="C89" s="688"/>
      <c r="D89" s="688"/>
      <c r="E89" s="688"/>
      <c r="F89" s="688"/>
      <c r="G89" s="688"/>
      <c r="H89" s="688"/>
      <c r="I89" s="688"/>
      <c r="J89" s="688"/>
      <c r="K89" s="689"/>
      <c r="L89" s="239"/>
    </row>
    <row r="90" spans="1:14" ht="56.25" customHeight="1" thickBot="1" x14ac:dyDescent="0.3">
      <c r="A90" s="396">
        <v>1</v>
      </c>
      <c r="B90" s="100" t="s">
        <v>307</v>
      </c>
      <c r="C90" s="89" t="s">
        <v>308</v>
      </c>
      <c r="D90" s="85">
        <f>E90+F90+G90+H90</f>
        <v>134</v>
      </c>
      <c r="E90" s="90">
        <v>0</v>
      </c>
      <c r="F90" s="90">
        <v>134</v>
      </c>
      <c r="G90" s="90">
        <v>0</v>
      </c>
      <c r="H90" s="90">
        <v>0</v>
      </c>
      <c r="I90" s="91" t="s">
        <v>309</v>
      </c>
      <c r="J90" s="92" t="s">
        <v>652</v>
      </c>
      <c r="K90" s="93" t="s">
        <v>653</v>
      </c>
      <c r="L90" s="239">
        <v>1</v>
      </c>
    </row>
    <row r="91" spans="1:14" ht="27" customHeight="1" thickBot="1" x14ac:dyDescent="0.3">
      <c r="A91" s="394"/>
      <c r="B91" s="58" t="s">
        <v>310</v>
      </c>
      <c r="C91" s="86"/>
      <c r="D91" s="59">
        <f>SUM(D90)</f>
        <v>134</v>
      </c>
      <c r="E91" s="59">
        <f t="shared" ref="E91:H91" si="17">SUM(E90)</f>
        <v>0</v>
      </c>
      <c r="F91" s="59">
        <f t="shared" si="17"/>
        <v>134</v>
      </c>
      <c r="G91" s="59">
        <f t="shared" si="17"/>
        <v>0</v>
      </c>
      <c r="H91" s="59">
        <f t="shared" si="17"/>
        <v>0</v>
      </c>
      <c r="I91" s="59"/>
      <c r="J91" s="97"/>
      <c r="K91" s="60"/>
      <c r="L91" s="239"/>
    </row>
    <row r="92" spans="1:14" ht="18" customHeight="1" thickBot="1" x14ac:dyDescent="0.3">
      <c r="A92" s="453"/>
      <c r="B92" s="686" t="s">
        <v>97</v>
      </c>
      <c r="C92" s="686"/>
      <c r="D92" s="686"/>
      <c r="E92" s="686"/>
      <c r="F92" s="686"/>
      <c r="G92" s="686"/>
      <c r="H92" s="686"/>
      <c r="I92" s="686"/>
      <c r="J92" s="686"/>
      <c r="K92" s="687"/>
      <c r="L92" s="239"/>
    </row>
    <row r="93" spans="1:14" ht="57" customHeight="1" x14ac:dyDescent="0.25">
      <c r="A93" s="406">
        <v>11</v>
      </c>
      <c r="B93" s="407" t="s">
        <v>141</v>
      </c>
      <c r="C93" s="293">
        <v>1116</v>
      </c>
      <c r="D93" s="294">
        <f>E93+F93+G93</f>
        <v>18000</v>
      </c>
      <c r="E93" s="294">
        <v>6000</v>
      </c>
      <c r="F93" s="295">
        <v>6000</v>
      </c>
      <c r="G93" s="295">
        <v>6000</v>
      </c>
      <c r="H93" s="295" t="s">
        <v>6</v>
      </c>
      <c r="I93" s="116" t="s">
        <v>311</v>
      </c>
      <c r="J93" s="296" t="s">
        <v>6</v>
      </c>
      <c r="K93" s="109" t="s">
        <v>654</v>
      </c>
      <c r="L93" s="239">
        <v>11</v>
      </c>
    </row>
    <row r="94" spans="1:14" ht="57" customHeight="1" x14ac:dyDescent="0.25">
      <c r="A94" s="398">
        <v>11</v>
      </c>
      <c r="B94" s="405" t="s">
        <v>212</v>
      </c>
      <c r="C94" s="114">
        <v>1131</v>
      </c>
      <c r="D94" s="294">
        <f>E94+F94+G94</f>
        <v>13200</v>
      </c>
      <c r="E94" s="85">
        <v>4400</v>
      </c>
      <c r="F94" s="90">
        <v>4400</v>
      </c>
      <c r="G94" s="90">
        <v>4400</v>
      </c>
      <c r="H94" s="90" t="s">
        <v>6</v>
      </c>
      <c r="I94" s="91" t="s">
        <v>243</v>
      </c>
      <c r="J94" s="92" t="s">
        <v>6</v>
      </c>
      <c r="K94" s="93" t="s">
        <v>471</v>
      </c>
      <c r="L94" s="239">
        <v>11</v>
      </c>
    </row>
    <row r="95" spans="1:14" s="397" customFormat="1" ht="35.25" customHeight="1" x14ac:dyDescent="0.2">
      <c r="A95" s="398">
        <v>11</v>
      </c>
      <c r="B95" s="405" t="s">
        <v>655</v>
      </c>
      <c r="C95" s="114">
        <v>1886</v>
      </c>
      <c r="D95" s="294">
        <f>E95+F95+G95</f>
        <v>6250</v>
      </c>
      <c r="E95" s="85">
        <v>0</v>
      </c>
      <c r="F95" s="90">
        <v>6250</v>
      </c>
      <c r="G95" s="90">
        <v>0</v>
      </c>
      <c r="H95" s="90">
        <v>0</v>
      </c>
      <c r="I95" s="91" t="s">
        <v>656</v>
      </c>
      <c r="J95" s="92" t="s">
        <v>657</v>
      </c>
      <c r="K95" s="93" t="s">
        <v>658</v>
      </c>
      <c r="L95" s="239"/>
      <c r="M95" s="389"/>
    </row>
    <row r="96" spans="1:14" s="397" customFormat="1" ht="57" customHeight="1" x14ac:dyDescent="0.2">
      <c r="A96" s="396">
        <v>11</v>
      </c>
      <c r="B96" s="115" t="s">
        <v>502</v>
      </c>
      <c r="C96" s="98">
        <v>1889</v>
      </c>
      <c r="D96" s="85">
        <f>E96+F96+G96+H96</f>
        <v>18600</v>
      </c>
      <c r="E96" s="85">
        <v>3100</v>
      </c>
      <c r="F96" s="85">
        <v>3100</v>
      </c>
      <c r="G96" s="85">
        <v>3100</v>
      </c>
      <c r="H96" s="85">
        <v>9300</v>
      </c>
      <c r="I96" s="91" t="s">
        <v>489</v>
      </c>
      <c r="J96" s="91" t="s">
        <v>659</v>
      </c>
      <c r="K96" s="93" t="s">
        <v>660</v>
      </c>
      <c r="L96" s="239"/>
      <c r="M96" s="389"/>
    </row>
    <row r="97" spans="1:15" s="397" customFormat="1" ht="57" customHeight="1" x14ac:dyDescent="0.2">
      <c r="A97" s="396">
        <v>11</v>
      </c>
      <c r="B97" s="115" t="s">
        <v>502</v>
      </c>
      <c r="C97" s="98">
        <v>1889</v>
      </c>
      <c r="D97" s="85">
        <f>E97+F97+G97+H97</f>
        <v>3000</v>
      </c>
      <c r="E97" s="85">
        <v>0</v>
      </c>
      <c r="F97" s="90">
        <v>0</v>
      </c>
      <c r="G97" s="90">
        <v>3000</v>
      </c>
      <c r="H97" s="90">
        <v>0</v>
      </c>
      <c r="I97" s="91" t="s">
        <v>225</v>
      </c>
      <c r="J97" s="91" t="s">
        <v>661</v>
      </c>
      <c r="K97" s="93" t="s">
        <v>662</v>
      </c>
      <c r="L97" s="239"/>
      <c r="M97" s="389"/>
    </row>
    <row r="98" spans="1:15" s="397" customFormat="1" ht="157.5" x14ac:dyDescent="0.2">
      <c r="A98" s="396">
        <v>11</v>
      </c>
      <c r="B98" s="115" t="s">
        <v>502</v>
      </c>
      <c r="C98" s="98">
        <v>1889</v>
      </c>
      <c r="D98" s="85">
        <f>E98+F98+G98+H98</f>
        <v>6000</v>
      </c>
      <c r="E98" s="85">
        <f>3000+3000</f>
        <v>6000</v>
      </c>
      <c r="F98" s="90">
        <v>0</v>
      </c>
      <c r="G98" s="90">
        <v>0</v>
      </c>
      <c r="H98" s="90">
        <v>0</v>
      </c>
      <c r="I98" s="91" t="s">
        <v>381</v>
      </c>
      <c r="J98" s="91" t="s">
        <v>214</v>
      </c>
      <c r="K98" s="93" t="s">
        <v>663</v>
      </c>
      <c r="L98" s="239">
        <v>11</v>
      </c>
      <c r="M98" s="389"/>
    </row>
    <row r="99" spans="1:15" s="397" customFormat="1" ht="34.5" customHeight="1" x14ac:dyDescent="0.2">
      <c r="A99" s="396">
        <v>11</v>
      </c>
      <c r="B99" s="115" t="s">
        <v>664</v>
      </c>
      <c r="C99" s="98">
        <v>1730</v>
      </c>
      <c r="D99" s="85">
        <f t="shared" ref="D99:D107" si="18">E99+F99+G99+H99</f>
        <v>3938</v>
      </c>
      <c r="E99" s="85">
        <v>3938</v>
      </c>
      <c r="F99" s="90">
        <v>0</v>
      </c>
      <c r="G99" s="90">
        <v>0</v>
      </c>
      <c r="H99" s="90">
        <v>0</v>
      </c>
      <c r="I99" s="91" t="s">
        <v>244</v>
      </c>
      <c r="J99" s="91" t="s">
        <v>214</v>
      </c>
      <c r="K99" s="93" t="s">
        <v>665</v>
      </c>
      <c r="L99" s="239">
        <v>11</v>
      </c>
      <c r="M99" s="389"/>
    </row>
    <row r="100" spans="1:15" s="397" customFormat="1" ht="46.5" customHeight="1" x14ac:dyDescent="0.2">
      <c r="A100" s="454">
        <v>11</v>
      </c>
      <c r="B100" s="115" t="s">
        <v>666</v>
      </c>
      <c r="C100" s="98">
        <v>1731</v>
      </c>
      <c r="D100" s="85">
        <f t="shared" si="18"/>
        <v>160</v>
      </c>
      <c r="E100" s="85">
        <f>160</f>
        <v>160</v>
      </c>
      <c r="F100" s="90">
        <v>0</v>
      </c>
      <c r="G100" s="90">
        <v>0</v>
      </c>
      <c r="H100" s="90">
        <v>0</v>
      </c>
      <c r="I100" s="91" t="s">
        <v>213</v>
      </c>
      <c r="J100" s="91" t="s">
        <v>214</v>
      </c>
      <c r="K100" s="93" t="s">
        <v>667</v>
      </c>
      <c r="L100" s="239"/>
      <c r="M100" s="389"/>
    </row>
    <row r="101" spans="1:15" ht="46.5" customHeight="1" x14ac:dyDescent="0.25">
      <c r="A101" s="396">
        <v>11</v>
      </c>
      <c r="B101" s="491" t="s">
        <v>472</v>
      </c>
      <c r="C101" s="311">
        <v>1731</v>
      </c>
      <c r="D101" s="294">
        <f t="shared" si="18"/>
        <v>3747</v>
      </c>
      <c r="E101" s="295">
        <v>3747</v>
      </c>
      <c r="F101" s="295">
        <v>0</v>
      </c>
      <c r="G101" s="295">
        <v>0</v>
      </c>
      <c r="H101" s="295">
        <v>0</v>
      </c>
      <c r="I101" s="116" t="s">
        <v>213</v>
      </c>
      <c r="J101" s="116" t="s">
        <v>214</v>
      </c>
      <c r="K101" s="109" t="s">
        <v>668</v>
      </c>
      <c r="L101" s="239"/>
    </row>
    <row r="102" spans="1:15" ht="34.5" customHeight="1" x14ac:dyDescent="0.25">
      <c r="A102" s="396">
        <v>11</v>
      </c>
      <c r="B102" s="115" t="s">
        <v>669</v>
      </c>
      <c r="C102" s="98">
        <v>1731</v>
      </c>
      <c r="D102" s="85">
        <f t="shared" si="18"/>
        <v>2813</v>
      </c>
      <c r="E102" s="90">
        <v>0</v>
      </c>
      <c r="F102" s="90">
        <v>2813</v>
      </c>
      <c r="G102" s="90">
        <v>0</v>
      </c>
      <c r="H102" s="90">
        <v>0</v>
      </c>
      <c r="I102" s="91" t="s">
        <v>213</v>
      </c>
      <c r="J102" s="91" t="s">
        <v>214</v>
      </c>
      <c r="K102" s="93" t="s">
        <v>670</v>
      </c>
      <c r="L102" s="239">
        <v>11</v>
      </c>
    </row>
    <row r="103" spans="1:15" s="397" customFormat="1" ht="89.25" customHeight="1" x14ac:dyDescent="0.2">
      <c r="A103" s="396">
        <v>11</v>
      </c>
      <c r="B103" s="115" t="s">
        <v>382</v>
      </c>
      <c r="C103" s="98">
        <v>1733</v>
      </c>
      <c r="D103" s="85">
        <f t="shared" si="18"/>
        <v>2970</v>
      </c>
      <c r="E103" s="85">
        <v>2970</v>
      </c>
      <c r="F103" s="90">
        <v>0</v>
      </c>
      <c r="G103" s="90">
        <v>0</v>
      </c>
      <c r="H103" s="90">
        <v>0</v>
      </c>
      <c r="I103" s="91" t="s">
        <v>312</v>
      </c>
      <c r="J103" s="91" t="s">
        <v>214</v>
      </c>
      <c r="K103" s="297" t="s">
        <v>671</v>
      </c>
      <c r="L103" s="239">
        <v>11</v>
      </c>
      <c r="M103" s="455"/>
    </row>
    <row r="104" spans="1:15" s="397" customFormat="1" ht="89.25" customHeight="1" x14ac:dyDescent="0.2">
      <c r="A104" s="396">
        <v>11</v>
      </c>
      <c r="B104" s="115" t="s">
        <v>473</v>
      </c>
      <c r="C104" s="98">
        <v>1733</v>
      </c>
      <c r="D104" s="85">
        <f t="shared" si="18"/>
        <v>3000</v>
      </c>
      <c r="E104" s="85">
        <v>0</v>
      </c>
      <c r="F104" s="90">
        <v>3000</v>
      </c>
      <c r="G104" s="90">
        <v>0</v>
      </c>
      <c r="H104" s="90">
        <v>0</v>
      </c>
      <c r="I104" s="91" t="s">
        <v>312</v>
      </c>
      <c r="J104" s="91" t="s">
        <v>214</v>
      </c>
      <c r="K104" s="93" t="s">
        <v>672</v>
      </c>
      <c r="L104" s="239">
        <v>11</v>
      </c>
      <c r="M104" s="389"/>
    </row>
    <row r="105" spans="1:15" s="397" customFormat="1" ht="34.5" customHeight="1" x14ac:dyDescent="0.2">
      <c r="A105" s="396">
        <v>11</v>
      </c>
      <c r="B105" s="115" t="s">
        <v>673</v>
      </c>
      <c r="C105" s="98">
        <v>1733</v>
      </c>
      <c r="D105" s="85">
        <f t="shared" si="18"/>
        <v>2250</v>
      </c>
      <c r="E105" s="85">
        <v>0</v>
      </c>
      <c r="F105" s="90">
        <v>0</v>
      </c>
      <c r="G105" s="90">
        <v>2250</v>
      </c>
      <c r="H105" s="90">
        <v>0</v>
      </c>
      <c r="I105" s="91" t="s">
        <v>244</v>
      </c>
      <c r="J105" s="91" t="s">
        <v>214</v>
      </c>
      <c r="K105" s="93" t="s">
        <v>674</v>
      </c>
      <c r="L105" s="239">
        <v>11</v>
      </c>
      <c r="M105" s="389"/>
    </row>
    <row r="106" spans="1:15" s="397" customFormat="1" ht="34.5" customHeight="1" x14ac:dyDescent="0.2">
      <c r="A106" s="396">
        <v>11</v>
      </c>
      <c r="B106" s="115" t="s">
        <v>675</v>
      </c>
      <c r="C106" s="98">
        <v>1738</v>
      </c>
      <c r="D106" s="85">
        <f t="shared" si="18"/>
        <v>1125</v>
      </c>
      <c r="E106" s="85">
        <v>1125</v>
      </c>
      <c r="F106" s="90">
        <v>0</v>
      </c>
      <c r="G106" s="90">
        <v>0</v>
      </c>
      <c r="H106" s="90">
        <v>0</v>
      </c>
      <c r="I106" s="91" t="s">
        <v>244</v>
      </c>
      <c r="J106" s="91" t="s">
        <v>214</v>
      </c>
      <c r="K106" s="93" t="s">
        <v>665</v>
      </c>
      <c r="L106" s="239">
        <v>11</v>
      </c>
      <c r="M106" s="389"/>
    </row>
    <row r="107" spans="1:15" ht="34.5" customHeight="1" x14ac:dyDescent="0.25">
      <c r="A107" s="396">
        <v>11</v>
      </c>
      <c r="B107" s="115" t="s">
        <v>676</v>
      </c>
      <c r="C107" s="98">
        <v>1739</v>
      </c>
      <c r="D107" s="85">
        <f t="shared" si="18"/>
        <v>3375</v>
      </c>
      <c r="E107" s="85">
        <v>3375</v>
      </c>
      <c r="F107" s="90">
        <v>0</v>
      </c>
      <c r="G107" s="90">
        <v>0</v>
      </c>
      <c r="H107" s="90">
        <v>0</v>
      </c>
      <c r="I107" s="91" t="s">
        <v>244</v>
      </c>
      <c r="J107" s="91" t="s">
        <v>214</v>
      </c>
      <c r="K107" s="93" t="s">
        <v>665</v>
      </c>
      <c r="L107" s="239">
        <v>11</v>
      </c>
    </row>
    <row r="108" spans="1:15" ht="42.75" thickBot="1" x14ac:dyDescent="0.3">
      <c r="A108" s="400" t="s">
        <v>677</v>
      </c>
      <c r="B108" s="401" t="s">
        <v>678</v>
      </c>
      <c r="C108" s="110" t="s">
        <v>6</v>
      </c>
      <c r="D108" s="85">
        <f>E108+F108+G108+H108</f>
        <v>340000</v>
      </c>
      <c r="E108" s="402">
        <v>0</v>
      </c>
      <c r="F108" s="402">
        <v>0</v>
      </c>
      <c r="G108" s="402">
        <v>0</v>
      </c>
      <c r="H108" s="402">
        <v>340000</v>
      </c>
      <c r="I108" s="403" t="s">
        <v>679</v>
      </c>
      <c r="J108" s="447" t="s">
        <v>6</v>
      </c>
      <c r="K108" s="111" t="s">
        <v>680</v>
      </c>
      <c r="L108" s="239"/>
    </row>
    <row r="109" spans="1:15" ht="27" customHeight="1" thickBot="1" x14ac:dyDescent="0.3">
      <c r="A109" s="394"/>
      <c r="B109" s="58" t="s">
        <v>98</v>
      </c>
      <c r="C109" s="82"/>
      <c r="D109" s="63">
        <f>SUM(D93:D108)</f>
        <v>428428</v>
      </c>
      <c r="E109" s="63">
        <f>SUM(E93:E108)</f>
        <v>34815</v>
      </c>
      <c r="F109" s="63">
        <f>SUM(F93:F108)</f>
        <v>25563</v>
      </c>
      <c r="G109" s="63">
        <f>SUM(G93:G108)</f>
        <v>18750</v>
      </c>
      <c r="H109" s="63">
        <f>SUM(H93:H108)</f>
        <v>349300</v>
      </c>
      <c r="I109" s="97"/>
      <c r="J109" s="97"/>
      <c r="K109" s="60"/>
      <c r="L109" s="239"/>
    </row>
    <row r="110" spans="1:15" ht="18" customHeight="1" x14ac:dyDescent="0.25">
      <c r="A110" s="395"/>
      <c r="B110" s="686" t="s">
        <v>95</v>
      </c>
      <c r="C110" s="692"/>
      <c r="D110" s="692"/>
      <c r="E110" s="692"/>
      <c r="F110" s="692"/>
      <c r="G110" s="692"/>
      <c r="H110" s="692"/>
      <c r="I110" s="692"/>
      <c r="J110" s="692"/>
      <c r="K110" s="693"/>
      <c r="L110" s="239"/>
    </row>
    <row r="111" spans="1:15" s="397" customFormat="1" ht="84" x14ac:dyDescent="0.2">
      <c r="A111" s="396">
        <v>11</v>
      </c>
      <c r="B111" s="117" t="s">
        <v>142</v>
      </c>
      <c r="C111" s="118">
        <v>1128</v>
      </c>
      <c r="D111" s="85">
        <f>E111+F111+G111</f>
        <v>510</v>
      </c>
      <c r="E111" s="99">
        <v>170</v>
      </c>
      <c r="F111" s="99">
        <v>170</v>
      </c>
      <c r="G111" s="99">
        <v>170</v>
      </c>
      <c r="H111" s="99" t="s">
        <v>6</v>
      </c>
      <c r="I111" s="91" t="s">
        <v>245</v>
      </c>
      <c r="J111" s="91" t="s">
        <v>6</v>
      </c>
      <c r="K111" s="93" t="s">
        <v>474</v>
      </c>
      <c r="L111" s="239">
        <v>11</v>
      </c>
      <c r="M111" s="389"/>
    </row>
    <row r="112" spans="1:15" s="397" customFormat="1" ht="67.5" customHeight="1" x14ac:dyDescent="0.2">
      <c r="A112" s="396">
        <v>16</v>
      </c>
      <c r="B112" s="117" t="s">
        <v>475</v>
      </c>
      <c r="C112" s="298">
        <v>1126</v>
      </c>
      <c r="D112" s="85">
        <f>E112+F112+G112+H112</f>
        <v>25000</v>
      </c>
      <c r="E112" s="99">
        <v>25000</v>
      </c>
      <c r="F112" s="99">
        <v>0</v>
      </c>
      <c r="G112" s="99">
        <v>0</v>
      </c>
      <c r="H112" s="99">
        <v>0</v>
      </c>
      <c r="I112" s="91" t="s">
        <v>239</v>
      </c>
      <c r="J112" s="116" t="s">
        <v>476</v>
      </c>
      <c r="K112" s="93" t="s">
        <v>681</v>
      </c>
      <c r="L112" s="239"/>
      <c r="M112" s="389"/>
      <c r="N112" s="456"/>
      <c r="O112" s="457"/>
    </row>
    <row r="113" spans="1:15" s="397" customFormat="1" ht="78" customHeight="1" x14ac:dyDescent="0.2">
      <c r="A113" s="396">
        <v>16</v>
      </c>
      <c r="B113" s="117" t="s">
        <v>682</v>
      </c>
      <c r="C113" s="298">
        <v>1127</v>
      </c>
      <c r="D113" s="85">
        <f t="shared" ref="D113:D128" si="19">E113+F113+G113+H113</f>
        <v>5300</v>
      </c>
      <c r="E113" s="99">
        <v>5300</v>
      </c>
      <c r="F113" s="99">
        <v>0</v>
      </c>
      <c r="G113" s="99">
        <v>0</v>
      </c>
      <c r="H113" s="99">
        <v>0</v>
      </c>
      <c r="I113" s="91" t="s">
        <v>303</v>
      </c>
      <c r="J113" s="91" t="s">
        <v>683</v>
      </c>
      <c r="K113" s="93" t="s">
        <v>684</v>
      </c>
      <c r="L113" s="239"/>
      <c r="M113" s="392"/>
      <c r="N113" s="456"/>
      <c r="O113" s="457"/>
    </row>
    <row r="114" spans="1:15" s="397" customFormat="1" ht="45" customHeight="1" x14ac:dyDescent="0.2">
      <c r="A114" s="396">
        <v>11</v>
      </c>
      <c r="B114" s="458" t="s">
        <v>685</v>
      </c>
      <c r="C114" s="110">
        <v>1891</v>
      </c>
      <c r="D114" s="85">
        <f t="shared" si="19"/>
        <v>15000</v>
      </c>
      <c r="E114" s="99">
        <v>11250</v>
      </c>
      <c r="F114" s="99">
        <v>0</v>
      </c>
      <c r="G114" s="99">
        <v>3750</v>
      </c>
      <c r="H114" s="99">
        <v>0</v>
      </c>
      <c r="I114" s="91" t="s">
        <v>686</v>
      </c>
      <c r="J114" s="116" t="s">
        <v>687</v>
      </c>
      <c r="K114" s="93" t="s">
        <v>688</v>
      </c>
      <c r="L114" s="239">
        <v>11</v>
      </c>
      <c r="M114" s="389"/>
    </row>
    <row r="115" spans="1:15" s="397" customFormat="1" ht="34.5" customHeight="1" x14ac:dyDescent="0.2">
      <c r="A115" s="396">
        <v>11</v>
      </c>
      <c r="B115" s="245" t="s">
        <v>689</v>
      </c>
      <c r="C115" s="110">
        <v>1891</v>
      </c>
      <c r="D115" s="85">
        <f t="shared" si="19"/>
        <v>6000</v>
      </c>
      <c r="E115" s="99">
        <v>6000</v>
      </c>
      <c r="F115" s="99">
        <v>0</v>
      </c>
      <c r="G115" s="99">
        <v>0</v>
      </c>
      <c r="H115" s="99">
        <v>0</v>
      </c>
      <c r="I115" s="91" t="s">
        <v>656</v>
      </c>
      <c r="J115" s="116" t="s">
        <v>690</v>
      </c>
      <c r="K115" s="93" t="s">
        <v>691</v>
      </c>
      <c r="L115" s="239">
        <v>11</v>
      </c>
      <c r="M115" s="389"/>
    </row>
    <row r="116" spans="1:15" s="397" customFormat="1" ht="34.5" customHeight="1" x14ac:dyDescent="0.2">
      <c r="A116" s="396">
        <v>11</v>
      </c>
      <c r="B116" s="245" t="s">
        <v>692</v>
      </c>
      <c r="C116" s="110">
        <v>1891</v>
      </c>
      <c r="D116" s="85">
        <f t="shared" si="19"/>
        <v>18500</v>
      </c>
      <c r="E116" s="99">
        <v>18500</v>
      </c>
      <c r="F116" s="99">
        <v>0</v>
      </c>
      <c r="G116" s="99">
        <v>0</v>
      </c>
      <c r="H116" s="99">
        <v>0</v>
      </c>
      <c r="I116" s="91" t="s">
        <v>693</v>
      </c>
      <c r="J116" s="116" t="s">
        <v>694</v>
      </c>
      <c r="K116" s="93" t="s">
        <v>695</v>
      </c>
      <c r="L116" s="239">
        <v>11</v>
      </c>
      <c r="M116" s="389"/>
    </row>
    <row r="117" spans="1:15" s="397" customFormat="1" ht="45" customHeight="1" x14ac:dyDescent="0.2">
      <c r="A117" s="396">
        <v>11</v>
      </c>
      <c r="B117" s="245" t="s">
        <v>696</v>
      </c>
      <c r="C117" s="110">
        <v>1891</v>
      </c>
      <c r="D117" s="85">
        <f t="shared" si="19"/>
        <v>1320</v>
      </c>
      <c r="E117" s="99">
        <v>660</v>
      </c>
      <c r="F117" s="99">
        <v>660</v>
      </c>
      <c r="G117" s="99">
        <v>0</v>
      </c>
      <c r="H117" s="99">
        <v>0</v>
      </c>
      <c r="I117" s="91" t="s">
        <v>697</v>
      </c>
      <c r="J117" s="116" t="s">
        <v>698</v>
      </c>
      <c r="K117" s="93" t="s">
        <v>699</v>
      </c>
      <c r="L117" s="239">
        <v>11</v>
      </c>
      <c r="M117" s="389"/>
    </row>
    <row r="118" spans="1:15" s="397" customFormat="1" ht="45" customHeight="1" x14ac:dyDescent="0.2">
      <c r="A118" s="396">
        <v>11</v>
      </c>
      <c r="B118" s="245" t="s">
        <v>700</v>
      </c>
      <c r="C118" s="110">
        <v>1891</v>
      </c>
      <c r="D118" s="85">
        <f t="shared" si="19"/>
        <v>690</v>
      </c>
      <c r="E118" s="99">
        <v>345</v>
      </c>
      <c r="F118" s="99">
        <v>345</v>
      </c>
      <c r="G118" s="99">
        <v>0</v>
      </c>
      <c r="H118" s="99">
        <v>0</v>
      </c>
      <c r="I118" s="91" t="s">
        <v>701</v>
      </c>
      <c r="J118" s="116" t="s">
        <v>702</v>
      </c>
      <c r="K118" s="93" t="s">
        <v>699</v>
      </c>
      <c r="L118" s="239">
        <v>11</v>
      </c>
      <c r="M118" s="389"/>
    </row>
    <row r="119" spans="1:15" s="397" customFormat="1" ht="45" customHeight="1" x14ac:dyDescent="0.2">
      <c r="A119" s="396">
        <v>11</v>
      </c>
      <c r="B119" s="245" t="s">
        <v>703</v>
      </c>
      <c r="C119" s="110">
        <v>1891</v>
      </c>
      <c r="D119" s="85">
        <f t="shared" si="19"/>
        <v>1610</v>
      </c>
      <c r="E119" s="99">
        <v>805</v>
      </c>
      <c r="F119" s="99">
        <v>805</v>
      </c>
      <c r="G119" s="99">
        <v>0</v>
      </c>
      <c r="H119" s="99">
        <v>0</v>
      </c>
      <c r="I119" s="91" t="s">
        <v>704</v>
      </c>
      <c r="J119" s="116" t="s">
        <v>705</v>
      </c>
      <c r="K119" s="93" t="s">
        <v>699</v>
      </c>
      <c r="L119" s="239">
        <v>11</v>
      </c>
      <c r="M119" s="389"/>
    </row>
    <row r="120" spans="1:15" s="397" customFormat="1" ht="45" customHeight="1" x14ac:dyDescent="0.2">
      <c r="A120" s="396">
        <v>11</v>
      </c>
      <c r="B120" s="245" t="s">
        <v>706</v>
      </c>
      <c r="C120" s="110">
        <v>1891</v>
      </c>
      <c r="D120" s="85">
        <f t="shared" si="19"/>
        <v>460</v>
      </c>
      <c r="E120" s="99">
        <v>230</v>
      </c>
      <c r="F120" s="99">
        <v>230</v>
      </c>
      <c r="G120" s="99">
        <v>0</v>
      </c>
      <c r="H120" s="99">
        <v>0</v>
      </c>
      <c r="I120" s="91" t="s">
        <v>707</v>
      </c>
      <c r="J120" s="116" t="s">
        <v>708</v>
      </c>
      <c r="K120" s="93" t="s">
        <v>699</v>
      </c>
      <c r="L120" s="239">
        <v>11</v>
      </c>
      <c r="M120" s="389"/>
    </row>
    <row r="121" spans="1:15" s="397" customFormat="1" ht="67.5" customHeight="1" x14ac:dyDescent="0.2">
      <c r="A121" s="396">
        <v>11</v>
      </c>
      <c r="B121" s="245" t="s">
        <v>709</v>
      </c>
      <c r="C121" s="110">
        <v>1891</v>
      </c>
      <c r="D121" s="85">
        <f t="shared" si="19"/>
        <v>15000</v>
      </c>
      <c r="E121" s="99">
        <v>11250</v>
      </c>
      <c r="F121" s="99">
        <v>0</v>
      </c>
      <c r="G121" s="99">
        <v>3750</v>
      </c>
      <c r="H121" s="99">
        <v>0</v>
      </c>
      <c r="I121" s="91" t="s">
        <v>710</v>
      </c>
      <c r="J121" s="116" t="s">
        <v>687</v>
      </c>
      <c r="K121" s="93" t="s">
        <v>711</v>
      </c>
      <c r="L121" s="239"/>
      <c r="M121" s="389"/>
    </row>
    <row r="122" spans="1:15" s="397" customFormat="1" ht="84" x14ac:dyDescent="0.2">
      <c r="A122" s="396">
        <v>11</v>
      </c>
      <c r="B122" s="245" t="s">
        <v>503</v>
      </c>
      <c r="C122" s="110">
        <v>1894</v>
      </c>
      <c r="D122" s="85">
        <f>E122+F122+G122</f>
        <v>1500</v>
      </c>
      <c r="E122" s="99">
        <v>500</v>
      </c>
      <c r="F122" s="99">
        <v>500</v>
      </c>
      <c r="G122" s="99">
        <v>500</v>
      </c>
      <c r="H122" s="99" t="s">
        <v>6</v>
      </c>
      <c r="I122" s="91" t="s">
        <v>477</v>
      </c>
      <c r="J122" s="116" t="s">
        <v>478</v>
      </c>
      <c r="K122" s="93" t="s">
        <v>712</v>
      </c>
      <c r="L122" s="239">
        <v>11</v>
      </c>
      <c r="M122" s="389"/>
    </row>
    <row r="123" spans="1:15" s="397" customFormat="1" ht="89.25" customHeight="1" x14ac:dyDescent="0.2">
      <c r="A123" s="396">
        <v>11</v>
      </c>
      <c r="B123" s="245" t="s">
        <v>713</v>
      </c>
      <c r="C123" s="110">
        <v>1891</v>
      </c>
      <c r="D123" s="85">
        <f>E123+F123+G123</f>
        <v>1500</v>
      </c>
      <c r="E123" s="99">
        <v>500</v>
      </c>
      <c r="F123" s="99">
        <v>500</v>
      </c>
      <c r="G123" s="99">
        <v>500</v>
      </c>
      <c r="H123" s="99">
        <v>0</v>
      </c>
      <c r="I123" s="91" t="s">
        <v>714</v>
      </c>
      <c r="J123" s="116" t="s">
        <v>715</v>
      </c>
      <c r="K123" s="93" t="s">
        <v>716</v>
      </c>
      <c r="L123" s="239">
        <v>11</v>
      </c>
      <c r="M123" s="389"/>
    </row>
    <row r="124" spans="1:15" s="397" customFormat="1" ht="34.5" customHeight="1" x14ac:dyDescent="0.2">
      <c r="A124" s="396">
        <v>11</v>
      </c>
      <c r="B124" s="115" t="s">
        <v>717</v>
      </c>
      <c r="C124" s="98">
        <v>1740</v>
      </c>
      <c r="D124" s="85">
        <f t="shared" si="19"/>
        <v>2100</v>
      </c>
      <c r="E124" s="99">
        <v>0</v>
      </c>
      <c r="F124" s="99">
        <v>2100</v>
      </c>
      <c r="G124" s="99">
        <v>0</v>
      </c>
      <c r="H124" s="99">
        <v>0</v>
      </c>
      <c r="I124" s="91" t="s">
        <v>215</v>
      </c>
      <c r="J124" s="91" t="s">
        <v>214</v>
      </c>
      <c r="K124" s="93" t="s">
        <v>665</v>
      </c>
      <c r="L124" s="239">
        <v>11</v>
      </c>
      <c r="M124" s="389"/>
    </row>
    <row r="125" spans="1:15" s="397" customFormat="1" ht="34.5" customHeight="1" x14ac:dyDescent="0.2">
      <c r="A125" s="459">
        <v>11</v>
      </c>
      <c r="B125" s="460" t="s">
        <v>718</v>
      </c>
      <c r="C125" s="329">
        <v>1742</v>
      </c>
      <c r="D125" s="85">
        <f t="shared" si="19"/>
        <v>5000</v>
      </c>
      <c r="E125" s="330">
        <v>5000</v>
      </c>
      <c r="F125" s="330">
        <v>0</v>
      </c>
      <c r="G125" s="99">
        <v>0</v>
      </c>
      <c r="H125" s="99">
        <v>0</v>
      </c>
      <c r="I125" s="331" t="s">
        <v>244</v>
      </c>
      <c r="J125" s="331" t="s">
        <v>214</v>
      </c>
      <c r="K125" s="93" t="s">
        <v>665</v>
      </c>
      <c r="L125" s="239"/>
      <c r="M125" s="389"/>
    </row>
    <row r="126" spans="1:15" s="397" customFormat="1" ht="34.5" customHeight="1" x14ac:dyDescent="0.2">
      <c r="A126" s="461">
        <v>11</v>
      </c>
      <c r="B126" s="462" t="s">
        <v>719</v>
      </c>
      <c r="C126" s="299">
        <v>1744</v>
      </c>
      <c r="D126" s="85">
        <f t="shared" si="19"/>
        <v>2496</v>
      </c>
      <c r="E126" s="300">
        <v>2496</v>
      </c>
      <c r="F126" s="300">
        <v>0</v>
      </c>
      <c r="G126" s="99">
        <v>0</v>
      </c>
      <c r="H126" s="99">
        <v>0</v>
      </c>
      <c r="I126" s="301" t="s">
        <v>244</v>
      </c>
      <c r="J126" s="301" t="s">
        <v>214</v>
      </c>
      <c r="K126" s="93" t="s">
        <v>665</v>
      </c>
      <c r="L126" s="239"/>
      <c r="M126" s="389"/>
    </row>
    <row r="127" spans="1:15" s="397" customFormat="1" ht="94.5" x14ac:dyDescent="0.2">
      <c r="A127" s="461">
        <v>11</v>
      </c>
      <c r="B127" s="462" t="s">
        <v>720</v>
      </c>
      <c r="C127" s="299">
        <v>1745</v>
      </c>
      <c r="D127" s="85">
        <f t="shared" si="19"/>
        <v>200</v>
      </c>
      <c r="E127" s="300">
        <v>200</v>
      </c>
      <c r="F127" s="300">
        <v>0</v>
      </c>
      <c r="G127" s="99">
        <v>0</v>
      </c>
      <c r="H127" s="99">
        <v>0</v>
      </c>
      <c r="I127" s="301" t="s">
        <v>244</v>
      </c>
      <c r="J127" s="301" t="s">
        <v>214</v>
      </c>
      <c r="K127" s="93" t="s">
        <v>721</v>
      </c>
      <c r="L127" s="239"/>
      <c r="M127" s="389"/>
    </row>
    <row r="128" spans="1:15" s="397" customFormat="1" ht="105" x14ac:dyDescent="0.2">
      <c r="A128" s="461">
        <v>11</v>
      </c>
      <c r="B128" s="462" t="s">
        <v>722</v>
      </c>
      <c r="C128" s="299">
        <v>1745</v>
      </c>
      <c r="D128" s="85">
        <f t="shared" si="19"/>
        <v>675</v>
      </c>
      <c r="E128" s="300">
        <f>112+563</f>
        <v>675</v>
      </c>
      <c r="F128" s="300">
        <v>0</v>
      </c>
      <c r="G128" s="99">
        <v>0</v>
      </c>
      <c r="H128" s="99">
        <v>0</v>
      </c>
      <c r="I128" s="301" t="s">
        <v>244</v>
      </c>
      <c r="J128" s="301" t="s">
        <v>214</v>
      </c>
      <c r="K128" s="93" t="s">
        <v>723</v>
      </c>
      <c r="L128" s="239"/>
      <c r="M128" s="389"/>
    </row>
    <row r="129" spans="1:13" s="397" customFormat="1" ht="35.25" customHeight="1" thickBot="1" x14ac:dyDescent="0.25">
      <c r="A129" s="461">
        <v>11</v>
      </c>
      <c r="B129" s="462" t="s">
        <v>724</v>
      </c>
      <c r="C129" s="299">
        <v>1749</v>
      </c>
      <c r="D129" s="85">
        <f>E129+F129+G129+H129</f>
        <v>2250</v>
      </c>
      <c r="E129" s="300">
        <v>2250</v>
      </c>
      <c r="F129" s="300">
        <v>0</v>
      </c>
      <c r="G129" s="99">
        <v>0</v>
      </c>
      <c r="H129" s="99">
        <v>0</v>
      </c>
      <c r="I129" s="301" t="s">
        <v>244</v>
      </c>
      <c r="J129" s="301" t="s">
        <v>214</v>
      </c>
      <c r="K129" s="93" t="s">
        <v>665</v>
      </c>
      <c r="L129" s="239"/>
      <c r="M129" s="389"/>
    </row>
    <row r="130" spans="1:13" ht="21.75" thickBot="1" x14ac:dyDescent="0.3">
      <c r="A130" s="394"/>
      <c r="B130" s="58" t="s">
        <v>96</v>
      </c>
      <c r="C130" s="59"/>
      <c r="D130" s="59">
        <f>SUM(D111:D129)</f>
        <v>105111</v>
      </c>
      <c r="E130" s="59">
        <f t="shared" ref="E130:H130" si="20">SUM(E111:E129)</f>
        <v>91131</v>
      </c>
      <c r="F130" s="59">
        <f t="shared" si="20"/>
        <v>5310</v>
      </c>
      <c r="G130" s="59">
        <f t="shared" si="20"/>
        <v>8670</v>
      </c>
      <c r="H130" s="59">
        <f t="shared" si="20"/>
        <v>0</v>
      </c>
      <c r="I130" s="97"/>
      <c r="J130" s="97"/>
      <c r="K130" s="60"/>
      <c r="L130" s="239"/>
    </row>
    <row r="131" spans="1:13" ht="18" customHeight="1" x14ac:dyDescent="0.25">
      <c r="A131" s="395"/>
      <c r="B131" s="688" t="s">
        <v>99</v>
      </c>
      <c r="C131" s="688"/>
      <c r="D131" s="688"/>
      <c r="E131" s="688"/>
      <c r="F131" s="688"/>
      <c r="G131" s="688"/>
      <c r="H131" s="688"/>
      <c r="I131" s="688"/>
      <c r="J131" s="688"/>
      <c r="K131" s="689"/>
      <c r="L131" s="239"/>
    </row>
    <row r="132" spans="1:13" ht="63" x14ac:dyDescent="0.25">
      <c r="A132" s="396">
        <v>15</v>
      </c>
      <c r="B132" s="100" t="s">
        <v>354</v>
      </c>
      <c r="C132" s="98">
        <v>1502</v>
      </c>
      <c r="D132" s="302">
        <f>E132+F132+G132</f>
        <v>8</v>
      </c>
      <c r="E132" s="302">
        <v>2.5</v>
      </c>
      <c r="F132" s="99">
        <v>2.5</v>
      </c>
      <c r="G132" s="99">
        <v>3</v>
      </c>
      <c r="H132" s="99" t="s">
        <v>6</v>
      </c>
      <c r="I132" s="91" t="s">
        <v>355</v>
      </c>
      <c r="J132" s="91" t="s">
        <v>6</v>
      </c>
      <c r="K132" s="112" t="s">
        <v>725</v>
      </c>
      <c r="L132" s="239">
        <v>15</v>
      </c>
    </row>
    <row r="133" spans="1:13" ht="45" customHeight="1" x14ac:dyDescent="0.25">
      <c r="A133" s="396">
        <v>5</v>
      </c>
      <c r="B133" s="100" t="s">
        <v>479</v>
      </c>
      <c r="C133" s="98">
        <v>517</v>
      </c>
      <c r="D133" s="302">
        <f t="shared" ref="D133" si="21">E133+F133+G133</f>
        <v>6126</v>
      </c>
      <c r="E133" s="302">
        <v>2042</v>
      </c>
      <c r="F133" s="99">
        <v>2042</v>
      </c>
      <c r="G133" s="99">
        <v>2042</v>
      </c>
      <c r="H133" s="99" t="s">
        <v>6</v>
      </c>
      <c r="I133" s="91" t="s">
        <v>244</v>
      </c>
      <c r="J133" s="91" t="s">
        <v>214</v>
      </c>
      <c r="K133" s="112" t="s">
        <v>467</v>
      </c>
      <c r="L133" s="239"/>
    </row>
    <row r="134" spans="1:13" ht="45.75" customHeight="1" thickBot="1" x14ac:dyDescent="0.3">
      <c r="A134" s="451">
        <v>15</v>
      </c>
      <c r="B134" s="303" t="s">
        <v>726</v>
      </c>
      <c r="C134" s="288" t="s">
        <v>6</v>
      </c>
      <c r="D134" s="302">
        <f>E134+F134+G134+H134</f>
        <v>6000</v>
      </c>
      <c r="E134" s="304">
        <v>3000</v>
      </c>
      <c r="F134" s="120">
        <v>3000</v>
      </c>
      <c r="G134" s="120">
        <v>0</v>
      </c>
      <c r="H134" s="120">
        <v>0</v>
      </c>
      <c r="I134" s="310" t="s">
        <v>727</v>
      </c>
      <c r="J134" s="310" t="s">
        <v>728</v>
      </c>
      <c r="K134" s="305" t="s">
        <v>729</v>
      </c>
      <c r="L134" s="239"/>
    </row>
    <row r="135" spans="1:13" ht="15.75" thickBot="1" x14ac:dyDescent="0.3">
      <c r="A135" s="394"/>
      <c r="B135" s="58" t="s">
        <v>100</v>
      </c>
      <c r="C135" s="59"/>
      <c r="D135" s="59">
        <f>SUM(D132:D134)</f>
        <v>12134</v>
      </c>
      <c r="E135" s="59">
        <f t="shared" ref="E135:H135" si="22">SUM(E132:E134)</f>
        <v>5044.5</v>
      </c>
      <c r="F135" s="59">
        <f t="shared" si="22"/>
        <v>5044.5</v>
      </c>
      <c r="G135" s="59">
        <f t="shared" si="22"/>
        <v>2045</v>
      </c>
      <c r="H135" s="59">
        <f t="shared" si="22"/>
        <v>0</v>
      </c>
      <c r="I135" s="97"/>
      <c r="J135" s="97"/>
      <c r="K135" s="60"/>
      <c r="L135" s="239"/>
    </row>
    <row r="136" spans="1:13" ht="18" customHeight="1" x14ac:dyDescent="0.25">
      <c r="A136" s="395"/>
      <c r="B136" s="681" t="s">
        <v>101</v>
      </c>
      <c r="C136" s="682"/>
      <c r="D136" s="682"/>
      <c r="E136" s="682"/>
      <c r="F136" s="682"/>
      <c r="G136" s="682"/>
      <c r="H136" s="682"/>
      <c r="I136" s="682"/>
      <c r="J136" s="682"/>
      <c r="K136" s="683"/>
      <c r="L136" s="239"/>
    </row>
    <row r="137" spans="1:13" ht="52.5" x14ac:dyDescent="0.25">
      <c r="A137" s="398">
        <v>13</v>
      </c>
      <c r="B137" s="399" t="s">
        <v>730</v>
      </c>
      <c r="C137" s="98">
        <v>1308</v>
      </c>
      <c r="D137" s="85">
        <f t="shared" ref="D137:D146" si="23">SUM(E137:H137)</f>
        <v>4350</v>
      </c>
      <c r="E137" s="427">
        <v>1740</v>
      </c>
      <c r="F137" s="427">
        <v>1740</v>
      </c>
      <c r="G137" s="427">
        <v>870</v>
      </c>
      <c r="H137" s="436">
        <v>0</v>
      </c>
      <c r="I137" s="98" t="s">
        <v>6</v>
      </c>
      <c r="J137" s="98" t="s">
        <v>6</v>
      </c>
      <c r="K137" s="93" t="s">
        <v>731</v>
      </c>
      <c r="L137" s="239"/>
      <c r="M137" s="463"/>
    </row>
    <row r="138" spans="1:13" ht="67.5" customHeight="1" x14ac:dyDescent="0.25">
      <c r="A138" s="398">
        <v>13</v>
      </c>
      <c r="B138" s="399" t="s">
        <v>480</v>
      </c>
      <c r="C138" s="98">
        <v>1310</v>
      </c>
      <c r="D138" s="85">
        <f t="shared" si="23"/>
        <v>180</v>
      </c>
      <c r="E138" s="427">
        <v>60</v>
      </c>
      <c r="F138" s="427">
        <v>60</v>
      </c>
      <c r="G138" s="427">
        <v>60</v>
      </c>
      <c r="H138" s="436" t="s">
        <v>6</v>
      </c>
      <c r="I138" s="98" t="s">
        <v>481</v>
      </c>
      <c r="J138" s="98" t="s">
        <v>732</v>
      </c>
      <c r="K138" s="93" t="s">
        <v>733</v>
      </c>
      <c r="L138" s="94">
        <v>13</v>
      </c>
    </row>
    <row r="139" spans="1:13" ht="55.5" customHeight="1" x14ac:dyDescent="0.25">
      <c r="A139" s="398">
        <v>13</v>
      </c>
      <c r="B139" s="703" t="s">
        <v>504</v>
      </c>
      <c r="C139" s="98">
        <v>1907</v>
      </c>
      <c r="D139" s="85">
        <f t="shared" si="23"/>
        <v>3000</v>
      </c>
      <c r="E139" s="427">
        <v>3000</v>
      </c>
      <c r="F139" s="436">
        <v>0</v>
      </c>
      <c r="G139" s="436">
        <v>0</v>
      </c>
      <c r="H139" s="436">
        <v>0</v>
      </c>
      <c r="I139" s="98" t="s">
        <v>734</v>
      </c>
      <c r="J139" s="98" t="s">
        <v>735</v>
      </c>
      <c r="K139" s="93" t="s">
        <v>736</v>
      </c>
      <c r="L139" s="94"/>
    </row>
    <row r="140" spans="1:13" ht="67.5" customHeight="1" x14ac:dyDescent="0.25">
      <c r="A140" s="398">
        <v>13</v>
      </c>
      <c r="B140" s="704"/>
      <c r="C140" s="98">
        <v>1907</v>
      </c>
      <c r="D140" s="85">
        <f t="shared" si="23"/>
        <v>3300</v>
      </c>
      <c r="E140" s="427">
        <v>3300</v>
      </c>
      <c r="F140" s="436">
        <v>0</v>
      </c>
      <c r="G140" s="436">
        <v>0</v>
      </c>
      <c r="H140" s="436">
        <v>0</v>
      </c>
      <c r="I140" s="98" t="s">
        <v>737</v>
      </c>
      <c r="J140" s="98" t="s">
        <v>738</v>
      </c>
      <c r="K140" s="93" t="s">
        <v>739</v>
      </c>
      <c r="L140" s="94"/>
    </row>
    <row r="141" spans="1:13" ht="55.5" customHeight="1" x14ac:dyDescent="0.25">
      <c r="A141" s="398">
        <v>13</v>
      </c>
      <c r="B141" s="705"/>
      <c r="C141" s="98">
        <v>1907</v>
      </c>
      <c r="D141" s="85">
        <f t="shared" si="23"/>
        <v>5500</v>
      </c>
      <c r="E141" s="427">
        <v>5500</v>
      </c>
      <c r="F141" s="436">
        <v>0</v>
      </c>
      <c r="G141" s="436">
        <v>0</v>
      </c>
      <c r="H141" s="436">
        <v>0</v>
      </c>
      <c r="I141" s="110" t="s">
        <v>740</v>
      </c>
      <c r="J141" s="110" t="s">
        <v>741</v>
      </c>
      <c r="K141" s="93" t="s">
        <v>742</v>
      </c>
      <c r="L141" s="94"/>
    </row>
    <row r="142" spans="1:13" ht="67.5" customHeight="1" x14ac:dyDescent="0.25">
      <c r="A142" s="398">
        <v>13</v>
      </c>
      <c r="B142" s="399" t="s">
        <v>482</v>
      </c>
      <c r="C142" s="98">
        <v>1314</v>
      </c>
      <c r="D142" s="85">
        <f t="shared" si="23"/>
        <v>12000</v>
      </c>
      <c r="E142" s="427">
        <v>4000</v>
      </c>
      <c r="F142" s="427">
        <v>4000</v>
      </c>
      <c r="G142" s="436">
        <v>4000</v>
      </c>
      <c r="H142" s="436" t="s">
        <v>6</v>
      </c>
      <c r="I142" s="98" t="s">
        <v>356</v>
      </c>
      <c r="J142" s="98" t="s">
        <v>6</v>
      </c>
      <c r="K142" s="93" t="s">
        <v>743</v>
      </c>
      <c r="L142" s="94"/>
    </row>
    <row r="143" spans="1:13" ht="109.5" customHeight="1" x14ac:dyDescent="0.25">
      <c r="A143" s="398">
        <v>13</v>
      </c>
      <c r="B143" s="399" t="s">
        <v>505</v>
      </c>
      <c r="C143" s="98">
        <v>1909</v>
      </c>
      <c r="D143" s="85">
        <f t="shared" si="23"/>
        <v>40000</v>
      </c>
      <c r="E143" s="427">
        <v>40000</v>
      </c>
      <c r="F143" s="427">
        <v>0</v>
      </c>
      <c r="G143" s="436">
        <v>0</v>
      </c>
      <c r="H143" s="436">
        <v>0</v>
      </c>
      <c r="I143" s="464" t="s">
        <v>246</v>
      </c>
      <c r="J143" s="98" t="s">
        <v>744</v>
      </c>
      <c r="K143" s="420" t="s">
        <v>357</v>
      </c>
      <c r="L143" s="94">
        <v>13</v>
      </c>
    </row>
    <row r="144" spans="1:13" ht="89.25" customHeight="1" x14ac:dyDescent="0.25">
      <c r="A144" s="398">
        <v>13</v>
      </c>
      <c r="B144" s="399" t="s">
        <v>313</v>
      </c>
      <c r="C144" s="98">
        <v>1316</v>
      </c>
      <c r="D144" s="85">
        <f t="shared" si="23"/>
        <v>1500</v>
      </c>
      <c r="E144" s="427">
        <v>1500</v>
      </c>
      <c r="F144" s="427">
        <v>0</v>
      </c>
      <c r="G144" s="436">
        <v>0</v>
      </c>
      <c r="H144" s="436">
        <v>0</v>
      </c>
      <c r="I144" s="464" t="s">
        <v>358</v>
      </c>
      <c r="J144" s="98" t="s">
        <v>247</v>
      </c>
      <c r="K144" s="420" t="s">
        <v>248</v>
      </c>
      <c r="L144" s="94">
        <v>13</v>
      </c>
    </row>
    <row r="145" spans="1:14" ht="126" x14ac:dyDescent="0.25">
      <c r="A145" s="398">
        <v>11</v>
      </c>
      <c r="B145" s="401" t="s">
        <v>745</v>
      </c>
      <c r="C145" s="110">
        <v>1928</v>
      </c>
      <c r="D145" s="85">
        <f t="shared" si="23"/>
        <v>70000</v>
      </c>
      <c r="E145" s="427">
        <v>30000</v>
      </c>
      <c r="F145" s="427">
        <v>40000</v>
      </c>
      <c r="G145" s="436">
        <v>0</v>
      </c>
      <c r="H145" s="436">
        <v>0</v>
      </c>
      <c r="I145" s="464" t="s">
        <v>489</v>
      </c>
      <c r="J145" s="98" t="s">
        <v>746</v>
      </c>
      <c r="K145" s="409" t="s">
        <v>747</v>
      </c>
      <c r="L145" s="94"/>
    </row>
    <row r="146" spans="1:14" ht="68.25" customHeight="1" thickBot="1" x14ac:dyDescent="0.3">
      <c r="A146" s="465">
        <v>5.3</v>
      </c>
      <c r="B146" s="399" t="s">
        <v>483</v>
      </c>
      <c r="C146" s="98">
        <v>514</v>
      </c>
      <c r="D146" s="85">
        <f t="shared" si="23"/>
        <v>45900</v>
      </c>
      <c r="E146" s="99">
        <v>15300</v>
      </c>
      <c r="F146" s="99">
        <v>15300</v>
      </c>
      <c r="G146" s="436">
        <v>15300</v>
      </c>
      <c r="H146" s="436" t="s">
        <v>6</v>
      </c>
      <c r="I146" s="91" t="s">
        <v>244</v>
      </c>
      <c r="J146" s="91" t="s">
        <v>214</v>
      </c>
      <c r="K146" s="112" t="s">
        <v>748</v>
      </c>
      <c r="L146" s="94"/>
      <c r="N146" s="389"/>
    </row>
    <row r="147" spans="1:14" ht="15.75" thickBot="1" x14ac:dyDescent="0.3">
      <c r="A147" s="394"/>
      <c r="B147" s="61" t="s">
        <v>102</v>
      </c>
      <c r="C147" s="59"/>
      <c r="D147" s="59">
        <f>SUM(D137:D146)</f>
        <v>185730</v>
      </c>
      <c r="E147" s="59">
        <f t="shared" ref="E147:H147" si="24">SUM(E137:E146)</f>
        <v>104400</v>
      </c>
      <c r="F147" s="59">
        <f t="shared" si="24"/>
        <v>61100</v>
      </c>
      <c r="G147" s="59">
        <f t="shared" si="24"/>
        <v>20230</v>
      </c>
      <c r="H147" s="59">
        <f t="shared" si="24"/>
        <v>0</v>
      </c>
      <c r="I147" s="59"/>
      <c r="J147" s="97"/>
      <c r="K147" s="60"/>
      <c r="L147" s="239"/>
    </row>
    <row r="148" spans="1:14" ht="18" customHeight="1" x14ac:dyDescent="0.25">
      <c r="A148" s="395"/>
      <c r="B148" s="681" t="s">
        <v>219</v>
      </c>
      <c r="C148" s="682"/>
      <c r="D148" s="682"/>
      <c r="E148" s="682"/>
      <c r="F148" s="682"/>
      <c r="G148" s="682"/>
      <c r="H148" s="682"/>
      <c r="I148" s="682"/>
      <c r="J148" s="682"/>
      <c r="K148" s="683"/>
      <c r="L148" s="239"/>
    </row>
    <row r="149" spans="1:14" ht="56.25" customHeight="1" thickBot="1" x14ac:dyDescent="0.3">
      <c r="A149" s="410">
        <v>5</v>
      </c>
      <c r="B149" s="411" t="s">
        <v>350</v>
      </c>
      <c r="C149" s="125" t="s">
        <v>359</v>
      </c>
      <c r="D149" s="279">
        <f>SUM(E149:H149)</f>
        <v>10347</v>
      </c>
      <c r="E149" s="126">
        <v>3449</v>
      </c>
      <c r="F149" s="126">
        <v>3449</v>
      </c>
      <c r="G149" s="126">
        <v>3449</v>
      </c>
      <c r="H149" s="126" t="s">
        <v>6</v>
      </c>
      <c r="I149" s="277" t="s">
        <v>360</v>
      </c>
      <c r="J149" s="124" t="s">
        <v>361</v>
      </c>
      <c r="K149" s="274" t="s">
        <v>974</v>
      </c>
      <c r="L149" s="239">
        <v>5</v>
      </c>
    </row>
    <row r="150" spans="1:14" ht="27" customHeight="1" thickBot="1" x14ac:dyDescent="0.3">
      <c r="A150" s="394"/>
      <c r="B150" s="58" t="s">
        <v>250</v>
      </c>
      <c r="C150" s="86"/>
      <c r="D150" s="59">
        <f>SUM(D149)</f>
        <v>10347</v>
      </c>
      <c r="E150" s="59">
        <f t="shared" ref="E150:H150" si="25">SUM(E149)</f>
        <v>3449</v>
      </c>
      <c r="F150" s="59">
        <f t="shared" si="25"/>
        <v>3449</v>
      </c>
      <c r="G150" s="59">
        <f t="shared" si="25"/>
        <v>3449</v>
      </c>
      <c r="H150" s="59">
        <f t="shared" si="25"/>
        <v>0</v>
      </c>
      <c r="I150" s="59"/>
      <c r="J150" s="97"/>
      <c r="K150" s="60"/>
      <c r="L150" s="239"/>
    </row>
    <row r="151" spans="1:14" ht="18" customHeight="1" x14ac:dyDescent="0.25">
      <c r="A151" s="395"/>
      <c r="B151" s="681" t="s">
        <v>103</v>
      </c>
      <c r="C151" s="682"/>
      <c r="D151" s="682"/>
      <c r="E151" s="682"/>
      <c r="F151" s="682"/>
      <c r="G151" s="682"/>
      <c r="H151" s="682"/>
      <c r="I151" s="682"/>
      <c r="J151" s="682"/>
      <c r="K151" s="683"/>
      <c r="L151" s="239">
        <v>9</v>
      </c>
    </row>
    <row r="152" spans="1:14" ht="55.5" customHeight="1" x14ac:dyDescent="0.25">
      <c r="A152" s="396">
        <v>9</v>
      </c>
      <c r="B152" s="100" t="s">
        <v>484</v>
      </c>
      <c r="C152" s="98" t="s">
        <v>222</v>
      </c>
      <c r="D152" s="85">
        <f>E152+F152+G152+H152</f>
        <v>97000</v>
      </c>
      <c r="E152" s="119">
        <v>0</v>
      </c>
      <c r="F152" s="119">
        <v>0</v>
      </c>
      <c r="G152" s="119">
        <v>0</v>
      </c>
      <c r="H152" s="119">
        <v>97000</v>
      </c>
      <c r="I152" s="101" t="s">
        <v>362</v>
      </c>
      <c r="J152" s="101" t="s">
        <v>216</v>
      </c>
      <c r="K152" s="112" t="s">
        <v>749</v>
      </c>
      <c r="L152" s="239"/>
      <c r="M152" s="389" t="s">
        <v>485</v>
      </c>
    </row>
    <row r="153" spans="1:14" ht="34.5" customHeight="1" x14ac:dyDescent="0.25">
      <c r="A153" s="408">
        <v>9</v>
      </c>
      <c r="B153" s="401" t="s">
        <v>217</v>
      </c>
      <c r="C153" s="110">
        <v>904</v>
      </c>
      <c r="D153" s="85">
        <f>SUM(E153:G153)</f>
        <v>600</v>
      </c>
      <c r="E153" s="119">
        <v>200</v>
      </c>
      <c r="F153" s="119">
        <v>200</v>
      </c>
      <c r="G153" s="119">
        <v>200</v>
      </c>
      <c r="H153" s="119" t="s">
        <v>6</v>
      </c>
      <c r="I153" s="101" t="s">
        <v>314</v>
      </c>
      <c r="J153" s="105" t="s">
        <v>218</v>
      </c>
      <c r="K153" s="111" t="s">
        <v>363</v>
      </c>
      <c r="L153" s="239">
        <v>5</v>
      </c>
    </row>
    <row r="154" spans="1:14" s="397" customFormat="1" ht="78" customHeight="1" x14ac:dyDescent="0.2">
      <c r="A154" s="398">
        <v>9</v>
      </c>
      <c r="B154" s="399" t="s">
        <v>249</v>
      </c>
      <c r="C154" s="89" t="s">
        <v>750</v>
      </c>
      <c r="D154" s="85">
        <f t="shared" ref="D154:D159" si="26">SUM(E154:H154)</f>
        <v>10000</v>
      </c>
      <c r="E154" s="119">
        <v>10000</v>
      </c>
      <c r="F154" s="119">
        <v>0</v>
      </c>
      <c r="G154" s="119">
        <v>0</v>
      </c>
      <c r="H154" s="119">
        <v>0</v>
      </c>
      <c r="I154" s="91" t="s">
        <v>751</v>
      </c>
      <c r="J154" s="91" t="s">
        <v>752</v>
      </c>
      <c r="K154" s="112" t="s">
        <v>753</v>
      </c>
      <c r="L154" s="239">
        <v>9</v>
      </c>
      <c r="M154" s="389"/>
    </row>
    <row r="155" spans="1:14" ht="99" customHeight="1" x14ac:dyDescent="0.25">
      <c r="A155" s="398">
        <v>9</v>
      </c>
      <c r="B155" s="399" t="s">
        <v>365</v>
      </c>
      <c r="C155" s="89" t="s">
        <v>366</v>
      </c>
      <c r="D155" s="85">
        <f t="shared" si="26"/>
        <v>36000</v>
      </c>
      <c r="E155" s="119">
        <v>12000</v>
      </c>
      <c r="F155" s="119">
        <v>12000</v>
      </c>
      <c r="G155" s="119">
        <v>12000</v>
      </c>
      <c r="H155" s="119">
        <v>0</v>
      </c>
      <c r="I155" s="91" t="s">
        <v>367</v>
      </c>
      <c r="J155" s="105" t="s">
        <v>368</v>
      </c>
      <c r="K155" s="112" t="s">
        <v>754</v>
      </c>
      <c r="L155" s="239">
        <v>9</v>
      </c>
    </row>
    <row r="156" spans="1:14" ht="89.25" customHeight="1" x14ac:dyDescent="0.25">
      <c r="A156" s="398">
        <v>9</v>
      </c>
      <c r="B156" s="399" t="s">
        <v>487</v>
      </c>
      <c r="C156" s="89" t="s">
        <v>755</v>
      </c>
      <c r="D156" s="85">
        <f t="shared" si="26"/>
        <v>11000</v>
      </c>
      <c r="E156" s="119">
        <v>11000</v>
      </c>
      <c r="F156" s="119">
        <v>0</v>
      </c>
      <c r="G156" s="119">
        <v>0</v>
      </c>
      <c r="H156" s="119">
        <v>0</v>
      </c>
      <c r="I156" s="91" t="s">
        <v>756</v>
      </c>
      <c r="J156" s="98" t="s">
        <v>757</v>
      </c>
      <c r="K156" s="112" t="s">
        <v>771</v>
      </c>
      <c r="L156" s="239"/>
    </row>
    <row r="157" spans="1:14" ht="63" x14ac:dyDescent="0.25">
      <c r="A157" s="398">
        <v>9</v>
      </c>
      <c r="B157" s="399" t="s">
        <v>369</v>
      </c>
      <c r="C157" s="89" t="s">
        <v>370</v>
      </c>
      <c r="D157" s="85">
        <f t="shared" si="26"/>
        <v>9400</v>
      </c>
      <c r="E157" s="99">
        <v>3000</v>
      </c>
      <c r="F157" s="119">
        <v>3200</v>
      </c>
      <c r="G157" s="119">
        <v>3200</v>
      </c>
      <c r="H157" s="119">
        <v>0</v>
      </c>
      <c r="I157" s="91" t="s">
        <v>225</v>
      </c>
      <c r="J157" s="91" t="s">
        <v>371</v>
      </c>
      <c r="K157" s="112" t="s">
        <v>758</v>
      </c>
      <c r="L157" s="239">
        <v>9</v>
      </c>
    </row>
    <row r="158" spans="1:14" ht="55.5" customHeight="1" x14ac:dyDescent="0.25">
      <c r="A158" s="398">
        <v>9</v>
      </c>
      <c r="B158" s="399" t="s">
        <v>488</v>
      </c>
      <c r="C158" s="89" t="s">
        <v>759</v>
      </c>
      <c r="D158" s="85">
        <f t="shared" si="26"/>
        <v>350</v>
      </c>
      <c r="E158" s="113">
        <v>350</v>
      </c>
      <c r="F158" s="113">
        <v>0</v>
      </c>
      <c r="G158" s="113">
        <v>0</v>
      </c>
      <c r="H158" s="113">
        <v>0</v>
      </c>
      <c r="I158" s="91" t="s">
        <v>489</v>
      </c>
      <c r="J158" s="98" t="s">
        <v>757</v>
      </c>
      <c r="K158" s="112" t="s">
        <v>760</v>
      </c>
      <c r="L158" s="239"/>
    </row>
    <row r="159" spans="1:14" ht="57.75" customHeight="1" thickBot="1" x14ac:dyDescent="0.3">
      <c r="A159" s="466">
        <v>5.9</v>
      </c>
      <c r="B159" s="401" t="s">
        <v>175</v>
      </c>
      <c r="C159" s="354" t="s">
        <v>761</v>
      </c>
      <c r="D159" s="83">
        <f t="shared" si="26"/>
        <v>8397</v>
      </c>
      <c r="E159" s="467">
        <v>2799</v>
      </c>
      <c r="F159" s="467">
        <v>2799</v>
      </c>
      <c r="G159" s="467">
        <v>2799</v>
      </c>
      <c r="H159" s="467" t="s">
        <v>6</v>
      </c>
      <c r="I159" s="468" t="s">
        <v>244</v>
      </c>
      <c r="J159" s="469" t="s">
        <v>214</v>
      </c>
      <c r="K159" s="111" t="s">
        <v>490</v>
      </c>
      <c r="L159" s="239"/>
      <c r="M159" s="389" t="s">
        <v>762</v>
      </c>
    </row>
    <row r="160" spans="1:14" ht="15.75" thickBot="1" x14ac:dyDescent="0.3">
      <c r="A160" s="394"/>
      <c r="B160" s="58" t="s">
        <v>104</v>
      </c>
      <c r="C160" s="86"/>
      <c r="D160" s="59">
        <f>SUM(D152:D159)</f>
        <v>172747</v>
      </c>
      <c r="E160" s="59">
        <f>SUM(E152:E159)</f>
        <v>39349</v>
      </c>
      <c r="F160" s="59">
        <f>SUM(F152:F159)</f>
        <v>18199</v>
      </c>
      <c r="G160" s="59">
        <f>SUM(G152:G159)</f>
        <v>18199</v>
      </c>
      <c r="H160" s="59">
        <f>SUM(H152:H159)</f>
        <v>97000</v>
      </c>
      <c r="I160" s="59"/>
      <c r="J160" s="97"/>
      <c r="K160" s="60"/>
      <c r="L160" s="244"/>
    </row>
    <row r="161" spans="1:15" ht="18" customHeight="1" x14ac:dyDescent="0.25">
      <c r="A161" s="395"/>
      <c r="B161" s="681" t="s">
        <v>121</v>
      </c>
      <c r="C161" s="682"/>
      <c r="D161" s="682"/>
      <c r="E161" s="682"/>
      <c r="F161" s="682"/>
      <c r="G161" s="682"/>
      <c r="H161" s="682"/>
      <c r="I161" s="682"/>
      <c r="J161" s="682"/>
      <c r="K161" s="683"/>
      <c r="L161" s="244">
        <v>12</v>
      </c>
    </row>
    <row r="162" spans="1:15" ht="57" customHeight="1" x14ac:dyDescent="0.25">
      <c r="A162" s="396">
        <v>12</v>
      </c>
      <c r="B162" s="100" t="s">
        <v>491</v>
      </c>
      <c r="C162" s="98">
        <v>1202</v>
      </c>
      <c r="D162" s="85">
        <f>SUM(E162:H162)</f>
        <v>200</v>
      </c>
      <c r="E162" s="99">
        <v>150</v>
      </c>
      <c r="F162" s="99">
        <v>50</v>
      </c>
      <c r="G162" s="99">
        <v>0</v>
      </c>
      <c r="H162" s="99">
        <v>0</v>
      </c>
      <c r="I162" s="91" t="s">
        <v>492</v>
      </c>
      <c r="J162" s="91" t="s">
        <v>493</v>
      </c>
      <c r="K162" s="112" t="s">
        <v>763</v>
      </c>
      <c r="L162" s="244"/>
    </row>
    <row r="163" spans="1:15" ht="89.25" customHeight="1" x14ac:dyDescent="0.25">
      <c r="A163" s="396">
        <v>12</v>
      </c>
      <c r="B163" s="100" t="s">
        <v>138</v>
      </c>
      <c r="C163" s="98">
        <v>1218</v>
      </c>
      <c r="D163" s="85">
        <f>SUM(E163:H163)</f>
        <v>15000</v>
      </c>
      <c r="E163" s="99">
        <v>5000</v>
      </c>
      <c r="F163" s="99">
        <v>5000</v>
      </c>
      <c r="G163" s="99">
        <v>5000</v>
      </c>
      <c r="H163" s="99" t="s">
        <v>6</v>
      </c>
      <c r="I163" s="91" t="s">
        <v>244</v>
      </c>
      <c r="J163" s="91" t="s">
        <v>214</v>
      </c>
      <c r="K163" s="112" t="s">
        <v>372</v>
      </c>
      <c r="L163" s="244">
        <v>12</v>
      </c>
    </row>
    <row r="164" spans="1:15" ht="73.5" x14ac:dyDescent="0.25">
      <c r="A164" s="470" t="s">
        <v>764</v>
      </c>
      <c r="B164" s="233" t="s">
        <v>540</v>
      </c>
      <c r="C164" s="288">
        <v>8997</v>
      </c>
      <c r="D164" s="85">
        <f>SUM(E164:H164)</f>
        <v>39892.199999999997</v>
      </c>
      <c r="E164" s="206">
        <v>19946.099999999999</v>
      </c>
      <c r="F164" s="206">
        <v>19946.099999999999</v>
      </c>
      <c r="G164" s="206">
        <v>0</v>
      </c>
      <c r="H164" s="206">
        <v>0</v>
      </c>
      <c r="I164" s="291" t="s">
        <v>539</v>
      </c>
      <c r="J164" s="310" t="s">
        <v>6</v>
      </c>
      <c r="K164" s="234" t="s">
        <v>541</v>
      </c>
      <c r="L164" s="239"/>
    </row>
    <row r="165" spans="1:15" ht="45" customHeight="1" x14ac:dyDescent="0.25">
      <c r="A165" s="396">
        <v>5</v>
      </c>
      <c r="B165" s="243" t="s">
        <v>494</v>
      </c>
      <c r="C165" s="98">
        <v>518</v>
      </c>
      <c r="D165" s="85">
        <f>SUM(E165:H165)</f>
        <v>183</v>
      </c>
      <c r="E165" s="99">
        <v>61</v>
      </c>
      <c r="F165" s="99">
        <v>61</v>
      </c>
      <c r="G165" s="99">
        <v>61</v>
      </c>
      <c r="H165" s="99">
        <v>0</v>
      </c>
      <c r="I165" s="91" t="s">
        <v>495</v>
      </c>
      <c r="J165" s="91" t="s">
        <v>496</v>
      </c>
      <c r="K165" s="112" t="s">
        <v>497</v>
      </c>
      <c r="L165" s="244"/>
    </row>
    <row r="166" spans="1:15" ht="57" customHeight="1" thickBot="1" x14ac:dyDescent="0.3">
      <c r="A166" s="451">
        <v>12</v>
      </c>
      <c r="B166" s="308" t="s">
        <v>498</v>
      </c>
      <c r="C166" s="292">
        <v>1202</v>
      </c>
      <c r="D166" s="85">
        <f>SUM(E166:H166)</f>
        <v>176</v>
      </c>
      <c r="E166" s="120">
        <v>176</v>
      </c>
      <c r="F166" s="120">
        <v>0</v>
      </c>
      <c r="G166" s="99">
        <v>0</v>
      </c>
      <c r="H166" s="99">
        <v>0</v>
      </c>
      <c r="I166" s="291" t="s">
        <v>499</v>
      </c>
      <c r="J166" s="310" t="s">
        <v>493</v>
      </c>
      <c r="K166" s="305" t="s">
        <v>765</v>
      </c>
      <c r="L166" s="244"/>
    </row>
    <row r="167" spans="1:15" ht="27" customHeight="1" thickBot="1" x14ac:dyDescent="0.3">
      <c r="A167" s="394"/>
      <c r="B167" s="61" t="s">
        <v>105</v>
      </c>
      <c r="C167" s="82"/>
      <c r="D167" s="59">
        <f>SUM(D162:D166)</f>
        <v>55451.199999999997</v>
      </c>
      <c r="E167" s="59">
        <f t="shared" ref="E167:H167" si="27">SUM(E162:E166)</f>
        <v>25333.1</v>
      </c>
      <c r="F167" s="59">
        <f t="shared" si="27"/>
        <v>25057.1</v>
      </c>
      <c r="G167" s="59">
        <f t="shared" si="27"/>
        <v>5061</v>
      </c>
      <c r="H167" s="59">
        <f t="shared" si="27"/>
        <v>0</v>
      </c>
      <c r="I167" s="59"/>
      <c r="J167" s="97"/>
      <c r="K167" s="60"/>
      <c r="L167" s="246"/>
    </row>
    <row r="168" spans="1:15" ht="15.75" thickBot="1" x14ac:dyDescent="0.3">
      <c r="A168" s="471"/>
      <c r="B168" s="87"/>
      <c r="C168" s="483"/>
      <c r="D168" s="484"/>
      <c r="E168" s="484"/>
      <c r="F168" s="484"/>
      <c r="G168" s="484"/>
      <c r="H168" s="484"/>
      <c r="I168" s="485"/>
      <c r="J168" s="485"/>
      <c r="K168" s="88"/>
      <c r="L168" s="238"/>
    </row>
    <row r="169" spans="1:15" ht="18" customHeight="1" thickBot="1" x14ac:dyDescent="0.3">
      <c r="A169" s="671" t="s">
        <v>285</v>
      </c>
      <c r="B169" s="632" t="s">
        <v>114</v>
      </c>
      <c r="C169" s="634" t="s">
        <v>115</v>
      </c>
      <c r="D169" s="697" t="s">
        <v>116</v>
      </c>
      <c r="E169" s="676" t="s">
        <v>139</v>
      </c>
      <c r="F169" s="677"/>
      <c r="G169" s="677"/>
      <c r="H169" s="678"/>
      <c r="I169" s="674" t="s">
        <v>178</v>
      </c>
      <c r="J169" s="676" t="s">
        <v>179</v>
      </c>
      <c r="K169" s="679" t="s">
        <v>273</v>
      </c>
      <c r="L169" s="238"/>
    </row>
    <row r="170" spans="1:15" s="463" customFormat="1" ht="21.75" customHeight="1" thickBot="1" x14ac:dyDescent="0.3">
      <c r="A170" s="694"/>
      <c r="B170" s="695"/>
      <c r="C170" s="696"/>
      <c r="D170" s="698"/>
      <c r="E170" s="609">
        <v>2026</v>
      </c>
      <c r="F170" s="609">
        <v>2027</v>
      </c>
      <c r="G170" s="609">
        <v>2028</v>
      </c>
      <c r="H170" s="278" t="s">
        <v>587</v>
      </c>
      <c r="I170" s="675"/>
      <c r="J170" s="699"/>
      <c r="K170" s="700"/>
      <c r="L170" s="239"/>
      <c r="M170" s="389"/>
      <c r="N170" s="387"/>
      <c r="O170" s="387"/>
    </row>
    <row r="171" spans="1:15" s="463" customFormat="1" ht="18" customHeight="1" thickBot="1" x14ac:dyDescent="0.3">
      <c r="A171" s="472"/>
      <c r="B171" s="684" t="s">
        <v>376</v>
      </c>
      <c r="C171" s="701"/>
      <c r="D171" s="701"/>
      <c r="E171" s="701"/>
      <c r="F171" s="701"/>
      <c r="G171" s="701"/>
      <c r="H171" s="701"/>
      <c r="I171" s="701"/>
      <c r="J171" s="701"/>
      <c r="K171" s="702"/>
      <c r="L171" s="239"/>
      <c r="M171" s="389"/>
      <c r="N171" s="387"/>
      <c r="O171" s="387"/>
    </row>
    <row r="172" spans="1:15" s="463" customFormat="1" ht="253.5" customHeight="1" thickBot="1" x14ac:dyDescent="0.3">
      <c r="A172" s="355">
        <v>8</v>
      </c>
      <c r="B172" s="473" t="s">
        <v>766</v>
      </c>
      <c r="C172" s="474" t="s">
        <v>222</v>
      </c>
      <c r="D172" s="475">
        <f>E172+F172+G172+H172</f>
        <v>10698</v>
      </c>
      <c r="E172" s="476">
        <v>0</v>
      </c>
      <c r="F172" s="476">
        <v>0</v>
      </c>
      <c r="G172" s="476">
        <v>0</v>
      </c>
      <c r="H172" s="476">
        <v>10698</v>
      </c>
      <c r="I172" s="477" t="s">
        <v>220</v>
      </c>
      <c r="J172" s="478" t="s">
        <v>6</v>
      </c>
      <c r="K172" s="479" t="s">
        <v>500</v>
      </c>
      <c r="L172" s="239">
        <v>8</v>
      </c>
      <c r="M172" s="389"/>
      <c r="N172" s="387"/>
      <c r="O172" s="387"/>
    </row>
    <row r="173" spans="1:15" s="463" customFormat="1" ht="15.75" thickBot="1" x14ac:dyDescent="0.3">
      <c r="A173" s="394"/>
      <c r="B173" s="61" t="s">
        <v>150</v>
      </c>
      <c r="C173" s="82"/>
      <c r="D173" s="59">
        <f>SUM(D172:D172)</f>
        <v>10698</v>
      </c>
      <c r="E173" s="59">
        <f t="shared" ref="E173:H173" si="28">SUM(E172:E172)</f>
        <v>0</v>
      </c>
      <c r="F173" s="59">
        <f t="shared" si="28"/>
        <v>0</v>
      </c>
      <c r="G173" s="59">
        <f t="shared" si="28"/>
        <v>0</v>
      </c>
      <c r="H173" s="59">
        <f t="shared" si="28"/>
        <v>10698</v>
      </c>
      <c r="I173" s="97"/>
      <c r="J173" s="97"/>
      <c r="K173" s="60"/>
      <c r="L173" s="239"/>
      <c r="M173" s="389"/>
      <c r="N173" s="387"/>
      <c r="O173" s="387"/>
    </row>
    <row r="174" spans="1:15" s="463" customFormat="1" ht="9" customHeight="1" thickBot="1" x14ac:dyDescent="0.3">
      <c r="A174" s="451"/>
      <c r="B174" s="486"/>
      <c r="C174" s="487"/>
      <c r="D174" s="488"/>
      <c r="E174" s="55"/>
      <c r="F174" s="55"/>
      <c r="G174" s="55"/>
      <c r="H174" s="55"/>
      <c r="I174" s="94"/>
      <c r="J174" s="94"/>
      <c r="K174" s="480"/>
      <c r="L174" s="239"/>
      <c r="M174" s="389"/>
      <c r="N174" s="387"/>
      <c r="O174" s="387"/>
    </row>
    <row r="175" spans="1:15" s="463" customFormat="1" ht="18" customHeight="1" thickBot="1" x14ac:dyDescent="0.3">
      <c r="A175" s="394"/>
      <c r="B175" s="64" t="s">
        <v>106</v>
      </c>
      <c r="C175" s="82"/>
      <c r="D175" s="59">
        <f>D173+D167+D160+D150+D147+D135+D130+D109+D91+D88+D83+D71+D25+D12+D79</f>
        <v>33632744.200000003</v>
      </c>
      <c r="E175" s="59">
        <f>E173+E167+E160+E150+E147+E135+E130+E109+E91+E88+E83+E71+E25+E12+E79</f>
        <v>5899882.5999999996</v>
      </c>
      <c r="F175" s="59">
        <f>F173+F167+F160+F150+F147+F135+F130+F109+F91+F88+F83+F71+F25+F12+F79</f>
        <v>6242917.5999999996</v>
      </c>
      <c r="G175" s="59">
        <f>G173+G167+G160+G150+G147+G135+G130+G109+G91+G88+G83+G71+G25+G12+G79</f>
        <v>4764650</v>
      </c>
      <c r="H175" s="59">
        <f>H173+H167+H160+H150+H147+H135+H130+H109+H91+H88+H83+H71+H25+H12+H79</f>
        <v>16725294</v>
      </c>
      <c r="I175" s="97"/>
      <c r="J175" s="97"/>
      <c r="K175" s="65"/>
      <c r="L175" s="387"/>
      <c r="M175" s="389"/>
      <c r="N175" s="387"/>
      <c r="O175" s="387"/>
    </row>
    <row r="176" spans="1:15" s="463" customFormat="1" ht="6" customHeight="1" x14ac:dyDescent="0.25">
      <c r="A176" s="481"/>
      <c r="B176" s="387"/>
      <c r="C176" s="387"/>
      <c r="D176" s="387"/>
      <c r="E176" s="388"/>
      <c r="F176" s="388"/>
      <c r="G176" s="388"/>
      <c r="H176" s="388"/>
      <c r="I176" s="387"/>
      <c r="J176" s="387"/>
      <c r="K176" s="387"/>
      <c r="L176" s="387"/>
      <c r="M176" s="389"/>
      <c r="N176" s="387"/>
      <c r="O176" s="387"/>
    </row>
    <row r="177" spans="1:15" s="463" customFormat="1" x14ac:dyDescent="0.25">
      <c r="A177" s="482"/>
      <c r="B177" s="608" t="s">
        <v>976</v>
      </c>
      <c r="C177" s="387"/>
      <c r="D177" s="387"/>
      <c r="E177" s="388"/>
      <c r="F177" s="388"/>
      <c r="G177" s="388"/>
      <c r="H177" s="388"/>
      <c r="I177" s="387"/>
      <c r="J177" s="387"/>
      <c r="K177" s="387"/>
      <c r="L177" s="387"/>
      <c r="M177" s="389"/>
      <c r="N177" s="387"/>
      <c r="O177" s="387"/>
    </row>
  </sheetData>
  <mergeCells count="35">
    <mergeCell ref="J169:J170"/>
    <mergeCell ref="K169:K170"/>
    <mergeCell ref="B171:K171"/>
    <mergeCell ref="B139:B141"/>
    <mergeCell ref="B148:K148"/>
    <mergeCell ref="B151:K151"/>
    <mergeCell ref="B161:K161"/>
    <mergeCell ref="I169:I170"/>
    <mergeCell ref="A169:A170"/>
    <mergeCell ref="B169:B170"/>
    <mergeCell ref="C169:C170"/>
    <mergeCell ref="D169:D170"/>
    <mergeCell ref="E169:H169"/>
    <mergeCell ref="B136:K136"/>
    <mergeCell ref="L4:L5"/>
    <mergeCell ref="B6:K6"/>
    <mergeCell ref="B13:K13"/>
    <mergeCell ref="B26:K26"/>
    <mergeCell ref="B72:K72"/>
    <mergeCell ref="B80:K80"/>
    <mergeCell ref="B84:K84"/>
    <mergeCell ref="B89:K89"/>
    <mergeCell ref="B92:K92"/>
    <mergeCell ref="B110:K110"/>
    <mergeCell ref="B131:K131"/>
    <mergeCell ref="B2:K2"/>
    <mergeCell ref="B3:J3"/>
    <mergeCell ref="A4:A5"/>
    <mergeCell ref="B4:B5"/>
    <mergeCell ref="C4:C5"/>
    <mergeCell ref="D4:D5"/>
    <mergeCell ref="E4:H4"/>
    <mergeCell ref="I4:I5"/>
    <mergeCell ref="J4:J5"/>
    <mergeCell ref="K4:K5"/>
  </mergeCells>
  <pageMargins left="0.39370078740157483" right="0.39370078740157483" top="0.59055118110236227" bottom="0.39370078740157483" header="0.31496062992125984" footer="0.11811023622047245"/>
  <pageSetup paperSize="9" scale="91" firstPageNumber="19" fitToHeight="0" orientation="landscape" useFirstPageNumber="1" r:id="rId1"/>
  <headerFooter>
    <oddHeader>&amp;L&amp;"Tahoma,Kurzíva"&amp;9Střednědobý výhled rozpočtu Moravskoslezského kraje na léta 2026-2028&amp;R&amp;"Tahoma,Kurzíva"&amp;9Přehled ostatních dlouhodobých závazků kraje</oddHeader>
    <oddFooter>&amp;C&amp;"Tahoma,Obyčejné"&amp;P</oddFooter>
  </headerFooter>
  <rowBreaks count="14" manualBreakCount="14">
    <brk id="12" min="1" max="10" man="1"/>
    <brk id="17" min="1" max="10" man="1"/>
    <brk id="23" min="1" max="10" man="1"/>
    <brk id="33" min="1" max="10" man="1"/>
    <brk id="59" min="1" max="10" man="1"/>
    <brk id="76" min="1" max="10" man="1"/>
    <brk id="88" min="1" max="10" man="1"/>
    <brk id="97" min="1" max="10" man="1"/>
    <brk id="104" min="1" max="10" man="1"/>
    <brk id="124" min="1" max="10" man="1"/>
    <brk id="135" min="1" max="10" man="1"/>
    <brk id="150" min="1" max="10" man="1"/>
    <brk id="157" min="1" max="10" man="1"/>
    <brk id="165" min="1"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7635B-040F-4579-BBC8-569DC06B8486}">
  <sheetPr>
    <pageSetUpPr fitToPage="1"/>
  </sheetPr>
  <dimension ref="A1:J105"/>
  <sheetViews>
    <sheetView zoomScaleNormal="100" zoomScaleSheetLayoutView="100" workbookViewId="0">
      <pane ySplit="5" topLeftCell="A6" activePane="bottomLeft" state="frozen"/>
      <selection pane="bottomLeft" activeCell="K5" sqref="K5"/>
    </sheetView>
  </sheetViews>
  <sheetFormatPr defaultRowHeight="15" x14ac:dyDescent="0.25"/>
  <cols>
    <col min="1" max="1" width="54.140625" style="509" customWidth="1"/>
    <col min="2" max="2" width="9.28515625" style="509" hidden="1" customWidth="1"/>
    <col min="3" max="3" width="12.7109375" style="510" customWidth="1"/>
    <col min="4" max="4" width="11.85546875" style="524" customWidth="1"/>
    <col min="5" max="6" width="7.7109375" style="525" customWidth="1"/>
    <col min="7" max="10" width="12.7109375" style="509" customWidth="1"/>
    <col min="11" max="16384" width="9.140625" style="511"/>
  </cols>
  <sheetData>
    <row r="1" spans="1:10" x14ac:dyDescent="0.25">
      <c r="A1" s="535" t="s">
        <v>59</v>
      </c>
    </row>
    <row r="2" spans="1:10" s="54" customFormat="1" ht="30" customHeight="1" x14ac:dyDescent="0.2">
      <c r="A2" s="630" t="s">
        <v>87</v>
      </c>
      <c r="B2" s="706"/>
      <c r="C2" s="706"/>
      <c r="D2" s="706"/>
      <c r="E2" s="706"/>
      <c r="F2" s="706"/>
      <c r="G2" s="706"/>
      <c r="H2" s="706"/>
      <c r="I2" s="706"/>
      <c r="J2" s="706"/>
    </row>
    <row r="3" spans="1:10" s="54" customFormat="1" ht="15.75" customHeight="1" thickBot="1" x14ac:dyDescent="0.25">
      <c r="A3" s="55"/>
      <c r="B3" s="55"/>
      <c r="C3" s="56"/>
      <c r="D3" s="526"/>
      <c r="E3" s="527"/>
      <c r="F3" s="527"/>
      <c r="G3" s="495"/>
      <c r="H3" s="495"/>
      <c r="I3" s="495"/>
      <c r="J3" s="56" t="s">
        <v>88</v>
      </c>
    </row>
    <row r="4" spans="1:10" s="54" customFormat="1" ht="24" customHeight="1" x14ac:dyDescent="0.2">
      <c r="A4" s="632" t="s">
        <v>387</v>
      </c>
      <c r="B4" s="634" t="s">
        <v>772</v>
      </c>
      <c r="C4" s="708" t="s">
        <v>89</v>
      </c>
      <c r="D4" s="710" t="s">
        <v>221</v>
      </c>
      <c r="E4" s="712" t="s">
        <v>392</v>
      </c>
      <c r="F4" s="713"/>
      <c r="G4" s="638" t="s">
        <v>90</v>
      </c>
      <c r="H4" s="639"/>
      <c r="I4" s="640"/>
      <c r="J4" s="714"/>
    </row>
    <row r="5" spans="1:10" s="54" customFormat="1" ht="24" customHeight="1" thickBot="1" x14ac:dyDescent="0.25">
      <c r="A5" s="695"/>
      <c r="B5" s="707"/>
      <c r="C5" s="709"/>
      <c r="D5" s="711"/>
      <c r="E5" s="512" t="s">
        <v>388</v>
      </c>
      <c r="F5" s="512" t="s">
        <v>389</v>
      </c>
      <c r="G5" s="53" t="s">
        <v>390</v>
      </c>
      <c r="H5" s="522" t="s">
        <v>406</v>
      </c>
      <c r="I5" s="522" t="s">
        <v>857</v>
      </c>
      <c r="J5" s="523" t="s">
        <v>587</v>
      </c>
    </row>
    <row r="6" spans="1:10" s="57" customFormat="1" ht="18" customHeight="1" x14ac:dyDescent="0.2">
      <c r="A6" s="313" t="s">
        <v>635</v>
      </c>
      <c r="B6" s="315"/>
      <c r="C6" s="315"/>
      <c r="D6" s="528"/>
      <c r="E6" s="529"/>
      <c r="F6" s="529"/>
      <c r="G6" s="315"/>
      <c r="H6" s="315"/>
      <c r="I6" s="315"/>
      <c r="J6" s="316"/>
    </row>
    <row r="7" spans="1:10" s="57" customFormat="1" ht="15" customHeight="1" x14ac:dyDescent="0.2">
      <c r="A7" s="233" t="s">
        <v>779</v>
      </c>
      <c r="B7" s="98">
        <v>3630</v>
      </c>
      <c r="C7" s="90">
        <v>45838</v>
      </c>
      <c r="D7" s="237">
        <v>0</v>
      </c>
      <c r="E7" s="114">
        <v>2024</v>
      </c>
      <c r="F7" s="114">
        <v>2026</v>
      </c>
      <c r="G7" s="90">
        <v>6012</v>
      </c>
      <c r="H7" s="90">
        <v>10306</v>
      </c>
      <c r="I7" s="90">
        <v>10306</v>
      </c>
      <c r="J7" s="513">
        <f>10306+6012</f>
        <v>16318</v>
      </c>
    </row>
    <row r="8" spans="1:10" s="57" customFormat="1" ht="15" customHeight="1" x14ac:dyDescent="0.2">
      <c r="A8" s="233" t="s">
        <v>858</v>
      </c>
      <c r="B8" s="98">
        <v>3558</v>
      </c>
      <c r="C8" s="90">
        <v>9989.880000000001</v>
      </c>
      <c r="D8" s="237">
        <v>0.15000000000000002</v>
      </c>
      <c r="E8" s="114">
        <v>2022</v>
      </c>
      <c r="F8" s="114">
        <v>2025</v>
      </c>
      <c r="G8" s="90">
        <v>2933</v>
      </c>
      <c r="H8" s="90">
        <v>2933</v>
      </c>
      <c r="I8" s="90">
        <v>2933</v>
      </c>
      <c r="J8" s="513">
        <f>2933+2933</f>
        <v>5866</v>
      </c>
    </row>
    <row r="9" spans="1:10" s="57" customFormat="1" ht="24.75" customHeight="1" thickBot="1" x14ac:dyDescent="0.25">
      <c r="A9" s="314" t="s">
        <v>374</v>
      </c>
      <c r="B9" s="110">
        <v>3526</v>
      </c>
      <c r="C9" s="95">
        <v>39990</v>
      </c>
      <c r="D9" s="236">
        <v>0</v>
      </c>
      <c r="E9" s="607">
        <v>2024</v>
      </c>
      <c r="F9" s="607">
        <v>2025</v>
      </c>
      <c r="G9" s="95">
        <v>1023</v>
      </c>
      <c r="H9" s="95">
        <v>1023</v>
      </c>
      <c r="I9" s="95">
        <v>1023</v>
      </c>
      <c r="J9" s="514">
        <f>1023+1023</f>
        <v>2046</v>
      </c>
    </row>
    <row r="10" spans="1:10" s="57" customFormat="1" ht="16.5" customHeight="1" thickBot="1" x14ac:dyDescent="0.25">
      <c r="A10" s="58" t="s">
        <v>782</v>
      </c>
      <c r="B10" s="82">
        <f>COUNT(B7:B9)</f>
        <v>3</v>
      </c>
      <c r="C10" s="84" t="s">
        <v>6</v>
      </c>
      <c r="D10" s="515" t="s">
        <v>6</v>
      </c>
      <c r="E10" s="285" t="s">
        <v>6</v>
      </c>
      <c r="F10" s="285" t="s">
        <v>6</v>
      </c>
      <c r="G10" s="59">
        <f>SUM(G7:G9)</f>
        <v>9968</v>
      </c>
      <c r="H10" s="59">
        <f>SUM(H7:H9)</f>
        <v>14262</v>
      </c>
      <c r="I10" s="59">
        <f>SUM(I7:I9)</f>
        <v>14262</v>
      </c>
      <c r="J10" s="127">
        <f>SUM(J7:J9)</f>
        <v>24230</v>
      </c>
    </row>
    <row r="11" spans="1:10" s="57" customFormat="1" ht="18" customHeight="1" x14ac:dyDescent="0.2">
      <c r="A11" s="313" t="s">
        <v>117</v>
      </c>
      <c r="B11" s="315"/>
      <c r="C11" s="315"/>
      <c r="D11" s="528"/>
      <c r="E11" s="529"/>
      <c r="F11" s="529"/>
      <c r="G11" s="315"/>
      <c r="H11" s="315"/>
      <c r="I11" s="315"/>
      <c r="J11" s="316"/>
    </row>
    <row r="12" spans="1:10" s="57" customFormat="1" ht="15.75" customHeight="1" thickBot="1" x14ac:dyDescent="0.25">
      <c r="A12" s="233" t="s">
        <v>407</v>
      </c>
      <c r="B12" s="98">
        <v>3519</v>
      </c>
      <c r="C12" s="90">
        <v>261000</v>
      </c>
      <c r="D12" s="237">
        <v>0.15000000000000002</v>
      </c>
      <c r="E12" s="114">
        <v>2021</v>
      </c>
      <c r="F12" s="114">
        <v>2026</v>
      </c>
      <c r="G12" s="90">
        <v>7500</v>
      </c>
      <c r="H12" s="90">
        <v>7500</v>
      </c>
      <c r="I12" s="90">
        <v>7500</v>
      </c>
      <c r="J12" s="513">
        <f>7500+7500</f>
        <v>15000</v>
      </c>
    </row>
    <row r="13" spans="1:10" s="57" customFormat="1" ht="16.5" customHeight="1" thickBot="1" x14ac:dyDescent="0.25">
      <c r="A13" s="58" t="s">
        <v>118</v>
      </c>
      <c r="B13" s="82">
        <f>COUNT(B12)</f>
        <v>1</v>
      </c>
      <c r="C13" s="84" t="s">
        <v>6</v>
      </c>
      <c r="D13" s="515" t="s">
        <v>6</v>
      </c>
      <c r="E13" s="285" t="s">
        <v>6</v>
      </c>
      <c r="F13" s="285" t="s">
        <v>6</v>
      </c>
      <c r="G13" s="59">
        <f t="shared" ref="G13:J13" si="0">SUM(G12)</f>
        <v>7500</v>
      </c>
      <c r="H13" s="59">
        <f t="shared" si="0"/>
        <v>7500</v>
      </c>
      <c r="I13" s="59">
        <f t="shared" si="0"/>
        <v>7500</v>
      </c>
      <c r="J13" s="127">
        <f t="shared" si="0"/>
        <v>15000</v>
      </c>
    </row>
    <row r="14" spans="1:10" s="57" customFormat="1" ht="18" customHeight="1" x14ac:dyDescent="0.2">
      <c r="A14" s="499" t="s">
        <v>93</v>
      </c>
      <c r="B14" s="500"/>
      <c r="C14" s="500"/>
      <c r="D14" s="530"/>
      <c r="E14" s="531"/>
      <c r="F14" s="531"/>
      <c r="G14" s="500"/>
      <c r="H14" s="500"/>
      <c r="I14" s="500"/>
      <c r="J14" s="501"/>
    </row>
    <row r="15" spans="1:10" s="57" customFormat="1" ht="15" customHeight="1" x14ac:dyDescent="0.2">
      <c r="A15" s="233" t="s">
        <v>324</v>
      </c>
      <c r="B15" s="98">
        <v>3505</v>
      </c>
      <c r="C15" s="90">
        <v>2600000.0099999998</v>
      </c>
      <c r="D15" s="237">
        <v>0.15000000000000002</v>
      </c>
      <c r="E15" s="114">
        <v>2017</v>
      </c>
      <c r="F15" s="114">
        <v>2027</v>
      </c>
      <c r="G15" s="90">
        <v>0</v>
      </c>
      <c r="H15" s="90">
        <v>111200</v>
      </c>
      <c r="I15" s="90">
        <v>111200</v>
      </c>
      <c r="J15" s="513">
        <f>111200*8</f>
        <v>889600</v>
      </c>
    </row>
    <row r="16" spans="1:10" s="57" customFormat="1" ht="15" customHeight="1" x14ac:dyDescent="0.2">
      <c r="A16" s="233" t="s">
        <v>325</v>
      </c>
      <c r="B16" s="98">
        <v>3523</v>
      </c>
      <c r="C16" s="90">
        <v>148000</v>
      </c>
      <c r="D16" s="237">
        <v>0</v>
      </c>
      <c r="E16" s="114">
        <v>2023</v>
      </c>
      <c r="F16" s="114">
        <v>2026</v>
      </c>
      <c r="G16" s="90">
        <v>7000</v>
      </c>
      <c r="H16" s="90">
        <v>7000</v>
      </c>
      <c r="I16" s="90">
        <v>7000</v>
      </c>
      <c r="J16" s="513">
        <v>14000</v>
      </c>
    </row>
    <row r="17" spans="1:10" s="57" customFormat="1" ht="15" customHeight="1" x14ac:dyDescent="0.2">
      <c r="A17" s="233" t="s">
        <v>326</v>
      </c>
      <c r="B17" s="98">
        <v>3555</v>
      </c>
      <c r="C17" s="90">
        <v>164999.99</v>
      </c>
      <c r="D17" s="237">
        <v>0.15000000000000002</v>
      </c>
      <c r="E17" s="114">
        <v>2019</v>
      </c>
      <c r="F17" s="114">
        <v>2026</v>
      </c>
      <c r="G17" s="90">
        <v>0</v>
      </c>
      <c r="H17" s="90">
        <v>2200</v>
      </c>
      <c r="I17" s="90">
        <v>2200</v>
      </c>
      <c r="J17" s="513">
        <f>2200*8</f>
        <v>17600</v>
      </c>
    </row>
    <row r="18" spans="1:10" s="57" customFormat="1" ht="15" customHeight="1" x14ac:dyDescent="0.2">
      <c r="A18" s="233" t="s">
        <v>323</v>
      </c>
      <c r="B18" s="98">
        <v>3556</v>
      </c>
      <c r="C18" s="90">
        <v>502999.99</v>
      </c>
      <c r="D18" s="237">
        <v>0.15000000000000002</v>
      </c>
      <c r="E18" s="114">
        <v>2023</v>
      </c>
      <c r="F18" s="114">
        <v>2027</v>
      </c>
      <c r="G18" s="90">
        <v>0</v>
      </c>
      <c r="H18" s="90">
        <v>9000</v>
      </c>
      <c r="I18" s="90">
        <v>9000</v>
      </c>
      <c r="J18" s="513">
        <f>9000*8</f>
        <v>72000</v>
      </c>
    </row>
    <row r="19" spans="1:10" s="57" customFormat="1" ht="15" customHeight="1" x14ac:dyDescent="0.2">
      <c r="A19" s="233" t="s">
        <v>327</v>
      </c>
      <c r="B19" s="98">
        <v>3549</v>
      </c>
      <c r="C19" s="90">
        <v>5615</v>
      </c>
      <c r="D19" s="237">
        <v>0.15000000000000002</v>
      </c>
      <c r="E19" s="114">
        <v>2016</v>
      </c>
      <c r="F19" s="114">
        <v>2025</v>
      </c>
      <c r="G19" s="90">
        <v>300</v>
      </c>
      <c r="H19" s="90">
        <v>300</v>
      </c>
      <c r="I19" s="90">
        <v>300</v>
      </c>
      <c r="J19" s="513">
        <v>600</v>
      </c>
    </row>
    <row r="20" spans="1:10" s="57" customFormat="1" ht="15" customHeight="1" x14ac:dyDescent="0.2">
      <c r="A20" s="233" t="s">
        <v>859</v>
      </c>
      <c r="B20" s="98">
        <v>3524</v>
      </c>
      <c r="C20" s="90">
        <v>160101</v>
      </c>
      <c r="D20" s="237">
        <v>0</v>
      </c>
      <c r="E20" s="114">
        <v>2022</v>
      </c>
      <c r="F20" s="114">
        <v>2025</v>
      </c>
      <c r="G20" s="90">
        <v>7000</v>
      </c>
      <c r="H20" s="90">
        <v>7000</v>
      </c>
      <c r="I20" s="90">
        <v>7000</v>
      </c>
      <c r="J20" s="513">
        <v>14000</v>
      </c>
    </row>
    <row r="21" spans="1:10" s="57" customFormat="1" ht="15" customHeight="1" thickBot="1" x14ac:dyDescent="0.25">
      <c r="A21" s="233" t="s">
        <v>328</v>
      </c>
      <c r="B21" s="98">
        <v>3514</v>
      </c>
      <c r="C21" s="90">
        <v>122073</v>
      </c>
      <c r="D21" s="237">
        <v>0.15000000000000002</v>
      </c>
      <c r="E21" s="114">
        <v>2020</v>
      </c>
      <c r="F21" s="114">
        <v>2025</v>
      </c>
      <c r="G21" s="90">
        <v>300</v>
      </c>
      <c r="H21" s="90">
        <v>300</v>
      </c>
      <c r="I21" s="90">
        <v>300</v>
      </c>
      <c r="J21" s="513">
        <v>600</v>
      </c>
    </row>
    <row r="22" spans="1:10" s="57" customFormat="1" ht="16.5" customHeight="1" thickBot="1" x14ac:dyDescent="0.25">
      <c r="A22" s="58" t="s">
        <v>94</v>
      </c>
      <c r="B22" s="82">
        <f>COUNT(B15:B21)</f>
        <v>7</v>
      </c>
      <c r="C22" s="84" t="s">
        <v>6</v>
      </c>
      <c r="D22" s="515" t="s">
        <v>6</v>
      </c>
      <c r="E22" s="285" t="s">
        <v>6</v>
      </c>
      <c r="F22" s="285" t="s">
        <v>6</v>
      </c>
      <c r="G22" s="59">
        <f>SUM(G15:G21)</f>
        <v>14600</v>
      </c>
      <c r="H22" s="59">
        <f>SUM(H15:H21)</f>
        <v>137000</v>
      </c>
      <c r="I22" s="59">
        <f>SUM(I15:I21)</f>
        <v>137000</v>
      </c>
      <c r="J22" s="127">
        <f>SUM(J15:J21)</f>
        <v>1008400</v>
      </c>
    </row>
    <row r="23" spans="1:10" s="57" customFormat="1" ht="18" customHeight="1" x14ac:dyDescent="0.2">
      <c r="A23" s="499" t="s">
        <v>97</v>
      </c>
      <c r="B23" s="500"/>
      <c r="C23" s="500"/>
      <c r="D23" s="530"/>
      <c r="E23" s="531"/>
      <c r="F23" s="531"/>
      <c r="G23" s="500"/>
      <c r="H23" s="500"/>
      <c r="I23" s="500"/>
      <c r="J23" s="501"/>
    </row>
    <row r="24" spans="1:10" s="57" customFormat="1" ht="15.75" customHeight="1" thickBot="1" x14ac:dyDescent="0.25">
      <c r="A24" s="233" t="s">
        <v>329</v>
      </c>
      <c r="B24" s="98">
        <v>3562</v>
      </c>
      <c r="C24" s="90">
        <v>76000</v>
      </c>
      <c r="D24" s="237">
        <v>0.15</v>
      </c>
      <c r="E24" s="114">
        <v>2023</v>
      </c>
      <c r="F24" s="114">
        <v>2026</v>
      </c>
      <c r="G24" s="90">
        <v>0</v>
      </c>
      <c r="H24" s="90">
        <v>500</v>
      </c>
      <c r="I24" s="90">
        <v>0</v>
      </c>
      <c r="J24" s="513">
        <v>0</v>
      </c>
    </row>
    <row r="25" spans="1:10" s="57" customFormat="1" ht="16.5" customHeight="1" thickBot="1" x14ac:dyDescent="0.25">
      <c r="A25" s="58" t="s">
        <v>98</v>
      </c>
      <c r="B25" s="82">
        <f>COUNT(B24:B24)</f>
        <v>1</v>
      </c>
      <c r="C25" s="84" t="s">
        <v>6</v>
      </c>
      <c r="D25" s="515" t="s">
        <v>6</v>
      </c>
      <c r="E25" s="285" t="s">
        <v>6</v>
      </c>
      <c r="F25" s="285" t="s">
        <v>6</v>
      </c>
      <c r="G25" s="59">
        <f>SUM(G24:G24)</f>
        <v>0</v>
      </c>
      <c r="H25" s="59">
        <f>SUM(H24:H24)</f>
        <v>500</v>
      </c>
      <c r="I25" s="59">
        <f>SUM(I24:I24)</f>
        <v>0</v>
      </c>
      <c r="J25" s="127">
        <f>SUM(J24:J24)</f>
        <v>0</v>
      </c>
    </row>
    <row r="26" spans="1:10" s="57" customFormat="1" ht="18" customHeight="1" x14ac:dyDescent="0.2">
      <c r="A26" s="499" t="s">
        <v>99</v>
      </c>
      <c r="B26" s="500"/>
      <c r="C26" s="500"/>
      <c r="D26" s="530"/>
      <c r="E26" s="531"/>
      <c r="F26" s="531"/>
      <c r="G26" s="500"/>
      <c r="H26" s="500"/>
      <c r="I26" s="500"/>
      <c r="J26" s="501"/>
    </row>
    <row r="27" spans="1:10" s="57" customFormat="1" ht="15" customHeight="1" x14ac:dyDescent="0.2">
      <c r="A27" s="233" t="s">
        <v>795</v>
      </c>
      <c r="B27" s="98">
        <v>3591</v>
      </c>
      <c r="C27" s="90">
        <v>57818</v>
      </c>
      <c r="D27" s="237">
        <v>0</v>
      </c>
      <c r="E27" s="114">
        <v>2023</v>
      </c>
      <c r="F27" s="114">
        <v>2026</v>
      </c>
      <c r="G27" s="90">
        <v>1500</v>
      </c>
      <c r="H27" s="90">
        <v>1500</v>
      </c>
      <c r="I27" s="90">
        <v>1500</v>
      </c>
      <c r="J27" s="513">
        <f>1500*7</f>
        <v>10500</v>
      </c>
    </row>
    <row r="28" spans="1:10" s="57" customFormat="1" ht="15" customHeight="1" x14ac:dyDescent="0.2">
      <c r="A28" s="233" t="s">
        <v>330</v>
      </c>
      <c r="B28" s="98">
        <v>3512</v>
      </c>
      <c r="C28" s="90">
        <v>38163</v>
      </c>
      <c r="D28" s="237">
        <v>0</v>
      </c>
      <c r="E28" s="114">
        <v>2018</v>
      </c>
      <c r="F28" s="114">
        <v>2025</v>
      </c>
      <c r="G28" s="90">
        <v>6600</v>
      </c>
      <c r="H28" s="90">
        <v>6600</v>
      </c>
      <c r="I28" s="90">
        <v>6600</v>
      </c>
      <c r="J28" s="513">
        <f>6600*7</f>
        <v>46200</v>
      </c>
    </row>
    <row r="29" spans="1:10" s="57" customFormat="1" ht="15" customHeight="1" x14ac:dyDescent="0.2">
      <c r="A29" s="233" t="s">
        <v>408</v>
      </c>
      <c r="B29" s="98">
        <v>3557</v>
      </c>
      <c r="C29" s="90">
        <v>75713</v>
      </c>
      <c r="D29" s="237">
        <v>0</v>
      </c>
      <c r="E29" s="114">
        <v>2021</v>
      </c>
      <c r="F29" s="114">
        <v>2025</v>
      </c>
      <c r="G29" s="90">
        <v>3000</v>
      </c>
      <c r="H29" s="90">
        <v>3000</v>
      </c>
      <c r="I29" s="90">
        <v>3000</v>
      </c>
      <c r="J29" s="513">
        <f>3000*7</f>
        <v>21000</v>
      </c>
    </row>
    <row r="30" spans="1:10" s="57" customFormat="1" ht="15" customHeight="1" x14ac:dyDescent="0.2">
      <c r="A30" s="233" t="s">
        <v>812</v>
      </c>
      <c r="B30" s="98">
        <v>3579</v>
      </c>
      <c r="C30" s="90">
        <v>64999.99</v>
      </c>
      <c r="D30" s="237">
        <v>0.15000000000000002</v>
      </c>
      <c r="E30" s="114">
        <v>2023</v>
      </c>
      <c r="F30" s="114">
        <v>2026</v>
      </c>
      <c r="G30" s="90">
        <v>0</v>
      </c>
      <c r="H30" s="90">
        <v>500</v>
      </c>
      <c r="I30" s="90">
        <v>500</v>
      </c>
      <c r="J30" s="513">
        <f>500*3</f>
        <v>1500</v>
      </c>
    </row>
    <row r="31" spans="1:10" s="57" customFormat="1" ht="15" customHeight="1" x14ac:dyDescent="0.2">
      <c r="A31" s="233" t="s">
        <v>814</v>
      </c>
      <c r="B31" s="98">
        <v>3582</v>
      </c>
      <c r="C31" s="90">
        <v>130000</v>
      </c>
      <c r="D31" s="237">
        <v>0.15000000000000002</v>
      </c>
      <c r="E31" s="114">
        <v>2023</v>
      </c>
      <c r="F31" s="114">
        <v>2027</v>
      </c>
      <c r="G31" s="90">
        <v>0</v>
      </c>
      <c r="H31" s="90">
        <v>500</v>
      </c>
      <c r="I31" s="90">
        <v>500</v>
      </c>
      <c r="J31" s="513">
        <f>500*3</f>
        <v>1500</v>
      </c>
    </row>
    <row r="32" spans="1:10" s="57" customFormat="1" ht="15.75" customHeight="1" thickBot="1" x14ac:dyDescent="0.25">
      <c r="A32" s="233" t="s">
        <v>409</v>
      </c>
      <c r="B32" s="98">
        <v>3544</v>
      </c>
      <c r="C32" s="90">
        <v>26662</v>
      </c>
      <c r="D32" s="237">
        <v>0</v>
      </c>
      <c r="E32" s="114">
        <v>2022</v>
      </c>
      <c r="F32" s="114">
        <v>2025</v>
      </c>
      <c r="G32" s="90">
        <v>1000</v>
      </c>
      <c r="H32" s="90">
        <v>1000</v>
      </c>
      <c r="I32" s="90">
        <v>1000</v>
      </c>
      <c r="J32" s="513">
        <v>2000</v>
      </c>
    </row>
    <row r="33" spans="1:10" s="57" customFormat="1" ht="16.5" customHeight="1" thickBot="1" x14ac:dyDescent="0.25">
      <c r="A33" s="58" t="s">
        <v>100</v>
      </c>
      <c r="B33" s="82">
        <f>COUNT(B27:B32)</f>
        <v>6</v>
      </c>
      <c r="C33" s="84" t="s">
        <v>6</v>
      </c>
      <c r="D33" s="515" t="s">
        <v>6</v>
      </c>
      <c r="E33" s="285" t="s">
        <v>6</v>
      </c>
      <c r="F33" s="285" t="s">
        <v>6</v>
      </c>
      <c r="G33" s="59">
        <f>SUM(G27:G32)</f>
        <v>12100</v>
      </c>
      <c r="H33" s="59">
        <f>SUM(H27:H32)</f>
        <v>13100</v>
      </c>
      <c r="I33" s="59">
        <f>SUM(I27:I32)</f>
        <v>13100</v>
      </c>
      <c r="J33" s="127">
        <f>SUM(J27:J32)</f>
        <v>82700</v>
      </c>
    </row>
    <row r="34" spans="1:10" s="57" customFormat="1" ht="18" customHeight="1" x14ac:dyDescent="0.2">
      <c r="A34" s="499" t="s">
        <v>101</v>
      </c>
      <c r="B34" s="500"/>
      <c r="C34" s="500"/>
      <c r="D34" s="530"/>
      <c r="E34" s="531"/>
      <c r="F34" s="531"/>
      <c r="G34" s="500"/>
      <c r="H34" s="500"/>
      <c r="I34" s="500"/>
      <c r="J34" s="501"/>
    </row>
    <row r="35" spans="1:10" s="57" customFormat="1" ht="15" customHeight="1" x14ac:dyDescent="0.2">
      <c r="A35" s="233" t="s">
        <v>410</v>
      </c>
      <c r="B35" s="98">
        <v>3569</v>
      </c>
      <c r="C35" s="90">
        <v>12990</v>
      </c>
      <c r="D35" s="237">
        <v>0.15000000000000002</v>
      </c>
      <c r="E35" s="114">
        <v>2022</v>
      </c>
      <c r="F35" s="114">
        <v>2025</v>
      </c>
      <c r="G35" s="90">
        <v>200</v>
      </c>
      <c r="H35" s="90">
        <v>200</v>
      </c>
      <c r="I35" s="90">
        <v>200</v>
      </c>
      <c r="J35" s="513">
        <v>400</v>
      </c>
    </row>
    <row r="36" spans="1:10" s="57" customFormat="1" ht="24" customHeight="1" x14ac:dyDescent="0.2">
      <c r="A36" s="233" t="s">
        <v>411</v>
      </c>
      <c r="B36" s="98">
        <v>3515</v>
      </c>
      <c r="C36" s="90">
        <v>90075</v>
      </c>
      <c r="D36" s="237">
        <v>9.9999999999999978E-2</v>
      </c>
      <c r="E36" s="114">
        <v>2021</v>
      </c>
      <c r="F36" s="114">
        <v>2026</v>
      </c>
      <c r="G36" s="90">
        <v>0</v>
      </c>
      <c r="H36" s="90">
        <v>520</v>
      </c>
      <c r="I36" s="90">
        <v>520</v>
      </c>
      <c r="J36" s="513">
        <f>520*3</f>
        <v>1560</v>
      </c>
    </row>
    <row r="37" spans="1:10" s="57" customFormat="1" ht="24" customHeight="1" x14ac:dyDescent="0.2">
      <c r="A37" s="233" t="s">
        <v>412</v>
      </c>
      <c r="B37" s="98">
        <v>3516</v>
      </c>
      <c r="C37" s="90">
        <v>140127</v>
      </c>
      <c r="D37" s="237">
        <v>9.9999999999999978E-2</v>
      </c>
      <c r="E37" s="114">
        <v>2021</v>
      </c>
      <c r="F37" s="114">
        <v>2026</v>
      </c>
      <c r="G37" s="90">
        <v>0</v>
      </c>
      <c r="H37" s="90">
        <v>800</v>
      </c>
      <c r="I37" s="90">
        <v>800</v>
      </c>
      <c r="J37" s="513">
        <f>800*3</f>
        <v>2400</v>
      </c>
    </row>
    <row r="38" spans="1:10" s="57" customFormat="1" ht="15" customHeight="1" x14ac:dyDescent="0.2">
      <c r="A38" s="233" t="s">
        <v>827</v>
      </c>
      <c r="B38" s="98">
        <v>3517</v>
      </c>
      <c r="C38" s="90">
        <v>130127</v>
      </c>
      <c r="D38" s="237">
        <v>9.9999999999999978E-2</v>
      </c>
      <c r="E38" s="114">
        <v>2021</v>
      </c>
      <c r="F38" s="114">
        <v>2026</v>
      </c>
      <c r="G38" s="90">
        <v>0</v>
      </c>
      <c r="H38" s="90">
        <v>4424</v>
      </c>
      <c r="I38" s="90">
        <v>4424</v>
      </c>
      <c r="J38" s="513">
        <f>4424*3</f>
        <v>13272</v>
      </c>
    </row>
    <row r="39" spans="1:10" s="57" customFormat="1" ht="15" customHeight="1" x14ac:dyDescent="0.2">
      <c r="A39" s="233" t="s">
        <v>860</v>
      </c>
      <c r="B39" s="98">
        <v>3659</v>
      </c>
      <c r="C39" s="90">
        <v>48020</v>
      </c>
      <c r="D39" s="237">
        <v>0.17500000000000004</v>
      </c>
      <c r="E39" s="114">
        <v>2021</v>
      </c>
      <c r="F39" s="114">
        <v>2025</v>
      </c>
      <c r="G39" s="90">
        <v>1000</v>
      </c>
      <c r="H39" s="90">
        <v>1000</v>
      </c>
      <c r="I39" s="90">
        <v>1000</v>
      </c>
      <c r="J39" s="513">
        <v>2000</v>
      </c>
    </row>
    <row r="40" spans="1:10" s="57" customFormat="1" ht="15" customHeight="1" x14ac:dyDescent="0.2">
      <c r="A40" s="233" t="s">
        <v>828</v>
      </c>
      <c r="B40" s="98">
        <v>3435</v>
      </c>
      <c r="C40" s="90">
        <v>28000.36</v>
      </c>
      <c r="D40" s="237">
        <v>9.9999999999999978E-2</v>
      </c>
      <c r="E40" s="114">
        <v>2020</v>
      </c>
      <c r="F40" s="114">
        <v>2026</v>
      </c>
      <c r="G40" s="90">
        <v>0</v>
      </c>
      <c r="H40" s="90">
        <v>662</v>
      </c>
      <c r="I40" s="90">
        <v>662</v>
      </c>
      <c r="J40" s="513">
        <f>662*3</f>
        <v>1986</v>
      </c>
    </row>
    <row r="41" spans="1:10" s="57" customFormat="1" ht="24" customHeight="1" x14ac:dyDescent="0.2">
      <c r="A41" s="233" t="s">
        <v>829</v>
      </c>
      <c r="B41" s="98">
        <v>3434</v>
      </c>
      <c r="C41" s="90">
        <v>36000.080000000002</v>
      </c>
      <c r="D41" s="237">
        <v>9.9999999999999978E-2</v>
      </c>
      <c r="E41" s="114">
        <v>2019</v>
      </c>
      <c r="F41" s="114">
        <v>2026</v>
      </c>
      <c r="G41" s="90">
        <v>1270</v>
      </c>
      <c r="H41" s="90">
        <v>1270</v>
      </c>
      <c r="I41" s="90">
        <v>1270</v>
      </c>
      <c r="J41" s="513">
        <f>1270*2</f>
        <v>2540</v>
      </c>
    </row>
    <row r="42" spans="1:10" s="57" customFormat="1" ht="15" customHeight="1" x14ac:dyDescent="0.2">
      <c r="A42" s="233" t="s">
        <v>861</v>
      </c>
      <c r="B42" s="98">
        <v>3520</v>
      </c>
      <c r="C42" s="90">
        <v>65000</v>
      </c>
      <c r="D42" s="237">
        <v>9.9999999999999978E-2</v>
      </c>
      <c r="E42" s="114">
        <v>2020</v>
      </c>
      <c r="F42" s="114">
        <v>2025</v>
      </c>
      <c r="G42" s="90">
        <v>110</v>
      </c>
      <c r="H42" s="90">
        <v>110</v>
      </c>
      <c r="I42" s="90">
        <v>110</v>
      </c>
      <c r="J42" s="513">
        <v>220</v>
      </c>
    </row>
    <row r="43" spans="1:10" s="57" customFormat="1" ht="15" customHeight="1" x14ac:dyDescent="0.2">
      <c r="A43" s="233" t="s">
        <v>334</v>
      </c>
      <c r="B43" s="98">
        <v>3502</v>
      </c>
      <c r="C43" s="90">
        <v>1158916.77</v>
      </c>
      <c r="D43" s="237">
        <v>0.15000000000000002</v>
      </c>
      <c r="E43" s="114">
        <v>2021</v>
      </c>
      <c r="F43" s="114">
        <v>2027</v>
      </c>
      <c r="G43" s="90">
        <v>0</v>
      </c>
      <c r="H43" s="90">
        <v>0</v>
      </c>
      <c r="I43" s="90">
        <v>109055</v>
      </c>
      <c r="J43" s="513">
        <f>109055*9</f>
        <v>981495</v>
      </c>
    </row>
    <row r="44" spans="1:10" s="57" customFormat="1" ht="15.75" customHeight="1" thickBot="1" x14ac:dyDescent="0.25">
      <c r="A44" s="233" t="s">
        <v>413</v>
      </c>
      <c r="B44" s="98">
        <v>3594</v>
      </c>
      <c r="C44" s="90">
        <v>91230</v>
      </c>
      <c r="D44" s="237">
        <v>0.15000000000000002</v>
      </c>
      <c r="E44" s="114">
        <v>2019</v>
      </c>
      <c r="F44" s="114">
        <v>2025</v>
      </c>
      <c r="G44" s="90">
        <v>1770</v>
      </c>
      <c r="H44" s="90">
        <v>1770</v>
      </c>
      <c r="I44" s="90">
        <v>1770</v>
      </c>
      <c r="J44" s="513">
        <f>1770*2</f>
        <v>3540</v>
      </c>
    </row>
    <row r="45" spans="1:10" s="57" customFormat="1" ht="16.5" customHeight="1" thickBot="1" x14ac:dyDescent="0.25">
      <c r="A45" s="58" t="s">
        <v>102</v>
      </c>
      <c r="B45" s="82">
        <f>COUNT(B35:B44)</f>
        <v>10</v>
      </c>
      <c r="C45" s="84" t="s">
        <v>6</v>
      </c>
      <c r="D45" s="515" t="s">
        <v>6</v>
      </c>
      <c r="E45" s="285" t="s">
        <v>6</v>
      </c>
      <c r="F45" s="285" t="s">
        <v>6</v>
      </c>
      <c r="G45" s="59">
        <f>SUM(G35:G44)</f>
        <v>4350</v>
      </c>
      <c r="H45" s="59">
        <f>SUM(H35:H44)</f>
        <v>10756</v>
      </c>
      <c r="I45" s="59">
        <f>SUM(I35:I44)</f>
        <v>119811</v>
      </c>
      <c r="J45" s="127">
        <f>SUM(J35:J44)</f>
        <v>1009413</v>
      </c>
    </row>
    <row r="46" spans="1:10" s="57" customFormat="1" ht="18" customHeight="1" x14ac:dyDescent="0.2">
      <c r="A46" s="499" t="s">
        <v>103</v>
      </c>
      <c r="B46" s="500"/>
      <c r="C46" s="500"/>
      <c r="D46" s="530"/>
      <c r="E46" s="531"/>
      <c r="F46" s="531"/>
      <c r="G46" s="500"/>
      <c r="H46" s="500"/>
      <c r="I46" s="500"/>
      <c r="J46" s="501"/>
    </row>
    <row r="47" spans="1:10" s="57" customFormat="1" ht="15.75" customHeight="1" thickBot="1" x14ac:dyDescent="0.25">
      <c r="A47" s="233" t="s">
        <v>335</v>
      </c>
      <c r="B47" s="98">
        <v>3292</v>
      </c>
      <c r="C47" s="90">
        <v>245000.39</v>
      </c>
      <c r="D47" s="237">
        <v>0.15000000000000002</v>
      </c>
      <c r="E47" s="114">
        <v>2018</v>
      </c>
      <c r="F47" s="114">
        <v>2027</v>
      </c>
      <c r="G47" s="90">
        <v>0</v>
      </c>
      <c r="H47" s="90">
        <v>3127</v>
      </c>
      <c r="I47" s="90">
        <v>3127</v>
      </c>
      <c r="J47" s="513">
        <f>3127*3</f>
        <v>9381</v>
      </c>
    </row>
    <row r="48" spans="1:10" s="57" customFormat="1" ht="16.5" customHeight="1" thickBot="1" x14ac:dyDescent="0.25">
      <c r="A48" s="58" t="s">
        <v>104</v>
      </c>
      <c r="B48" s="82">
        <f>COUNT(B47:B47)</f>
        <v>1</v>
      </c>
      <c r="C48" s="84" t="s">
        <v>6</v>
      </c>
      <c r="D48" s="515" t="s">
        <v>6</v>
      </c>
      <c r="E48" s="285" t="s">
        <v>6</v>
      </c>
      <c r="F48" s="285" t="s">
        <v>6</v>
      </c>
      <c r="G48" s="59">
        <f>SUM(G47:G47)</f>
        <v>0</v>
      </c>
      <c r="H48" s="59">
        <f>SUM(H47:H47)</f>
        <v>3127</v>
      </c>
      <c r="I48" s="59">
        <f>SUM(I47:I47)</f>
        <v>3127</v>
      </c>
      <c r="J48" s="127">
        <f>SUM(J47:J47)</f>
        <v>9381</v>
      </c>
    </row>
    <row r="49" spans="1:10" s="57" customFormat="1" ht="18" customHeight="1" x14ac:dyDescent="0.2">
      <c r="A49" s="499" t="s">
        <v>121</v>
      </c>
      <c r="B49" s="500"/>
      <c r="C49" s="500"/>
      <c r="D49" s="530"/>
      <c r="E49" s="531"/>
      <c r="F49" s="531"/>
      <c r="G49" s="500"/>
      <c r="H49" s="500"/>
      <c r="I49" s="500"/>
      <c r="J49" s="501"/>
    </row>
    <row r="50" spans="1:10" s="57" customFormat="1" ht="24" customHeight="1" x14ac:dyDescent="0.2">
      <c r="A50" s="233" t="s">
        <v>336</v>
      </c>
      <c r="B50" s="98">
        <v>3452</v>
      </c>
      <c r="C50" s="90">
        <v>437325.47</v>
      </c>
      <c r="D50" s="237">
        <v>0.4</v>
      </c>
      <c r="E50" s="114">
        <v>2019</v>
      </c>
      <c r="F50" s="114">
        <v>2031</v>
      </c>
      <c r="G50" s="90">
        <v>0</v>
      </c>
      <c r="H50" s="90">
        <v>0</v>
      </c>
      <c r="I50" s="90">
        <v>0</v>
      </c>
      <c r="J50" s="513">
        <f>250*5</f>
        <v>1250</v>
      </c>
    </row>
    <row r="51" spans="1:10" s="57" customFormat="1" ht="15" customHeight="1" x14ac:dyDescent="0.2">
      <c r="A51" s="233" t="s">
        <v>414</v>
      </c>
      <c r="B51" s="98">
        <v>3599</v>
      </c>
      <c r="C51" s="90">
        <v>8145</v>
      </c>
      <c r="D51" s="237">
        <v>0.32999999999999996</v>
      </c>
      <c r="E51" s="114">
        <v>2024</v>
      </c>
      <c r="F51" s="114">
        <v>2031</v>
      </c>
      <c r="G51" s="90">
        <v>0</v>
      </c>
      <c r="H51" s="90">
        <v>0</v>
      </c>
      <c r="I51" s="90">
        <v>0</v>
      </c>
      <c r="J51" s="513">
        <f>100*30</f>
        <v>3000</v>
      </c>
    </row>
    <row r="52" spans="1:10" s="57" customFormat="1" ht="24.75" customHeight="1" thickBot="1" x14ac:dyDescent="0.25">
      <c r="A52" s="233" t="s">
        <v>304</v>
      </c>
      <c r="B52" s="98">
        <v>7043</v>
      </c>
      <c r="C52" s="90">
        <f>23497.6006+126502</f>
        <v>149999.60060000001</v>
      </c>
      <c r="D52" s="237">
        <v>0.15000000000000002</v>
      </c>
      <c r="E52" s="114">
        <v>2022</v>
      </c>
      <c r="F52" s="114">
        <v>2027</v>
      </c>
      <c r="G52" s="90">
        <v>0</v>
      </c>
      <c r="H52" s="90">
        <v>0</v>
      </c>
      <c r="I52" s="90">
        <v>15000</v>
      </c>
      <c r="J52" s="513">
        <f>15000*4</f>
        <v>60000</v>
      </c>
    </row>
    <row r="53" spans="1:10" s="57" customFormat="1" ht="16.5" customHeight="1" thickBot="1" x14ac:dyDescent="0.25">
      <c r="A53" s="58" t="s">
        <v>105</v>
      </c>
      <c r="B53" s="82">
        <f>COUNT(B50:B52)</f>
        <v>3</v>
      </c>
      <c r="C53" s="84" t="s">
        <v>6</v>
      </c>
      <c r="D53" s="515" t="s">
        <v>6</v>
      </c>
      <c r="E53" s="285" t="s">
        <v>6</v>
      </c>
      <c r="F53" s="285" t="s">
        <v>6</v>
      </c>
      <c r="G53" s="59">
        <f>SUM(G50:G52)</f>
        <v>0</v>
      </c>
      <c r="H53" s="59">
        <f>SUM(H50:H52)</f>
        <v>0</v>
      </c>
      <c r="I53" s="59">
        <f>SUM(I50:I52)</f>
        <v>15000</v>
      </c>
      <c r="J53" s="127">
        <f>SUM(J50:J52)</f>
        <v>64250</v>
      </c>
    </row>
    <row r="54" spans="1:10" s="57" customFormat="1" ht="9" customHeight="1" thickBot="1" x14ac:dyDescent="0.25">
      <c r="A54" s="516"/>
      <c r="B54" s="517"/>
      <c r="C54" s="518"/>
      <c r="D54" s="532"/>
      <c r="E54" s="533"/>
      <c r="F54" s="533"/>
      <c r="G54" s="517"/>
      <c r="H54" s="517"/>
      <c r="I54" s="517"/>
      <c r="J54" s="519"/>
    </row>
    <row r="55" spans="1:10" s="57" customFormat="1" ht="18" customHeight="1" thickBot="1" x14ac:dyDescent="0.25">
      <c r="A55" s="64" t="s">
        <v>106</v>
      </c>
      <c r="B55" s="86" t="e">
        <f>#REF!+B53+B48+B45+B33+B25+#REF!+B22+B13+B10</f>
        <v>#REF!</v>
      </c>
      <c r="C55" s="84" t="s">
        <v>6</v>
      </c>
      <c r="D55" s="515" t="s">
        <v>6</v>
      </c>
      <c r="E55" s="285" t="s">
        <v>6</v>
      </c>
      <c r="F55" s="285" t="s">
        <v>6</v>
      </c>
      <c r="G55" s="59">
        <f>G53+G48+G45+G33+G25+G22+G13+G10</f>
        <v>48518</v>
      </c>
      <c r="H55" s="59">
        <f>H53+H48+H45+H33+H25+H22+H13+H10</f>
        <v>186245</v>
      </c>
      <c r="I55" s="59">
        <f>I53+I48+I45+I33+I25+I22+I13+I10</f>
        <v>309800</v>
      </c>
      <c r="J55" s="127">
        <f>J53+J48+J45+J33+J25+J22+J13+J10</f>
        <v>2213374</v>
      </c>
    </row>
    <row r="56" spans="1:10" ht="15" customHeight="1" x14ac:dyDescent="0.25"/>
    <row r="57" spans="1:10" x14ac:dyDescent="0.25">
      <c r="B57" s="520"/>
      <c r="E57" s="534"/>
      <c r="F57" s="534"/>
      <c r="G57" s="521"/>
      <c r="H57" s="521"/>
    </row>
    <row r="58" spans="1:10" x14ac:dyDescent="0.25">
      <c r="B58" s="520"/>
      <c r="E58" s="534"/>
      <c r="F58" s="534"/>
      <c r="G58" s="521"/>
      <c r="H58" s="521"/>
    </row>
    <row r="59" spans="1:10" x14ac:dyDescent="0.25">
      <c r="B59" s="520"/>
      <c r="E59" s="534"/>
      <c r="F59" s="534"/>
      <c r="G59" s="521"/>
      <c r="H59" s="521"/>
    </row>
    <row r="60" spans="1:10" x14ac:dyDescent="0.25">
      <c r="B60" s="520"/>
      <c r="E60" s="534"/>
      <c r="F60" s="534"/>
      <c r="G60" s="521"/>
      <c r="H60" s="521"/>
    </row>
    <row r="61" spans="1:10" x14ac:dyDescent="0.25">
      <c r="B61" s="520"/>
      <c r="E61" s="534"/>
      <c r="F61" s="534"/>
      <c r="G61" s="521"/>
      <c r="H61" s="521"/>
    </row>
    <row r="62" spans="1:10" x14ac:dyDescent="0.25">
      <c r="B62" s="520"/>
      <c r="E62" s="534"/>
      <c r="F62" s="534"/>
      <c r="G62" s="521"/>
      <c r="H62" s="521"/>
    </row>
    <row r="63" spans="1:10" x14ac:dyDescent="0.25">
      <c r="B63" s="520"/>
      <c r="E63" s="534"/>
      <c r="F63" s="534"/>
      <c r="G63" s="521"/>
      <c r="H63" s="521"/>
    </row>
    <row r="64" spans="1:10" s="509" customFormat="1" x14ac:dyDescent="0.25">
      <c r="B64" s="520"/>
      <c r="C64" s="510"/>
      <c r="D64" s="524"/>
      <c r="E64" s="534"/>
      <c r="F64" s="534"/>
      <c r="G64" s="521"/>
      <c r="H64" s="521"/>
    </row>
    <row r="65" spans="2:8" s="509" customFormat="1" x14ac:dyDescent="0.25">
      <c r="B65" s="520"/>
      <c r="C65" s="510"/>
      <c r="D65" s="524"/>
      <c r="E65" s="534"/>
      <c r="F65" s="534"/>
      <c r="G65" s="521"/>
      <c r="H65" s="521"/>
    </row>
    <row r="66" spans="2:8" s="509" customFormat="1" x14ac:dyDescent="0.25">
      <c r="B66" s="520"/>
      <c r="C66" s="510"/>
      <c r="D66" s="524"/>
      <c r="E66" s="534"/>
      <c r="F66" s="534"/>
      <c r="G66" s="521"/>
      <c r="H66" s="521"/>
    </row>
    <row r="67" spans="2:8" s="509" customFormat="1" x14ac:dyDescent="0.25">
      <c r="B67" s="520"/>
      <c r="C67" s="510"/>
      <c r="D67" s="524"/>
      <c r="E67" s="534"/>
      <c r="F67" s="534"/>
      <c r="G67" s="521"/>
      <c r="H67" s="521"/>
    </row>
    <row r="68" spans="2:8" s="509" customFormat="1" x14ac:dyDescent="0.25">
      <c r="B68" s="520"/>
      <c r="C68" s="510"/>
      <c r="D68" s="524"/>
      <c r="E68" s="534"/>
      <c r="F68" s="534"/>
      <c r="G68" s="521"/>
      <c r="H68" s="521"/>
    </row>
    <row r="69" spans="2:8" s="509" customFormat="1" x14ac:dyDescent="0.25">
      <c r="B69" s="520"/>
      <c r="C69" s="510"/>
      <c r="D69" s="524"/>
      <c r="E69" s="534"/>
      <c r="F69" s="534"/>
      <c r="G69" s="521"/>
      <c r="H69" s="521"/>
    </row>
    <row r="70" spans="2:8" s="509" customFormat="1" x14ac:dyDescent="0.25">
      <c r="B70" s="520"/>
      <c r="C70" s="510"/>
      <c r="D70" s="524"/>
      <c r="E70" s="534"/>
      <c r="F70" s="534"/>
      <c r="G70" s="521"/>
      <c r="H70" s="521"/>
    </row>
    <row r="71" spans="2:8" s="509" customFormat="1" x14ac:dyDescent="0.25">
      <c r="B71" s="520"/>
      <c r="C71" s="510"/>
      <c r="D71" s="524"/>
      <c r="E71" s="534"/>
      <c r="F71" s="534"/>
      <c r="G71" s="521"/>
      <c r="H71" s="521"/>
    </row>
    <row r="72" spans="2:8" s="509" customFormat="1" x14ac:dyDescent="0.25">
      <c r="B72" s="520"/>
      <c r="C72" s="510"/>
      <c r="D72" s="524"/>
      <c r="E72" s="534"/>
      <c r="F72" s="534"/>
      <c r="G72" s="521"/>
      <c r="H72" s="521"/>
    </row>
    <row r="73" spans="2:8" s="509" customFormat="1" x14ac:dyDescent="0.25">
      <c r="B73" s="520"/>
      <c r="C73" s="510"/>
      <c r="D73" s="524"/>
      <c r="E73" s="534"/>
      <c r="F73" s="534"/>
      <c r="G73" s="521"/>
      <c r="H73" s="521"/>
    </row>
    <row r="74" spans="2:8" s="509" customFormat="1" x14ac:dyDescent="0.25">
      <c r="B74" s="520"/>
      <c r="C74" s="510"/>
      <c r="D74" s="524"/>
      <c r="E74" s="534"/>
      <c r="F74" s="534"/>
      <c r="G74" s="521"/>
      <c r="H74" s="521"/>
    </row>
    <row r="75" spans="2:8" s="509" customFormat="1" x14ac:dyDescent="0.25">
      <c r="B75" s="520"/>
      <c r="C75" s="510"/>
      <c r="D75" s="524"/>
      <c r="E75" s="534"/>
      <c r="F75" s="534"/>
      <c r="G75" s="521"/>
      <c r="H75" s="521"/>
    </row>
    <row r="76" spans="2:8" s="509" customFormat="1" x14ac:dyDescent="0.25">
      <c r="B76" s="520"/>
      <c r="C76" s="510"/>
      <c r="D76" s="524"/>
      <c r="E76" s="534"/>
      <c r="F76" s="534"/>
      <c r="G76" s="521"/>
      <c r="H76" s="521"/>
    </row>
    <row r="77" spans="2:8" s="509" customFormat="1" x14ac:dyDescent="0.25">
      <c r="B77" s="520"/>
      <c r="C77" s="510"/>
      <c r="D77" s="524"/>
      <c r="E77" s="534"/>
      <c r="F77" s="534"/>
      <c r="G77" s="521"/>
      <c r="H77" s="521"/>
    </row>
    <row r="78" spans="2:8" s="509" customFormat="1" x14ac:dyDescent="0.25">
      <c r="B78" s="520"/>
      <c r="C78" s="510"/>
      <c r="D78" s="524"/>
      <c r="E78" s="534"/>
      <c r="F78" s="534"/>
      <c r="G78" s="521"/>
      <c r="H78" s="521"/>
    </row>
    <row r="79" spans="2:8" s="509" customFormat="1" x14ac:dyDescent="0.25">
      <c r="B79" s="520"/>
      <c r="C79" s="510"/>
      <c r="D79" s="524"/>
      <c r="E79" s="534"/>
      <c r="F79" s="534"/>
      <c r="G79" s="521"/>
      <c r="H79" s="521"/>
    </row>
    <row r="80" spans="2:8" s="509" customFormat="1" x14ac:dyDescent="0.25">
      <c r="B80" s="520"/>
      <c r="C80" s="510"/>
      <c r="D80" s="524"/>
      <c r="E80" s="534"/>
      <c r="F80" s="534"/>
      <c r="G80" s="521"/>
      <c r="H80" s="521"/>
    </row>
    <row r="81" spans="2:8" s="509" customFormat="1" x14ac:dyDescent="0.25">
      <c r="B81" s="520"/>
      <c r="C81" s="510"/>
      <c r="D81" s="524"/>
      <c r="E81" s="534"/>
      <c r="F81" s="534"/>
      <c r="G81" s="521"/>
      <c r="H81" s="521"/>
    </row>
    <row r="82" spans="2:8" s="509" customFormat="1" x14ac:dyDescent="0.25">
      <c r="B82" s="520"/>
      <c r="C82" s="510"/>
      <c r="D82" s="524"/>
      <c r="E82" s="534"/>
      <c r="F82" s="534"/>
      <c r="G82" s="521"/>
      <c r="H82" s="521"/>
    </row>
    <row r="83" spans="2:8" s="509" customFormat="1" x14ac:dyDescent="0.25">
      <c r="B83" s="520"/>
      <c r="C83" s="510"/>
      <c r="D83" s="524"/>
      <c r="E83" s="534"/>
      <c r="F83" s="534"/>
      <c r="G83" s="521"/>
      <c r="H83" s="521"/>
    </row>
    <row r="84" spans="2:8" s="509" customFormat="1" x14ac:dyDescent="0.25">
      <c r="B84" s="520"/>
      <c r="C84" s="510"/>
      <c r="D84" s="524"/>
      <c r="E84" s="534"/>
      <c r="F84" s="534"/>
      <c r="G84" s="521"/>
      <c r="H84" s="521"/>
    </row>
    <row r="85" spans="2:8" s="509" customFormat="1" x14ac:dyDescent="0.25">
      <c r="B85" s="520"/>
      <c r="C85" s="510"/>
      <c r="D85" s="524"/>
      <c r="E85" s="534"/>
      <c r="F85" s="534"/>
      <c r="G85" s="521"/>
      <c r="H85" s="521"/>
    </row>
    <row r="86" spans="2:8" s="509" customFormat="1" x14ac:dyDescent="0.25">
      <c r="B86" s="520"/>
      <c r="C86" s="510"/>
      <c r="D86" s="524"/>
      <c r="E86" s="534"/>
      <c r="F86" s="534"/>
      <c r="G86" s="521"/>
      <c r="H86" s="521"/>
    </row>
    <row r="87" spans="2:8" s="509" customFormat="1" x14ac:dyDescent="0.25">
      <c r="B87" s="520"/>
      <c r="C87" s="510"/>
      <c r="D87" s="524"/>
      <c r="E87" s="534"/>
      <c r="F87" s="534"/>
      <c r="G87" s="521"/>
      <c r="H87" s="521"/>
    </row>
    <row r="88" spans="2:8" s="509" customFormat="1" x14ac:dyDescent="0.25">
      <c r="B88" s="520"/>
      <c r="C88" s="510"/>
      <c r="D88" s="524"/>
      <c r="E88" s="534"/>
      <c r="F88" s="534"/>
      <c r="G88" s="521"/>
      <c r="H88" s="521"/>
    </row>
    <row r="89" spans="2:8" s="509" customFormat="1" x14ac:dyDescent="0.25">
      <c r="B89" s="520"/>
      <c r="C89" s="510"/>
      <c r="D89" s="524"/>
      <c r="E89" s="534"/>
      <c r="F89" s="534"/>
      <c r="G89" s="521"/>
      <c r="H89" s="521"/>
    </row>
    <row r="90" spans="2:8" s="509" customFormat="1" x14ac:dyDescent="0.25">
      <c r="B90" s="520"/>
      <c r="C90" s="510"/>
      <c r="D90" s="524"/>
      <c r="E90" s="534"/>
      <c r="F90" s="534"/>
      <c r="G90" s="521"/>
      <c r="H90" s="521"/>
    </row>
    <row r="91" spans="2:8" s="509" customFormat="1" x14ac:dyDescent="0.25">
      <c r="B91" s="520"/>
      <c r="C91" s="510"/>
      <c r="D91" s="524"/>
      <c r="E91" s="534"/>
      <c r="F91" s="534"/>
      <c r="G91" s="521"/>
      <c r="H91" s="521"/>
    </row>
    <row r="92" spans="2:8" s="509" customFormat="1" x14ac:dyDescent="0.25">
      <c r="B92" s="520"/>
      <c r="C92" s="510"/>
      <c r="D92" s="524"/>
      <c r="E92" s="534"/>
      <c r="F92" s="534"/>
      <c r="G92" s="521"/>
      <c r="H92" s="521"/>
    </row>
    <row r="93" spans="2:8" s="509" customFormat="1" x14ac:dyDescent="0.25">
      <c r="B93" s="520"/>
      <c r="C93" s="510"/>
      <c r="D93" s="524"/>
      <c r="E93" s="534"/>
      <c r="F93" s="534"/>
      <c r="G93" s="521"/>
      <c r="H93" s="521"/>
    </row>
    <row r="94" spans="2:8" s="509" customFormat="1" x14ac:dyDescent="0.25">
      <c r="B94" s="520"/>
      <c r="C94" s="510"/>
      <c r="D94" s="524"/>
      <c r="E94" s="534"/>
      <c r="F94" s="534"/>
      <c r="G94" s="521"/>
      <c r="H94" s="521"/>
    </row>
    <row r="95" spans="2:8" s="509" customFormat="1" x14ac:dyDescent="0.25">
      <c r="B95" s="520"/>
      <c r="C95" s="510"/>
      <c r="D95" s="524"/>
      <c r="E95" s="534"/>
      <c r="F95" s="534"/>
      <c r="G95" s="521"/>
      <c r="H95" s="521"/>
    </row>
    <row r="96" spans="2:8" s="509" customFormat="1" x14ac:dyDescent="0.25">
      <c r="B96" s="520"/>
      <c r="C96" s="510"/>
      <c r="D96" s="524"/>
      <c r="E96" s="534"/>
      <c r="F96" s="534"/>
      <c r="G96" s="521"/>
      <c r="H96" s="521"/>
    </row>
    <row r="97" spans="2:8" s="509" customFormat="1" x14ac:dyDescent="0.25">
      <c r="B97" s="520"/>
      <c r="C97" s="510"/>
      <c r="D97" s="524"/>
      <c r="E97" s="534"/>
      <c r="F97" s="534"/>
      <c r="G97" s="521"/>
      <c r="H97" s="521"/>
    </row>
    <row r="98" spans="2:8" s="509" customFormat="1" x14ac:dyDescent="0.25">
      <c r="B98" s="520"/>
      <c r="C98" s="510"/>
      <c r="D98" s="524"/>
      <c r="E98" s="534"/>
      <c r="F98" s="534"/>
      <c r="G98" s="521"/>
      <c r="H98" s="521"/>
    </row>
    <row r="99" spans="2:8" s="509" customFormat="1" x14ac:dyDescent="0.25">
      <c r="B99" s="520"/>
      <c r="C99" s="510"/>
      <c r="D99" s="524"/>
      <c r="E99" s="534"/>
      <c r="F99" s="534"/>
      <c r="G99" s="521"/>
      <c r="H99" s="521"/>
    </row>
    <row r="100" spans="2:8" s="509" customFormat="1" x14ac:dyDescent="0.25">
      <c r="B100" s="520"/>
      <c r="C100" s="510"/>
      <c r="D100" s="524"/>
      <c r="E100" s="534"/>
      <c r="F100" s="534"/>
      <c r="G100" s="521"/>
      <c r="H100" s="521"/>
    </row>
    <row r="101" spans="2:8" s="509" customFormat="1" x14ac:dyDescent="0.25">
      <c r="B101" s="520"/>
      <c r="C101" s="510"/>
      <c r="D101" s="524"/>
      <c r="E101" s="534"/>
      <c r="F101" s="534"/>
      <c r="G101" s="521"/>
      <c r="H101" s="521"/>
    </row>
    <row r="102" spans="2:8" s="509" customFormat="1" x14ac:dyDescent="0.25">
      <c r="B102" s="520"/>
      <c r="C102" s="510"/>
      <c r="D102" s="524"/>
      <c r="E102" s="534"/>
      <c r="F102" s="534"/>
      <c r="G102" s="521"/>
      <c r="H102" s="521"/>
    </row>
    <row r="103" spans="2:8" s="509" customFormat="1" x14ac:dyDescent="0.25">
      <c r="B103" s="520"/>
      <c r="C103" s="510"/>
      <c r="D103" s="524"/>
      <c r="E103" s="534"/>
      <c r="F103" s="534"/>
      <c r="G103" s="521"/>
      <c r="H103" s="521"/>
    </row>
    <row r="104" spans="2:8" s="509" customFormat="1" x14ac:dyDescent="0.25">
      <c r="B104" s="520"/>
      <c r="C104" s="510"/>
      <c r="D104" s="524"/>
      <c r="E104" s="534"/>
      <c r="F104" s="534"/>
      <c r="G104" s="521"/>
      <c r="H104" s="521"/>
    </row>
    <row r="105" spans="2:8" s="509" customFormat="1" x14ac:dyDescent="0.25">
      <c r="B105" s="520"/>
      <c r="C105" s="510"/>
      <c r="D105" s="524"/>
      <c r="E105" s="534"/>
      <c r="F105" s="534"/>
      <c r="G105" s="521"/>
      <c r="H105" s="521"/>
    </row>
  </sheetData>
  <autoFilter ref="A2:J53" xr:uid="{EA406F4D-2D9B-4E15-816A-64ED6BEF598E}">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7">
    <mergeCell ref="A2:J2"/>
    <mergeCell ref="A4:A5"/>
    <mergeCell ref="B4:B5"/>
    <mergeCell ref="C4:C5"/>
    <mergeCell ref="D4:D5"/>
    <mergeCell ref="E4:F4"/>
    <mergeCell ref="G4:J4"/>
  </mergeCells>
  <pageMargins left="0.39370078740157483" right="0.39370078740157483" top="0.59055118110236227" bottom="0.39370078740157483" header="0.31496062992125984" footer="0.11811023622047245"/>
  <pageSetup paperSize="9" scale="97" firstPageNumber="43" fitToHeight="0" orientation="landscape" useFirstPageNumber="1" r:id="rId1"/>
  <headerFooter>
    <oddHeader>&amp;L&amp;"Tahoma,Kurzíva"&amp;9Střednědobý výhled rozpočtu Moravskoslezského kraje na léta 2026-2028&amp;R&amp;"Tahoma,Kurzíva"&amp;9Přehled výdajů na zajištění udržitelnosti akcí spolufinancovaných z evropských finančních zdrojů</oddHeader>
    <oddFooter>&amp;C&amp;"Tahoma,Obyčejné"&amp;P</oddFooter>
  </headerFooter>
  <rowBreaks count="1" manualBreakCount="1">
    <brk id="3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28293-4996-48C0-8158-281891928959}">
  <sheetPr>
    <pageSetUpPr fitToPage="1"/>
  </sheetPr>
  <dimension ref="A1:S16"/>
  <sheetViews>
    <sheetView zoomScaleNormal="100" zoomScaleSheetLayoutView="100" workbookViewId="0">
      <selection activeCell="S4" sqref="S4"/>
    </sheetView>
  </sheetViews>
  <sheetFormatPr defaultColWidth="9.140625" defaultRowHeight="12.75" x14ac:dyDescent="0.2"/>
  <cols>
    <col min="1" max="1" width="9.7109375" style="41" customWidth="1"/>
    <col min="2" max="16" width="11.7109375" style="41" customWidth="1"/>
    <col min="17" max="17" width="6.85546875" style="41" customWidth="1"/>
    <col min="18" max="19" width="9.42578125" style="41" customWidth="1"/>
    <col min="20" max="22" width="6.85546875" style="41" customWidth="1"/>
    <col min="23" max="16384" width="9.140625" style="41"/>
  </cols>
  <sheetData>
    <row r="1" spans="1:19" ht="15" customHeight="1" x14ac:dyDescent="0.2">
      <c r="A1" s="21" t="s">
        <v>60</v>
      </c>
    </row>
    <row r="2" spans="1:19" ht="34.5" customHeight="1" x14ac:dyDescent="0.2">
      <c r="A2" s="715" t="s">
        <v>272</v>
      </c>
      <c r="B2" s="716"/>
      <c r="C2" s="716"/>
      <c r="D2" s="716"/>
      <c r="E2" s="716"/>
      <c r="F2" s="716"/>
      <c r="G2" s="716"/>
      <c r="H2" s="716"/>
      <c r="I2" s="716"/>
      <c r="J2" s="716"/>
      <c r="K2" s="716"/>
      <c r="L2" s="716"/>
      <c r="M2" s="716"/>
      <c r="N2" s="716"/>
      <c r="O2" s="716"/>
      <c r="P2" s="716"/>
    </row>
    <row r="3" spans="1:19" ht="13.5" thickBot="1" x14ac:dyDescent="0.25">
      <c r="J3" s="42"/>
      <c r="M3" s="42"/>
      <c r="P3" s="43" t="s">
        <v>88</v>
      </c>
    </row>
    <row r="4" spans="1:19" ht="72" customHeight="1" x14ac:dyDescent="0.2">
      <c r="A4" s="235" t="s">
        <v>107</v>
      </c>
      <c r="B4" s="717" t="s">
        <v>404</v>
      </c>
      <c r="C4" s="718"/>
      <c r="D4" s="719"/>
      <c r="E4" s="720" t="s">
        <v>405</v>
      </c>
      <c r="F4" s="721"/>
      <c r="G4" s="722"/>
      <c r="H4" s="720" t="s">
        <v>577</v>
      </c>
      <c r="I4" s="721"/>
      <c r="J4" s="722"/>
      <c r="K4" s="721" t="s">
        <v>578</v>
      </c>
      <c r="L4" s="721"/>
      <c r="M4" s="721"/>
      <c r="N4" s="720" t="s">
        <v>108</v>
      </c>
      <c r="O4" s="723"/>
      <c r="P4" s="724"/>
    </row>
    <row r="5" spans="1:19" ht="54.75" customHeight="1" x14ac:dyDescent="0.2">
      <c r="A5" s="44" t="s">
        <v>109</v>
      </c>
      <c r="B5" s="79" t="s">
        <v>110</v>
      </c>
      <c r="C5" s="77" t="s">
        <v>111</v>
      </c>
      <c r="D5" s="80" t="s">
        <v>112</v>
      </c>
      <c r="E5" s="79" t="s">
        <v>110</v>
      </c>
      <c r="F5" s="77" t="s">
        <v>111</v>
      </c>
      <c r="G5" s="80" t="s">
        <v>112</v>
      </c>
      <c r="H5" s="79" t="s">
        <v>110</v>
      </c>
      <c r="I5" s="77" t="s">
        <v>111</v>
      </c>
      <c r="J5" s="80" t="s">
        <v>112</v>
      </c>
      <c r="K5" s="209" t="s">
        <v>110</v>
      </c>
      <c r="L5" s="77" t="s">
        <v>111</v>
      </c>
      <c r="M5" s="78" t="s">
        <v>112</v>
      </c>
      <c r="N5" s="79" t="s">
        <v>113</v>
      </c>
      <c r="O5" s="77" t="s">
        <v>111</v>
      </c>
      <c r="P5" s="80" t="s">
        <v>112</v>
      </c>
      <c r="Q5" s="360"/>
    </row>
    <row r="6" spans="1:19" ht="16.5" customHeight="1" x14ac:dyDescent="0.2">
      <c r="A6" s="45">
        <v>2025</v>
      </c>
      <c r="B6" s="48">
        <v>0</v>
      </c>
      <c r="C6" s="46">
        <v>76715</v>
      </c>
      <c r="D6" s="49">
        <v>500</v>
      </c>
      <c r="E6" s="48">
        <v>3000000</v>
      </c>
      <c r="F6" s="46">
        <v>0</v>
      </c>
      <c r="G6" s="49">
        <v>120000</v>
      </c>
      <c r="H6" s="48">
        <v>0</v>
      </c>
      <c r="I6" s="46">
        <v>168300</v>
      </c>
      <c r="J6" s="49">
        <v>3500</v>
      </c>
      <c r="K6" s="205">
        <v>1093988.5</v>
      </c>
      <c r="L6" s="46">
        <v>483605</v>
      </c>
      <c r="M6" s="47">
        <v>30000</v>
      </c>
      <c r="N6" s="48">
        <f>B6+H6+E6+K6</f>
        <v>4093988.5</v>
      </c>
      <c r="O6" s="46">
        <f>C6+I6+F6+L6</f>
        <v>728620</v>
      </c>
      <c r="P6" s="49">
        <f>D6+J6+G6+M6</f>
        <v>154000</v>
      </c>
      <c r="Q6" s="361"/>
    </row>
    <row r="7" spans="1:19" ht="16.5" customHeight="1" x14ac:dyDescent="0.2">
      <c r="A7" s="45">
        <v>2026</v>
      </c>
      <c r="B7" s="48">
        <v>0</v>
      </c>
      <c r="C7" s="46">
        <v>0</v>
      </c>
      <c r="D7" s="49">
        <v>0</v>
      </c>
      <c r="E7" s="48">
        <f>E6-F7</f>
        <v>2700000</v>
      </c>
      <c r="F7" s="46">
        <v>300000</v>
      </c>
      <c r="G7" s="49">
        <v>110000</v>
      </c>
      <c r="H7" s="48">
        <v>0</v>
      </c>
      <c r="I7" s="46">
        <v>0</v>
      </c>
      <c r="J7" s="49">
        <v>0</v>
      </c>
      <c r="K7" s="205">
        <v>1199485</v>
      </c>
      <c r="L7" s="46">
        <v>1373525</v>
      </c>
      <c r="M7" s="47">
        <v>50000</v>
      </c>
      <c r="N7" s="48">
        <f>B7+H7+E7+K7</f>
        <v>3899485</v>
      </c>
      <c r="O7" s="46">
        <f t="shared" ref="O7:P16" si="0">C7+I7+F7+L7</f>
        <v>1673525</v>
      </c>
      <c r="P7" s="49">
        <f>D7+J7+G7+M7</f>
        <v>160000</v>
      </c>
      <c r="Q7" s="361"/>
    </row>
    <row r="8" spans="1:19" ht="16.5" customHeight="1" x14ac:dyDescent="0.2">
      <c r="A8" s="45">
        <v>2027</v>
      </c>
      <c r="B8" s="48">
        <v>0</v>
      </c>
      <c r="C8" s="46">
        <v>0</v>
      </c>
      <c r="D8" s="49">
        <v>0</v>
      </c>
      <c r="E8" s="48">
        <f>E7-F8</f>
        <v>2400000</v>
      </c>
      <c r="F8" s="46">
        <v>300000</v>
      </c>
      <c r="G8" s="49">
        <v>100000</v>
      </c>
      <c r="H8" s="48">
        <v>0</v>
      </c>
      <c r="I8" s="46">
        <v>0</v>
      </c>
      <c r="J8" s="49">
        <v>0</v>
      </c>
      <c r="K8" s="205">
        <v>439948</v>
      </c>
      <c r="L8" s="46">
        <v>1672248</v>
      </c>
      <c r="M8" s="47">
        <v>40000</v>
      </c>
      <c r="N8" s="48">
        <f t="shared" ref="N8:N16" si="1">B8+H8+E8+K8</f>
        <v>2839948</v>
      </c>
      <c r="O8" s="46">
        <f t="shared" si="0"/>
        <v>1972248</v>
      </c>
      <c r="P8" s="49">
        <f t="shared" si="0"/>
        <v>140000</v>
      </c>
      <c r="R8" s="362"/>
      <c r="S8" s="362"/>
    </row>
    <row r="9" spans="1:19" ht="16.5" customHeight="1" x14ac:dyDescent="0.2">
      <c r="A9" s="45">
        <v>2028</v>
      </c>
      <c r="B9" s="48">
        <v>0</v>
      </c>
      <c r="C9" s="46">
        <v>0</v>
      </c>
      <c r="D9" s="49">
        <v>0</v>
      </c>
      <c r="E9" s="48">
        <f t="shared" ref="E9:E15" si="2">E8-F9</f>
        <v>2100000</v>
      </c>
      <c r="F9" s="46">
        <v>300000</v>
      </c>
      <c r="G9" s="49">
        <v>90000</v>
      </c>
      <c r="H9" s="48">
        <v>0</v>
      </c>
      <c r="I9" s="46">
        <v>0</v>
      </c>
      <c r="J9" s="49">
        <v>0</v>
      </c>
      <c r="K9" s="205">
        <v>102998.5</v>
      </c>
      <c r="L9" s="46">
        <v>394949</v>
      </c>
      <c r="M9" s="47">
        <v>20000</v>
      </c>
      <c r="N9" s="48">
        <f t="shared" si="1"/>
        <v>2202998.5</v>
      </c>
      <c r="O9" s="46">
        <f t="shared" si="0"/>
        <v>694949</v>
      </c>
      <c r="P9" s="49">
        <f t="shared" si="0"/>
        <v>110000</v>
      </c>
      <c r="R9" s="363"/>
      <c r="S9" s="362"/>
    </row>
    <row r="10" spans="1:19" ht="16.5" customHeight="1" x14ac:dyDescent="0.2">
      <c r="A10" s="45">
        <v>2029</v>
      </c>
      <c r="B10" s="48">
        <v>0</v>
      </c>
      <c r="C10" s="46">
        <v>0</v>
      </c>
      <c r="D10" s="49">
        <v>0</v>
      </c>
      <c r="E10" s="48">
        <f t="shared" si="2"/>
        <v>1800000</v>
      </c>
      <c r="F10" s="46">
        <v>300000</v>
      </c>
      <c r="G10" s="49">
        <v>80000</v>
      </c>
      <c r="H10" s="48">
        <v>0</v>
      </c>
      <c r="I10" s="46">
        <v>0</v>
      </c>
      <c r="J10" s="49">
        <v>0</v>
      </c>
      <c r="K10" s="205">
        <v>0</v>
      </c>
      <c r="L10" s="46">
        <v>129600</v>
      </c>
      <c r="M10" s="47">
        <v>10000</v>
      </c>
      <c r="N10" s="48">
        <f t="shared" si="1"/>
        <v>1800000</v>
      </c>
      <c r="O10" s="46">
        <f t="shared" si="0"/>
        <v>429600</v>
      </c>
      <c r="P10" s="49">
        <f t="shared" si="0"/>
        <v>90000</v>
      </c>
      <c r="R10" s="364"/>
    </row>
    <row r="11" spans="1:19" ht="16.5" customHeight="1" x14ac:dyDescent="0.2">
      <c r="A11" s="45">
        <v>2030</v>
      </c>
      <c r="B11" s="48">
        <v>0</v>
      </c>
      <c r="C11" s="46">
        <v>0</v>
      </c>
      <c r="D11" s="49">
        <v>0</v>
      </c>
      <c r="E11" s="48">
        <f t="shared" si="2"/>
        <v>1500000</v>
      </c>
      <c r="F11" s="46">
        <v>300000</v>
      </c>
      <c r="G11" s="49">
        <v>70000</v>
      </c>
      <c r="H11" s="48">
        <v>0</v>
      </c>
      <c r="I11" s="46">
        <v>0</v>
      </c>
      <c r="J11" s="49">
        <v>0</v>
      </c>
      <c r="K11" s="205">
        <v>0</v>
      </c>
      <c r="L11" s="46">
        <v>0</v>
      </c>
      <c r="M11" s="47">
        <v>0</v>
      </c>
      <c r="N11" s="48">
        <f t="shared" si="1"/>
        <v>1500000</v>
      </c>
      <c r="O11" s="46">
        <f t="shared" si="0"/>
        <v>300000</v>
      </c>
      <c r="P11" s="49">
        <f t="shared" si="0"/>
        <v>70000</v>
      </c>
    </row>
    <row r="12" spans="1:19" ht="16.5" customHeight="1" x14ac:dyDescent="0.2">
      <c r="A12" s="45">
        <v>2031</v>
      </c>
      <c r="B12" s="48">
        <v>0</v>
      </c>
      <c r="C12" s="46">
        <v>0</v>
      </c>
      <c r="D12" s="49">
        <v>0</v>
      </c>
      <c r="E12" s="48">
        <f t="shared" si="2"/>
        <v>1200000</v>
      </c>
      <c r="F12" s="46">
        <v>300000</v>
      </c>
      <c r="G12" s="49">
        <v>60000</v>
      </c>
      <c r="H12" s="48">
        <v>0</v>
      </c>
      <c r="I12" s="46">
        <v>0</v>
      </c>
      <c r="J12" s="49">
        <v>0</v>
      </c>
      <c r="K12" s="205">
        <v>0</v>
      </c>
      <c r="L12" s="46">
        <v>0</v>
      </c>
      <c r="M12" s="47">
        <v>0</v>
      </c>
      <c r="N12" s="48">
        <f t="shared" si="1"/>
        <v>1200000</v>
      </c>
      <c r="O12" s="46">
        <f t="shared" si="0"/>
        <v>300000</v>
      </c>
      <c r="P12" s="49">
        <f t="shared" si="0"/>
        <v>60000</v>
      </c>
    </row>
    <row r="13" spans="1:19" ht="16.5" customHeight="1" x14ac:dyDescent="0.2">
      <c r="A13" s="45">
        <v>2032</v>
      </c>
      <c r="B13" s="48">
        <v>0</v>
      </c>
      <c r="C13" s="46">
        <v>0</v>
      </c>
      <c r="D13" s="49">
        <v>0</v>
      </c>
      <c r="E13" s="48">
        <f t="shared" si="2"/>
        <v>900000</v>
      </c>
      <c r="F13" s="46">
        <v>300000</v>
      </c>
      <c r="G13" s="49">
        <v>50000</v>
      </c>
      <c r="H13" s="48">
        <v>0</v>
      </c>
      <c r="I13" s="46">
        <v>0</v>
      </c>
      <c r="J13" s="49">
        <v>0</v>
      </c>
      <c r="K13" s="205">
        <v>0</v>
      </c>
      <c r="L13" s="46">
        <v>0</v>
      </c>
      <c r="M13" s="47">
        <v>0</v>
      </c>
      <c r="N13" s="48">
        <f t="shared" si="1"/>
        <v>900000</v>
      </c>
      <c r="O13" s="46">
        <f t="shared" si="0"/>
        <v>300000</v>
      </c>
      <c r="P13" s="49">
        <f t="shared" si="0"/>
        <v>50000</v>
      </c>
    </row>
    <row r="14" spans="1:19" ht="16.5" customHeight="1" x14ac:dyDescent="0.2">
      <c r="A14" s="45">
        <v>2033</v>
      </c>
      <c r="B14" s="48">
        <v>0</v>
      </c>
      <c r="C14" s="46">
        <v>0</v>
      </c>
      <c r="D14" s="49">
        <v>0</v>
      </c>
      <c r="E14" s="48">
        <f t="shared" si="2"/>
        <v>600000</v>
      </c>
      <c r="F14" s="46">
        <v>300000</v>
      </c>
      <c r="G14" s="49">
        <v>30000</v>
      </c>
      <c r="H14" s="48">
        <v>0</v>
      </c>
      <c r="I14" s="46">
        <v>0</v>
      </c>
      <c r="J14" s="49">
        <v>0</v>
      </c>
      <c r="K14" s="205">
        <v>0</v>
      </c>
      <c r="L14" s="46">
        <v>0</v>
      </c>
      <c r="M14" s="47">
        <v>0</v>
      </c>
      <c r="N14" s="48">
        <f t="shared" si="1"/>
        <v>600000</v>
      </c>
      <c r="O14" s="46">
        <f t="shared" si="0"/>
        <v>300000</v>
      </c>
      <c r="P14" s="49">
        <f t="shared" si="0"/>
        <v>30000</v>
      </c>
    </row>
    <row r="15" spans="1:19" ht="16.5" customHeight="1" x14ac:dyDescent="0.2">
      <c r="A15" s="45">
        <v>2034</v>
      </c>
      <c r="B15" s="48">
        <v>0</v>
      </c>
      <c r="C15" s="46">
        <v>0</v>
      </c>
      <c r="D15" s="49">
        <v>0</v>
      </c>
      <c r="E15" s="48">
        <f t="shared" si="2"/>
        <v>300000</v>
      </c>
      <c r="F15" s="46">
        <v>300000</v>
      </c>
      <c r="G15" s="49">
        <v>20000</v>
      </c>
      <c r="H15" s="48">
        <v>0</v>
      </c>
      <c r="I15" s="46">
        <v>0</v>
      </c>
      <c r="J15" s="49">
        <v>0</v>
      </c>
      <c r="K15" s="205">
        <v>0</v>
      </c>
      <c r="L15" s="46">
        <v>0</v>
      </c>
      <c r="M15" s="47">
        <v>0</v>
      </c>
      <c r="N15" s="48">
        <f t="shared" si="1"/>
        <v>300000</v>
      </c>
      <c r="O15" s="46">
        <f t="shared" si="0"/>
        <v>300000</v>
      </c>
      <c r="P15" s="49">
        <f t="shared" si="0"/>
        <v>20000</v>
      </c>
    </row>
    <row r="16" spans="1:19" ht="16.5" customHeight="1" thickBot="1" x14ac:dyDescent="0.25">
      <c r="A16" s="207">
        <v>2035</v>
      </c>
      <c r="B16" s="51">
        <v>0</v>
      </c>
      <c r="C16" s="50">
        <v>0</v>
      </c>
      <c r="D16" s="52">
        <v>0</v>
      </c>
      <c r="E16" s="51">
        <f>E15-F16</f>
        <v>0</v>
      </c>
      <c r="F16" s="50">
        <v>300000</v>
      </c>
      <c r="G16" s="52">
        <v>10000</v>
      </c>
      <c r="H16" s="51">
        <v>0</v>
      </c>
      <c r="I16" s="50">
        <v>0</v>
      </c>
      <c r="J16" s="52">
        <v>0</v>
      </c>
      <c r="K16" s="210">
        <v>0</v>
      </c>
      <c r="L16" s="50">
        <v>0</v>
      </c>
      <c r="M16" s="208">
        <v>0</v>
      </c>
      <c r="N16" s="51">
        <f t="shared" si="1"/>
        <v>0</v>
      </c>
      <c r="O16" s="50">
        <f t="shared" si="0"/>
        <v>300000</v>
      </c>
      <c r="P16" s="52">
        <f t="shared" si="0"/>
        <v>10000</v>
      </c>
    </row>
  </sheetData>
  <mergeCells count="6">
    <mergeCell ref="A2:P2"/>
    <mergeCell ref="B4:D4"/>
    <mergeCell ref="E4:G4"/>
    <mergeCell ref="H4:J4"/>
    <mergeCell ref="K4:M4"/>
    <mergeCell ref="N4:P4"/>
  </mergeCells>
  <printOptions horizontalCentered="1"/>
  <pageMargins left="0.31496062992125984" right="0.31496062992125984" top="0.59055118110236227" bottom="0.39370078740157483" header="0.31496062992125984" footer="0.11811023622047245"/>
  <pageSetup paperSize="9" scale="64" firstPageNumber="45" orientation="landscape" useFirstPageNumber="1" r:id="rId1"/>
  <headerFooter alignWithMargins="0">
    <oddHeader>&amp;L&amp;"Tahoma,Kurzíva"Střednědobý výhled rozpočtu Moravskoslezského kraje na léta 2026-2028&amp;R&amp;"Tahoma,Kurzíva"Přehled splácení jistiny a úroků z úvěrů čerpaných Moravskoslezským krajem</oddHeader>
    <oddFooter>&amp;C&amp;"Tahoma,Obyčejné"&amp;P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C6294676561344BD372BEA72638A28" ma:contentTypeVersion="4" ma:contentTypeDescription="Create a new document." ma:contentTypeScope="" ma:versionID="c1758718e5e0cc27a32f4e2e7ba0bbba">
  <xsd:schema xmlns:xsd="http://www.w3.org/2001/XMLSchema" xmlns:xs="http://www.w3.org/2001/XMLSchema" xmlns:p="http://schemas.microsoft.com/office/2006/metadata/properties" xmlns:ns2="4af3958b-5764-41fd-9e51-7f968bd77d68" targetNamespace="http://schemas.microsoft.com/office/2006/metadata/properties" ma:root="true" ma:fieldsID="2b87ebe51e789ce78480e89d1712c55f" ns2:_="">
    <xsd:import namespace="4af3958b-5764-41fd-9e51-7f968bd77d6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f3958b-5764-41fd-9e51-7f968bd77d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32D584-DB4C-4E23-AD1F-104B6D988A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f3958b-5764-41fd-9e51-7f968bd77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AD1738-15FF-4B5D-B6B2-812D364CF33D}">
  <ds:schemaRefs>
    <ds:schemaRef ds:uri="http://purl.org/dc/dcmitype/"/>
    <ds:schemaRef ds:uri="http://www.w3.org/XML/1998/namespace"/>
    <ds:schemaRef ds:uri="http://schemas.microsoft.com/office/2006/documentManagement/types"/>
    <ds:schemaRef ds:uri="http://purl.org/dc/terms/"/>
    <ds:schemaRef ds:uri="http://purl.org/dc/elements/1.1/"/>
    <ds:schemaRef ds:uri="http://schemas.microsoft.com/office/2006/metadata/properties"/>
    <ds:schemaRef ds:uri="e3b2b205-de92-4ce4-a1ef-b5d6008670aa"/>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012DBBC-52A0-4DBC-9B23-9C0C255130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14</vt:i4>
      </vt:variant>
    </vt:vector>
  </HeadingPairs>
  <TitlesOfParts>
    <vt:vector size="24" baseType="lpstr">
      <vt:lpstr>seznam</vt:lpstr>
      <vt:lpstr>Tab. 1 </vt:lpstr>
      <vt:lpstr>Tab. 1 VÝDAJE</vt:lpstr>
      <vt:lpstr>Tab. 2 </vt:lpstr>
      <vt:lpstr>Tab. 3</vt:lpstr>
      <vt:lpstr>Tab. 4</vt:lpstr>
      <vt:lpstr>Tab. 5</vt:lpstr>
      <vt:lpstr>Tab. 6</vt:lpstr>
      <vt:lpstr>Tab. 7</vt:lpstr>
      <vt:lpstr>Tab. 8</vt:lpstr>
      <vt:lpstr>'Tab. 1 '!Názvy_tisku</vt:lpstr>
      <vt:lpstr>'Tab. 1 VÝDAJE'!Názvy_tisku</vt:lpstr>
      <vt:lpstr>'Tab. 2 '!Názvy_tisku</vt:lpstr>
      <vt:lpstr>'Tab. 3'!Názvy_tisku</vt:lpstr>
      <vt:lpstr>'Tab. 4'!Názvy_tisku</vt:lpstr>
      <vt:lpstr>'Tab. 5'!Názvy_tisku</vt:lpstr>
      <vt:lpstr>'Tab. 6'!Názvy_tisku</vt:lpstr>
      <vt:lpstr>'Tab. 1 '!Oblast_tisku</vt:lpstr>
      <vt:lpstr>'Tab. 2 '!Oblast_tisku</vt:lpstr>
      <vt:lpstr>'Tab. 3'!Oblast_tisku</vt:lpstr>
      <vt:lpstr>'Tab. 4'!Oblast_tisku</vt:lpstr>
      <vt:lpstr>'Tab. 5'!Oblast_tisku</vt:lpstr>
      <vt:lpstr>'Tab. 7'!Oblast_tisku</vt:lpstr>
      <vt:lpstr>'Tab. 8'!Oblast_tisku</vt:lpstr>
    </vt:vector>
  </TitlesOfParts>
  <Company>KUMSK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Metelka Tomáš</dc:creator>
  <cp:lastModifiedBy>Metelka Tomáš</cp:lastModifiedBy>
  <cp:lastPrinted>2024-11-27T08:51:12Z</cp:lastPrinted>
  <dcterms:created xsi:type="dcterms:W3CDTF">2015-11-13T16:09:39Z</dcterms:created>
  <dcterms:modified xsi:type="dcterms:W3CDTF">2024-11-27T08:52:58Z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0x0101006BC6294676561344BD372BEA72638A28</vt:lpwstr>
  </property>
  <property fmtid="{D5CDD505-2E9C-101B-9397-08002B2CF9AE}" pid="3" name="MSIP_Label_bc18e8b5-cf04-4356-9f73-4b8f937bc4ae_Enabled">
    <vt:lpwstr>true</vt:lpwstr>
  </property>
  <property fmtid="{D5CDD505-2E9C-101B-9397-08002B2CF9AE}" pid="4" name="MSIP_Label_bc18e8b5-cf04-4356-9f73-4b8f937bc4ae_SetDate">
    <vt:lpwstr>2023-11-10T13:51:56Z</vt:lpwstr>
  </property>
  <property fmtid="{D5CDD505-2E9C-101B-9397-08002B2CF9AE}" pid="5" name="MSIP_Label_bc18e8b5-cf04-4356-9f73-4b8f937bc4ae_Method">
    <vt:lpwstr>Privileged</vt:lpwstr>
  </property>
  <property fmtid="{D5CDD505-2E9C-101B-9397-08002B2CF9AE}" pid="6" name="MSIP_Label_bc18e8b5-cf04-4356-9f73-4b8f937bc4ae_Name">
    <vt:lpwstr>Neveřejná informace (bez označení)</vt:lpwstr>
  </property>
  <property fmtid="{D5CDD505-2E9C-101B-9397-08002B2CF9AE}" pid="7" name="MSIP_Label_bc18e8b5-cf04-4356-9f73-4b8f937bc4ae_SiteId">
    <vt:lpwstr>39f24d0b-aa30-4551-8e81-43c77cf1000e</vt:lpwstr>
  </property>
  <property fmtid="{D5CDD505-2E9C-101B-9397-08002B2CF9AE}" pid="8" name="MSIP_Label_bc18e8b5-cf04-4356-9f73-4b8f937bc4ae_ActionId">
    <vt:lpwstr>935a304b-e56b-4d5a-aa92-94154490cd50</vt:lpwstr>
  </property>
  <property fmtid="{D5CDD505-2E9C-101B-9397-08002B2CF9AE}" pid="9" name="MSIP_Label_bc18e8b5-cf04-4356-9f73-4b8f937bc4ae_ContentBits">
    <vt:lpwstr>0</vt:lpwstr>
  </property>
</Properties>
</file>