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.sharepoint.com/teams/EKONOMIKAaROZPOET/Shared Documents/General/03_MATERIÁLY RK,ZK/MATERIÁLY 2025/IM/25-09-16 ZK/Materiál 7-10 Kub/"/>
    </mc:Choice>
  </mc:AlternateContent>
  <xr:revisionPtr revIDLastSave="144" documentId="8_{3BB38D4D-D329-4B21-9E82-D12F2CFC7F85}" xr6:coauthVersionLast="47" xr6:coauthVersionMax="47" xr10:uidLastSave="{58C30072-B1CF-4037-9B5A-7E49919EAEF4}"/>
  <bookViews>
    <workbookView xWindow="3045" yWindow="2490" windowWidth="21600" windowHeight="11235" xr2:uid="{224D2283-C045-42E9-9A12-55A21023E918}"/>
  </bookViews>
  <sheets>
    <sheet name="Příloha 1 Financování RMKrevize" sheetId="1" r:id="rId1"/>
  </sheets>
  <definedNames>
    <definedName name="_xlnm._FilterDatabase" localSheetId="0" hidden="1">'Příloha 1 Financování RMKrevize'!$A$1:$BT$129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6" i="1" l="1"/>
  <c r="AF97" i="1"/>
  <c r="BN97" i="1" s="1"/>
  <c r="AG82" i="1"/>
  <c r="AF82" i="1"/>
  <c r="BN82" i="1"/>
  <c r="AG35" i="1"/>
  <c r="AK82" i="1" l="1"/>
  <c r="AK98" i="1"/>
  <c r="BO98" i="1"/>
  <c r="AF98" i="1"/>
  <c r="BN107" i="1"/>
  <c r="BO7" i="1"/>
  <c r="BN7" i="1"/>
  <c r="AG135" i="1"/>
  <c r="AH135" i="1"/>
  <c r="AI135" i="1"/>
  <c r="AJ135" i="1"/>
  <c r="AQ135" i="1"/>
  <c r="AR135" i="1"/>
  <c r="AU135" i="1"/>
  <c r="AX135" i="1"/>
  <c r="AY135" i="1"/>
  <c r="AZ135" i="1"/>
  <c r="BF135" i="1"/>
  <c r="BG135" i="1"/>
  <c r="BH135" i="1"/>
  <c r="BM135" i="1"/>
  <c r="M135" i="1"/>
  <c r="N135" i="1"/>
  <c r="O135" i="1"/>
  <c r="P135" i="1"/>
  <c r="Q135" i="1"/>
  <c r="R135" i="1"/>
  <c r="BH124" i="1"/>
  <c r="BG124" i="1"/>
  <c r="BF124" i="1"/>
  <c r="AZ124" i="1"/>
  <c r="AY124" i="1"/>
  <c r="AX124" i="1"/>
  <c r="AU124" i="1"/>
  <c r="AR124" i="1"/>
  <c r="AQ124" i="1"/>
  <c r="AJ124" i="1"/>
  <c r="AI124" i="1"/>
  <c r="AH124" i="1"/>
  <c r="AG124" i="1"/>
  <c r="X124" i="1"/>
  <c r="W124" i="1"/>
  <c r="V124" i="1"/>
  <c r="P124" i="1"/>
  <c r="O124" i="1"/>
  <c r="N124" i="1"/>
  <c r="BJ123" i="1"/>
  <c r="BI123" i="1" s="1"/>
  <c r="BE123" i="1"/>
  <c r="BB123" i="1"/>
  <c r="BA123" i="1" s="1"/>
  <c r="AW123" i="1"/>
  <c r="AT123" i="1"/>
  <c r="AS123" i="1"/>
  <c r="AP123" i="1"/>
  <c r="AL123" i="1"/>
  <c r="AK123" i="1"/>
  <c r="AF123" i="1"/>
  <c r="BN123" i="1" s="1"/>
  <c r="AE123" i="1"/>
  <c r="AA123" i="1"/>
  <c r="Z123" i="1" s="1"/>
  <c r="BO123" i="1" s="1"/>
  <c r="BP123" i="1" s="1"/>
  <c r="T123" i="1"/>
  <c r="T128" i="1" s="1"/>
  <c r="L123" i="1"/>
  <c r="BM122" i="1"/>
  <c r="BJ122" i="1"/>
  <c r="BI122" i="1"/>
  <c r="BE122" i="1"/>
  <c r="BA122" i="1"/>
  <c r="AW122" i="1"/>
  <c r="AS122" i="1"/>
  <c r="AP122" i="1"/>
  <c r="AK122" i="1"/>
  <c r="AF122" i="1"/>
  <c r="AE122" i="1"/>
  <c r="AA122" i="1"/>
  <c r="Z122" i="1" s="1"/>
  <c r="BO122" i="1" s="1"/>
  <c r="BP122" i="1" s="1"/>
  <c r="T122" i="1"/>
  <c r="L122" i="1"/>
  <c r="BN122" i="1" s="1"/>
  <c r="BJ121" i="1"/>
  <c r="BI121" i="1"/>
  <c r="BE121" i="1"/>
  <c r="BA121" i="1"/>
  <c r="AW121" i="1"/>
  <c r="BM121" i="1" s="1"/>
  <c r="AS121" i="1"/>
  <c r="AP121" i="1"/>
  <c r="AK121" i="1"/>
  <c r="AF121" i="1"/>
  <c r="AE121" i="1"/>
  <c r="AA121" i="1"/>
  <c r="Z121" i="1" s="1"/>
  <c r="T121" i="1"/>
  <c r="L121" i="1"/>
  <c r="BM120" i="1"/>
  <c r="BJ120" i="1"/>
  <c r="BI120" i="1"/>
  <c r="BE120" i="1"/>
  <c r="BA120" i="1"/>
  <c r="AW120" i="1"/>
  <c r="AS120" i="1"/>
  <c r="AP120" i="1"/>
  <c r="AK120" i="1"/>
  <c r="AF120" i="1"/>
  <c r="AE120" i="1"/>
  <c r="AA120" i="1"/>
  <c r="Z120" i="1" s="1"/>
  <c r="BO120" i="1" s="1"/>
  <c r="T120" i="1"/>
  <c r="L120" i="1"/>
  <c r="BN120" i="1" s="1"/>
  <c r="BJ119" i="1"/>
  <c r="BI119" i="1"/>
  <c r="BE119" i="1"/>
  <c r="BA119" i="1"/>
  <c r="AW119" i="1"/>
  <c r="BM119" i="1" s="1"/>
  <c r="AS119" i="1"/>
  <c r="AP119" i="1"/>
  <c r="AK119" i="1"/>
  <c r="AF119" i="1"/>
  <c r="AE119" i="1"/>
  <c r="AA119" i="1"/>
  <c r="Z119" i="1" s="1"/>
  <c r="T119" i="1"/>
  <c r="L119" i="1"/>
  <c r="BM118" i="1"/>
  <c r="BJ118" i="1"/>
  <c r="BI118" i="1"/>
  <c r="BE118" i="1"/>
  <c r="BN118" i="1" s="1"/>
  <c r="BA118" i="1"/>
  <c r="AW118" i="1"/>
  <c r="AS118" i="1"/>
  <c r="AP118" i="1"/>
  <c r="AL118" i="1"/>
  <c r="AK118" i="1" s="1"/>
  <c r="AF118" i="1"/>
  <c r="AE118" i="1"/>
  <c r="AD118" i="1"/>
  <c r="AC118" i="1"/>
  <c r="AB118" i="1"/>
  <c r="AA118" i="1"/>
  <c r="Z118" i="1" s="1"/>
  <c r="BO118" i="1" s="1"/>
  <c r="T118" i="1"/>
  <c r="T127" i="1" s="1"/>
  <c r="M118" i="1"/>
  <c r="L118" i="1"/>
  <c r="BJ117" i="1"/>
  <c r="BI117" i="1" s="1"/>
  <c r="BE117" i="1"/>
  <c r="BA117" i="1"/>
  <c r="AW117" i="1"/>
  <c r="AS117" i="1"/>
  <c r="AP117" i="1"/>
  <c r="AK117" i="1"/>
  <c r="AF117" i="1"/>
  <c r="AE117" i="1"/>
  <c r="AA117" i="1"/>
  <c r="Z117" i="1"/>
  <c r="BO117" i="1" s="1"/>
  <c r="BP117" i="1" s="1"/>
  <c r="T117" i="1"/>
  <c r="L117" i="1"/>
  <c r="BN117" i="1" s="1"/>
  <c r="BN116" i="1"/>
  <c r="BM116" i="1"/>
  <c r="BJ116" i="1"/>
  <c r="BI116" i="1"/>
  <c r="BE116" i="1"/>
  <c r="BA116" i="1"/>
  <c r="AW116" i="1"/>
  <c r="AS116" i="1"/>
  <c r="AP116" i="1"/>
  <c r="AK116" i="1"/>
  <c r="AF116" i="1"/>
  <c r="AE116" i="1"/>
  <c r="AA116" i="1"/>
  <c r="Z116" i="1" s="1"/>
  <c r="BO116" i="1" s="1"/>
  <c r="BP116" i="1" s="1"/>
  <c r="T116" i="1"/>
  <c r="L116" i="1"/>
  <c r="BI115" i="1"/>
  <c r="BA115" i="1"/>
  <c r="AW115" i="1"/>
  <c r="AS115" i="1"/>
  <c r="AP115" i="1"/>
  <c r="AK115" i="1"/>
  <c r="AF115" i="1"/>
  <c r="AE115" i="1"/>
  <c r="AA115" i="1"/>
  <c r="Z115" i="1" s="1"/>
  <c r="BO115" i="1" s="1"/>
  <c r="T115" i="1"/>
  <c r="L115" i="1"/>
  <c r="BN115" i="1" s="1"/>
  <c r="BI114" i="1"/>
  <c r="BE114" i="1"/>
  <c r="BN114" i="1" s="1"/>
  <c r="BA114" i="1"/>
  <c r="AW114" i="1"/>
  <c r="AS114" i="1"/>
  <c r="AP114" i="1"/>
  <c r="AK114" i="1"/>
  <c r="AF114" i="1"/>
  <c r="AE114" i="1"/>
  <c r="AA114" i="1"/>
  <c r="Z114" i="1"/>
  <c r="BO114" i="1" s="1"/>
  <c r="T114" i="1"/>
  <c r="L114" i="1"/>
  <c r="BJ113" i="1"/>
  <c r="BI113" i="1" s="1"/>
  <c r="BE113" i="1"/>
  <c r="BA113" i="1"/>
  <c r="AW113" i="1"/>
  <c r="AS113" i="1"/>
  <c r="AP113" i="1"/>
  <c r="BN113" i="1" s="1"/>
  <c r="AK113" i="1"/>
  <c r="AF113" i="1"/>
  <c r="AE113" i="1"/>
  <c r="AA113" i="1"/>
  <c r="Z113" i="1" s="1"/>
  <c r="T113" i="1"/>
  <c r="L113" i="1"/>
  <c r="BJ112" i="1"/>
  <c r="BI112" i="1"/>
  <c r="BE112" i="1"/>
  <c r="BA112" i="1"/>
  <c r="AW112" i="1"/>
  <c r="AS112" i="1"/>
  <c r="AP112" i="1"/>
  <c r="AK112" i="1"/>
  <c r="AF112" i="1"/>
  <c r="AE112" i="1"/>
  <c r="AA112" i="1"/>
  <c r="Z112" i="1" s="1"/>
  <c r="BO112" i="1" s="1"/>
  <c r="T112" i="1"/>
  <c r="L112" i="1"/>
  <c r="BN112" i="1" s="1"/>
  <c r="BL111" i="1"/>
  <c r="BK111" i="1"/>
  <c r="BJ111" i="1"/>
  <c r="BI111" i="1" s="1"/>
  <c r="BE111" i="1"/>
  <c r="BD111" i="1"/>
  <c r="BC111" i="1"/>
  <c r="BB111" i="1"/>
  <c r="BA111" i="1"/>
  <c r="AW111" i="1"/>
  <c r="AV111" i="1"/>
  <c r="AT111" i="1"/>
  <c r="AS111" i="1"/>
  <c r="AP111" i="1"/>
  <c r="AK111" i="1"/>
  <c r="AF111" i="1"/>
  <c r="AD111" i="1"/>
  <c r="AC111" i="1"/>
  <c r="AB111" i="1"/>
  <c r="AA111" i="1"/>
  <c r="Z111" i="1" s="1"/>
  <c r="BO111" i="1" s="1"/>
  <c r="BP111" i="1" s="1"/>
  <c r="Y111" i="1"/>
  <c r="AE111" i="1" s="1"/>
  <c r="T111" i="1"/>
  <c r="L111" i="1"/>
  <c r="BN111" i="1" s="1"/>
  <c r="BL110" i="1"/>
  <c r="BK110" i="1"/>
  <c r="BJ110" i="1"/>
  <c r="BI110" i="1"/>
  <c r="BE110" i="1"/>
  <c r="BD110" i="1"/>
  <c r="BC110" i="1"/>
  <c r="BB110" i="1"/>
  <c r="BA110" i="1"/>
  <c r="AW110" i="1"/>
  <c r="AV110" i="1"/>
  <c r="AT110" i="1"/>
  <c r="AS110" i="1" s="1"/>
  <c r="AP110" i="1"/>
  <c r="AK110" i="1"/>
  <c r="AF110" i="1"/>
  <c r="AE110" i="1"/>
  <c r="AD110" i="1"/>
  <c r="AC110" i="1"/>
  <c r="AB110" i="1"/>
  <c r="AA110" i="1"/>
  <c r="Z110" i="1" s="1"/>
  <c r="BO110" i="1" s="1"/>
  <c r="BP110" i="1" s="1"/>
  <c r="Y110" i="1"/>
  <c r="U110" i="1"/>
  <c r="T110" i="1" s="1"/>
  <c r="L110" i="1"/>
  <c r="BN110" i="1" s="1"/>
  <c r="BJ109" i="1"/>
  <c r="BI109" i="1" s="1"/>
  <c r="BE109" i="1"/>
  <c r="BB109" i="1"/>
  <c r="BA109" i="1" s="1"/>
  <c r="AW109" i="1"/>
  <c r="AT109" i="1"/>
  <c r="AS109" i="1" s="1"/>
  <c r="AP109" i="1"/>
  <c r="AK109" i="1"/>
  <c r="AF109" i="1"/>
  <c r="AE109" i="1"/>
  <c r="AA109" i="1"/>
  <c r="Z109" i="1" s="1"/>
  <c r="BO109" i="1" s="1"/>
  <c r="BP109" i="1" s="1"/>
  <c r="T109" i="1"/>
  <c r="L109" i="1"/>
  <c r="BN109" i="1" s="1"/>
  <c r="BJ108" i="1"/>
  <c r="BI108" i="1"/>
  <c r="BE108" i="1"/>
  <c r="BB108" i="1"/>
  <c r="BA108" i="1"/>
  <c r="AW108" i="1"/>
  <c r="AT108" i="1"/>
  <c r="AS108" i="1"/>
  <c r="AP108" i="1"/>
  <c r="AK108" i="1"/>
  <c r="AF108" i="1"/>
  <c r="AE108" i="1"/>
  <c r="AA108" i="1"/>
  <c r="Z108" i="1"/>
  <c r="BO108" i="1" s="1"/>
  <c r="T108" i="1"/>
  <c r="L108" i="1"/>
  <c r="BN108" i="1" s="1"/>
  <c r="BM107" i="1"/>
  <c r="BL107" i="1"/>
  <c r="BK107" i="1"/>
  <c r="BJ107" i="1"/>
  <c r="BI107" i="1" s="1"/>
  <c r="BE107" i="1"/>
  <c r="BD107" i="1"/>
  <c r="BC107" i="1"/>
  <c r="BB107" i="1"/>
  <c r="BA107" i="1"/>
  <c r="AW107" i="1"/>
  <c r="AV107" i="1"/>
  <c r="AS107" i="1"/>
  <c r="AP107" i="1"/>
  <c r="AO107" i="1"/>
  <c r="AN107" i="1"/>
  <c r="AK107" i="1"/>
  <c r="AF107" i="1"/>
  <c r="AD107" i="1"/>
  <c r="AC107" i="1"/>
  <c r="AB107" i="1"/>
  <c r="AA107" i="1"/>
  <c r="Z107" i="1" s="1"/>
  <c r="Y107" i="1"/>
  <c r="AE107" i="1" s="1"/>
  <c r="T107" i="1"/>
  <c r="L107" i="1"/>
  <c r="BJ106" i="1"/>
  <c r="BI106" i="1" s="1"/>
  <c r="BE106" i="1"/>
  <c r="BA106" i="1"/>
  <c r="AW106" i="1"/>
  <c r="AS106" i="1"/>
  <c r="AP106" i="1"/>
  <c r="AK106" i="1"/>
  <c r="AF106" i="1"/>
  <c r="AE106" i="1"/>
  <c r="AA106" i="1"/>
  <c r="Z106" i="1" s="1"/>
  <c r="T106" i="1"/>
  <c r="L106" i="1"/>
  <c r="BN106" i="1" s="1"/>
  <c r="BJ105" i="1"/>
  <c r="BI105" i="1"/>
  <c r="BE105" i="1"/>
  <c r="BA105" i="1"/>
  <c r="AW105" i="1"/>
  <c r="AS105" i="1"/>
  <c r="AP105" i="1"/>
  <c r="AK105" i="1"/>
  <c r="AF105" i="1"/>
  <c r="AE105" i="1"/>
  <c r="AA105" i="1"/>
  <c r="Z105" i="1" s="1"/>
  <c r="BO105" i="1" s="1"/>
  <c r="BP105" i="1" s="1"/>
  <c r="T105" i="1"/>
  <c r="L105" i="1"/>
  <c r="BN105" i="1" s="1"/>
  <c r="BJ104" i="1"/>
  <c r="BI104" i="1" s="1"/>
  <c r="BE104" i="1"/>
  <c r="BA104" i="1"/>
  <c r="AW104" i="1"/>
  <c r="AS104" i="1"/>
  <c r="AP104" i="1"/>
  <c r="AK104" i="1"/>
  <c r="AF104" i="1"/>
  <c r="BN104" i="1" s="1"/>
  <c r="AE104" i="1"/>
  <c r="AA104" i="1"/>
  <c r="Z104" i="1" s="1"/>
  <c r="BO104" i="1" s="1"/>
  <c r="BP104" i="1" s="1"/>
  <c r="T104" i="1"/>
  <c r="L104" i="1"/>
  <c r="BM103" i="1"/>
  <c r="BL103" i="1"/>
  <c r="BK103" i="1"/>
  <c r="BJ103" i="1"/>
  <c r="BI103" i="1"/>
  <c r="BE103" i="1"/>
  <c r="BD103" i="1"/>
  <c r="BC103" i="1"/>
  <c r="BB103" i="1"/>
  <c r="BA103" i="1"/>
  <c r="AW103" i="1"/>
  <c r="AV103" i="1"/>
  <c r="AT103" i="1"/>
  <c r="AS103" i="1" s="1"/>
  <c r="AP103" i="1"/>
  <c r="AK103" i="1"/>
  <c r="AF103" i="1"/>
  <c r="BN103" i="1" s="1"/>
  <c r="AE103" i="1"/>
  <c r="AA103" i="1"/>
  <c r="Z103" i="1" s="1"/>
  <c r="T103" i="1"/>
  <c r="L103" i="1"/>
  <c r="BL102" i="1"/>
  <c r="BK102" i="1"/>
  <c r="BJ102" i="1"/>
  <c r="BI102" i="1"/>
  <c r="BE102" i="1"/>
  <c r="BD102" i="1"/>
  <c r="BC102" i="1"/>
  <c r="BB102" i="1"/>
  <c r="BA102" i="1"/>
  <c r="AW102" i="1"/>
  <c r="AV102" i="1"/>
  <c r="AT102" i="1"/>
  <c r="AS102" i="1" s="1"/>
  <c r="AP102" i="1"/>
  <c r="AO102" i="1"/>
  <c r="AN102" i="1"/>
  <c r="AM102" i="1"/>
  <c r="AK102" i="1" s="1"/>
  <c r="AF102" i="1"/>
  <c r="AD102" i="1"/>
  <c r="AC102" i="1"/>
  <c r="AB102" i="1"/>
  <c r="AA102" i="1"/>
  <c r="Z102" i="1" s="1"/>
  <c r="BO102" i="1" s="1"/>
  <c r="BP102" i="1" s="1"/>
  <c r="Y102" i="1"/>
  <c r="T102" i="1"/>
  <c r="S102" i="1"/>
  <c r="AE102" i="1" s="1"/>
  <c r="M102" i="1"/>
  <c r="L102" i="1" s="1"/>
  <c r="BN102" i="1" s="1"/>
  <c r="BL101" i="1"/>
  <c r="BK101" i="1"/>
  <c r="BJ101" i="1"/>
  <c r="BI101" i="1" s="1"/>
  <c r="BE101" i="1"/>
  <c r="BD101" i="1"/>
  <c r="BC101" i="1"/>
  <c r="BB101" i="1"/>
  <c r="BA101" i="1" s="1"/>
  <c r="AW101" i="1"/>
  <c r="AV101" i="1"/>
  <c r="AS101" i="1"/>
  <c r="AP101" i="1"/>
  <c r="AK101" i="1"/>
  <c r="AF101" i="1"/>
  <c r="AE101" i="1"/>
  <c r="AA101" i="1"/>
  <c r="Z101" i="1"/>
  <c r="T101" i="1"/>
  <c r="L101" i="1"/>
  <c r="BN101" i="1" s="1"/>
  <c r="BL100" i="1"/>
  <c r="BK100" i="1"/>
  <c r="BJ100" i="1"/>
  <c r="BI100" i="1"/>
  <c r="BE100" i="1"/>
  <c r="BD100" i="1"/>
  <c r="BC100" i="1"/>
  <c r="BB100" i="1"/>
  <c r="BA100" i="1" s="1"/>
  <c r="AW100" i="1"/>
  <c r="AV100" i="1"/>
  <c r="AT100" i="1"/>
  <c r="AS100" i="1"/>
  <c r="AP100" i="1"/>
  <c r="AK100" i="1"/>
  <c r="AF100" i="1"/>
  <c r="AE100" i="1"/>
  <c r="AA100" i="1"/>
  <c r="Z100" i="1"/>
  <c r="T100" i="1"/>
  <c r="L100" i="1"/>
  <c r="BN100" i="1" s="1"/>
  <c r="BL99" i="1"/>
  <c r="BK99" i="1"/>
  <c r="BJ99" i="1"/>
  <c r="BI99" i="1"/>
  <c r="BE99" i="1"/>
  <c r="BD99" i="1"/>
  <c r="BC99" i="1"/>
  <c r="BB99" i="1"/>
  <c r="BA99" i="1" s="1"/>
  <c r="AW99" i="1"/>
  <c r="AV99" i="1"/>
  <c r="AT99" i="1"/>
  <c r="AS99" i="1"/>
  <c r="AP99" i="1"/>
  <c r="AO99" i="1"/>
  <c r="AN99" i="1"/>
  <c r="AM99" i="1"/>
  <c r="AK99" i="1" s="1"/>
  <c r="AF99" i="1"/>
  <c r="AE99" i="1"/>
  <c r="AD99" i="1"/>
  <c r="AC99" i="1"/>
  <c r="AB99" i="1"/>
  <c r="AA99" i="1"/>
  <c r="Z99" i="1"/>
  <c r="Y99" i="1"/>
  <c r="T99" i="1"/>
  <c r="L99" i="1"/>
  <c r="BN99" i="1" s="1"/>
  <c r="BM98" i="1"/>
  <c r="BL98" i="1"/>
  <c r="BK98" i="1"/>
  <c r="BJ98" i="1"/>
  <c r="BI98" i="1" s="1"/>
  <c r="BE98" i="1"/>
  <c r="BA98" i="1"/>
  <c r="AW98" i="1"/>
  <c r="AT98" i="1"/>
  <c r="AS98" i="1" s="1"/>
  <c r="AP98" i="1"/>
  <c r="AD98" i="1"/>
  <c r="AC98" i="1"/>
  <c r="AB98" i="1"/>
  <c r="Z98" i="1" s="1"/>
  <c r="AA98" i="1"/>
  <c r="T98" i="1"/>
  <c r="L98" i="1"/>
  <c r="BL97" i="1"/>
  <c r="BM97" i="1" s="1"/>
  <c r="BK97" i="1"/>
  <c r="BJ97" i="1"/>
  <c r="BI97" i="1" s="1"/>
  <c r="BE97" i="1"/>
  <c r="BA97" i="1"/>
  <c r="AW97" i="1"/>
  <c r="AS97" i="1"/>
  <c r="AP97" i="1"/>
  <c r="AK97" i="1"/>
  <c r="AD97" i="1"/>
  <c r="AC97" i="1"/>
  <c r="AB97" i="1"/>
  <c r="AA97" i="1"/>
  <c r="Z97" i="1" s="1"/>
  <c r="BO97" i="1" s="1"/>
  <c r="T97" i="1"/>
  <c r="L97" i="1"/>
  <c r="BN96" i="1"/>
  <c r="BJ96" i="1"/>
  <c r="BI96" i="1" s="1"/>
  <c r="BE96" i="1"/>
  <c r="BA96" i="1"/>
  <c r="AW96" i="1"/>
  <c r="AS96" i="1"/>
  <c r="AP96" i="1"/>
  <c r="AK96" i="1"/>
  <c r="AF96" i="1"/>
  <c r="AE96" i="1"/>
  <c r="AA96" i="1"/>
  <c r="Z96" i="1"/>
  <c r="BO96" i="1" s="1"/>
  <c r="BP96" i="1" s="1"/>
  <c r="T96" i="1"/>
  <c r="L96" i="1"/>
  <c r="BJ95" i="1"/>
  <c r="BI95" i="1" s="1"/>
  <c r="BE95" i="1"/>
  <c r="BA95" i="1"/>
  <c r="AW95" i="1"/>
  <c r="AS95" i="1"/>
  <c r="AP95" i="1"/>
  <c r="AK95" i="1"/>
  <c r="AF95" i="1"/>
  <c r="AE95" i="1"/>
  <c r="AA95" i="1"/>
  <c r="Z95" i="1" s="1"/>
  <c r="BO95" i="1" s="1"/>
  <c r="BP95" i="1" s="1"/>
  <c r="T95" i="1"/>
  <c r="L95" i="1"/>
  <c r="BN95" i="1" s="1"/>
  <c r="BJ94" i="1"/>
  <c r="BI94" i="1"/>
  <c r="BE94" i="1"/>
  <c r="BA94" i="1"/>
  <c r="AW94" i="1"/>
  <c r="AS94" i="1"/>
  <c r="AP94" i="1"/>
  <c r="AK94" i="1"/>
  <c r="AF94" i="1"/>
  <c r="AE94" i="1"/>
  <c r="AA94" i="1"/>
  <c r="Z94" i="1" s="1"/>
  <c r="BO94" i="1" s="1"/>
  <c r="BP94" i="1" s="1"/>
  <c r="T94" i="1"/>
  <c r="L94" i="1"/>
  <c r="BN94" i="1" s="1"/>
  <c r="BL93" i="1"/>
  <c r="BK93" i="1"/>
  <c r="BJ93" i="1"/>
  <c r="BI93" i="1" s="1"/>
  <c r="BE93" i="1"/>
  <c r="BD93" i="1"/>
  <c r="BC93" i="1"/>
  <c r="BB93" i="1"/>
  <c r="BA93" i="1"/>
  <c r="AW93" i="1"/>
  <c r="AV93" i="1"/>
  <c r="AT93" i="1"/>
  <c r="AS93" i="1"/>
  <c r="AP93" i="1"/>
  <c r="AK93" i="1"/>
  <c r="AF93" i="1"/>
  <c r="AE93" i="1"/>
  <c r="AA93" i="1"/>
  <c r="Z93" i="1"/>
  <c r="T93" i="1"/>
  <c r="L93" i="1"/>
  <c r="BN93" i="1" s="1"/>
  <c r="BL92" i="1"/>
  <c r="BK92" i="1"/>
  <c r="BJ92" i="1"/>
  <c r="BI92" i="1"/>
  <c r="BE92" i="1"/>
  <c r="BD92" i="1"/>
  <c r="BC92" i="1"/>
  <c r="BB92" i="1"/>
  <c r="BA92" i="1"/>
  <c r="AW92" i="1"/>
  <c r="AV92" i="1"/>
  <c r="AT92" i="1"/>
  <c r="AS92" i="1"/>
  <c r="AP92" i="1"/>
  <c r="AN92" i="1"/>
  <c r="AM92" i="1"/>
  <c r="AK92" i="1" s="1"/>
  <c r="AF92" i="1"/>
  <c r="AD92" i="1"/>
  <c r="AC92" i="1"/>
  <c r="AB92" i="1"/>
  <c r="AA92" i="1"/>
  <c r="Z92" i="1"/>
  <c r="Y92" i="1"/>
  <c r="AE92" i="1" s="1"/>
  <c r="T92" i="1"/>
  <c r="M92" i="1"/>
  <c r="L92" i="1"/>
  <c r="BN92" i="1" s="1"/>
  <c r="BL91" i="1"/>
  <c r="BK91" i="1"/>
  <c r="BJ91" i="1"/>
  <c r="BI91" i="1"/>
  <c r="BE91" i="1"/>
  <c r="BD91" i="1"/>
  <c r="BC91" i="1"/>
  <c r="BB91" i="1"/>
  <c r="BA91" i="1"/>
  <c r="AW91" i="1"/>
  <c r="AV91" i="1"/>
  <c r="AT91" i="1"/>
  <c r="AS91" i="1"/>
  <c r="AP91" i="1"/>
  <c r="AO91" i="1"/>
  <c r="AN91" i="1"/>
  <c r="AK91" i="1"/>
  <c r="AF91" i="1"/>
  <c r="AD91" i="1"/>
  <c r="AC91" i="1"/>
  <c r="AB91" i="1"/>
  <c r="AA91" i="1"/>
  <c r="Z91" i="1"/>
  <c r="BO91" i="1" s="1"/>
  <c r="BP91" i="1" s="1"/>
  <c r="Y91" i="1"/>
  <c r="T91" i="1"/>
  <c r="S91" i="1"/>
  <c r="AE91" i="1" s="1"/>
  <c r="L91" i="1"/>
  <c r="BN91" i="1" s="1"/>
  <c r="BL90" i="1"/>
  <c r="BK90" i="1"/>
  <c r="BJ90" i="1"/>
  <c r="BI90" i="1"/>
  <c r="BE90" i="1"/>
  <c r="BD90" i="1"/>
  <c r="BC90" i="1"/>
  <c r="BB90" i="1"/>
  <c r="BA90" i="1"/>
  <c r="AW90" i="1"/>
  <c r="AV90" i="1"/>
  <c r="AT90" i="1"/>
  <c r="AS90" i="1" s="1"/>
  <c r="AP90" i="1"/>
  <c r="AO90" i="1"/>
  <c r="AN90" i="1"/>
  <c r="AK90" i="1"/>
  <c r="AF90" i="1"/>
  <c r="AE90" i="1"/>
  <c r="AD90" i="1"/>
  <c r="AC90" i="1"/>
  <c r="AA90" i="1"/>
  <c r="Z90" i="1"/>
  <c r="Y90" i="1"/>
  <c r="T90" i="1"/>
  <c r="M90" i="1"/>
  <c r="L90" i="1" s="1"/>
  <c r="BN90" i="1" s="1"/>
  <c r="BL89" i="1"/>
  <c r="BK89" i="1"/>
  <c r="BJ89" i="1"/>
  <c r="BI89" i="1" s="1"/>
  <c r="BE89" i="1"/>
  <c r="BD89" i="1"/>
  <c r="BC89" i="1"/>
  <c r="BB89" i="1"/>
  <c r="BA89" i="1" s="1"/>
  <c r="AW89" i="1"/>
  <c r="AV89" i="1"/>
  <c r="AT89" i="1"/>
  <c r="AS89" i="1"/>
  <c r="AP89" i="1"/>
  <c r="AO89" i="1"/>
  <c r="AN89" i="1"/>
  <c r="AK89" i="1"/>
  <c r="AF89" i="1"/>
  <c r="AD89" i="1"/>
  <c r="AC89" i="1"/>
  <c r="AB89" i="1"/>
  <c r="AA89" i="1"/>
  <c r="Z89" i="1"/>
  <c r="Y89" i="1"/>
  <c r="AE89" i="1" s="1"/>
  <c r="T89" i="1"/>
  <c r="L89" i="1"/>
  <c r="BN89" i="1" s="1"/>
  <c r="BJ88" i="1"/>
  <c r="BI88" i="1" s="1"/>
  <c r="BO88" i="1" s="1"/>
  <c r="BE88" i="1"/>
  <c r="BA88" i="1"/>
  <c r="AW88" i="1"/>
  <c r="AS88" i="1"/>
  <c r="AK88" i="1"/>
  <c r="AF88" i="1"/>
  <c r="AE88" i="1"/>
  <c r="AA88" i="1"/>
  <c r="Z88" i="1"/>
  <c r="T88" i="1"/>
  <c r="L88" i="1"/>
  <c r="BN88" i="1" s="1"/>
  <c r="BJ87" i="1"/>
  <c r="BI87" i="1"/>
  <c r="BE87" i="1"/>
  <c r="BA87" i="1"/>
  <c r="AW87" i="1"/>
  <c r="AS87" i="1"/>
  <c r="AP87" i="1"/>
  <c r="AL87" i="1"/>
  <c r="AK87" i="1" s="1"/>
  <c r="AF87" i="1"/>
  <c r="AE87" i="1"/>
  <c r="T87" i="1"/>
  <c r="M87" i="1"/>
  <c r="AA87" i="1" s="1"/>
  <c r="Z87" i="1" s="1"/>
  <c r="BO87" i="1" s="1"/>
  <c r="BN86" i="1"/>
  <c r="BJ86" i="1"/>
  <c r="BI86" i="1" s="1"/>
  <c r="BE86" i="1"/>
  <c r="BA86" i="1"/>
  <c r="AW86" i="1"/>
  <c r="AS86" i="1"/>
  <c r="AP86" i="1"/>
  <c r="AK86" i="1"/>
  <c r="AF86" i="1"/>
  <c r="AE86" i="1"/>
  <c r="AA86" i="1"/>
  <c r="Z86" i="1"/>
  <c r="T86" i="1"/>
  <c r="L86" i="1"/>
  <c r="BJ85" i="1"/>
  <c r="BI85" i="1"/>
  <c r="BE85" i="1"/>
  <c r="BA85" i="1"/>
  <c r="AW85" i="1"/>
  <c r="AS85" i="1"/>
  <c r="AP85" i="1"/>
  <c r="AK85" i="1"/>
  <c r="AF85" i="1"/>
  <c r="Z85" i="1"/>
  <c r="BO85" i="1" s="1"/>
  <c r="T85" i="1"/>
  <c r="L85" i="1"/>
  <c r="BN85" i="1" s="1"/>
  <c r="BM84" i="1"/>
  <c r="BJ84" i="1"/>
  <c r="BI84" i="1" s="1"/>
  <c r="BE84" i="1"/>
  <c r="BA84" i="1"/>
  <c r="AW84" i="1"/>
  <c r="AS84" i="1"/>
  <c r="AP84" i="1"/>
  <c r="AL84" i="1"/>
  <c r="AK84" i="1"/>
  <c r="AF84" i="1"/>
  <c r="AE84" i="1"/>
  <c r="AA84" i="1"/>
  <c r="Z84" i="1" s="1"/>
  <c r="BO84" i="1" s="1"/>
  <c r="BP84" i="1" s="1"/>
  <c r="T84" i="1"/>
  <c r="L84" i="1"/>
  <c r="BN84" i="1" s="1"/>
  <c r="BJ83" i="1"/>
  <c r="BI83" i="1"/>
  <c r="BE83" i="1"/>
  <c r="BA83" i="1"/>
  <c r="AW83" i="1"/>
  <c r="BM83" i="1" s="1"/>
  <c r="AS83" i="1"/>
  <c r="AP83" i="1"/>
  <c r="AK83" i="1"/>
  <c r="AF83" i="1"/>
  <c r="AD83" i="1"/>
  <c r="AC83" i="1"/>
  <c r="AB83" i="1"/>
  <c r="AA83" i="1"/>
  <c r="Z83" i="1"/>
  <c r="Y83" i="1"/>
  <c r="AE83" i="1" s="1"/>
  <c r="T83" i="1"/>
  <c r="L83" i="1"/>
  <c r="BN83" i="1" s="1"/>
  <c r="BJ82" i="1"/>
  <c r="BI82" i="1" s="1"/>
  <c r="BE82" i="1"/>
  <c r="BA82" i="1"/>
  <c r="AW82" i="1"/>
  <c r="BM82" i="1" s="1"/>
  <c r="BO82" i="1" s="1"/>
  <c r="AT82" i="1"/>
  <c r="AS82" i="1"/>
  <c r="AP82" i="1"/>
  <c r="AD82" i="1"/>
  <c r="AC82" i="1"/>
  <c r="AB82" i="1"/>
  <c r="AA82" i="1"/>
  <c r="Z82" i="1"/>
  <c r="Y82" i="1"/>
  <c r="AE82" i="1" s="1"/>
  <c r="T82" i="1"/>
  <c r="L82" i="1"/>
  <c r="J82" i="1"/>
  <c r="BL81" i="1"/>
  <c r="BK81" i="1"/>
  <c r="BJ81" i="1"/>
  <c r="BI81" i="1"/>
  <c r="BE81" i="1"/>
  <c r="BA81" i="1"/>
  <c r="AW81" i="1"/>
  <c r="BM81" i="1" s="1"/>
  <c r="BO81" i="1" s="1"/>
  <c r="AS81" i="1"/>
  <c r="AP81" i="1"/>
  <c r="AK81" i="1"/>
  <c r="AF81" i="1"/>
  <c r="AE81" i="1"/>
  <c r="AD81" i="1"/>
  <c r="AC81" i="1"/>
  <c r="AB81" i="1"/>
  <c r="AA81" i="1"/>
  <c r="Z81" i="1"/>
  <c r="T81" i="1"/>
  <c r="L81" i="1"/>
  <c r="BN81" i="1" s="1"/>
  <c r="BL80" i="1"/>
  <c r="BM80" i="1" s="1"/>
  <c r="BK80" i="1"/>
  <c r="BJ80" i="1"/>
  <c r="BI80" i="1"/>
  <c r="BE80" i="1"/>
  <c r="BA80" i="1"/>
  <c r="AW80" i="1"/>
  <c r="AS80" i="1"/>
  <c r="AP80" i="1"/>
  <c r="AK80" i="1"/>
  <c r="AF80" i="1"/>
  <c r="AD80" i="1"/>
  <c r="AC80" i="1"/>
  <c r="AB80" i="1"/>
  <c r="AA80" i="1"/>
  <c r="Z80" i="1"/>
  <c r="BO80" i="1" s="1"/>
  <c r="Y80" i="1"/>
  <c r="AE80" i="1" s="1"/>
  <c r="T80" i="1"/>
  <c r="L80" i="1"/>
  <c r="BL79" i="1"/>
  <c r="BM79" i="1" s="1"/>
  <c r="BN79" i="1" s="1"/>
  <c r="BK79" i="1"/>
  <c r="BJ79" i="1"/>
  <c r="BI79" i="1"/>
  <c r="BE79" i="1"/>
  <c r="BD79" i="1"/>
  <c r="BC79" i="1"/>
  <c r="BB79" i="1"/>
  <c r="BA79" i="1" s="1"/>
  <c r="AW79" i="1"/>
  <c r="AV79" i="1"/>
  <c r="AT79" i="1"/>
  <c r="AS79" i="1"/>
  <c r="AP79" i="1"/>
  <c r="AK79" i="1"/>
  <c r="AF79" i="1"/>
  <c r="AE79" i="1"/>
  <c r="AD79" i="1"/>
  <c r="AC79" i="1"/>
  <c r="AB79" i="1"/>
  <c r="AA79" i="1"/>
  <c r="Z79" i="1" s="1"/>
  <c r="BO79" i="1" s="1"/>
  <c r="BP79" i="1" s="1"/>
  <c r="T79" i="1"/>
  <c r="L79" i="1"/>
  <c r="BL78" i="1"/>
  <c r="BM78" i="1" s="1"/>
  <c r="BK78" i="1"/>
  <c r="BJ78" i="1"/>
  <c r="BI78" i="1"/>
  <c r="BE78" i="1"/>
  <c r="BD78" i="1"/>
  <c r="BC78" i="1"/>
  <c r="BB78" i="1"/>
  <c r="BA78" i="1"/>
  <c r="AW78" i="1"/>
  <c r="AV78" i="1"/>
  <c r="AT78" i="1"/>
  <c r="AS78" i="1"/>
  <c r="AP78" i="1"/>
  <c r="AK78" i="1"/>
  <c r="AF78" i="1"/>
  <c r="AE78" i="1"/>
  <c r="AD78" i="1"/>
  <c r="AC78" i="1"/>
  <c r="AB78" i="1"/>
  <c r="AA78" i="1"/>
  <c r="Z78" i="1" s="1"/>
  <c r="BO78" i="1" s="1"/>
  <c r="T78" i="1"/>
  <c r="L78" i="1"/>
  <c r="BN78" i="1" s="1"/>
  <c r="BL77" i="1"/>
  <c r="BK77" i="1"/>
  <c r="BJ77" i="1"/>
  <c r="BI77" i="1" s="1"/>
  <c r="BE77" i="1"/>
  <c r="BD77" i="1"/>
  <c r="BC77" i="1"/>
  <c r="BB77" i="1"/>
  <c r="BA77" i="1"/>
  <c r="AW77" i="1"/>
  <c r="AV77" i="1"/>
  <c r="AT77" i="1"/>
  <c r="AS77" i="1" s="1"/>
  <c r="AP77" i="1"/>
  <c r="AO77" i="1"/>
  <c r="BM77" i="1" s="1"/>
  <c r="AN77" i="1"/>
  <c r="AM77" i="1"/>
  <c r="AK77" i="1" s="1"/>
  <c r="AF77" i="1"/>
  <c r="AD77" i="1"/>
  <c r="AC77" i="1"/>
  <c r="AB77" i="1"/>
  <c r="AA77" i="1"/>
  <c r="Z77" i="1" s="1"/>
  <c r="Y77" i="1"/>
  <c r="AE77" i="1" s="1"/>
  <c r="T77" i="1"/>
  <c r="L77" i="1"/>
  <c r="BN77" i="1" s="1"/>
  <c r="BJ76" i="1"/>
  <c r="BI76" i="1"/>
  <c r="BE76" i="1"/>
  <c r="BB76" i="1"/>
  <c r="BA76" i="1"/>
  <c r="AW76" i="1"/>
  <c r="AS76" i="1"/>
  <c r="AP76" i="1"/>
  <c r="AK76" i="1"/>
  <c r="AF76" i="1"/>
  <c r="AD76" i="1"/>
  <c r="AC76" i="1"/>
  <c r="AB76" i="1"/>
  <c r="AA76" i="1"/>
  <c r="Z76" i="1" s="1"/>
  <c r="BO76" i="1" s="1"/>
  <c r="Y76" i="1"/>
  <c r="AE76" i="1" s="1"/>
  <c r="T76" i="1"/>
  <c r="L76" i="1"/>
  <c r="BN76" i="1" s="1"/>
  <c r="BL75" i="1"/>
  <c r="BK75" i="1"/>
  <c r="BJ75" i="1"/>
  <c r="BI75" i="1"/>
  <c r="BE75" i="1"/>
  <c r="BD75" i="1"/>
  <c r="BM75" i="1" s="1"/>
  <c r="BC75" i="1"/>
  <c r="BB75" i="1"/>
  <c r="BA75" i="1"/>
  <c r="AW75" i="1"/>
  <c r="AV75" i="1"/>
  <c r="AS75" i="1"/>
  <c r="AP75" i="1"/>
  <c r="AK75" i="1"/>
  <c r="AF75" i="1"/>
  <c r="AD75" i="1"/>
  <c r="AC75" i="1"/>
  <c r="AB75" i="1"/>
  <c r="Y75" i="1"/>
  <c r="AE75" i="1" s="1"/>
  <c r="T75" i="1"/>
  <c r="M75" i="1"/>
  <c r="L75" i="1" s="1"/>
  <c r="BL74" i="1"/>
  <c r="BM74" i="1" s="1"/>
  <c r="BK74" i="1"/>
  <c r="BJ74" i="1"/>
  <c r="BI74" i="1"/>
  <c r="BE74" i="1"/>
  <c r="BD74" i="1"/>
  <c r="BC74" i="1"/>
  <c r="BB74" i="1"/>
  <c r="BA74" i="1"/>
  <c r="AW74" i="1"/>
  <c r="AT74" i="1"/>
  <c r="AS74" i="1" s="1"/>
  <c r="AP74" i="1"/>
  <c r="AK74" i="1"/>
  <c r="AF74" i="1"/>
  <c r="AE74" i="1"/>
  <c r="AA74" i="1"/>
  <c r="Z74" i="1" s="1"/>
  <c r="T74" i="1"/>
  <c r="M74" i="1"/>
  <c r="L74" i="1"/>
  <c r="BL73" i="1"/>
  <c r="BK73" i="1"/>
  <c r="BJ73" i="1"/>
  <c r="BI73" i="1" s="1"/>
  <c r="BE73" i="1"/>
  <c r="BD73" i="1"/>
  <c r="BC73" i="1"/>
  <c r="BB73" i="1"/>
  <c r="BA73" i="1"/>
  <c r="AW73" i="1"/>
  <c r="BM73" i="1" s="1"/>
  <c r="AV73" i="1"/>
  <c r="AT73" i="1"/>
  <c r="AS73" i="1" s="1"/>
  <c r="AP73" i="1"/>
  <c r="AK73" i="1"/>
  <c r="AF73" i="1"/>
  <c r="AE73" i="1"/>
  <c r="U73" i="1"/>
  <c r="T73" i="1"/>
  <c r="M73" i="1"/>
  <c r="AA73" i="1" s="1"/>
  <c r="Z73" i="1" s="1"/>
  <c r="BM72" i="1"/>
  <c r="BJ72" i="1"/>
  <c r="BI72" i="1" s="1"/>
  <c r="BE72" i="1"/>
  <c r="BB72" i="1"/>
  <c r="BA72" i="1"/>
  <c r="AW72" i="1"/>
  <c r="AT72" i="1"/>
  <c r="AS72" i="1" s="1"/>
  <c r="AP72" i="1"/>
  <c r="AK72" i="1"/>
  <c r="AF72" i="1"/>
  <c r="BN72" i="1" s="1"/>
  <c r="AE72" i="1"/>
  <c r="AA72" i="1"/>
  <c r="Z72" i="1" s="1"/>
  <c r="T72" i="1"/>
  <c r="L72" i="1"/>
  <c r="BJ71" i="1"/>
  <c r="BI71" i="1"/>
  <c r="BE71" i="1"/>
  <c r="BB71" i="1"/>
  <c r="BA71" i="1"/>
  <c r="AW71" i="1"/>
  <c r="AT71" i="1"/>
  <c r="AS71" i="1" s="1"/>
  <c r="AP71" i="1"/>
  <c r="AL71" i="1"/>
  <c r="AK71" i="1"/>
  <c r="AF71" i="1"/>
  <c r="AE71" i="1"/>
  <c r="T71" i="1"/>
  <c r="M71" i="1"/>
  <c r="BM70" i="1"/>
  <c r="BJ70" i="1"/>
  <c r="BI70" i="1"/>
  <c r="BE70" i="1"/>
  <c r="BB70" i="1"/>
  <c r="BA70" i="1" s="1"/>
  <c r="AW70" i="1"/>
  <c r="AS70" i="1"/>
  <c r="AP70" i="1"/>
  <c r="AK70" i="1"/>
  <c r="AF70" i="1"/>
  <c r="AE70" i="1"/>
  <c r="AA70" i="1"/>
  <c r="Z70" i="1" s="1"/>
  <c r="T70" i="1"/>
  <c r="L70" i="1"/>
  <c r="BN70" i="1" s="1"/>
  <c r="BJ69" i="1"/>
  <c r="BI69" i="1" s="1"/>
  <c r="BE69" i="1"/>
  <c r="BB69" i="1"/>
  <c r="BA69" i="1" s="1"/>
  <c r="AW69" i="1"/>
  <c r="AS69" i="1"/>
  <c r="AP69" i="1"/>
  <c r="AL69" i="1"/>
  <c r="AK69" i="1"/>
  <c r="AF69" i="1"/>
  <c r="AE69" i="1"/>
  <c r="AA69" i="1"/>
  <c r="Z69" i="1" s="1"/>
  <c r="T69" i="1"/>
  <c r="L69" i="1"/>
  <c r="BN69" i="1" s="1"/>
  <c r="BM68" i="1"/>
  <c r="BJ68" i="1"/>
  <c r="BI68" i="1"/>
  <c r="BE68" i="1"/>
  <c r="BB68" i="1"/>
  <c r="BA68" i="1"/>
  <c r="AW68" i="1"/>
  <c r="AS68" i="1"/>
  <c r="AP68" i="1"/>
  <c r="AK68" i="1"/>
  <c r="AF68" i="1"/>
  <c r="AE68" i="1"/>
  <c r="AA68" i="1"/>
  <c r="Z68" i="1" s="1"/>
  <c r="BO68" i="1" s="1"/>
  <c r="T68" i="1"/>
  <c r="L68" i="1"/>
  <c r="BN68" i="1" s="1"/>
  <c r="BM67" i="1"/>
  <c r="BJ67" i="1"/>
  <c r="BI67" i="1" s="1"/>
  <c r="BE67" i="1"/>
  <c r="BB67" i="1"/>
  <c r="BA67" i="1"/>
  <c r="AW67" i="1"/>
  <c r="AT67" i="1"/>
  <c r="AS67" i="1" s="1"/>
  <c r="AP67" i="1"/>
  <c r="AK67" i="1"/>
  <c r="AF67" i="1"/>
  <c r="BN67" i="1" s="1"/>
  <c r="AE67" i="1"/>
  <c r="AA67" i="1"/>
  <c r="Z67" i="1" s="1"/>
  <c r="BO67" i="1" s="1"/>
  <c r="BP67" i="1" s="1"/>
  <c r="T67" i="1"/>
  <c r="L67" i="1"/>
  <c r="BL66" i="1"/>
  <c r="BK66" i="1"/>
  <c r="BJ66" i="1"/>
  <c r="BI66" i="1" s="1"/>
  <c r="BE66" i="1"/>
  <c r="BD66" i="1"/>
  <c r="BC66" i="1"/>
  <c r="BB66" i="1"/>
  <c r="BA66" i="1" s="1"/>
  <c r="AW66" i="1"/>
  <c r="AV66" i="1"/>
  <c r="AT66" i="1"/>
  <c r="AS66" i="1" s="1"/>
  <c r="AP66" i="1"/>
  <c r="AK66" i="1"/>
  <c r="AF66" i="1"/>
  <c r="AE66" i="1"/>
  <c r="AA66" i="1"/>
  <c r="Z66" i="1" s="1"/>
  <c r="Y66" i="1"/>
  <c r="T66" i="1"/>
  <c r="L66" i="1"/>
  <c r="BN66" i="1" s="1"/>
  <c r="BL65" i="1"/>
  <c r="BK65" i="1"/>
  <c r="BJ65" i="1"/>
  <c r="BI65" i="1"/>
  <c r="BE65" i="1"/>
  <c r="BD65" i="1"/>
  <c r="BC65" i="1"/>
  <c r="BB65" i="1"/>
  <c r="BA65" i="1"/>
  <c r="AW65" i="1"/>
  <c r="AV65" i="1"/>
  <c r="AT65" i="1"/>
  <c r="AS65" i="1" s="1"/>
  <c r="AP65" i="1"/>
  <c r="AO65" i="1"/>
  <c r="AN65" i="1"/>
  <c r="AM65" i="1"/>
  <c r="AK65" i="1" s="1"/>
  <c r="AF65" i="1"/>
  <c r="AD65" i="1"/>
  <c r="AC65" i="1"/>
  <c r="AB65" i="1"/>
  <c r="Y65" i="1"/>
  <c r="AE65" i="1" s="1"/>
  <c r="T65" i="1"/>
  <c r="M65" i="1"/>
  <c r="L65" i="1" s="1"/>
  <c r="BM64" i="1"/>
  <c r="BL64" i="1"/>
  <c r="BK64" i="1"/>
  <c r="BJ64" i="1"/>
  <c r="BI64" i="1" s="1"/>
  <c r="BE64" i="1"/>
  <c r="BD64" i="1"/>
  <c r="BC64" i="1"/>
  <c r="BB64" i="1"/>
  <c r="BA64" i="1" s="1"/>
  <c r="AW64" i="1"/>
  <c r="AV64" i="1"/>
  <c r="AT64" i="1"/>
  <c r="AS64" i="1" s="1"/>
  <c r="AP64" i="1"/>
  <c r="AO64" i="1"/>
  <c r="AN64" i="1"/>
  <c r="AM64" i="1"/>
  <c r="AK64" i="1" s="1"/>
  <c r="AF64" i="1"/>
  <c r="BN64" i="1" s="1"/>
  <c r="AD64" i="1"/>
  <c r="AC64" i="1"/>
  <c r="AB64" i="1"/>
  <c r="AA64" i="1"/>
  <c r="Z64" i="1" s="1"/>
  <c r="Y64" i="1"/>
  <c r="AE64" i="1" s="1"/>
  <c r="T64" i="1"/>
  <c r="L64" i="1"/>
  <c r="BL63" i="1"/>
  <c r="BK63" i="1"/>
  <c r="BJ63" i="1"/>
  <c r="BI63" i="1" s="1"/>
  <c r="BE63" i="1"/>
  <c r="BD63" i="1"/>
  <c r="BC63" i="1"/>
  <c r="BB63" i="1"/>
  <c r="BA63" i="1" s="1"/>
  <c r="AW63" i="1"/>
  <c r="BN63" i="1" s="1"/>
  <c r="AT63" i="1"/>
  <c r="AS63" i="1"/>
  <c r="AP63" i="1"/>
  <c r="AK63" i="1"/>
  <c r="AF63" i="1"/>
  <c r="AE63" i="1"/>
  <c r="AA63" i="1"/>
  <c r="Z63" i="1" s="1"/>
  <c r="BO63" i="1" s="1"/>
  <c r="BP63" i="1" s="1"/>
  <c r="T63" i="1"/>
  <c r="L63" i="1"/>
  <c r="BL62" i="1"/>
  <c r="BK62" i="1"/>
  <c r="BJ62" i="1"/>
  <c r="BI62" i="1"/>
  <c r="BE62" i="1"/>
  <c r="BD62" i="1"/>
  <c r="BC62" i="1"/>
  <c r="BB62" i="1"/>
  <c r="BA62" i="1" s="1"/>
  <c r="AW62" i="1"/>
  <c r="AV62" i="1"/>
  <c r="AT62" i="1"/>
  <c r="AS62" i="1"/>
  <c r="AP62" i="1"/>
  <c r="AO62" i="1"/>
  <c r="AN62" i="1"/>
  <c r="AK62" i="1"/>
  <c r="AF62" i="1"/>
  <c r="AD62" i="1"/>
  <c r="AC62" i="1"/>
  <c r="AB62" i="1"/>
  <c r="AA62" i="1"/>
  <c r="Z62" i="1" s="1"/>
  <c r="BO62" i="1" s="1"/>
  <c r="Y62" i="1"/>
  <c r="AE62" i="1" s="1"/>
  <c r="T62" i="1"/>
  <c r="S62" i="1"/>
  <c r="M62" i="1"/>
  <c r="L62" i="1" s="1"/>
  <c r="J62" i="1"/>
  <c r="BJ61" i="1"/>
  <c r="BI61" i="1"/>
  <c r="BE61" i="1"/>
  <c r="BD61" i="1"/>
  <c r="BC61" i="1"/>
  <c r="BA61" i="1"/>
  <c r="AW61" i="1"/>
  <c r="AS61" i="1"/>
  <c r="AP61" i="1"/>
  <c r="AK61" i="1"/>
  <c r="AF61" i="1"/>
  <c r="AA61" i="1"/>
  <c r="Z61" i="1"/>
  <c r="BO61" i="1" s="1"/>
  <c r="BP61" i="1" s="1"/>
  <c r="Y61" i="1"/>
  <c r="AE61" i="1" s="1"/>
  <c r="T61" i="1"/>
  <c r="L61" i="1"/>
  <c r="BN61" i="1" s="1"/>
  <c r="BL60" i="1"/>
  <c r="BK60" i="1"/>
  <c r="BJ60" i="1"/>
  <c r="BI60" i="1" s="1"/>
  <c r="BE60" i="1"/>
  <c r="BD60" i="1"/>
  <c r="BC60" i="1"/>
  <c r="BA60" i="1"/>
  <c r="AW60" i="1"/>
  <c r="AV60" i="1"/>
  <c r="AT60" i="1"/>
  <c r="AS60" i="1" s="1"/>
  <c r="AP60" i="1"/>
  <c r="AO60" i="1"/>
  <c r="AN60" i="1"/>
  <c r="AK60" i="1"/>
  <c r="AF60" i="1"/>
  <c r="AE60" i="1"/>
  <c r="AD60" i="1"/>
  <c r="AC60" i="1"/>
  <c r="AB60" i="1"/>
  <c r="AA60" i="1"/>
  <c r="Z60" i="1"/>
  <c r="Y60" i="1"/>
  <c r="T60" i="1"/>
  <c r="S60" i="1"/>
  <c r="L60" i="1"/>
  <c r="BN60" i="1" s="1"/>
  <c r="BN59" i="1"/>
  <c r="BJ59" i="1"/>
  <c r="BI59" i="1"/>
  <c r="BE59" i="1"/>
  <c r="BA59" i="1"/>
  <c r="AW59" i="1"/>
  <c r="AS59" i="1"/>
  <c r="AP59" i="1"/>
  <c r="AK59" i="1"/>
  <c r="AF59" i="1"/>
  <c r="AE59" i="1"/>
  <c r="T59" i="1"/>
  <c r="M59" i="1"/>
  <c r="L59" i="1" s="1"/>
  <c r="BL58" i="1"/>
  <c r="BK58" i="1"/>
  <c r="BJ58" i="1"/>
  <c r="BI58" i="1" s="1"/>
  <c r="BE58" i="1"/>
  <c r="BD58" i="1"/>
  <c r="BC58" i="1"/>
  <c r="BA58" i="1"/>
  <c r="AW58" i="1"/>
  <c r="AV58" i="1"/>
  <c r="AS58" i="1"/>
  <c r="AP58" i="1"/>
  <c r="AO58" i="1"/>
  <c r="AN58" i="1"/>
  <c r="AL58" i="1"/>
  <c r="AK58" i="1" s="1"/>
  <c r="AF58" i="1"/>
  <c r="AE58" i="1"/>
  <c r="AD58" i="1"/>
  <c r="AC58" i="1"/>
  <c r="AB58" i="1"/>
  <c r="Y58" i="1"/>
  <c r="T58" i="1"/>
  <c r="S58" i="1"/>
  <c r="S124" i="1" s="1"/>
  <c r="M58" i="1"/>
  <c r="AA58" i="1" s="1"/>
  <c r="Z58" i="1" s="1"/>
  <c r="BO58" i="1" s="1"/>
  <c r="BL57" i="1"/>
  <c r="BK57" i="1"/>
  <c r="BJ57" i="1"/>
  <c r="BI57" i="1"/>
  <c r="BE57" i="1"/>
  <c r="BD57" i="1"/>
  <c r="BC57" i="1"/>
  <c r="BA57" i="1"/>
  <c r="AW57" i="1"/>
  <c r="AV57" i="1"/>
  <c r="AT57" i="1"/>
  <c r="AS57" i="1" s="1"/>
  <c r="BO57" i="1" s="1"/>
  <c r="BP57" i="1" s="1"/>
  <c r="AP57" i="1"/>
  <c r="AK57" i="1"/>
  <c r="AF57" i="1"/>
  <c r="AE57" i="1"/>
  <c r="AA57" i="1"/>
  <c r="Z57" i="1"/>
  <c r="T57" i="1"/>
  <c r="L57" i="1"/>
  <c r="BN57" i="1" s="1"/>
  <c r="BL56" i="1"/>
  <c r="BK56" i="1"/>
  <c r="BJ56" i="1"/>
  <c r="BI56" i="1" s="1"/>
  <c r="BE56" i="1"/>
  <c r="BD56" i="1"/>
  <c r="BC56" i="1"/>
  <c r="BB56" i="1"/>
  <c r="BA56" i="1"/>
  <c r="AW56" i="1"/>
  <c r="AV56" i="1"/>
  <c r="AT56" i="1"/>
  <c r="AS56" i="1" s="1"/>
  <c r="AP56" i="1"/>
  <c r="AO56" i="1"/>
  <c r="AN56" i="1"/>
  <c r="AK56" i="1"/>
  <c r="AF56" i="1"/>
  <c r="AE56" i="1"/>
  <c r="AD56" i="1"/>
  <c r="AC56" i="1"/>
  <c r="AB56" i="1"/>
  <c r="Y56" i="1"/>
  <c r="T56" i="1"/>
  <c r="M56" i="1"/>
  <c r="L56" i="1" s="1"/>
  <c r="BN56" i="1" s="1"/>
  <c r="BI55" i="1"/>
  <c r="BA55" i="1"/>
  <c r="AW55" i="1"/>
  <c r="AS55" i="1"/>
  <c r="AP55" i="1"/>
  <c r="AK55" i="1"/>
  <c r="AF55" i="1"/>
  <c r="AE55" i="1"/>
  <c r="AA55" i="1"/>
  <c r="Z55" i="1"/>
  <c r="BO55" i="1" s="1"/>
  <c r="T55" i="1"/>
  <c r="L55" i="1"/>
  <c r="BI54" i="1"/>
  <c r="BA54" i="1"/>
  <c r="AW54" i="1"/>
  <c r="AS54" i="1"/>
  <c r="AP54" i="1"/>
  <c r="AK54" i="1"/>
  <c r="AF54" i="1"/>
  <c r="AE54" i="1"/>
  <c r="AA54" i="1"/>
  <c r="Z54" i="1" s="1"/>
  <c r="T54" i="1"/>
  <c r="M54" i="1"/>
  <c r="L54" i="1" s="1"/>
  <c r="BN54" i="1" s="1"/>
  <c r="BN53" i="1"/>
  <c r="BI53" i="1"/>
  <c r="BE53" i="1"/>
  <c r="BA53" i="1"/>
  <c r="AW53" i="1"/>
  <c r="AS53" i="1"/>
  <c r="AP53" i="1"/>
  <c r="AK53" i="1"/>
  <c r="AF53" i="1"/>
  <c r="AE53" i="1"/>
  <c r="AA53" i="1"/>
  <c r="Z53" i="1" s="1"/>
  <c r="BO53" i="1" s="1"/>
  <c r="BP53" i="1" s="1"/>
  <c r="T53" i="1"/>
  <c r="L53" i="1"/>
  <c r="BJ52" i="1"/>
  <c r="BI52" i="1" s="1"/>
  <c r="BE52" i="1"/>
  <c r="BA52" i="1"/>
  <c r="AW52" i="1"/>
  <c r="AS52" i="1"/>
  <c r="AP52" i="1"/>
  <c r="AK52" i="1"/>
  <c r="AF52" i="1"/>
  <c r="AE52" i="1"/>
  <c r="AA52" i="1"/>
  <c r="Z52" i="1"/>
  <c r="T52" i="1"/>
  <c r="L52" i="1"/>
  <c r="BN52" i="1" s="1"/>
  <c r="BJ51" i="1"/>
  <c r="BI51" i="1" s="1"/>
  <c r="BE51" i="1"/>
  <c r="BA51" i="1"/>
  <c r="AW51" i="1"/>
  <c r="AS51" i="1"/>
  <c r="AP51" i="1"/>
  <c r="AK51" i="1"/>
  <c r="AF51" i="1"/>
  <c r="AE51" i="1"/>
  <c r="AA51" i="1"/>
  <c r="Z51" i="1" s="1"/>
  <c r="T51" i="1"/>
  <c r="L51" i="1"/>
  <c r="BN51" i="1" s="1"/>
  <c r="BI50" i="1"/>
  <c r="BE50" i="1"/>
  <c r="BA50" i="1"/>
  <c r="AW50" i="1"/>
  <c r="AS50" i="1"/>
  <c r="AP50" i="1"/>
  <c r="AK50" i="1"/>
  <c r="AF50" i="1"/>
  <c r="AE50" i="1"/>
  <c r="AA50" i="1"/>
  <c r="Z50" i="1" s="1"/>
  <c r="BO50" i="1" s="1"/>
  <c r="T50" i="1"/>
  <c r="L50" i="1"/>
  <c r="BI49" i="1"/>
  <c r="BE49" i="1"/>
  <c r="BA49" i="1"/>
  <c r="AW49" i="1"/>
  <c r="AS49" i="1"/>
  <c r="AP49" i="1"/>
  <c r="AK49" i="1"/>
  <c r="AF49" i="1"/>
  <c r="AE49" i="1"/>
  <c r="AA49" i="1"/>
  <c r="Z49" i="1"/>
  <c r="BO49" i="1" s="1"/>
  <c r="T49" i="1"/>
  <c r="L49" i="1"/>
  <c r="BN49" i="1" s="1"/>
  <c r="BN48" i="1"/>
  <c r="BJ48" i="1"/>
  <c r="BI48" i="1"/>
  <c r="BE48" i="1"/>
  <c r="BA48" i="1"/>
  <c r="AW48" i="1"/>
  <c r="AS48" i="1"/>
  <c r="AP48" i="1"/>
  <c r="AK48" i="1"/>
  <c r="AF48" i="1"/>
  <c r="AE48" i="1"/>
  <c r="AA48" i="1"/>
  <c r="Z48" i="1"/>
  <c r="BO48" i="1" s="1"/>
  <c r="BP48" i="1" s="1"/>
  <c r="T48" i="1"/>
  <c r="L48" i="1"/>
  <c r="BJ47" i="1"/>
  <c r="BI47" i="1"/>
  <c r="BE47" i="1"/>
  <c r="BA47" i="1"/>
  <c r="AW47" i="1"/>
  <c r="AS47" i="1"/>
  <c r="AP47" i="1"/>
  <c r="AK47" i="1"/>
  <c r="AF47" i="1"/>
  <c r="AE47" i="1"/>
  <c r="AA47" i="1"/>
  <c r="Z47" i="1"/>
  <c r="BO47" i="1" s="1"/>
  <c r="T47" i="1"/>
  <c r="L47" i="1"/>
  <c r="BJ46" i="1"/>
  <c r="BI46" i="1"/>
  <c r="BE46" i="1"/>
  <c r="BA46" i="1"/>
  <c r="AW46" i="1"/>
  <c r="AS46" i="1"/>
  <c r="AP46" i="1"/>
  <c r="AK46" i="1"/>
  <c r="AF46" i="1"/>
  <c r="AE46" i="1"/>
  <c r="AA46" i="1"/>
  <c r="Z46" i="1" s="1"/>
  <c r="T46" i="1"/>
  <c r="L46" i="1"/>
  <c r="J46" i="1"/>
  <c r="BN46" i="1" s="1"/>
  <c r="BJ45" i="1"/>
  <c r="BI45" i="1"/>
  <c r="BE45" i="1"/>
  <c r="BA45" i="1"/>
  <c r="AW45" i="1"/>
  <c r="AS45" i="1"/>
  <c r="AP45" i="1"/>
  <c r="AK45" i="1"/>
  <c r="AF45" i="1"/>
  <c r="AE45" i="1"/>
  <c r="AA45" i="1"/>
  <c r="Z45" i="1" s="1"/>
  <c r="BO45" i="1" s="1"/>
  <c r="T45" i="1"/>
  <c r="L45" i="1"/>
  <c r="BN45" i="1" s="1"/>
  <c r="BJ44" i="1"/>
  <c r="BI44" i="1" s="1"/>
  <c r="BE44" i="1"/>
  <c r="BA44" i="1"/>
  <c r="AW44" i="1"/>
  <c r="BN44" i="1" s="1"/>
  <c r="AS44" i="1"/>
  <c r="AP44" i="1"/>
  <c r="AK44" i="1"/>
  <c r="AF44" i="1"/>
  <c r="AE44" i="1"/>
  <c r="AA44" i="1"/>
  <c r="Z44" i="1"/>
  <c r="BO44" i="1" s="1"/>
  <c r="T44" i="1"/>
  <c r="L44" i="1"/>
  <c r="BM43" i="1"/>
  <c r="BJ43" i="1"/>
  <c r="BI43" i="1"/>
  <c r="BE43" i="1"/>
  <c r="BA43" i="1"/>
  <c r="AW43" i="1"/>
  <c r="AS43" i="1"/>
  <c r="AP43" i="1"/>
  <c r="AK43" i="1"/>
  <c r="AF43" i="1"/>
  <c r="BN43" i="1" s="1"/>
  <c r="AE43" i="1"/>
  <c r="AA43" i="1"/>
  <c r="Z43" i="1" s="1"/>
  <c r="T43" i="1"/>
  <c r="L43" i="1"/>
  <c r="J43" i="1"/>
  <c r="BO43" i="1" s="1"/>
  <c r="BP43" i="1" s="1"/>
  <c r="BJ42" i="1"/>
  <c r="BI42" i="1" s="1"/>
  <c r="BE42" i="1"/>
  <c r="BN42" i="1" s="1"/>
  <c r="BA42" i="1"/>
  <c r="AW42" i="1"/>
  <c r="AS42" i="1"/>
  <c r="AP42" i="1"/>
  <c r="AK42" i="1"/>
  <c r="AF42" i="1"/>
  <c r="AE42" i="1"/>
  <c r="AA42" i="1"/>
  <c r="Z42" i="1"/>
  <c r="T42" i="1"/>
  <c r="L42" i="1"/>
  <c r="BJ41" i="1"/>
  <c r="BI41" i="1" s="1"/>
  <c r="BE41" i="1"/>
  <c r="BA41" i="1"/>
  <c r="AW41" i="1"/>
  <c r="AS41" i="1"/>
  <c r="AP41" i="1"/>
  <c r="BN41" i="1" s="1"/>
  <c r="AK41" i="1"/>
  <c r="AF41" i="1"/>
  <c r="AE41" i="1"/>
  <c r="AA41" i="1"/>
  <c r="Z41" i="1"/>
  <c r="BO41" i="1" s="1"/>
  <c r="BP41" i="1" s="1"/>
  <c r="T41" i="1"/>
  <c r="L41" i="1"/>
  <c r="BL40" i="1"/>
  <c r="BK40" i="1"/>
  <c r="BJ40" i="1"/>
  <c r="BI40" i="1" s="1"/>
  <c r="BE40" i="1"/>
  <c r="BD40" i="1"/>
  <c r="BC40" i="1"/>
  <c r="BB40" i="1"/>
  <c r="BA40" i="1" s="1"/>
  <c r="AW40" i="1"/>
  <c r="AV40" i="1"/>
  <c r="AS40" i="1"/>
  <c r="AP40" i="1"/>
  <c r="AO40" i="1"/>
  <c r="AN40" i="1"/>
  <c r="AK40" i="1"/>
  <c r="AF40" i="1"/>
  <c r="BN40" i="1" s="1"/>
  <c r="AD40" i="1"/>
  <c r="AC40" i="1"/>
  <c r="AB40" i="1"/>
  <c r="Y40" i="1"/>
  <c r="AE40" i="1" s="1"/>
  <c r="U40" i="1"/>
  <c r="U124" i="1" s="1"/>
  <c r="T40" i="1"/>
  <c r="L40" i="1"/>
  <c r="BJ39" i="1"/>
  <c r="BI39" i="1" s="1"/>
  <c r="BE39" i="1"/>
  <c r="BA39" i="1"/>
  <c r="AW39" i="1"/>
  <c r="AS39" i="1"/>
  <c r="AP39" i="1"/>
  <c r="AL39" i="1"/>
  <c r="AF39" i="1"/>
  <c r="AE39" i="1"/>
  <c r="AD39" i="1"/>
  <c r="AC39" i="1"/>
  <c r="AB39" i="1"/>
  <c r="T39" i="1"/>
  <c r="M39" i="1"/>
  <c r="AA39" i="1" s="1"/>
  <c r="Z39" i="1" s="1"/>
  <c r="BM38" i="1"/>
  <c r="BJ38" i="1"/>
  <c r="BI38" i="1"/>
  <c r="BE38" i="1"/>
  <c r="BA38" i="1"/>
  <c r="AW38" i="1"/>
  <c r="AS38" i="1"/>
  <c r="AP38" i="1"/>
  <c r="AK38" i="1"/>
  <c r="AF38" i="1"/>
  <c r="AE38" i="1"/>
  <c r="AD38" i="1"/>
  <c r="AC38" i="1"/>
  <c r="AB38" i="1"/>
  <c r="AA38" i="1"/>
  <c r="Z38" i="1" s="1"/>
  <c r="BO38" i="1" s="1"/>
  <c r="BP38" i="1" s="1"/>
  <c r="T38" i="1"/>
  <c r="M38" i="1"/>
  <c r="L38" i="1"/>
  <c r="BN38" i="1" s="1"/>
  <c r="BJ37" i="1"/>
  <c r="BI37" i="1"/>
  <c r="BE37" i="1"/>
  <c r="BA37" i="1"/>
  <c r="AW37" i="1"/>
  <c r="BM37" i="1" s="1"/>
  <c r="BN37" i="1" s="1"/>
  <c r="AS37" i="1"/>
  <c r="AP37" i="1"/>
  <c r="AK37" i="1"/>
  <c r="AF37" i="1"/>
  <c r="AE37" i="1"/>
  <c r="AA37" i="1"/>
  <c r="Z37" i="1" s="1"/>
  <c r="Y37" i="1"/>
  <c r="T37" i="1"/>
  <c r="L37" i="1"/>
  <c r="BJ36" i="1"/>
  <c r="BI36" i="1"/>
  <c r="BE36" i="1"/>
  <c r="BA36" i="1"/>
  <c r="AW36" i="1"/>
  <c r="BM36" i="1" s="1"/>
  <c r="AS36" i="1"/>
  <c r="AP36" i="1"/>
  <c r="AK36" i="1"/>
  <c r="BO36" i="1" s="1"/>
  <c r="AF36" i="1"/>
  <c r="AA36" i="1"/>
  <c r="Z36" i="1"/>
  <c r="Y36" i="1"/>
  <c r="AE36" i="1" s="1"/>
  <c r="T36" i="1"/>
  <c r="L36" i="1"/>
  <c r="BM35" i="1"/>
  <c r="BJ35" i="1"/>
  <c r="BI35" i="1"/>
  <c r="BE35" i="1"/>
  <c r="BA35" i="1"/>
  <c r="AW35" i="1"/>
  <c r="AS35" i="1"/>
  <c r="AP35" i="1"/>
  <c r="AK35" i="1"/>
  <c r="AF35" i="1"/>
  <c r="BN35" i="1" s="1"/>
  <c r="AE35" i="1"/>
  <c r="AD35" i="1"/>
  <c r="AC35" i="1"/>
  <c r="AB35" i="1"/>
  <c r="AA35" i="1"/>
  <c r="Z35" i="1" s="1"/>
  <c r="BO35" i="1" s="1"/>
  <c r="T35" i="1"/>
  <c r="M35" i="1"/>
  <c r="L35" i="1"/>
  <c r="BJ34" i="1"/>
  <c r="BI34" i="1" s="1"/>
  <c r="BE34" i="1"/>
  <c r="BN34" i="1" s="1"/>
  <c r="BA34" i="1"/>
  <c r="AW34" i="1"/>
  <c r="AS34" i="1"/>
  <c r="AP34" i="1"/>
  <c r="AK34" i="1"/>
  <c r="AF34" i="1"/>
  <c r="AE34" i="1"/>
  <c r="AA34" i="1"/>
  <c r="Z34" i="1"/>
  <c r="BO34" i="1" s="1"/>
  <c r="BP34" i="1" s="1"/>
  <c r="T34" i="1"/>
  <c r="L34" i="1"/>
  <c r="BJ33" i="1"/>
  <c r="BI33" i="1"/>
  <c r="BE33" i="1"/>
  <c r="BA33" i="1"/>
  <c r="AW33" i="1"/>
  <c r="BM33" i="1" s="1"/>
  <c r="AS33" i="1"/>
  <c r="AP33" i="1"/>
  <c r="AK33" i="1"/>
  <c r="AF33" i="1"/>
  <c r="BN33" i="1" s="1"/>
  <c r="AE33" i="1"/>
  <c r="AA33" i="1"/>
  <c r="Z33" i="1" s="1"/>
  <c r="BO33" i="1" s="1"/>
  <c r="BP33" i="1" s="1"/>
  <c r="T33" i="1"/>
  <c r="L33" i="1"/>
  <c r="BM32" i="1"/>
  <c r="BJ32" i="1"/>
  <c r="BI32" i="1" s="1"/>
  <c r="BE32" i="1"/>
  <c r="BA32" i="1"/>
  <c r="AW32" i="1"/>
  <c r="AT32" i="1"/>
  <c r="AS32" i="1" s="1"/>
  <c r="AP32" i="1"/>
  <c r="AK32" i="1"/>
  <c r="AF32" i="1"/>
  <c r="AE32" i="1"/>
  <c r="AA32" i="1"/>
  <c r="Z32" i="1" s="1"/>
  <c r="T32" i="1"/>
  <c r="L32" i="1"/>
  <c r="BN32" i="1" s="1"/>
  <c r="BJ31" i="1"/>
  <c r="BI31" i="1"/>
  <c r="BE31" i="1"/>
  <c r="BA31" i="1"/>
  <c r="AW31" i="1"/>
  <c r="BM31" i="1" s="1"/>
  <c r="AS31" i="1"/>
  <c r="AP31" i="1"/>
  <c r="AK31" i="1"/>
  <c r="AF31" i="1"/>
  <c r="AE31" i="1"/>
  <c r="AA31" i="1"/>
  <c r="Z31" i="1" s="1"/>
  <c r="BO31" i="1" s="1"/>
  <c r="T31" i="1"/>
  <c r="L31" i="1"/>
  <c r="BN31" i="1" s="1"/>
  <c r="BJ30" i="1"/>
  <c r="BI30" i="1"/>
  <c r="BE30" i="1"/>
  <c r="BA30" i="1"/>
  <c r="AW30" i="1"/>
  <c r="BM30" i="1" s="1"/>
  <c r="AS30" i="1"/>
  <c r="AP30" i="1"/>
  <c r="AK30" i="1"/>
  <c r="AF30" i="1"/>
  <c r="AE30" i="1"/>
  <c r="AA30" i="1"/>
  <c r="Z30" i="1" s="1"/>
  <c r="BO30" i="1" s="1"/>
  <c r="T30" i="1"/>
  <c r="L30" i="1"/>
  <c r="BL29" i="1"/>
  <c r="BM29" i="1" s="1"/>
  <c r="BK29" i="1"/>
  <c r="BJ29" i="1"/>
  <c r="BI29" i="1" s="1"/>
  <c r="BE29" i="1"/>
  <c r="BA29" i="1"/>
  <c r="AW29" i="1"/>
  <c r="AS29" i="1"/>
  <c r="AP29" i="1"/>
  <c r="AK29" i="1"/>
  <c r="AF29" i="1"/>
  <c r="AD29" i="1"/>
  <c r="AC29" i="1"/>
  <c r="AB29" i="1"/>
  <c r="AA29" i="1"/>
  <c r="Z29" i="1"/>
  <c r="Y29" i="1"/>
  <c r="AE29" i="1" s="1"/>
  <c r="T29" i="1"/>
  <c r="L29" i="1"/>
  <c r="BN29" i="1" s="1"/>
  <c r="BL28" i="1"/>
  <c r="BM28" i="1" s="1"/>
  <c r="BK28" i="1"/>
  <c r="BJ28" i="1"/>
  <c r="BI28" i="1" s="1"/>
  <c r="BE28" i="1"/>
  <c r="BA28" i="1"/>
  <c r="AW28" i="1"/>
  <c r="AS28" i="1"/>
  <c r="AP28" i="1"/>
  <c r="AK28" i="1"/>
  <c r="AF28" i="1"/>
  <c r="AD28" i="1"/>
  <c r="AC28" i="1"/>
  <c r="AB28" i="1"/>
  <c r="AA28" i="1"/>
  <c r="Z28" i="1"/>
  <c r="Y28" i="1"/>
  <c r="AE28" i="1" s="1"/>
  <c r="T28" i="1"/>
  <c r="L28" i="1"/>
  <c r="BL27" i="1"/>
  <c r="BM27" i="1" s="1"/>
  <c r="BK27" i="1"/>
  <c r="BJ27" i="1"/>
  <c r="BI27" i="1" s="1"/>
  <c r="BE27" i="1"/>
  <c r="BD27" i="1"/>
  <c r="BC27" i="1"/>
  <c r="BB27" i="1"/>
  <c r="BA27" i="1" s="1"/>
  <c r="AW27" i="1"/>
  <c r="AV27" i="1"/>
  <c r="AT27" i="1"/>
  <c r="AS27" i="1"/>
  <c r="AP27" i="1"/>
  <c r="AK27" i="1"/>
  <c r="AF27" i="1"/>
  <c r="BN27" i="1" s="1"/>
  <c r="AE27" i="1"/>
  <c r="AD27" i="1"/>
  <c r="AC27" i="1"/>
  <c r="AB27" i="1"/>
  <c r="Z27" i="1" s="1"/>
  <c r="AA27" i="1"/>
  <c r="T27" i="1"/>
  <c r="M27" i="1"/>
  <c r="L27" i="1"/>
  <c r="BL26" i="1"/>
  <c r="BK26" i="1"/>
  <c r="BJ26" i="1"/>
  <c r="BI26" i="1"/>
  <c r="BE26" i="1"/>
  <c r="BD26" i="1"/>
  <c r="BC26" i="1"/>
  <c r="BB26" i="1"/>
  <c r="BA26" i="1"/>
  <c r="AW26" i="1"/>
  <c r="AV26" i="1"/>
  <c r="AT26" i="1"/>
  <c r="AS26" i="1"/>
  <c r="AP26" i="1"/>
  <c r="AO26" i="1"/>
  <c r="AN26" i="1"/>
  <c r="AM26" i="1"/>
  <c r="AK26" i="1"/>
  <c r="AF26" i="1"/>
  <c r="AD26" i="1"/>
  <c r="AC26" i="1"/>
  <c r="AB26" i="1"/>
  <c r="Y26" i="1"/>
  <c r="AE26" i="1" s="1"/>
  <c r="T26" i="1"/>
  <c r="M26" i="1"/>
  <c r="BM25" i="1"/>
  <c r="BJ25" i="1"/>
  <c r="BI25" i="1"/>
  <c r="BE25" i="1"/>
  <c r="BB25" i="1"/>
  <c r="BA25" i="1" s="1"/>
  <c r="AW25" i="1"/>
  <c r="AT25" i="1"/>
  <c r="AS25" i="1" s="1"/>
  <c r="AP25" i="1"/>
  <c r="AK25" i="1"/>
  <c r="AF25" i="1"/>
  <c r="AE25" i="1"/>
  <c r="AA25" i="1"/>
  <c r="Z25" i="1"/>
  <c r="T25" i="1"/>
  <c r="L25" i="1"/>
  <c r="BN25" i="1" s="1"/>
  <c r="BN24" i="1"/>
  <c r="BL24" i="1"/>
  <c r="BK24" i="1"/>
  <c r="BJ24" i="1"/>
  <c r="BI24" i="1" s="1"/>
  <c r="BE24" i="1"/>
  <c r="BD24" i="1"/>
  <c r="BC24" i="1"/>
  <c r="BB24" i="1"/>
  <c r="BA24" i="1"/>
  <c r="AW24" i="1"/>
  <c r="AV24" i="1"/>
  <c r="AT24" i="1"/>
  <c r="AS24" i="1" s="1"/>
  <c r="AP24" i="1"/>
  <c r="AK24" i="1"/>
  <c r="AF24" i="1"/>
  <c r="AE24" i="1"/>
  <c r="AD24" i="1"/>
  <c r="AC24" i="1"/>
  <c r="AB24" i="1"/>
  <c r="AA24" i="1"/>
  <c r="Z24" i="1" s="1"/>
  <c r="Y24" i="1"/>
  <c r="T24" i="1"/>
  <c r="M24" i="1"/>
  <c r="L24" i="1"/>
  <c r="J24" i="1"/>
  <c r="BM23" i="1"/>
  <c r="BL23" i="1"/>
  <c r="BK23" i="1"/>
  <c r="BJ23" i="1"/>
  <c r="BI23" i="1" s="1"/>
  <c r="BE23" i="1"/>
  <c r="BD23" i="1"/>
  <c r="BC23" i="1"/>
  <c r="BB23" i="1"/>
  <c r="BA23" i="1" s="1"/>
  <c r="AW23" i="1"/>
  <c r="AV23" i="1"/>
  <c r="AT23" i="1"/>
  <c r="AS23" i="1" s="1"/>
  <c r="AP23" i="1"/>
  <c r="AK23" i="1"/>
  <c r="AF23" i="1"/>
  <c r="AE23" i="1"/>
  <c r="AD23" i="1"/>
  <c r="AC23" i="1"/>
  <c r="AB23" i="1"/>
  <c r="Z23" i="1" s="1"/>
  <c r="AA23" i="1"/>
  <c r="T23" i="1"/>
  <c r="L23" i="1"/>
  <c r="BL22" i="1"/>
  <c r="BM22" i="1" s="1"/>
  <c r="BK22" i="1"/>
  <c r="BJ22" i="1"/>
  <c r="BI22" i="1" s="1"/>
  <c r="BE22" i="1"/>
  <c r="BD22" i="1"/>
  <c r="BC22" i="1"/>
  <c r="BB22" i="1"/>
  <c r="BA22" i="1" s="1"/>
  <c r="AW22" i="1"/>
  <c r="AV22" i="1"/>
  <c r="AT22" i="1"/>
  <c r="AS22" i="1"/>
  <c r="AP22" i="1"/>
  <c r="AK22" i="1"/>
  <c r="AF22" i="1"/>
  <c r="AD22" i="1"/>
  <c r="AC22" i="1"/>
  <c r="AB22" i="1"/>
  <c r="Y22" i="1"/>
  <c r="AE22" i="1" s="1"/>
  <c r="T22" i="1"/>
  <c r="M22" i="1"/>
  <c r="BL21" i="1"/>
  <c r="BM21" i="1" s="1"/>
  <c r="BM124" i="1" s="1"/>
  <c r="BK21" i="1"/>
  <c r="BJ21" i="1"/>
  <c r="BI21" i="1"/>
  <c r="BE21" i="1"/>
  <c r="BD21" i="1"/>
  <c r="BC21" i="1"/>
  <c r="BB21" i="1"/>
  <c r="BA21" i="1"/>
  <c r="AW21" i="1"/>
  <c r="AV21" i="1"/>
  <c r="AT21" i="1"/>
  <c r="AS21" i="1"/>
  <c r="AP21" i="1"/>
  <c r="AK21" i="1"/>
  <c r="AF21" i="1"/>
  <c r="AE21" i="1"/>
  <c r="AD21" i="1"/>
  <c r="AC21" i="1"/>
  <c r="AB21" i="1"/>
  <c r="AA21" i="1"/>
  <c r="Z21" i="1" s="1"/>
  <c r="Y21" i="1"/>
  <c r="T21" i="1"/>
  <c r="L21" i="1"/>
  <c r="BL20" i="1"/>
  <c r="BK20" i="1"/>
  <c r="BJ20" i="1"/>
  <c r="BI20" i="1" s="1"/>
  <c r="BE20" i="1"/>
  <c r="BD20" i="1"/>
  <c r="BC20" i="1"/>
  <c r="BB20" i="1"/>
  <c r="BA20" i="1"/>
  <c r="AW20" i="1"/>
  <c r="AV20" i="1"/>
  <c r="AT20" i="1"/>
  <c r="AS20" i="1" s="1"/>
  <c r="AP20" i="1"/>
  <c r="AK20" i="1"/>
  <c r="AF20" i="1"/>
  <c r="AE20" i="1"/>
  <c r="AA20" i="1"/>
  <c r="Z20" i="1" s="1"/>
  <c r="Y20" i="1"/>
  <c r="T20" i="1"/>
  <c r="L20" i="1"/>
  <c r="BN20" i="1" s="1"/>
  <c r="BL19" i="1"/>
  <c r="BL135" i="1" s="1"/>
  <c r="BK19" i="1"/>
  <c r="BK135" i="1" s="1"/>
  <c r="BJ19" i="1"/>
  <c r="BJ135" i="1" s="1"/>
  <c r="BE19" i="1"/>
  <c r="BE135" i="1" s="1"/>
  <c r="BD19" i="1"/>
  <c r="BD135" i="1" s="1"/>
  <c r="BC19" i="1"/>
  <c r="BC135" i="1" s="1"/>
  <c r="BB19" i="1"/>
  <c r="BB135" i="1" s="1"/>
  <c r="BA19" i="1"/>
  <c r="BA135" i="1" s="1"/>
  <c r="AW19" i="1"/>
  <c r="AW135" i="1" s="1"/>
  <c r="AV19" i="1"/>
  <c r="AV135" i="1" s="1"/>
  <c r="AT19" i="1"/>
  <c r="AT135" i="1" s="1"/>
  <c r="AP19" i="1"/>
  <c r="AP135" i="1" s="1"/>
  <c r="AO19" i="1"/>
  <c r="AO135" i="1" s="1"/>
  <c r="AN19" i="1"/>
  <c r="AN135" i="1" s="1"/>
  <c r="AM19" i="1"/>
  <c r="AK19" i="1" s="1"/>
  <c r="AF19" i="1"/>
  <c r="AE19" i="1"/>
  <c r="AD19" i="1"/>
  <c r="AD135" i="1" s="1"/>
  <c r="AC19" i="1"/>
  <c r="AC135" i="1" s="1"/>
  <c r="AB19" i="1"/>
  <c r="AB135" i="1" s="1"/>
  <c r="T19" i="1"/>
  <c r="M19" i="1"/>
  <c r="L19" i="1"/>
  <c r="BN19" i="1" s="1"/>
  <c r="BJ18" i="1"/>
  <c r="BI18" i="1"/>
  <c r="BE18" i="1"/>
  <c r="BA18" i="1"/>
  <c r="AW18" i="1"/>
  <c r="AS18" i="1"/>
  <c r="AP18" i="1"/>
  <c r="AK18" i="1"/>
  <c r="AF18" i="1"/>
  <c r="AE18" i="1"/>
  <c r="AA18" i="1"/>
  <c r="Z18" i="1"/>
  <c r="BO18" i="1" s="1"/>
  <c r="T18" i="1"/>
  <c r="L18" i="1"/>
  <c r="BL17" i="1"/>
  <c r="BK17" i="1"/>
  <c r="BJ17" i="1"/>
  <c r="BI17" i="1"/>
  <c r="BE17" i="1"/>
  <c r="BD17" i="1"/>
  <c r="BC17" i="1"/>
  <c r="BA17" i="1"/>
  <c r="AW17" i="1"/>
  <c r="AV17" i="1"/>
  <c r="AS17" i="1"/>
  <c r="AP17" i="1"/>
  <c r="AO17" i="1"/>
  <c r="AN17" i="1"/>
  <c r="AM17" i="1"/>
  <c r="AM124" i="1" s="1"/>
  <c r="AK17" i="1"/>
  <c r="AF17" i="1"/>
  <c r="AD17" i="1"/>
  <c r="AC17" i="1"/>
  <c r="AB17" i="1"/>
  <c r="AA17" i="1"/>
  <c r="Z17" i="1"/>
  <c r="BO17" i="1" s="1"/>
  <c r="Y17" i="1"/>
  <c r="AE17" i="1" s="1"/>
  <c r="T17" i="1"/>
  <c r="L17" i="1"/>
  <c r="BN17" i="1" s="1"/>
  <c r="BJ16" i="1"/>
  <c r="BI16" i="1"/>
  <c r="BE16" i="1"/>
  <c r="BA16" i="1"/>
  <c r="AW16" i="1"/>
  <c r="AS16" i="1"/>
  <c r="AP16" i="1"/>
  <c r="AK16" i="1"/>
  <c r="AF16" i="1"/>
  <c r="BN16" i="1" s="1"/>
  <c r="AE16" i="1"/>
  <c r="AA16" i="1"/>
  <c r="Z16" i="1" s="1"/>
  <c r="BO16" i="1" s="1"/>
  <c r="BP16" i="1" s="1"/>
  <c r="T16" i="1"/>
  <c r="L16" i="1"/>
  <c r="BL15" i="1"/>
  <c r="BK15" i="1"/>
  <c r="BJ15" i="1"/>
  <c r="BI15" i="1"/>
  <c r="BE15" i="1"/>
  <c r="BD15" i="1"/>
  <c r="BC15" i="1"/>
  <c r="BB15" i="1"/>
  <c r="BA15" i="1"/>
  <c r="AW15" i="1"/>
  <c r="AS15" i="1"/>
  <c r="AP15" i="1"/>
  <c r="AK15" i="1"/>
  <c r="AF15" i="1"/>
  <c r="AE15" i="1"/>
  <c r="AA15" i="1"/>
  <c r="Z15" i="1" s="1"/>
  <c r="T15" i="1"/>
  <c r="L15" i="1"/>
  <c r="BN15" i="1" s="1"/>
  <c r="BL14" i="1"/>
  <c r="BK14" i="1"/>
  <c r="BJ14" i="1"/>
  <c r="BI14" i="1" s="1"/>
  <c r="BE14" i="1"/>
  <c r="BD14" i="1"/>
  <c r="BC14" i="1"/>
  <c r="BC124" i="1" s="1"/>
  <c r="BB14" i="1"/>
  <c r="BA14" i="1" s="1"/>
  <c r="AW14" i="1"/>
  <c r="AV14" i="1"/>
  <c r="AS14" i="1"/>
  <c r="AP14" i="1"/>
  <c r="AO14" i="1"/>
  <c r="AN14" i="1"/>
  <c r="AK14" i="1"/>
  <c r="AF14" i="1"/>
  <c r="AE14" i="1"/>
  <c r="AD14" i="1"/>
  <c r="AD124" i="1" s="1"/>
  <c r="AC14" i="1"/>
  <c r="AC124" i="1" s="1"/>
  <c r="AB14" i="1"/>
  <c r="Z14" i="1" s="1"/>
  <c r="BO14" i="1" s="1"/>
  <c r="BP14" i="1" s="1"/>
  <c r="AA14" i="1"/>
  <c r="Y14" i="1"/>
  <c r="Y124" i="1" s="1"/>
  <c r="T14" i="1"/>
  <c r="L14" i="1"/>
  <c r="BN14" i="1" s="1"/>
  <c r="BJ13" i="1"/>
  <c r="BI13" i="1" s="1"/>
  <c r="BE13" i="1"/>
  <c r="BA13" i="1"/>
  <c r="AW13" i="1"/>
  <c r="AS13" i="1"/>
  <c r="AP13" i="1"/>
  <c r="AK13" i="1"/>
  <c r="AF13" i="1"/>
  <c r="AE13" i="1"/>
  <c r="AA13" i="1"/>
  <c r="Z13" i="1" s="1"/>
  <c r="BO13" i="1" s="1"/>
  <c r="BP13" i="1" s="1"/>
  <c r="T13" i="1"/>
  <c r="L13" i="1"/>
  <c r="BN13" i="1" s="1"/>
  <c r="BJ12" i="1"/>
  <c r="BI12" i="1"/>
  <c r="BE12" i="1"/>
  <c r="BA12" i="1"/>
  <c r="AW12" i="1"/>
  <c r="AS12" i="1"/>
  <c r="AP12" i="1"/>
  <c r="AK12" i="1"/>
  <c r="AF12" i="1"/>
  <c r="AE12" i="1"/>
  <c r="AA12" i="1"/>
  <c r="Z12" i="1" s="1"/>
  <c r="BO12" i="1" s="1"/>
  <c r="BP12" i="1" s="1"/>
  <c r="T12" i="1"/>
  <c r="L12" i="1"/>
  <c r="BN12" i="1" s="1"/>
  <c r="BJ11" i="1"/>
  <c r="BI11" i="1" s="1"/>
  <c r="BE11" i="1"/>
  <c r="BN11" i="1" s="1"/>
  <c r="BA11" i="1"/>
  <c r="AW11" i="1"/>
  <c r="AS11" i="1"/>
  <c r="AP11" i="1"/>
  <c r="AK11" i="1"/>
  <c r="AF11" i="1"/>
  <c r="AE11" i="1"/>
  <c r="AA11" i="1"/>
  <c r="Z11" i="1"/>
  <c r="T11" i="1"/>
  <c r="L11" i="1"/>
  <c r="BJ10" i="1"/>
  <c r="BI10" i="1" s="1"/>
  <c r="BE10" i="1"/>
  <c r="BA10" i="1"/>
  <c r="AW10" i="1"/>
  <c r="AS10" i="1"/>
  <c r="AP10" i="1"/>
  <c r="BN10" i="1" s="1"/>
  <c r="AK10" i="1"/>
  <c r="AF10" i="1"/>
  <c r="AE10" i="1"/>
  <c r="AA10" i="1"/>
  <c r="Z10" i="1"/>
  <c r="T10" i="1"/>
  <c r="L10" i="1"/>
  <c r="BJ9" i="1"/>
  <c r="BI9" i="1"/>
  <c r="BE9" i="1"/>
  <c r="BA9" i="1"/>
  <c r="AW9" i="1"/>
  <c r="AS9" i="1"/>
  <c r="AP9" i="1"/>
  <c r="AK9" i="1"/>
  <c r="AF9" i="1"/>
  <c r="AE9" i="1"/>
  <c r="AA9" i="1"/>
  <c r="Z9" i="1"/>
  <c r="BO9" i="1" s="1"/>
  <c r="T9" i="1"/>
  <c r="L9" i="1"/>
  <c r="BN8" i="1"/>
  <c r="BJ8" i="1"/>
  <c r="BI8" i="1"/>
  <c r="BE8" i="1"/>
  <c r="BA8" i="1"/>
  <c r="AW8" i="1"/>
  <c r="AS8" i="1"/>
  <c r="AP8" i="1"/>
  <c r="AK8" i="1"/>
  <c r="AF8" i="1"/>
  <c r="AE8" i="1"/>
  <c r="AA8" i="1"/>
  <c r="Z8" i="1"/>
  <c r="BO8" i="1" s="1"/>
  <c r="BP8" i="1" s="1"/>
  <c r="T8" i="1"/>
  <c r="L8" i="1"/>
  <c r="BJ7" i="1"/>
  <c r="BE7" i="1"/>
  <c r="BA7" i="1"/>
  <c r="AW7" i="1"/>
  <c r="AS7" i="1"/>
  <c r="AP7" i="1"/>
  <c r="AK7" i="1"/>
  <c r="AF7" i="1"/>
  <c r="AE7" i="1"/>
  <c r="AA7" i="1"/>
  <c r="Z7" i="1"/>
  <c r="T7" i="1"/>
  <c r="L7" i="1"/>
  <c r="BN98" i="1" l="1"/>
  <c r="AF135" i="1"/>
  <c r="AL124" i="1"/>
  <c r="AK135" i="1"/>
  <c r="AL135" i="1"/>
  <c r="BA136" i="1"/>
  <c r="BN135" i="1"/>
  <c r="BE124" i="1"/>
  <c r="BL124" i="1"/>
  <c r="AF124" i="1"/>
  <c r="BI19" i="1"/>
  <c r="BI135" i="1" s="1"/>
  <c r="BI136" i="1" s="1"/>
  <c r="AM135" i="1"/>
  <c r="BD124" i="1"/>
  <c r="AO124" i="1"/>
  <c r="L135" i="1"/>
  <c r="L26" i="1"/>
  <c r="BN26" i="1" s="1"/>
  <c r="AA26" i="1"/>
  <c r="Z26" i="1" s="1"/>
  <c r="BO26" i="1" s="1"/>
  <c r="BP26" i="1" s="1"/>
  <c r="AV124" i="1"/>
  <c r="BP30" i="1"/>
  <c r="BP88" i="1"/>
  <c r="BP80" i="1"/>
  <c r="BO42" i="1"/>
  <c r="BP42" i="1" s="1"/>
  <c r="BP58" i="1"/>
  <c r="BP68" i="1"/>
  <c r="BP78" i="1"/>
  <c r="BP85" i="1"/>
  <c r="BO86" i="1"/>
  <c r="BP86" i="1" s="1"/>
  <c r="T126" i="1"/>
  <c r="BP31" i="1"/>
  <c r="BN21" i="1"/>
  <c r="L22" i="1"/>
  <c r="BN22" i="1" s="1"/>
  <c r="AA22" i="1"/>
  <c r="Z22" i="1" s="1"/>
  <c r="BO22" i="1" s="1"/>
  <c r="BO32" i="1"/>
  <c r="BP32" i="1" s="1"/>
  <c r="BN50" i="1"/>
  <c r="BP118" i="1"/>
  <c r="BO37" i="1"/>
  <c r="BP37" i="1" s="1"/>
  <c r="BP49" i="1"/>
  <c r="BN65" i="1"/>
  <c r="BO77" i="1"/>
  <c r="BP77" i="1" s="1"/>
  <c r="BP81" i="1"/>
  <c r="BO101" i="1"/>
  <c r="BP101" i="1" s="1"/>
  <c r="AE124" i="1"/>
  <c r="AE126" i="1" s="1"/>
  <c r="BN9" i="1"/>
  <c r="BP9" i="1" s="1"/>
  <c r="BO27" i="1"/>
  <c r="BP27" i="1" s="1"/>
  <c r="BP50" i="1"/>
  <c r="BO51" i="1"/>
  <c r="BP51" i="1" s="1"/>
  <c r="BO52" i="1"/>
  <c r="BP52" i="1" s="1"/>
  <c r="BN55" i="1"/>
  <c r="BO69" i="1"/>
  <c r="BP69" i="1" s="1"/>
  <c r="BN80" i="1"/>
  <c r="BO89" i="1"/>
  <c r="BP89" i="1" s="1"/>
  <c r="BO90" i="1"/>
  <c r="BP90" i="1" s="1"/>
  <c r="T125" i="1"/>
  <c r="BO66" i="1"/>
  <c r="BP66" i="1" s="1"/>
  <c r="BO70" i="1"/>
  <c r="BP70" i="1" s="1"/>
  <c r="L71" i="1"/>
  <c r="BN71" i="1" s="1"/>
  <c r="AA71" i="1"/>
  <c r="Z71" i="1" s="1"/>
  <c r="BO71" i="1" s="1"/>
  <c r="BP71" i="1" s="1"/>
  <c r="BN119" i="1"/>
  <c r="BN18" i="1"/>
  <c r="BO60" i="1"/>
  <c r="BP60" i="1" s="1"/>
  <c r="BO74" i="1"/>
  <c r="BP74" i="1" s="1"/>
  <c r="BO99" i="1"/>
  <c r="BP99" i="1" s="1"/>
  <c r="BJ124" i="1"/>
  <c r="BJ126" i="1" s="1"/>
  <c r="BP55" i="1"/>
  <c r="BP17" i="1"/>
  <c r="BO24" i="1"/>
  <c r="BP24" i="1" s="1"/>
  <c r="BO29" i="1"/>
  <c r="BP29" i="1" s="1"/>
  <c r="BP35" i="1"/>
  <c r="BP45" i="1"/>
  <c r="BO54" i="1"/>
  <c r="BP54" i="1" s="1"/>
  <c r="BN62" i="1"/>
  <c r="BP62" i="1" s="1"/>
  <c r="BO64" i="1"/>
  <c r="BP64" i="1" s="1"/>
  <c r="BO83" i="1"/>
  <c r="BP83" i="1" s="1"/>
  <c r="BO100" i="1"/>
  <c r="BP100" i="1" s="1"/>
  <c r="BO106" i="1"/>
  <c r="BP106" i="1" s="1"/>
  <c r="BP108" i="1"/>
  <c r="BO119" i="1"/>
  <c r="BP119" i="1" s="1"/>
  <c r="BO23" i="1"/>
  <c r="BO21" i="1"/>
  <c r="BK124" i="1"/>
  <c r="AT124" i="1"/>
  <c r="AT126" i="1" s="1"/>
  <c r="AN124" i="1"/>
  <c r="M124" i="1"/>
  <c r="BN47" i="1"/>
  <c r="BP47" i="1" s="1"/>
  <c r="BP97" i="1"/>
  <c r="BO107" i="1"/>
  <c r="BP107" i="1" s="1"/>
  <c r="BP112" i="1"/>
  <c r="BP120" i="1"/>
  <c r="BN121" i="1"/>
  <c r="BO15" i="1"/>
  <c r="BP15" i="1" s="1"/>
  <c r="BP44" i="1"/>
  <c r="AP124" i="1"/>
  <c r="BP18" i="1"/>
  <c r="BO46" i="1"/>
  <c r="BP46" i="1" s="1"/>
  <c r="BO72" i="1"/>
  <c r="BP72" i="1" s="1"/>
  <c r="BO73" i="1"/>
  <c r="BP73" i="1" s="1"/>
  <c r="BO92" i="1"/>
  <c r="BP92" i="1" s="1"/>
  <c r="BO93" i="1"/>
  <c r="BP93" i="1" s="1"/>
  <c r="BO113" i="1"/>
  <c r="BP113" i="1" s="1"/>
  <c r="BP114" i="1"/>
  <c r="BO28" i="1"/>
  <c r="BP28" i="1" s="1"/>
  <c r="AS124" i="1"/>
  <c r="BO10" i="1"/>
  <c r="BP10" i="1" s="1"/>
  <c r="BA124" i="1"/>
  <c r="BO11" i="1"/>
  <c r="BP11" i="1" s="1"/>
  <c r="BO20" i="1"/>
  <c r="BP20" i="1" s="1"/>
  <c r="BN23" i="1"/>
  <c r="BO25" i="1"/>
  <c r="BP25" i="1" s="1"/>
  <c r="BN28" i="1"/>
  <c r="BN30" i="1"/>
  <c r="BN36" i="1"/>
  <c r="BP36" i="1" s="1"/>
  <c r="BN74" i="1"/>
  <c r="BN75" i="1"/>
  <c r="BP76" i="1"/>
  <c r="BP82" i="1"/>
  <c r="BO103" i="1"/>
  <c r="BP103" i="1" s="1"/>
  <c r="BP115" i="1"/>
  <c r="BO121" i="1"/>
  <c r="BI7" i="1"/>
  <c r="BI124" i="1" s="1"/>
  <c r="BE125" i="1" s="1"/>
  <c r="AS19" i="1"/>
  <c r="AS135" i="1" s="1"/>
  <c r="AS136" i="1" s="1"/>
  <c r="AA56" i="1"/>
  <c r="Z56" i="1" s="1"/>
  <c r="BO56" i="1" s="1"/>
  <c r="BP56" i="1" s="1"/>
  <c r="AA59" i="1"/>
  <c r="Z59" i="1" s="1"/>
  <c r="BO59" i="1" s="1"/>
  <c r="BP59" i="1" s="1"/>
  <c r="AA75" i="1"/>
  <c r="Z75" i="1" s="1"/>
  <c r="BO75" i="1" s="1"/>
  <c r="AA19" i="1"/>
  <c r="AK39" i="1"/>
  <c r="BO39" i="1" s="1"/>
  <c r="BP39" i="1" s="1"/>
  <c r="L58" i="1"/>
  <c r="BN58" i="1" s="1"/>
  <c r="AA65" i="1"/>
  <c r="Z65" i="1" s="1"/>
  <c r="BO65" i="1" s="1"/>
  <c r="BP65" i="1" s="1"/>
  <c r="AW124" i="1"/>
  <c r="L87" i="1"/>
  <c r="BN87" i="1" s="1"/>
  <c r="BP87" i="1" s="1"/>
  <c r="L39" i="1"/>
  <c r="BN39" i="1" s="1"/>
  <c r="L73" i="1"/>
  <c r="BN73" i="1" s="1"/>
  <c r="AB124" i="1"/>
  <c r="AA40" i="1"/>
  <c r="Z40" i="1" s="1"/>
  <c r="BO40" i="1" s="1"/>
  <c r="BP40" i="1" s="1"/>
  <c r="BB124" i="1"/>
  <c r="BB126" i="1" s="1"/>
  <c r="T124" i="1"/>
  <c r="AK136" i="1" l="1"/>
  <c r="AL126" i="1"/>
  <c r="BP98" i="1"/>
  <c r="Z19" i="1"/>
  <c r="AA135" i="1"/>
  <c r="BP22" i="1"/>
  <c r="L124" i="1"/>
  <c r="BP75" i="1"/>
  <c r="BP121" i="1"/>
  <c r="BN124" i="1"/>
  <c r="AK124" i="1"/>
  <c r="AF125" i="1" s="1"/>
  <c r="AA124" i="1"/>
  <c r="BP21" i="1"/>
  <c r="AW125" i="1"/>
  <c r="AP125" i="1"/>
  <c r="BP23" i="1"/>
  <c r="AE125" i="1" l="1"/>
  <c r="BO19" i="1"/>
  <c r="Z135" i="1"/>
  <c r="Z136" i="1" s="1"/>
  <c r="BP136" i="1" s="1"/>
  <c r="Z124" i="1"/>
  <c r="Z125" i="1"/>
  <c r="BP126" i="1" s="1"/>
  <c r="BO124" i="1"/>
  <c r="BP7" i="1"/>
  <c r="BP19" i="1" l="1"/>
  <c r="BO135" i="1"/>
  <c r="BQ7" i="1"/>
  <c r="BR7" i="1" s="1"/>
  <c r="BS7" i="1" s="1"/>
  <c r="BT7" i="1" s="1"/>
  <c r="BP125" i="1"/>
</calcChain>
</file>

<file path=xl/sharedStrings.xml><?xml version="1.0" encoding="utf-8"?>
<sst xmlns="http://schemas.openxmlformats.org/spreadsheetml/2006/main" count="738" uniqueCount="220">
  <si>
    <t>Financování vybraných akcí reprodukce majetku kraje na rok 2025, změna závazků kraje v dalších letech</t>
  </si>
  <si>
    <t>ROZPOČET AKCE (v tis. Kč)</t>
  </si>
  <si>
    <t>Kategorie</t>
  </si>
  <si>
    <t>Odvětví</t>
  </si>
  <si>
    <t xml:space="preserve">KRAJ,    
DOTACE  K/D              </t>
  </si>
  <si>
    <t>ORJ</t>
  </si>
  <si>
    <t>Název akce</t>
  </si>
  <si>
    <t xml:space="preserve">ORG                   </t>
  </si>
  <si>
    <t>Financování akce - max.  V tis. Kč</t>
  </si>
  <si>
    <t>Financování akce  v letech</t>
  </si>
  <si>
    <t>Rok nákladu &lt; 2025</t>
  </si>
  <si>
    <t>VÝDAJE 2025</t>
  </si>
  <si>
    <t>ZÁVAZKY</t>
  </si>
  <si>
    <t>Jiné zdroje -  vlastní zdroje PO, plánovaný příjem u akcí "SR" příp. dotace EU před revizí / zdroje PO po revizi</t>
  </si>
  <si>
    <t>Celkové výdaje na akci před revizí</t>
  </si>
  <si>
    <t>Celkové výdaje na akci po revizi</t>
  </si>
  <si>
    <t>UPRAVENÝ ROZPOČET 2025</t>
  </si>
  <si>
    <t xml:space="preserve">ÚPRAVA ROZPOČTU - revize </t>
  </si>
  <si>
    <t>ROZPOČET 2025 po revizi</t>
  </si>
  <si>
    <t>ROK 2026 PŘED REVIZÍ</t>
  </si>
  <si>
    <t>ROK 2026 PO REVIZI výstup</t>
  </si>
  <si>
    <t>ROK 2027 PŘED REVIZÍ</t>
  </si>
  <si>
    <t>ROK 2027 PO REVIZI výstup</t>
  </si>
  <si>
    <t>ROK 2028 PŘED REVIZÍ</t>
  </si>
  <si>
    <t>ROK 2028 PO REVIZI výstup</t>
  </si>
  <si>
    <t>ROK 2029- PŘED REVIZÍ</t>
  </si>
  <si>
    <t>ROK 2029 PO REVIZI výstup</t>
  </si>
  <si>
    <t>CELKEM upravený rozpočet k datu: 25.8 2025</t>
  </si>
  <si>
    <t>Z TOHO</t>
  </si>
  <si>
    <t>§</t>
  </si>
  <si>
    <t>POL.</t>
  </si>
  <si>
    <t xml:space="preserve">Závazný ukazatel v Kč </t>
  </si>
  <si>
    <t>ROZDÍL CELKEM</t>
  </si>
  <si>
    <t>Závazný ukazatel - změna o částku v Kč</t>
  </si>
  <si>
    <t>CELKEM upravený rozpočet po revizi</t>
  </si>
  <si>
    <t>CELKEM schválený závazek</t>
  </si>
  <si>
    <t>NÁVRH závazku po revizi</t>
  </si>
  <si>
    <t>typ úpravy</t>
  </si>
  <si>
    <t>Pozn.</t>
  </si>
  <si>
    <t>vlastní zdroje z rozpočtu  MSK</t>
  </si>
  <si>
    <t>úvěr ČS,a.s.</t>
  </si>
  <si>
    <t>úvěr UCB</t>
  </si>
  <si>
    <t xml:space="preserve">státní dotace aj není závazek </t>
  </si>
  <si>
    <t>vlastní zdroje MSK</t>
  </si>
  <si>
    <t>Fond pro financování strategických projektů</t>
  </si>
  <si>
    <t>státní dotace -jiné zdroje není závazek</t>
  </si>
  <si>
    <t>státní dotace, vlastní PO  aj. není závazek</t>
  </si>
  <si>
    <t>státní dotace aj.</t>
  </si>
  <si>
    <t xml:space="preserve">státní dotace aj. </t>
  </si>
  <si>
    <t>rozdíl</t>
  </si>
  <si>
    <t>Pozn</t>
  </si>
  <si>
    <t>kateg.</t>
  </si>
  <si>
    <t>referent</t>
  </si>
  <si>
    <t>DOPR</t>
  </si>
  <si>
    <t>Rekonstrukce vzletové a přistávací dráhy a navazujících provozních ploch Letiště Leoše Janáčka Ostrava</t>
  </si>
  <si>
    <t>2020-2028</t>
  </si>
  <si>
    <t>2023-2027</t>
  </si>
  <si>
    <t>posun v letech</t>
  </si>
  <si>
    <t>Led</t>
  </si>
  <si>
    <t>sýk</t>
  </si>
  <si>
    <t>2023-2026</t>
  </si>
  <si>
    <t>Sýk, Hrč</t>
  </si>
  <si>
    <t>KÚ</t>
  </si>
  <si>
    <t>2024-2026</t>
  </si>
  <si>
    <t>val</t>
  </si>
  <si>
    <t>ŠMS</t>
  </si>
  <si>
    <t>x</t>
  </si>
  <si>
    <t>Gro</t>
  </si>
  <si>
    <t>koll</t>
  </si>
  <si>
    <t>D</t>
  </si>
  <si>
    <t>shválení nová akce  ŠMS</t>
  </si>
  <si>
    <t>Zem</t>
  </si>
  <si>
    <t>Hra</t>
  </si>
  <si>
    <t>Heř</t>
  </si>
  <si>
    <t>Fáb</t>
  </si>
  <si>
    <t>Hrab</t>
  </si>
  <si>
    <t>2018-2026</t>
  </si>
  <si>
    <t>posun v letech   (kofi profi)</t>
  </si>
  <si>
    <t>Koc</t>
  </si>
  <si>
    <t>Chlu</t>
  </si>
  <si>
    <t>2019-2026</t>
  </si>
  <si>
    <t>K</t>
  </si>
  <si>
    <t>přesun úvěr do dalšího roku posun realizace akce</t>
  </si>
  <si>
    <t>2024-2027</t>
  </si>
  <si>
    <t xml:space="preserve">Gro/ RIA </t>
  </si>
  <si>
    <t>2020-2027</t>
  </si>
  <si>
    <t>Dok</t>
  </si>
  <si>
    <t>Běl</t>
  </si>
  <si>
    <t>2023-2028</t>
  </si>
  <si>
    <t>Koz</t>
  </si>
  <si>
    <t>2021-2027</t>
  </si>
  <si>
    <t>Hrn</t>
  </si>
  <si>
    <t>2022-2026</t>
  </si>
  <si>
    <t>čmiel</t>
  </si>
  <si>
    <t>2025-2028</t>
  </si>
  <si>
    <t>hrab</t>
  </si>
  <si>
    <t>navýšení  celkových nákladů</t>
  </si>
  <si>
    <t>gro</t>
  </si>
  <si>
    <t>EP K</t>
  </si>
  <si>
    <t>shválení nová akce  ZDR</t>
  </si>
  <si>
    <t>Koll</t>
  </si>
  <si>
    <t>navýšení</t>
  </si>
  <si>
    <t>navýšení celk nákladů a posun závazku v letech</t>
  </si>
  <si>
    <t>navýšení, posun v letech</t>
  </si>
  <si>
    <t>2024-2028</t>
  </si>
  <si>
    <t>3122, 3231</t>
  </si>
  <si>
    <t>5xxx</t>
  </si>
  <si>
    <t>navýšení a vráceno na akce výše posuny kofi profi</t>
  </si>
  <si>
    <t>Kam</t>
  </si>
  <si>
    <t xml:space="preserve"> 6xxx</t>
  </si>
  <si>
    <t>posun v letevh , navýšení  celkových  nákladů</t>
  </si>
  <si>
    <t>snížení závazku v roce 2026 ukončení akce</t>
  </si>
  <si>
    <t>Sýk</t>
  </si>
  <si>
    <t xml:space="preserve">snížení závazku v roce 2026 </t>
  </si>
  <si>
    <t>snížení závazku v roce 2026 přeschválení akce na jinou</t>
  </si>
  <si>
    <t>SOC</t>
  </si>
  <si>
    <t>heř</t>
  </si>
  <si>
    <t>KULT</t>
  </si>
  <si>
    <t>Navýšení akce po zpracované PD příspěvkovou organizací, bude řešit odbor kultury na poradě vedení</t>
  </si>
  <si>
    <t>Hazuk</t>
  </si>
  <si>
    <t>Val</t>
  </si>
  <si>
    <t>2025-2027</t>
  </si>
  <si>
    <t>Štěp</t>
  </si>
  <si>
    <t>Chlum</t>
  </si>
  <si>
    <t>ZDR</t>
  </si>
  <si>
    <t>posun v letech a navýšení z vlastních  prostředků PO - z aktualizace PD vzešla vyšší cena</t>
  </si>
  <si>
    <t xml:space="preserve">Fáb </t>
  </si>
  <si>
    <t>2021-2026</t>
  </si>
  <si>
    <t>Fab, Dok</t>
  </si>
  <si>
    <t>posun v  zrychlení realizace akce</t>
  </si>
  <si>
    <t>5169,5331,6351</t>
  </si>
  <si>
    <t>snížení závazku v letech 2026-2028 z důvodu  zrušení akce</t>
  </si>
  <si>
    <t>CELKEM</t>
  </si>
  <si>
    <t>Kategorie změn:</t>
  </si>
  <si>
    <t>Celková změna rozpočtu 2025</t>
  </si>
  <si>
    <t>kontrola- přesun zdroje</t>
  </si>
  <si>
    <t xml:space="preserve">1 - Změna financování a změna závazků  Moravskoslezského kraje  </t>
  </si>
  <si>
    <t>přesunujeme do  zdrojů rozpočtu 2026 z toho IDTP 409,698,8is Kč a RIA 103 030 tis Kč</t>
  </si>
  <si>
    <t>Závazky změna (navýšení) oproti původnímu schválení  2027</t>
  </si>
  <si>
    <t>Závazky změna (navýšení) oproti původnímu schválení  2028</t>
  </si>
  <si>
    <t>Závazky navýšení 2029</t>
  </si>
  <si>
    <t>celkové navýšení v letech</t>
  </si>
  <si>
    <t>3 - zrušení akce v letech 2025-2028</t>
  </si>
  <si>
    <r>
      <rPr>
        <b/>
        <sz val="8"/>
        <color rgb="FF000000"/>
        <rFont val="Arial"/>
        <family val="2"/>
        <charset val="238"/>
      </rPr>
      <t>Novostavba garáží a dílen v areálu cestmistrovství Frýdek-Místek Správy silnic Moravskoslezského kraje, p. o.</t>
    </r>
    <r>
      <rPr>
        <sz val="8"/>
        <color rgb="FF000000"/>
        <rFont val="Arial"/>
        <family val="2"/>
        <charset val="238"/>
      </rPr>
      <t xml:space="preserve"> (Správa silnic Moravskoslezského kraje, příspěvková organizace)</t>
    </r>
  </si>
  <si>
    <r>
      <rPr>
        <b/>
        <sz val="8"/>
        <color rgb="FF000000"/>
        <rFont val="Arial"/>
        <family val="2"/>
        <charset val="238"/>
      </rPr>
      <t>Rekonstrukce budovy krajského úřadu</t>
    </r>
    <r>
      <rPr>
        <sz val="8"/>
        <color indexed="8"/>
        <rFont val="Arial"/>
        <family val="2"/>
        <charset val="238"/>
      </rPr>
      <t xml:space="preserve"> (KÚ MSK)</t>
    </r>
  </si>
  <si>
    <r>
      <rPr>
        <b/>
        <sz val="8"/>
        <color theme="1"/>
        <rFont val="Arial"/>
        <family val="2"/>
        <charset val="238"/>
      </rPr>
      <t>Rekonstrukce objektu školní jídelny</t>
    </r>
    <r>
      <rPr>
        <sz val="8"/>
        <color theme="1"/>
        <rFont val="Arial"/>
        <family val="2"/>
        <charset val="238"/>
      </rPr>
      <t xml:space="preserve"> (Základní škola a Mateřská škola pro sluchově postižené a vady řeči, Ostrava-Poruba, příspěvková organizace)</t>
    </r>
  </si>
  <si>
    <r>
      <rPr>
        <b/>
        <sz val="8"/>
        <color rgb="FF000000"/>
        <rFont val="Arial"/>
        <family val="2"/>
        <charset val="238"/>
      </rPr>
      <t xml:space="preserve">Revitalizace zahrady a zpevněných ploch </t>
    </r>
    <r>
      <rPr>
        <sz val="8"/>
        <color rgb="FF000000"/>
        <rFont val="Arial"/>
        <family val="2"/>
        <charset val="238"/>
      </rPr>
      <t>(Základní škola, Dětský domov, Školní družina a Školní jídelna, Vrbno p. Pradědem, nám. Sv. Michala 17, příspěvková organizace)</t>
    </r>
  </si>
  <si>
    <r>
      <rPr>
        <b/>
        <sz val="8"/>
        <rFont val="Arial"/>
        <family val="2"/>
        <charset val="238"/>
      </rPr>
      <t>Rekonstrukce elektroinstalace a zdravotechniky</t>
    </r>
    <r>
      <rPr>
        <sz val="8"/>
        <rFont val="Arial"/>
        <family val="2"/>
        <charset val="238"/>
      </rPr>
      <t xml:space="preserve"> (Hotelová škola, Frenštát pod Radhoštěm, příspěvková organizace)</t>
    </r>
  </si>
  <si>
    <r>
      <rPr>
        <b/>
        <sz val="8"/>
        <color rgb="FF000000"/>
        <rFont val="Arial"/>
        <family val="2"/>
        <charset val="238"/>
      </rPr>
      <t xml:space="preserve">Úprava zpevněných ploch </t>
    </r>
    <r>
      <rPr>
        <sz val="8"/>
        <color indexed="8"/>
        <rFont val="Arial"/>
        <family val="2"/>
        <charset val="238"/>
      </rPr>
      <t>(Střední škola průmyslová a umělecká, Opava,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</si>
  <si>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sociálního zařízení </t>
    </r>
    <r>
      <rPr>
        <sz val="8"/>
        <color rgb="FF000000"/>
        <rFont val="Arial"/>
        <family val="2"/>
        <charset val="238"/>
      </rPr>
      <t>(Základní škola, Ostrava-Slezská Ostrava, Na Vizině 28, příspěvková organizace</t>
    </r>
    <r>
      <rPr>
        <b/>
        <sz val="8"/>
        <color rgb="FF000000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</si>
  <si>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Rekonstrukce kuchyně a jídelny</t>
    </r>
    <r>
      <rPr>
        <sz val="8"/>
        <rFont val="Arial"/>
        <family val="2"/>
        <charset val="238"/>
      </rPr>
      <t xml:space="preserve"> (Střední škola a Vyšší odborná škola, Kopřivnice,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</si>
  <si>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školní kuchyně a jídelny </t>
    </r>
    <r>
      <rPr>
        <sz val="8"/>
        <color rgb="FF000000"/>
        <rFont val="Arial"/>
        <family val="2"/>
        <charset val="238"/>
      </rPr>
      <t>(Gymnázium, Nový Jičín, příspěvková organizace)</t>
    </r>
  </si>
  <si>
    <r>
      <rPr>
        <b/>
        <sz val="8"/>
        <rFont val="Arial"/>
        <family val="2"/>
        <charset val="238"/>
      </rPr>
      <t xml:space="preserve">Vybudování účeben pro CLS </t>
    </r>
    <r>
      <rPr>
        <sz val="8"/>
        <rFont val="Arial"/>
        <family val="2"/>
        <charset val="238"/>
      </rPr>
      <t>(Gymnázium a Střední průmyslová škola elektrotechniky a informatiky, Frenštát pod Radhoštěm,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</si>
  <si>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</t>
    </r>
    <r>
      <rPr>
        <sz val="8"/>
        <color rgb="FF000000"/>
        <rFont val="Arial"/>
        <family val="2"/>
        <charset val="238"/>
      </rPr>
      <t xml:space="preserve"> (Střední škola techniky a služeb, Karviná, příspěvková organizace)</t>
    </r>
    <r>
      <rPr>
        <b/>
        <sz val="12"/>
        <color rgb="FFFF0000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</si>
  <si>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Rekonstrukce elektroinstalace</t>
    </r>
    <r>
      <rPr>
        <sz val="8"/>
        <rFont val="Arial"/>
        <family val="2"/>
        <charset val="238"/>
      </rPr>
      <t xml:space="preserve"> (Matiční gymnázium, Ostrava,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</si>
  <si>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</t>
    </r>
    <r>
      <rPr>
        <sz val="8"/>
        <color rgb="FF000000"/>
        <rFont val="Arial"/>
        <family val="2"/>
        <charset val="238"/>
      </rPr>
      <t xml:space="preserve">  Gymnázium Hladnov a Jazyková škola s právem státní jazykové zkoušky, Ostrava, příspěvková organizace</t>
    </r>
  </si>
  <si>
    <r>
      <rPr>
        <b/>
        <sz val="8"/>
        <color theme="1"/>
        <rFont val="Tahoma"/>
        <family val="2"/>
        <charset val="238"/>
      </rPr>
      <t>Rekonstrukce zdroje vytápění - tepelné čerpadlo</t>
    </r>
    <r>
      <rPr>
        <sz val="8"/>
        <color theme="1"/>
        <rFont val="Tahoma"/>
        <family val="2"/>
        <charset val="238"/>
      </rPr>
      <t xml:space="preserve"> (Dětský domov a Školní jídelna, Frýdek-Místek, příspěvková organizace)</t>
    </r>
  </si>
  <si>
    <r>
      <rPr>
        <b/>
        <sz val="8"/>
        <color rgb="FF000000"/>
        <rFont val="Arial"/>
        <family val="2"/>
        <charset val="238"/>
      </rPr>
      <t xml:space="preserve">Sportovní areál na ul. Komenského, Opava </t>
    </r>
    <r>
      <rPr>
        <sz val="8"/>
        <color rgb="FF000000"/>
        <rFont val="Arial"/>
        <family val="2"/>
        <charset val="238"/>
      </rPr>
      <t>(Mendelovo gymnázium, Opava, příspěvková organizace)</t>
    </r>
  </si>
  <si>
    <r>
      <rPr>
        <b/>
        <sz val="8"/>
        <color rgb="FF000000"/>
        <rFont val="Arial"/>
        <family val="2"/>
        <charset val="238"/>
      </rPr>
      <t>Rekonstrukce sportovní haly včetně zázemí (BIM)</t>
    </r>
    <r>
      <rPr>
        <sz val="8"/>
        <color rgb="FF000000"/>
        <rFont val="Arial"/>
        <family val="2"/>
        <charset val="238"/>
      </rPr>
      <t xml:space="preserve"> (Střední průmyslová škola, Obchodní akademie a Jazyková škola s právem státní jazykové zkoušky, Frýdek-Místek, příspěvková organizace)</t>
    </r>
  </si>
  <si>
    <r>
      <rPr>
        <b/>
        <sz val="8"/>
        <color rgb="FF000000"/>
        <rFont val="Arial"/>
        <family val="2"/>
        <charset val="238"/>
      </rPr>
      <t>Využití objektu v Bílé - příprava</t>
    </r>
    <r>
      <rPr>
        <sz val="8"/>
        <color rgb="FF000000"/>
        <rFont val="Arial"/>
        <family val="2"/>
        <charset val="238"/>
      </rPr>
      <t xml:space="preserve"> (Vzdělávací a sportovní centrum Bílá, příspěvková organizace)</t>
    </r>
  </si>
  <si>
    <r>
      <rPr>
        <b/>
        <sz val="8"/>
        <color rgb="FF000000"/>
        <rFont val="Arial"/>
        <family val="2"/>
        <charset val="238"/>
      </rPr>
      <t>Optimalizace využívaných prostor SŠP Krnov</t>
    </r>
    <r>
      <rPr>
        <sz val="8"/>
        <color indexed="8"/>
        <rFont val="Arial"/>
        <family val="2"/>
        <charset val="238"/>
      </rPr>
      <t xml:space="preserve"> (Střední škola průmyslová, Krnov, příspěvková organizace)</t>
    </r>
  </si>
  <si>
    <r>
      <rPr>
        <b/>
        <sz val="8"/>
        <color rgb="FF000000"/>
        <rFont val="Arial"/>
        <family val="2"/>
        <charset val="238"/>
      </rPr>
      <t>Revitalizace Slezského gymnázia</t>
    </r>
    <r>
      <rPr>
        <sz val="8"/>
        <color rgb="FF000000"/>
        <rFont val="Arial"/>
        <family val="2"/>
        <charset val="238"/>
      </rPr>
      <t xml:space="preserve"> (Slezské gymnázium, Opava, příspěvková organizace)</t>
    </r>
  </si>
  <si>
    <r>
      <rPr>
        <b/>
        <sz val="8"/>
        <color rgb="FF000000"/>
        <rFont val="Arial"/>
        <family val="2"/>
        <charset val="238"/>
      </rPr>
      <t>Výstavba ředitelství včetně spojovacích chodeb</t>
    </r>
    <r>
      <rPr>
        <sz val="8"/>
        <color rgb="FF000000"/>
        <rFont val="Arial"/>
        <family val="2"/>
        <charset val="238"/>
      </rPr>
      <t xml:space="preserve"> (Střední škola technická a dopravní, Ostrava-Vítkovice, příspěvková organizace)</t>
    </r>
  </si>
  <si>
    <r>
      <rPr>
        <b/>
        <sz val="8"/>
        <color rgb="FF000000"/>
        <rFont val="Arial"/>
        <family val="2"/>
        <charset val="238"/>
      </rPr>
      <t xml:space="preserve">Přístavba tělocvičny Sportovního gymnázia Dany a Emila Zátopkových </t>
    </r>
    <r>
      <rPr>
        <sz val="8"/>
        <color rgb="FF000000"/>
        <rFont val="Arial"/>
        <family val="2"/>
        <charset val="238"/>
      </rPr>
      <t>(Sportovní gymnázium Dany a Emila Zátopkových, Ostrava, příspěvková organizace)</t>
    </r>
  </si>
  <si>
    <r>
      <rPr>
        <b/>
        <sz val="8"/>
        <color rgb="FF000000"/>
        <rFont val="Arial"/>
        <family val="2"/>
        <charset val="238"/>
      </rPr>
      <t>Stavební úpravy objektu domova mládeže pro potřeby VOŠ</t>
    </r>
    <r>
      <rPr>
        <sz val="8"/>
        <color rgb="FF000000"/>
        <rFont val="Arial"/>
        <family val="2"/>
        <charset val="238"/>
      </rPr>
      <t xml:space="preserve"> (Obchodní akademie a Vyšší odborná škola sociálně právní, Ostrava-Mariánské Hory, příspěvková organizace)</t>
    </r>
  </si>
  <si>
    <r>
      <rPr>
        <b/>
        <sz val="8"/>
        <color rgb="FF000000"/>
        <rFont val="Arial"/>
        <family val="2"/>
        <charset val="238"/>
      </rPr>
      <t>Stavební úpravy objektů na ulicích Divadelní a Čapkova (</t>
    </r>
    <r>
      <rPr>
        <sz val="8"/>
        <color rgb="FF000000"/>
        <rFont val="Arial"/>
        <family val="2"/>
        <charset val="238"/>
      </rPr>
      <t>Základní umělecká škola, Čapkova 6, Rýmařov, příspěvková organizace)</t>
    </r>
  </si>
  <si>
    <r>
      <rPr>
        <b/>
        <sz val="8"/>
        <color rgb="FF000000"/>
        <rFont val="Arial"/>
        <family val="2"/>
        <charset val="238"/>
      </rPr>
      <t xml:space="preserve">Modernizace Školního statku  Opava II (posklizňová linka) </t>
    </r>
    <r>
      <rPr>
        <sz val="8"/>
        <color rgb="FF000000"/>
        <rFont val="Arial"/>
        <family val="2"/>
        <charset val="238"/>
      </rPr>
      <t>Školní statek. Opava, příspěvková organizace</t>
    </r>
  </si>
  <si>
    <r>
      <t xml:space="preserve">Přístavba mateřské školy </t>
    </r>
    <r>
      <rPr>
        <sz val="8"/>
        <color rgb="FF000000"/>
        <rFont val="Arial"/>
        <family val="2"/>
        <charset val="238"/>
      </rPr>
      <t>(Mateřská škola Eliška, Opava, příspěvková organizace)</t>
    </r>
  </si>
  <si>
    <r>
      <t xml:space="preserve">Rekonstrukce zdroje vytápění centrální kotelny </t>
    </r>
    <r>
      <rPr>
        <sz val="8"/>
        <color rgb="FF000000"/>
        <rFont val="Arial"/>
        <family val="2"/>
        <charset val="238"/>
      </rPr>
      <t>(Střední škola technická, Opava, Kolofíkovo nábřeží 51, příspěvková organizace)</t>
    </r>
  </si>
  <si>
    <r>
      <rPr>
        <b/>
        <sz val="8"/>
        <color rgb="FF000000"/>
        <rFont val="Arial"/>
        <family val="2"/>
        <charset val="238"/>
      </rPr>
      <t>Rekonstrukce zdravotechniky</t>
    </r>
    <r>
      <rPr>
        <sz val="8"/>
        <color rgb="FF000000"/>
        <rFont val="Arial"/>
        <family val="2"/>
        <charset val="238"/>
      </rPr>
      <t xml:space="preserve"> (Obchodní akademie, Ostrava-Poruba, příspěvková organizace)</t>
    </r>
  </si>
  <si>
    <r>
      <rPr>
        <b/>
        <sz val="8"/>
        <color rgb="FF000000"/>
        <rFont val="Arial"/>
        <family val="2"/>
        <charset val="238"/>
      </rPr>
      <t>Rekonstrukce provozních prostor kuchyně</t>
    </r>
    <r>
      <rPr>
        <sz val="8"/>
        <color rgb="FF000000"/>
        <rFont val="Arial"/>
        <family val="2"/>
        <charset val="238"/>
      </rPr>
      <t xml:space="preserve"> (Střední škola řemesel, Frýdek-Místek,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</si>
  <si>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elektroinstalace </t>
    </r>
    <r>
      <rPr>
        <sz val="8"/>
        <color rgb="FF000000"/>
        <rFont val="Arial"/>
        <family val="2"/>
        <charset val="238"/>
      </rPr>
      <t>(Obchodní akademie a Vyšší odborná škola sociálně právní, Ostrava, příspěvková organizace)</t>
    </r>
  </si>
  <si>
    <r>
      <rPr>
        <b/>
        <sz val="8"/>
        <color theme="1"/>
        <rFont val="Arial"/>
        <family val="2"/>
        <charset val="238"/>
      </rPr>
      <t xml:space="preserve">Rekonstrukce elektroinstalace a hygienických zařízení </t>
    </r>
    <r>
      <rPr>
        <sz val="8"/>
        <color theme="1"/>
        <rFont val="Arial"/>
        <family val="2"/>
        <charset val="238"/>
      </rPr>
      <t>(Základní škola a Mateřská škola pro sluchově postižené a vady řeči, Ostrava-Poruba, příspěvková organizace)</t>
    </r>
  </si>
  <si>
    <r>
      <rPr>
        <b/>
        <sz val="8"/>
        <color theme="1"/>
        <rFont val="Arial"/>
        <family val="2"/>
        <charset val="238"/>
      </rPr>
      <t>Rekonstrukce elektroinstalace budovy A1</t>
    </r>
    <r>
      <rPr>
        <sz val="8"/>
        <color theme="1"/>
        <rFont val="Arial"/>
        <family val="2"/>
        <charset val="238"/>
      </rPr>
      <t xml:space="preserve"> (Střední škola a Základní škola, Havířov-Šumbark, příspěvková organizace)</t>
    </r>
  </si>
  <si>
    <r>
      <rPr>
        <b/>
        <sz val="8"/>
        <color theme="1"/>
        <rFont val="Arial"/>
        <family val="2"/>
        <charset val="238"/>
      </rPr>
      <t xml:space="preserve">Rekonstrukce reprezentačního sálu včetně zázemí </t>
    </r>
    <r>
      <rPr>
        <sz val="8"/>
        <color theme="1"/>
        <rFont val="Arial"/>
        <family val="2"/>
        <charset val="238"/>
      </rPr>
      <t>(Základní umělecká škola Leoše Janáčka, Havířov, příspěvková organizace)</t>
    </r>
  </si>
  <si>
    <r>
      <t>Sanace obvodového zdiva</t>
    </r>
    <r>
      <rPr>
        <sz val="8"/>
        <color rgb="FF000000"/>
        <rFont val="Arial"/>
        <family val="2"/>
        <charset val="238"/>
      </rPr>
      <t xml:space="preserve"> (Základní škola, Ostrava-Zábřeh,  Kpt. Vajdy 1a, příspěvková organizace)</t>
    </r>
  </si>
  <si>
    <r>
      <rPr>
        <b/>
        <sz val="8"/>
        <color rgb="FF000000"/>
        <rFont val="Arial"/>
        <family val="2"/>
        <charset val="238"/>
      </rPr>
      <t>Rekonstrukce sociálních zařízení a zdravotechniky</t>
    </r>
    <r>
      <rPr>
        <sz val="8"/>
        <color indexed="8"/>
        <rFont val="Arial"/>
        <family val="2"/>
        <charset val="238"/>
      </rPr>
      <t xml:space="preserve"> (Střední škola, Havířov-Prostřední Suchá,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</si>
  <si>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 v Domově mládeže</t>
    </r>
    <r>
      <rPr>
        <sz val="8"/>
        <color indexed="8"/>
        <rFont val="Arial"/>
        <family val="2"/>
        <charset val="238"/>
      </rPr>
      <t xml:space="preserve"> (Masarykova střední škola zemědělská a přírodovědná, Opava, příspěvková organizace)</t>
    </r>
  </si>
  <si>
    <r>
      <rPr>
        <b/>
        <sz val="8"/>
        <color rgb="FF000000"/>
        <rFont val="Arial"/>
        <family val="2"/>
        <charset val="238"/>
      </rPr>
      <t xml:space="preserve">Revitalizace tělocvičny </t>
    </r>
    <r>
      <rPr>
        <sz val="8"/>
        <color rgb="FF000000"/>
        <rFont val="Arial"/>
        <family val="2"/>
        <charset val="238"/>
      </rPr>
      <t>(Střední průmyslová škola elektrotechnická, Havířov,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</si>
  <si>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obvodového pláště </t>
    </r>
    <r>
      <rPr>
        <sz val="8"/>
        <color rgb="FF000000"/>
        <rFont val="Arial"/>
        <family val="2"/>
        <charset val="238"/>
      </rPr>
      <t>(Mendelova střední škola, Nový Jičín,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</si>
  <si>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 suterénu školy a spojovacího krčku </t>
    </r>
    <r>
      <rPr>
        <sz val="8"/>
        <color rgb="FF000000"/>
        <rFont val="Arial"/>
        <family val="2"/>
        <charset val="238"/>
      </rPr>
      <t>(Střední odborná škola a Základní škola, Město Albrechtice,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</si>
  <si>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elektroinstalace a zdravotně technické instalace </t>
    </r>
    <r>
      <rPr>
        <sz val="8"/>
        <color rgb="FF000000"/>
        <rFont val="Arial"/>
        <family val="2"/>
        <charset val="238"/>
      </rPr>
      <t>(Gymnázium, Ostrava-Hrabůvka, příspěvková organizace)</t>
    </r>
  </si>
  <si>
    <r>
      <rPr>
        <b/>
        <sz val="8"/>
        <rFont val="Arial"/>
        <family val="2"/>
        <charset val="238"/>
      </rPr>
      <t>Rekonstrukce  elektroinstalace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(Střední zdravotnická škola a Vyšší odborná škola zdravotnická, Ostrava,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</si>
  <si>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 (</t>
    </r>
    <r>
      <rPr>
        <sz val="8"/>
        <color rgb="FF000000"/>
        <rFont val="Arial"/>
        <family val="2"/>
        <charset val="238"/>
      </rPr>
      <t>Základní škola speciální, Ostrava-Slezská Ostrava, příspěvková organizace)</t>
    </r>
  </si>
  <si>
    <r>
      <rPr>
        <b/>
        <sz val="8"/>
        <color rgb="FF000000"/>
        <rFont val="Arial"/>
        <family val="2"/>
        <charset val="238"/>
      </rPr>
      <t xml:space="preserve">Oprava objektů po požáru </t>
    </r>
    <r>
      <rPr>
        <sz val="8"/>
        <color rgb="FF000000"/>
        <rFont val="Arial"/>
        <family val="2"/>
        <charset val="238"/>
      </rPr>
      <t>(Obchodní akademie, Český Těšín, příspěvková organizace a Základní umělecká škola Pavla Kalety, Český Těšín,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</si>
  <si>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 včetně výměny osvětlovacích těles</t>
    </r>
    <r>
      <rPr>
        <sz val="8"/>
        <color rgb="FF000000"/>
        <rFont val="Arial"/>
        <family val="2"/>
        <charset val="238"/>
      </rPr>
      <t xml:space="preserve"> (Střední škola, Základní škola a Mateřská škola, Karviná,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</si>
  <si>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zdravotechniky a elektroinstalace v budově A </t>
    </r>
    <r>
      <rPr>
        <sz val="8"/>
        <color rgb="FF000000"/>
        <rFont val="Arial"/>
        <family val="2"/>
        <charset val="238"/>
      </rPr>
      <t>(Střední škola prof. Zdeňka Matějčka, Ostrava-Poruba, příspěvková organizace)</t>
    </r>
  </si>
  <si>
    <r>
      <rPr>
        <b/>
        <sz val="8"/>
        <color rgb="FF000000"/>
        <rFont val="Arial"/>
        <family val="2"/>
        <charset val="238"/>
      </rPr>
      <t>Sanace zdiva</t>
    </r>
    <r>
      <rPr>
        <sz val="8"/>
        <color rgb="FF000000"/>
        <rFont val="Arial"/>
        <family val="2"/>
        <charset val="238"/>
      </rPr>
      <t xml:space="preserve"> (Gymnázium Josefa Kainara, Hlučín, příspěvková organizace)</t>
    </r>
  </si>
  <si>
    <r>
      <rPr>
        <b/>
        <sz val="8"/>
        <color theme="1"/>
        <rFont val="Arial"/>
        <family val="2"/>
        <charset val="238"/>
      </rPr>
      <t>Optimalizace výukových prostor pracoviště Vítkov</t>
    </r>
    <r>
      <rPr>
        <sz val="8"/>
        <color theme="1"/>
        <rFont val="Arial"/>
        <family val="2"/>
        <charset val="238"/>
      </rPr>
      <t xml:space="preserve">  (Základní škola, Vítkov, nám. J. Zajíce č. 1, příspěvková organizace)</t>
    </r>
  </si>
  <si>
    <r>
      <rPr>
        <b/>
        <sz val="8"/>
        <color rgb="FF000000"/>
        <rFont val="Arial"/>
        <family val="2"/>
        <charset val="238"/>
      </rPr>
      <t>Rekonstrukce hygienického zařízení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(Mateřská škola Paraplíčko, Havířov, příspěvková organizace)</t>
    </r>
  </si>
  <si>
    <r>
      <rPr>
        <b/>
        <sz val="8"/>
        <color theme="1"/>
        <rFont val="Arial"/>
        <family val="2"/>
        <charset val="238"/>
      </rPr>
      <t xml:space="preserve">Rekonstrukce bazénu a sprch </t>
    </r>
    <r>
      <rPr>
        <sz val="8"/>
        <color theme="1"/>
        <rFont val="Arial"/>
        <family val="2"/>
        <charset val="238"/>
      </rPr>
      <t>(Střední škola řemesel, Frýdek-Místek, příspěvková organizace)</t>
    </r>
  </si>
  <si>
    <r>
      <rPr>
        <b/>
        <sz val="8"/>
        <color rgb="FF000000"/>
        <rFont val="Arial"/>
        <family val="2"/>
        <charset val="238"/>
      </rPr>
      <t xml:space="preserve">Výstavba administrativní budovy </t>
    </r>
    <r>
      <rPr>
        <sz val="8"/>
        <color rgb="FF000000"/>
        <rFont val="Arial"/>
        <family val="2"/>
        <charset val="238"/>
      </rPr>
      <t>(Fontána, příspěvková organizace)</t>
    </r>
  </si>
  <si>
    <r>
      <t>Rekonstrukce správní budovy (</t>
    </r>
    <r>
      <rPr>
        <sz val="8"/>
        <color rgb="FF000000"/>
        <rFont val="Arial"/>
        <family val="2"/>
        <charset val="238"/>
      </rPr>
      <t>Domov Březiny, příspěvková organizace, Petřvald)</t>
    </r>
  </si>
  <si>
    <r>
      <t xml:space="preserve">Výstavba nového objektu v Bruntále </t>
    </r>
    <r>
      <rPr>
        <sz val="8"/>
        <color rgb="FF000000"/>
        <rFont val="Arial"/>
        <family val="2"/>
        <charset val="238"/>
      </rPr>
      <t>(Centrum psychologické pomoci, příspěvková organizace, Karviná)</t>
    </r>
  </si>
  <si>
    <r>
      <rPr>
        <b/>
        <sz val="8"/>
        <color rgb="FF000000"/>
        <rFont val="Arial"/>
        <family val="2"/>
        <charset val="238"/>
      </rPr>
      <t>Hrad Sovinec – revitalizace vstupní části objektu</t>
    </r>
    <r>
      <rPr>
        <sz val="8"/>
        <color indexed="8"/>
        <rFont val="Arial"/>
        <family val="2"/>
        <charset val="238"/>
      </rPr>
      <t xml:space="preserve">  Muzeum v Bruntále, příspěvková organizace, příspěvková organizace</t>
    </r>
  </si>
  <si>
    <r>
      <rPr>
        <b/>
        <sz val="8"/>
        <color rgb="FF000000"/>
        <rFont val="Arial"/>
        <family val="2"/>
        <charset val="238"/>
      </rPr>
      <t>Nová expozice Technického muzea Tatra v Kopřivnici - muzeum osobních vozidel</t>
    </r>
    <r>
      <rPr>
        <sz val="8"/>
        <color rgb="FF000000"/>
        <rFont val="Arial"/>
        <family val="2"/>
        <charset val="238"/>
      </rPr>
      <t xml:space="preserve"> (Muzeum Novojičínska, příspěvková organizace)</t>
    </r>
  </si>
  <si>
    <r>
      <rPr>
        <b/>
        <sz val="8"/>
        <color rgb="FF000000"/>
        <rFont val="Arial"/>
        <family val="2"/>
        <charset val="238"/>
      </rPr>
      <t xml:space="preserve">Zámek Bruntál - revitalizace objektu II </t>
    </r>
    <r>
      <rPr>
        <sz val="8"/>
        <color rgb="FF000000"/>
        <rFont val="Arial"/>
        <family val="2"/>
        <charset val="238"/>
      </rPr>
      <t xml:space="preserve"> (Muzeum v Bruntále, příspěvková organizace)</t>
    </r>
  </si>
  <si>
    <r>
      <rPr>
        <b/>
        <sz val="8"/>
        <color rgb="FF000000"/>
        <rFont val="Arial"/>
        <family val="2"/>
        <charset val="238"/>
      </rPr>
      <t>Muzeum osobních automobilů Tatra Kopřivnice</t>
    </r>
    <r>
      <rPr>
        <sz val="8"/>
        <color rgb="FF000000"/>
        <rFont val="Arial"/>
        <family val="2"/>
        <charset val="238"/>
      </rPr>
      <t xml:space="preserve">  (Muzeum Novojičínska, příspěvková organizace)</t>
    </r>
  </si>
  <si>
    <r>
      <rPr>
        <b/>
        <sz val="8"/>
        <color rgb="FF000000"/>
        <rFont val="Arial"/>
        <family val="2"/>
        <charset val="238"/>
      </rPr>
      <t>Revitalizace frýdeckého zámku</t>
    </r>
    <r>
      <rPr>
        <sz val="8"/>
        <color rgb="FF000000"/>
        <rFont val="Arial"/>
        <family val="2"/>
        <charset val="238"/>
      </rPr>
      <t xml:space="preserve"> (Muzeum Beskyd Frýdek-Místek, příspěvková organizace)</t>
    </r>
  </si>
  <si>
    <r>
      <rPr>
        <b/>
        <sz val="8"/>
        <color theme="1"/>
        <rFont val="Arial"/>
        <family val="2"/>
        <charset val="238"/>
      </rPr>
      <t>Rekonstrukce dětského oddělení vč. DIP (</t>
    </r>
    <r>
      <rPr>
        <sz val="8"/>
        <color theme="1"/>
        <rFont val="Arial"/>
        <family val="2"/>
        <charset val="238"/>
      </rPr>
      <t>Nemocnice ve Frýdku-Místku, příspěvková organizace)</t>
    </r>
  </si>
  <si>
    <r>
      <rPr>
        <b/>
        <sz val="8"/>
        <color rgb="FF000000"/>
        <rFont val="Tahoma"/>
        <family val="2"/>
        <charset val="238"/>
      </rPr>
      <t xml:space="preserve">Rekonstrukce fasády a střech objektu kotelny a přístřešku </t>
    </r>
    <r>
      <rPr>
        <sz val="8"/>
        <color rgb="FF000000"/>
        <rFont val="Tahoma"/>
        <family val="2"/>
        <charset val="238"/>
      </rPr>
      <t>(Nemocnice Třinec, příspěvková organizace)</t>
    </r>
  </si>
  <si>
    <r>
      <rPr>
        <b/>
        <sz val="8"/>
        <color theme="1"/>
        <rFont val="Tahoma"/>
        <family val="2"/>
        <charset val="238"/>
      </rPr>
      <t>Rekonstrukce kanalizace</t>
    </r>
    <r>
      <rPr>
        <sz val="8"/>
        <color theme="1"/>
        <rFont val="Tahoma"/>
        <family val="2"/>
        <charset val="238"/>
      </rPr>
      <t xml:space="preserve"> (Nemocnice Třinec, příspěvková organizace)</t>
    </r>
  </si>
  <si>
    <r>
      <rPr>
        <b/>
        <sz val="8"/>
        <color rgb="FF000000"/>
        <rFont val="Arial"/>
        <family val="2"/>
        <charset val="238"/>
      </rPr>
      <t>Středisko krizového řízení s heliportem pro noční přistávání (</t>
    </r>
    <r>
      <rPr>
        <sz val="8"/>
        <color rgb="FF000000"/>
        <rFont val="Arial"/>
        <family val="2"/>
        <charset val="238"/>
      </rPr>
      <t>Sdružené zdravotnické zařízení Krnov, příspěvková organizace)</t>
    </r>
  </si>
  <si>
    <r>
      <rPr>
        <b/>
        <sz val="8"/>
        <color rgb="FF000000"/>
        <rFont val="Arial"/>
        <family val="2"/>
        <charset val="238"/>
      </rPr>
      <t>Úpravy vnitřních prostor výjezdových skupin Orlová</t>
    </r>
    <r>
      <rPr>
        <sz val="8"/>
        <color rgb="FF000000"/>
        <rFont val="Arial"/>
        <family val="2"/>
        <charset val="238"/>
      </rPr>
      <t xml:space="preserve"> (Zdravotnická záchranná služba Moravskoslezského kraje,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</si>
  <si>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stravovacího provozu </t>
    </r>
    <r>
      <rPr>
        <sz val="8"/>
        <color rgb="FF000000"/>
        <rFont val="Arial"/>
        <family val="2"/>
        <charset val="238"/>
      </rPr>
      <t>- Karviná (Nemocnice Karviná - Ráj, příspěvková organizace)</t>
    </r>
  </si>
  <si>
    <r>
      <rPr>
        <b/>
        <sz val="8"/>
        <color rgb="FF000000"/>
        <rFont val="Arial"/>
        <family val="2"/>
        <charset val="238"/>
      </rPr>
      <t>Novostavba parkovacího domu v areálu SNO</t>
    </r>
    <r>
      <rPr>
        <sz val="8"/>
        <color rgb="FF000000"/>
        <rFont val="Arial"/>
        <family val="2"/>
        <charset val="238"/>
      </rPr>
      <t xml:space="preserve"> (Slezská nemocnice v Opavě, příspěvková organizace)</t>
    </r>
  </si>
  <si>
    <r>
      <rPr>
        <b/>
        <sz val="8"/>
        <color rgb="FF000000"/>
        <rFont val="Arial"/>
        <family val="2"/>
        <charset val="238"/>
      </rPr>
      <t xml:space="preserve">Zřízení LDN pro pacienty se zvýšeným hygienickým režimem a přesun očního centra </t>
    </r>
    <r>
      <rPr>
        <sz val="8"/>
        <color rgb="FF000000"/>
        <rFont val="Arial"/>
        <family val="2"/>
        <charset val="238"/>
      </rPr>
      <t>(Nemocnice Karviná-Ráj, příspěvková organizace)</t>
    </r>
  </si>
  <si>
    <r>
      <rPr>
        <b/>
        <sz val="8"/>
        <color rgb="FF000000"/>
        <rFont val="Arial"/>
        <family val="2"/>
        <charset val="238"/>
      </rPr>
      <t>Rekonstrukce kanalizace - Karviná</t>
    </r>
    <r>
      <rPr>
        <sz val="8"/>
        <color rgb="FF000000"/>
        <rFont val="Arial"/>
        <family val="2"/>
        <charset val="238"/>
      </rPr>
      <t xml:space="preserve">  (Nemocnice Karviná - Ráj, příspěvková organizace)</t>
    </r>
  </si>
  <si>
    <r>
      <rPr>
        <b/>
        <sz val="8"/>
        <color rgb="FF000000"/>
        <rFont val="Arial"/>
        <family val="2"/>
        <charset val="238"/>
      </rPr>
      <t>Modernizace Odborného léčebného ústavu Metylovice (</t>
    </r>
    <r>
      <rPr>
        <sz val="8"/>
        <color rgb="FF000000"/>
        <rFont val="Arial"/>
        <family val="2"/>
        <charset val="238"/>
      </rPr>
      <t>Odborný léčebný ústav Metylovice - Moravskoslezské sanatorium, příspěvková organizace)</t>
    </r>
  </si>
  <si>
    <r>
      <rPr>
        <b/>
        <sz val="8"/>
        <color rgb="FF000000"/>
        <rFont val="Arial"/>
        <family val="2"/>
        <charset val="238"/>
      </rPr>
      <t>Rekonstrukce objektu SŠ a domova mládeže</t>
    </r>
    <r>
      <rPr>
        <sz val="8"/>
        <color rgb="FF000000"/>
        <rFont val="Arial"/>
        <family val="2"/>
        <charset val="238"/>
      </rPr>
      <t xml:space="preserve"> (Střední škola společného stravování, Ostrava-Hrabůvka, příspěvková organizace)</t>
    </r>
  </si>
  <si>
    <r>
      <rPr>
        <b/>
        <sz val="8"/>
        <color rgb="FF000000"/>
        <rFont val="Arial"/>
        <family val="2"/>
        <charset val="238"/>
      </rPr>
      <t>Rekonstrukce objektu Na Pomez</t>
    </r>
    <r>
      <rPr>
        <sz val="8"/>
        <color rgb="FF000000"/>
        <rFont val="Arial"/>
        <family val="2"/>
        <charset val="238"/>
      </rPr>
      <t>í (Sírius, příspěvková organizace)</t>
    </r>
  </si>
  <si>
    <r>
      <rPr>
        <b/>
        <sz val="11"/>
        <color theme="0"/>
        <rFont val="Tahoma"/>
        <family val="2"/>
        <charset val="238"/>
      </rPr>
      <t>snížení Zuk 2025</t>
    </r>
    <r>
      <rPr>
        <b/>
        <sz val="8"/>
        <color theme="0"/>
        <rFont val="Tahoma"/>
        <family val="2"/>
        <charset val="238"/>
      </rPr>
      <t xml:space="preserve"> v Kč</t>
    </r>
  </si>
  <si>
    <r>
      <t>Závazky změna (snížení) oproti  původnímu schválení  2026</t>
    </r>
    <r>
      <rPr>
        <b/>
        <sz val="8"/>
        <color theme="0"/>
        <rFont val="Tahoma"/>
        <family val="2"/>
        <charset val="238"/>
      </rPr>
      <t xml:space="preserve"> v tis.Kč</t>
    </r>
  </si>
  <si>
    <r>
      <t>2 - navýšení  celkových nákladů akce v roc</t>
    </r>
    <r>
      <rPr>
        <b/>
        <sz val="11"/>
        <color theme="1"/>
        <rFont val="Tahoma"/>
        <family val="2"/>
        <charset val="238"/>
      </rPr>
      <t xml:space="preserve">e 2025 </t>
    </r>
  </si>
  <si>
    <t>změna v letech celkem</t>
  </si>
  <si>
    <r>
      <rPr>
        <b/>
        <sz val="8"/>
        <rFont val="Arial"/>
        <family val="2"/>
        <charset val="238"/>
      </rPr>
      <t xml:space="preserve">Rekonstrukce elektroinstalace v budově jídelny </t>
    </r>
    <r>
      <rPr>
        <sz val="8"/>
        <rFont val="Arial"/>
        <family val="2"/>
        <charset val="238"/>
      </rPr>
      <t>(Střední průmyslová škola a Obchodní akademie, Bruntál, příspěvková organizace)</t>
    </r>
  </si>
  <si>
    <r>
      <rPr>
        <b/>
        <sz val="8"/>
        <rFont val="Arial"/>
        <family val="2"/>
        <charset val="238"/>
      </rPr>
      <t>Oprava střechy Žerotínského zámku</t>
    </r>
    <r>
      <rPr>
        <sz val="8"/>
        <rFont val="Arial"/>
        <family val="2"/>
        <charset val="238"/>
      </rPr>
      <t xml:space="preserve"> (Muzeum Novojičínska, příspěvková organizace)</t>
    </r>
  </si>
  <si>
    <r>
      <t>Novostavba školní družiny  (</t>
    </r>
    <r>
      <rPr>
        <sz val="8"/>
        <rFont val="Arial"/>
        <family val="2"/>
        <charset val="238"/>
      </rPr>
      <t>Střední škola, Základní škola a Mateřská škola, Karviná, příspěvková organizace)</t>
    </r>
  </si>
  <si>
    <r>
      <t>Rekonstrukce budovy CM Hlučín, středisko Opava  (</t>
    </r>
    <r>
      <rPr>
        <sz val="8"/>
        <color rgb="FF000000"/>
        <rFont val="Arial"/>
        <family val="2"/>
        <charset val="238"/>
      </rPr>
      <t>Správa silnic Moravskoslezského kraje, příspěvková organizace)</t>
    </r>
  </si>
  <si>
    <r>
      <rPr>
        <b/>
        <sz val="8"/>
        <rFont val="Arial"/>
        <family val="2"/>
        <charset val="238"/>
      </rPr>
      <t xml:space="preserve">Nová Horka - Revitalizace ledovny a vrátnice </t>
    </r>
    <r>
      <rPr>
        <sz val="8"/>
        <rFont val="Arial"/>
        <family val="2"/>
        <charset val="238"/>
      </rPr>
      <t>(Muzeum Novojičínska, příspěvková organizace)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</si>
</sst>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5]General"/>
  </numFmts>
  <fonts count="4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8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7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sz val="9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Tahoma"/>
      <family val="2"/>
      <charset val="238"/>
    </font>
    <font>
      <sz val="8"/>
      <color indexed="8"/>
      <name val="Arial"/>
      <family val="2"/>
    </font>
    <font>
      <sz val="9"/>
      <color rgb="FFFF0000"/>
      <name val="Tahoma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indexed="8"/>
      <name val="Arial"/>
      <family val="2"/>
      <charset val="238"/>
    </font>
    <font>
      <b/>
      <sz val="16"/>
      <name val="Tahoma"/>
      <family val="2"/>
      <charset val="238"/>
    </font>
    <font>
      <sz val="11"/>
      <color theme="0"/>
      <name val="Aptos Narrow"/>
      <family val="2"/>
      <scheme val="minor"/>
    </font>
    <font>
      <b/>
      <sz val="8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trike/>
      <sz val="8"/>
      <name val="Arial"/>
      <family val="2"/>
      <charset val="238"/>
    </font>
    <font>
      <sz val="11"/>
      <color theme="0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6" fillId="0" borderId="0"/>
    <xf numFmtId="0" fontId="12" fillId="0" borderId="0"/>
    <xf numFmtId="0" fontId="12" fillId="0" borderId="0"/>
    <xf numFmtId="0" fontId="12" fillId="0" borderId="0">
      <alignment wrapText="1"/>
    </xf>
    <xf numFmtId="0" fontId="1" fillId="0" borderId="0"/>
    <xf numFmtId="0" fontId="12" fillId="0" borderId="0">
      <alignment wrapText="1"/>
    </xf>
    <xf numFmtId="0" fontId="12" fillId="0" borderId="0">
      <alignment wrapText="1"/>
    </xf>
  </cellStyleXfs>
  <cellXfs count="718">
    <xf numFmtId="0" fontId="0" fillId="0" borderId="0" xfId="0"/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4" fontId="5" fillId="0" borderId="5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8" fillId="0" borderId="9" xfId="1" applyFont="1" applyBorder="1" applyAlignment="1" applyProtection="1">
      <alignment horizontal="center" vertical="center" textRotation="90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0" fontId="8" fillId="0" borderId="20" xfId="1" applyFont="1" applyBorder="1" applyAlignment="1" applyProtection="1">
      <alignment horizontal="center" vertical="center" textRotation="90" wrapText="1"/>
      <protection locked="0"/>
    </xf>
    <xf numFmtId="0" fontId="11" fillId="2" borderId="23" xfId="0" applyFont="1" applyFill="1" applyBorder="1" applyAlignment="1">
      <alignment horizontal="center" vertical="center" wrapText="1"/>
    </xf>
    <xf numFmtId="4" fontId="8" fillId="0" borderId="16" xfId="3" applyNumberFormat="1" applyFont="1" applyBorder="1" applyAlignment="1">
      <alignment horizontal="center" vertical="center" wrapText="1"/>
    </xf>
    <xf numFmtId="0" fontId="8" fillId="0" borderId="30" xfId="1" applyFont="1" applyBorder="1" applyAlignment="1" applyProtection="1">
      <alignment horizontal="center" vertical="center" textRotation="90" wrapText="1"/>
      <protection locked="0"/>
    </xf>
    <xf numFmtId="0" fontId="11" fillId="2" borderId="33" xfId="0" applyFont="1" applyFill="1" applyBorder="1" applyAlignment="1">
      <alignment horizontal="center" vertical="center" wrapText="1"/>
    </xf>
    <xf numFmtId="4" fontId="10" fillId="0" borderId="30" xfId="2" applyNumberFormat="1" applyFont="1" applyBorder="1" applyAlignment="1">
      <alignment horizontal="center" vertical="center" wrapText="1"/>
    </xf>
    <xf numFmtId="4" fontId="10" fillId="2" borderId="30" xfId="2" applyNumberFormat="1" applyFont="1" applyFill="1" applyBorder="1" applyAlignment="1">
      <alignment horizontal="center" vertical="center" wrapText="1"/>
    </xf>
    <xf numFmtId="4" fontId="10" fillId="2" borderId="35" xfId="2" applyNumberFormat="1" applyFont="1" applyFill="1" applyBorder="1" applyAlignment="1">
      <alignment horizontal="center" vertical="center" wrapText="1"/>
    </xf>
    <xf numFmtId="4" fontId="10" fillId="0" borderId="35" xfId="2" applyNumberFormat="1" applyFont="1" applyBorder="1" applyAlignment="1">
      <alignment horizontal="center" vertical="center" wrapText="1"/>
    </xf>
    <xf numFmtId="4" fontId="14" fillId="2" borderId="30" xfId="2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textRotation="90" wrapText="1"/>
    </xf>
    <xf numFmtId="0" fontId="16" fillId="2" borderId="20" xfId="1" applyFont="1" applyFill="1" applyBorder="1" applyAlignment="1" applyProtection="1">
      <alignment horizontal="center" vertical="center" wrapText="1"/>
      <protection locked="0"/>
    </xf>
    <xf numFmtId="0" fontId="17" fillId="0" borderId="39" xfId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center" vertical="center"/>
    </xf>
    <xf numFmtId="3" fontId="21" fillId="2" borderId="20" xfId="0" applyNumberFormat="1" applyFont="1" applyFill="1" applyBorder="1" applyAlignment="1">
      <alignment horizontal="right" vertical="center"/>
    </xf>
    <xf numFmtId="49" fontId="21" fillId="2" borderId="20" xfId="0" applyNumberFormat="1" applyFont="1" applyFill="1" applyBorder="1" applyAlignment="1">
      <alignment horizontal="center" vertical="center"/>
    </xf>
    <xf numFmtId="4" fontId="24" fillId="2" borderId="20" xfId="0" applyNumberFormat="1" applyFont="1" applyFill="1" applyBorder="1" applyAlignment="1">
      <alignment vertical="center"/>
    </xf>
    <xf numFmtId="4" fontId="23" fillId="2" borderId="38" xfId="0" applyNumberFormat="1" applyFont="1" applyFill="1" applyBorder="1" applyAlignment="1">
      <alignment horizontal="right" vertical="center"/>
    </xf>
    <xf numFmtId="4" fontId="16" fillId="2" borderId="20" xfId="0" applyNumberFormat="1" applyFont="1" applyFill="1" applyBorder="1" applyAlignment="1">
      <alignment horizontal="right" vertical="center"/>
    </xf>
    <xf numFmtId="4" fontId="25" fillId="2" borderId="40" xfId="0" applyNumberFormat="1" applyFont="1" applyFill="1" applyBorder="1" applyAlignment="1">
      <alignment horizontal="center" vertical="center"/>
    </xf>
    <xf numFmtId="4" fontId="23" fillId="2" borderId="42" xfId="0" applyNumberFormat="1" applyFont="1" applyFill="1" applyBorder="1" applyAlignment="1">
      <alignment horizontal="center" vertical="center"/>
    </xf>
    <xf numFmtId="4" fontId="23" fillId="2" borderId="38" xfId="0" applyNumberFormat="1" applyFont="1" applyFill="1" applyBorder="1" applyAlignment="1">
      <alignment vertical="center"/>
    </xf>
    <xf numFmtId="4" fontId="23" fillId="2" borderId="44" xfId="0" applyNumberFormat="1" applyFont="1" applyFill="1" applyBorder="1" applyAlignment="1">
      <alignment vertical="center"/>
    </xf>
    <xf numFmtId="4" fontId="23" fillId="2" borderId="40" xfId="0" applyNumberFormat="1" applyFont="1" applyFill="1" applyBorder="1" applyAlignment="1">
      <alignment vertical="center"/>
    </xf>
    <xf numFmtId="4" fontId="23" fillId="2" borderId="20" xfId="0" applyNumberFormat="1" applyFont="1" applyFill="1" applyBorder="1" applyAlignment="1">
      <alignment vertical="center"/>
    </xf>
    <xf numFmtId="4" fontId="16" fillId="0" borderId="45" xfId="0" applyNumberFormat="1" applyFont="1" applyBorder="1" applyAlignment="1">
      <alignment vertical="center"/>
    </xf>
    <xf numFmtId="4" fontId="16" fillId="2" borderId="23" xfId="0" applyNumberFormat="1" applyFont="1" applyFill="1" applyBorder="1"/>
    <xf numFmtId="0" fontId="15" fillId="0" borderId="0" xfId="0" applyFont="1"/>
    <xf numFmtId="0" fontId="15" fillId="3" borderId="20" xfId="0" applyFont="1" applyFill="1" applyBorder="1"/>
    <xf numFmtId="0" fontId="15" fillId="3" borderId="40" xfId="0" applyFont="1" applyFill="1" applyBorder="1" applyAlignment="1">
      <alignment horizontal="center"/>
    </xf>
    <xf numFmtId="0" fontId="15" fillId="2" borderId="0" xfId="0" applyFont="1" applyFill="1"/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26" fillId="3" borderId="40" xfId="4" applyFont="1" applyFill="1" applyBorder="1" applyAlignment="1">
      <alignment horizontal="left" vertical="center" wrapText="1"/>
    </xf>
    <xf numFmtId="0" fontId="21" fillId="0" borderId="49" xfId="1" applyFont="1" applyBorder="1" applyAlignment="1" applyProtection="1">
      <alignment horizontal="center" vertical="center" wrapText="1"/>
      <protection locked="0"/>
    </xf>
    <xf numFmtId="0" fontId="22" fillId="2" borderId="20" xfId="0" applyFont="1" applyFill="1" applyBorder="1" applyAlignment="1">
      <alignment horizontal="left" vertical="center" wrapText="1"/>
    </xf>
    <xf numFmtId="4" fontId="22" fillId="2" borderId="39" xfId="0" applyNumberFormat="1" applyFont="1" applyFill="1" applyBorder="1" applyAlignment="1">
      <alignment wrapText="1"/>
    </xf>
    <xf numFmtId="4" fontId="15" fillId="2" borderId="40" xfId="0" applyNumberFormat="1" applyFont="1" applyFill="1" applyBorder="1" applyAlignment="1">
      <alignment horizontal="right" vertical="center"/>
    </xf>
    <xf numFmtId="4" fontId="16" fillId="2" borderId="40" xfId="0" applyNumberFormat="1" applyFont="1" applyFill="1" applyBorder="1" applyAlignment="1">
      <alignment horizontal="right" vertical="center"/>
    </xf>
    <xf numFmtId="4" fontId="15" fillId="0" borderId="45" xfId="0" applyNumberFormat="1" applyFont="1" applyBorder="1" applyAlignment="1">
      <alignment vertical="center"/>
    </xf>
    <xf numFmtId="0" fontId="15" fillId="2" borderId="41" xfId="0" applyFont="1" applyFill="1" applyBorder="1" applyAlignment="1">
      <alignment horizontal="center" vertical="center" wrapText="1"/>
    </xf>
    <xf numFmtId="4" fontId="16" fillId="2" borderId="23" xfId="0" applyNumberFormat="1" applyFont="1" applyFill="1" applyBorder="1" applyAlignment="1">
      <alignment horizontal="right" vertical="center"/>
    </xf>
    <xf numFmtId="0" fontId="20" fillId="3" borderId="21" xfId="4" applyFont="1" applyFill="1" applyBorder="1" applyAlignment="1">
      <alignment horizontal="left" vertical="center" wrapText="1"/>
    </xf>
    <xf numFmtId="4" fontId="27" fillId="2" borderId="42" xfId="0" applyNumberFormat="1" applyFont="1" applyFill="1" applyBorder="1" applyAlignment="1">
      <alignment horizontal="center" vertical="center"/>
    </xf>
    <xf numFmtId="4" fontId="23" fillId="2" borderId="4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6" fillId="2" borderId="21" xfId="0" applyNumberFormat="1" applyFont="1" applyFill="1" applyBorder="1" applyAlignment="1">
      <alignment vertical="center"/>
    </xf>
    <xf numFmtId="0" fontId="19" fillId="3" borderId="40" xfId="4" applyFont="1" applyFill="1" applyBorder="1" applyAlignment="1">
      <alignment horizontal="left" vertical="center" wrapText="1"/>
    </xf>
    <xf numFmtId="0" fontId="17" fillId="2" borderId="39" xfId="1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>
      <alignment horizontal="center" vertical="center"/>
    </xf>
    <xf numFmtId="0" fontId="20" fillId="2" borderId="20" xfId="4" applyFont="1" applyFill="1" applyBorder="1" applyAlignment="1">
      <alignment horizontal="left" vertical="center" wrapText="1"/>
    </xf>
    <xf numFmtId="0" fontId="20" fillId="2" borderId="58" xfId="4" applyFont="1" applyFill="1" applyBorder="1" applyAlignment="1">
      <alignment horizontal="left" vertical="center" wrapText="1"/>
    </xf>
    <xf numFmtId="0" fontId="15" fillId="6" borderId="20" xfId="0" applyFont="1" applyFill="1" applyBorder="1"/>
    <xf numFmtId="0" fontId="15" fillId="6" borderId="0" xfId="0" applyFont="1" applyFill="1"/>
    <xf numFmtId="0" fontId="22" fillId="2" borderId="0" xfId="0" applyFont="1" applyFill="1" applyAlignment="1">
      <alignment horizontal="left" vertical="center"/>
    </xf>
    <xf numFmtId="0" fontId="15" fillId="6" borderId="20" xfId="0" applyFont="1" applyFill="1" applyBorder="1" applyAlignment="1">
      <alignment horizontal="center"/>
    </xf>
    <xf numFmtId="4" fontId="16" fillId="2" borderId="20" xfId="0" applyNumberFormat="1" applyFont="1" applyFill="1" applyBorder="1" applyAlignment="1">
      <alignment vertical="center"/>
    </xf>
    <xf numFmtId="4" fontId="16" fillId="7" borderId="20" xfId="0" applyNumberFormat="1" applyFont="1" applyFill="1" applyBorder="1" applyAlignment="1">
      <alignment horizontal="right" vertical="center"/>
    </xf>
    <xf numFmtId="0" fontId="29" fillId="6" borderId="0" xfId="0" applyFont="1" applyFill="1"/>
    <xf numFmtId="0" fontId="29" fillId="0" borderId="0" xfId="0" applyFont="1"/>
    <xf numFmtId="4" fontId="15" fillId="0" borderId="0" xfId="0" applyNumberFormat="1" applyFont="1"/>
    <xf numFmtId="0" fontId="15" fillId="8" borderId="20" xfId="0" applyFont="1" applyFill="1" applyBorder="1"/>
    <xf numFmtId="0" fontId="15" fillId="8" borderId="20" xfId="0" applyFont="1" applyFill="1" applyBorder="1" applyAlignment="1">
      <alignment horizontal="center"/>
    </xf>
    <xf numFmtId="0" fontId="26" fillId="3" borderId="20" xfId="4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6" fillId="3" borderId="61" xfId="4" applyFont="1" applyFill="1" applyBorder="1" applyAlignment="1">
      <alignment horizontal="left" vertical="center" wrapText="1"/>
    </xf>
    <xf numFmtId="0" fontId="22" fillId="3" borderId="40" xfId="4" applyFont="1" applyFill="1" applyBorder="1" applyAlignment="1">
      <alignment horizontal="left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32" fillId="3" borderId="64" xfId="4" applyFont="1" applyFill="1" applyBorder="1" applyAlignment="1">
      <alignment horizontal="left" vertical="center" wrapText="1"/>
    </xf>
    <xf numFmtId="0" fontId="17" fillId="0" borderId="49" xfId="1" applyFont="1" applyBorder="1" applyAlignment="1" applyProtection="1">
      <alignment horizontal="center" vertical="center" wrapText="1"/>
      <protection locked="0"/>
    </xf>
    <xf numFmtId="0" fontId="15" fillId="3" borderId="62" xfId="0" applyFont="1" applyFill="1" applyBorder="1" applyAlignment="1">
      <alignment horizontal="center" vertical="center" wrapText="1"/>
    </xf>
    <xf numFmtId="4" fontId="22" fillId="2" borderId="66" xfId="0" applyNumberFormat="1" applyFont="1" applyFill="1" applyBorder="1" applyAlignment="1">
      <alignment wrapText="1"/>
    </xf>
    <xf numFmtId="0" fontId="22" fillId="0" borderId="20" xfId="0" applyFont="1" applyBorder="1" applyAlignment="1">
      <alignment horizontal="center" vertical="center"/>
    </xf>
    <xf numFmtId="0" fontId="16" fillId="2" borderId="65" xfId="1" applyFont="1" applyFill="1" applyBorder="1" applyAlignment="1" applyProtection="1">
      <alignment horizontal="center" vertical="center" wrapText="1"/>
      <protection locked="0"/>
    </xf>
    <xf numFmtId="4" fontId="16" fillId="2" borderId="66" xfId="0" applyNumberFormat="1" applyFont="1" applyFill="1" applyBorder="1" applyAlignment="1">
      <alignment vertical="center"/>
    </xf>
    <xf numFmtId="0" fontId="15" fillId="8" borderId="20" xfId="0" applyFont="1" applyFill="1" applyBorder="1" applyAlignment="1">
      <alignment wrapText="1"/>
    </xf>
    <xf numFmtId="4" fontId="0" fillId="2" borderId="0" xfId="0" applyNumberFormat="1" applyFill="1"/>
    <xf numFmtId="0" fontId="0" fillId="2" borderId="0" xfId="0" applyFill="1"/>
    <xf numFmtId="49" fontId="11" fillId="0" borderId="0" xfId="0" applyNumberFormat="1" applyFont="1" applyAlignment="1">
      <alignment horizontal="left"/>
    </xf>
    <xf numFmtId="4" fontId="0" fillId="0" borderId="0" xfId="0" applyNumberFormat="1"/>
    <xf numFmtId="0" fontId="35" fillId="0" borderId="0" xfId="0" applyFont="1" applyAlignment="1">
      <alignment wrapText="1"/>
    </xf>
    <xf numFmtId="0" fontId="35" fillId="0" borderId="0" xfId="0" applyFont="1"/>
    <xf numFmtId="4" fontId="35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4" fontId="37" fillId="2" borderId="0" xfId="0" applyNumberFormat="1" applyFont="1" applyFill="1" applyAlignment="1">
      <alignment horizontal="left" vertical="center" wrapText="1"/>
    </xf>
    <xf numFmtId="0" fontId="35" fillId="2" borderId="0" xfId="0" applyFont="1" applyFill="1"/>
    <xf numFmtId="4" fontId="38" fillId="2" borderId="0" xfId="0" applyNumberFormat="1" applyFont="1" applyFill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/>
    <xf numFmtId="4" fontId="35" fillId="2" borderId="0" xfId="0" applyNumberFormat="1" applyFont="1" applyFill="1"/>
    <xf numFmtId="49" fontId="14" fillId="0" borderId="0" xfId="0" applyNumberFormat="1" applyFont="1" applyAlignment="1">
      <alignment horizontal="left" wrapText="1"/>
    </xf>
    <xf numFmtId="4" fontId="5" fillId="0" borderId="0" xfId="0" applyNumberFormat="1" applyFont="1"/>
    <xf numFmtId="0" fontId="0" fillId="0" borderId="0" xfId="0" applyAlignment="1">
      <alignment wrapText="1"/>
    </xf>
    <xf numFmtId="0" fontId="11" fillId="2" borderId="72" xfId="0" applyFont="1" applyFill="1" applyBorder="1" applyAlignment="1">
      <alignment horizontal="center" vertical="center" wrapText="1"/>
    </xf>
    <xf numFmtId="0" fontId="20" fillId="2" borderId="73" xfId="4" applyFont="1" applyFill="1" applyBorder="1" applyAlignment="1">
      <alignment horizontal="left" vertical="center" wrapText="1"/>
    </xf>
    <xf numFmtId="0" fontId="16" fillId="2" borderId="74" xfId="1" applyFont="1" applyFill="1" applyBorder="1" applyAlignment="1" applyProtection="1">
      <alignment horizontal="center" vertical="center" wrapText="1"/>
      <protection locked="0"/>
    </xf>
    <xf numFmtId="0" fontId="20" fillId="2" borderId="76" xfId="4" applyFont="1" applyFill="1" applyBorder="1" applyAlignment="1">
      <alignment horizontal="left" vertical="center" wrapText="1"/>
    </xf>
    <xf numFmtId="4" fontId="22" fillId="2" borderId="78" xfId="0" applyNumberFormat="1" applyFont="1" applyFill="1" applyBorder="1" applyAlignment="1">
      <alignment wrapText="1"/>
    </xf>
    <xf numFmtId="0" fontId="16" fillId="2" borderId="81" xfId="1" applyFont="1" applyFill="1" applyBorder="1" applyAlignment="1" applyProtection="1">
      <alignment horizontal="center" vertical="center" wrapText="1"/>
      <protection locked="0"/>
    </xf>
    <xf numFmtId="4" fontId="16" fillId="2" borderId="78" xfId="0" applyNumberFormat="1" applyFont="1" applyFill="1" applyBorder="1" applyAlignment="1">
      <alignment vertical="center"/>
    </xf>
    <xf numFmtId="0" fontId="20" fillId="2" borderId="82" xfId="4" applyFont="1" applyFill="1" applyBorder="1" applyAlignment="1">
      <alignment horizontal="left" vertical="center" wrapText="1"/>
    </xf>
    <xf numFmtId="4" fontId="16" fillId="2" borderId="83" xfId="0" applyNumberFormat="1" applyFont="1" applyFill="1" applyBorder="1" applyAlignment="1">
      <alignment vertical="center"/>
    </xf>
    <xf numFmtId="4" fontId="22" fillId="2" borderId="83" xfId="0" applyNumberFormat="1" applyFont="1" applyFill="1" applyBorder="1" applyAlignment="1">
      <alignment wrapText="1"/>
    </xf>
    <xf numFmtId="0" fontId="16" fillId="0" borderId="81" xfId="1" applyFont="1" applyBorder="1" applyAlignment="1" applyProtection="1">
      <alignment horizontal="center" vertical="center" wrapText="1"/>
      <protection locked="0"/>
    </xf>
    <xf numFmtId="0" fontId="18" fillId="0" borderId="81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26" fillId="3" borderId="73" xfId="4" applyFont="1" applyFill="1" applyBorder="1" applyAlignment="1">
      <alignment horizontal="left" vertical="center" wrapText="1"/>
    </xf>
    <xf numFmtId="0" fontId="20" fillId="2" borderId="88" xfId="4" applyFont="1" applyFill="1" applyBorder="1" applyAlignment="1">
      <alignment horizontal="left" vertical="center" wrapText="1"/>
    </xf>
    <xf numFmtId="0" fontId="18" fillId="0" borderId="65" xfId="0" applyFont="1" applyBorder="1" applyAlignment="1">
      <alignment horizontal="center" vertical="center"/>
    </xf>
    <xf numFmtId="0" fontId="16" fillId="2" borderId="93" xfId="1" applyFont="1" applyFill="1" applyBorder="1" applyAlignment="1" applyProtection="1">
      <alignment horizontal="center" vertical="center" wrapText="1"/>
      <protection locked="0"/>
    </xf>
    <xf numFmtId="0" fontId="20" fillId="2" borderId="94" xfId="4" applyFont="1" applyFill="1" applyBorder="1" applyAlignment="1">
      <alignment horizontal="left" vertical="center" wrapText="1"/>
    </xf>
    <xf numFmtId="0" fontId="18" fillId="0" borderId="95" xfId="0" applyFont="1" applyBorder="1" applyAlignment="1">
      <alignment horizontal="center" vertical="center"/>
    </xf>
    <xf numFmtId="4" fontId="22" fillId="2" borderId="96" xfId="0" applyNumberFormat="1" applyFont="1" applyFill="1" applyBorder="1" applyAlignment="1">
      <alignment wrapText="1"/>
    </xf>
    <xf numFmtId="0" fontId="16" fillId="2" borderId="95" xfId="1" applyFont="1" applyFill="1" applyBorder="1" applyAlignment="1" applyProtection="1">
      <alignment horizontal="center" vertical="center" wrapText="1"/>
      <protection locked="0"/>
    </xf>
    <xf numFmtId="0" fontId="18" fillId="0" borderId="93" xfId="0" applyFont="1" applyBorder="1" applyAlignment="1">
      <alignment horizontal="center" vertical="center"/>
    </xf>
    <xf numFmtId="0" fontId="16" fillId="0" borderId="93" xfId="1" applyFont="1" applyBorder="1" applyAlignment="1" applyProtection="1">
      <alignment horizontal="center" vertical="center" wrapText="1"/>
      <protection locked="0"/>
    </xf>
    <xf numFmtId="4" fontId="16" fillId="2" borderId="96" xfId="0" applyNumberFormat="1" applyFont="1" applyFill="1" applyBorder="1" applyAlignment="1">
      <alignment vertical="center"/>
    </xf>
    <xf numFmtId="0" fontId="16" fillId="0" borderId="95" xfId="1" applyFont="1" applyBorder="1" applyAlignment="1" applyProtection="1">
      <alignment horizontal="center" vertical="center" wrapText="1"/>
      <protection locked="0"/>
    </xf>
    <xf numFmtId="0" fontId="20" fillId="2" borderId="102" xfId="4" applyFont="1" applyFill="1" applyBorder="1" applyAlignment="1">
      <alignment horizontal="left" vertical="center" wrapText="1"/>
    </xf>
    <xf numFmtId="0" fontId="18" fillId="0" borderId="96" xfId="0" applyFont="1" applyBorder="1" applyAlignment="1">
      <alignment horizontal="center" vertical="center"/>
    </xf>
    <xf numFmtId="0" fontId="16" fillId="2" borderId="103" xfId="1" applyFont="1" applyFill="1" applyBorder="1" applyAlignment="1" applyProtection="1">
      <alignment horizontal="center" vertical="center" wrapText="1"/>
      <protection locked="0"/>
    </xf>
    <xf numFmtId="0" fontId="20" fillId="2" borderId="105" xfId="4" applyFont="1" applyFill="1" applyBorder="1" applyAlignment="1">
      <alignment horizontal="left" vertical="center" wrapText="1"/>
    </xf>
    <xf numFmtId="0" fontId="18" fillId="0" borderId="106" xfId="0" applyFont="1" applyBorder="1" applyAlignment="1">
      <alignment horizontal="center" vertical="center"/>
    </xf>
    <xf numFmtId="4" fontId="16" fillId="2" borderId="106" xfId="0" applyNumberFormat="1" applyFont="1" applyFill="1" applyBorder="1" applyAlignment="1">
      <alignment vertical="center"/>
    </xf>
    <xf numFmtId="4" fontId="22" fillId="2" borderId="106" xfId="0" applyNumberFormat="1" applyFont="1" applyFill="1" applyBorder="1" applyAlignment="1">
      <alignment wrapText="1"/>
    </xf>
    <xf numFmtId="0" fontId="16" fillId="2" borderId="107" xfId="1" applyFont="1" applyFill="1" applyBorder="1" applyAlignment="1" applyProtection="1">
      <alignment horizontal="center" vertical="center" wrapText="1"/>
      <protection locked="0"/>
    </xf>
    <xf numFmtId="0" fontId="20" fillId="2" borderId="109" xfId="4" applyFont="1" applyFill="1" applyBorder="1" applyAlignment="1">
      <alignment horizontal="left" vertical="center" wrapText="1"/>
    </xf>
    <xf numFmtId="4" fontId="22" fillId="2" borderId="112" xfId="0" applyNumberFormat="1" applyFont="1" applyFill="1" applyBorder="1" applyAlignment="1">
      <alignment wrapText="1"/>
    </xf>
    <xf numFmtId="0" fontId="16" fillId="2" borderId="111" xfId="1" applyFont="1" applyFill="1" applyBorder="1" applyAlignment="1" applyProtection="1">
      <alignment horizontal="center" vertical="center" wrapText="1"/>
      <protection locked="0"/>
    </xf>
    <xf numFmtId="4" fontId="22" fillId="2" borderId="115" xfId="0" applyNumberFormat="1" applyFont="1" applyFill="1" applyBorder="1" applyAlignment="1">
      <alignment wrapText="1"/>
    </xf>
    <xf numFmtId="4" fontId="16" fillId="2" borderId="115" xfId="0" applyNumberFormat="1" applyFont="1" applyFill="1" applyBorder="1" applyAlignment="1">
      <alignment vertical="center"/>
    </xf>
    <xf numFmtId="3" fontId="21" fillId="2" borderId="116" xfId="0" applyNumberFormat="1" applyFont="1" applyFill="1" applyBorder="1" applyAlignment="1">
      <alignment horizontal="right" vertical="center"/>
    </xf>
    <xf numFmtId="49" fontId="21" fillId="2" borderId="116" xfId="0" applyNumberFormat="1" applyFont="1" applyFill="1" applyBorder="1" applyAlignment="1">
      <alignment horizontal="center" vertical="center"/>
    </xf>
    <xf numFmtId="0" fontId="20" fillId="2" borderId="117" xfId="4" applyFont="1" applyFill="1" applyBorder="1" applyAlignment="1">
      <alignment horizontal="left" vertical="center" wrapText="1"/>
    </xf>
    <xf numFmtId="3" fontId="21" fillId="2" borderId="118" xfId="0" applyNumberFormat="1" applyFont="1" applyFill="1" applyBorder="1" applyAlignment="1">
      <alignment horizontal="right" vertical="center"/>
    </xf>
    <xf numFmtId="49" fontId="21" fillId="2" borderId="118" xfId="0" applyNumberFormat="1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4" fontId="16" fillId="2" borderId="112" xfId="0" applyNumberFormat="1" applyFont="1" applyFill="1" applyBorder="1" applyAlignment="1">
      <alignment vertical="center"/>
    </xf>
    <xf numFmtId="4" fontId="22" fillId="4" borderId="112" xfId="0" applyNumberFormat="1" applyFont="1" applyFill="1" applyBorder="1" applyAlignment="1">
      <alignment wrapText="1"/>
    </xf>
    <xf numFmtId="0" fontId="16" fillId="2" borderId="120" xfId="1" applyFont="1" applyFill="1" applyBorder="1" applyAlignment="1" applyProtection="1">
      <alignment horizontal="center" vertical="center" wrapText="1"/>
      <protection locked="0"/>
    </xf>
    <xf numFmtId="0" fontId="18" fillId="2" borderId="121" xfId="0" applyFont="1" applyFill="1" applyBorder="1" applyAlignment="1">
      <alignment horizontal="center" vertical="center"/>
    </xf>
    <xf numFmtId="4" fontId="16" fillId="2" borderId="121" xfId="0" applyNumberFormat="1" applyFont="1" applyFill="1" applyBorder="1" applyAlignment="1">
      <alignment vertical="center"/>
    </xf>
    <xf numFmtId="4" fontId="22" fillId="4" borderId="121" xfId="0" applyNumberFormat="1" applyFont="1" applyFill="1" applyBorder="1" applyAlignment="1">
      <alignment wrapText="1"/>
    </xf>
    <xf numFmtId="0" fontId="18" fillId="0" borderId="121" xfId="0" applyFont="1" applyBorder="1" applyAlignment="1">
      <alignment horizontal="center" vertical="center"/>
    </xf>
    <xf numFmtId="4" fontId="22" fillId="2" borderId="121" xfId="0" applyNumberFormat="1" applyFont="1" applyFill="1" applyBorder="1" applyAlignment="1">
      <alignment wrapText="1"/>
    </xf>
    <xf numFmtId="0" fontId="16" fillId="2" borderId="124" xfId="1" applyFont="1" applyFill="1" applyBorder="1" applyAlignment="1" applyProtection="1">
      <alignment horizontal="center" vertical="center" wrapText="1"/>
      <protection locked="0"/>
    </xf>
    <xf numFmtId="0" fontId="18" fillId="0" borderId="125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4" fontId="22" fillId="2" borderId="126" xfId="0" applyNumberFormat="1" applyFont="1" applyFill="1" applyBorder="1" applyAlignment="1">
      <alignment wrapText="1"/>
    </xf>
    <xf numFmtId="4" fontId="16" fillId="2" borderId="58" xfId="0" applyNumberFormat="1" applyFont="1" applyFill="1" applyBorder="1" applyAlignment="1">
      <alignment horizontal="right" vertical="center"/>
    </xf>
    <xf numFmtId="4" fontId="25" fillId="2" borderId="58" xfId="0" applyNumberFormat="1" applyFont="1" applyFill="1" applyBorder="1" applyAlignment="1">
      <alignment horizontal="center" vertical="center"/>
    </xf>
    <xf numFmtId="4" fontId="23" fillId="2" borderId="129" xfId="0" applyNumberFormat="1" applyFont="1" applyFill="1" applyBorder="1" applyAlignment="1">
      <alignment vertical="center"/>
    </xf>
    <xf numFmtId="4" fontId="23" fillId="2" borderId="58" xfId="0" applyNumberFormat="1" applyFont="1" applyFill="1" applyBorder="1" applyAlignment="1">
      <alignment vertical="center"/>
    </xf>
    <xf numFmtId="0" fontId="16" fillId="2" borderId="130" xfId="1" applyFont="1" applyFill="1" applyBorder="1" applyAlignment="1" applyProtection="1">
      <alignment horizontal="center" vertical="center" wrapText="1"/>
      <protection locked="0"/>
    </xf>
    <xf numFmtId="0" fontId="17" fillId="0" borderId="131" xfId="1" applyFont="1" applyBorder="1" applyAlignment="1" applyProtection="1">
      <alignment horizontal="center" vertical="center" wrapText="1"/>
      <protection locked="0"/>
    </xf>
    <xf numFmtId="0" fontId="18" fillId="0" borderId="132" xfId="0" applyFont="1" applyBorder="1" applyAlignment="1">
      <alignment horizontal="center" vertical="center"/>
    </xf>
    <xf numFmtId="0" fontId="20" fillId="2" borderId="132" xfId="4" applyFont="1" applyFill="1" applyBorder="1" applyAlignment="1">
      <alignment horizontal="left" vertical="center" wrapText="1"/>
    </xf>
    <xf numFmtId="0" fontId="18" fillId="0" borderId="133" xfId="0" applyFont="1" applyBorder="1" applyAlignment="1">
      <alignment horizontal="center" vertical="center"/>
    </xf>
    <xf numFmtId="4" fontId="22" fillId="2" borderId="133" xfId="0" applyNumberFormat="1" applyFont="1" applyFill="1" applyBorder="1" applyAlignment="1">
      <alignment wrapText="1"/>
    </xf>
    <xf numFmtId="0" fontId="16" fillId="0" borderId="130" xfId="1" applyFont="1" applyBorder="1" applyAlignment="1" applyProtection="1">
      <alignment horizontal="center" vertical="center" wrapText="1"/>
      <protection locked="0"/>
    </xf>
    <xf numFmtId="0" fontId="21" fillId="0" borderId="131" xfId="1" applyFont="1" applyBorder="1" applyAlignment="1" applyProtection="1">
      <alignment horizontal="center" vertical="center" wrapText="1"/>
      <protection locked="0"/>
    </xf>
    <xf numFmtId="0" fontId="22" fillId="2" borderId="58" xfId="0" applyFont="1" applyFill="1" applyBorder="1" applyAlignment="1">
      <alignment horizontal="left" vertical="center" wrapText="1"/>
    </xf>
    <xf numFmtId="0" fontId="18" fillId="0" borderId="130" xfId="0" applyFont="1" applyBorder="1" applyAlignment="1">
      <alignment horizontal="center" vertical="center"/>
    </xf>
    <xf numFmtId="4" fontId="15" fillId="2" borderId="58" xfId="0" applyNumberFormat="1" applyFont="1" applyFill="1" applyBorder="1" applyAlignment="1">
      <alignment horizontal="right" vertical="center"/>
    </xf>
    <xf numFmtId="0" fontId="16" fillId="2" borderId="137" xfId="1" applyFont="1" applyFill="1" applyBorder="1" applyAlignment="1" applyProtection="1">
      <alignment horizontal="center" vertical="center" wrapText="1"/>
      <protection locked="0"/>
    </xf>
    <xf numFmtId="0" fontId="16" fillId="0" borderId="137" xfId="1" applyFont="1" applyBorder="1" applyAlignment="1" applyProtection="1">
      <alignment horizontal="center" vertical="center" wrapText="1"/>
      <protection locked="0"/>
    </xf>
    <xf numFmtId="0" fontId="18" fillId="0" borderId="138" xfId="0" applyFont="1" applyBorder="1" applyAlignment="1">
      <alignment horizontal="center" vertical="center"/>
    </xf>
    <xf numFmtId="0" fontId="22" fillId="2" borderId="138" xfId="0" applyFont="1" applyFill="1" applyBorder="1" applyAlignment="1">
      <alignment horizontal="left" vertical="center" wrapText="1"/>
    </xf>
    <xf numFmtId="0" fontId="18" fillId="0" borderId="137" xfId="0" applyFont="1" applyBorder="1" applyAlignment="1">
      <alignment horizontal="center" vertical="center"/>
    </xf>
    <xf numFmtId="4" fontId="22" fillId="2" borderId="139" xfId="0" applyNumberFormat="1" applyFont="1" applyFill="1" applyBorder="1" applyAlignment="1">
      <alignment wrapText="1"/>
    </xf>
    <xf numFmtId="4" fontId="16" fillId="2" borderId="138" xfId="0" applyNumberFormat="1" applyFont="1" applyFill="1" applyBorder="1" applyAlignment="1">
      <alignment horizontal="right" vertical="center"/>
    </xf>
    <xf numFmtId="4" fontId="23" fillId="2" borderId="138" xfId="0" applyNumberFormat="1" applyFont="1" applyFill="1" applyBorder="1" applyAlignment="1">
      <alignment vertical="center"/>
    </xf>
    <xf numFmtId="4" fontId="16" fillId="2" borderId="140" xfId="0" applyNumberFormat="1" applyFont="1" applyFill="1" applyBorder="1"/>
    <xf numFmtId="0" fontId="15" fillId="6" borderId="138" xfId="0" applyFont="1" applyFill="1" applyBorder="1"/>
    <xf numFmtId="0" fontId="22" fillId="2" borderId="20" xfId="0" applyFont="1" applyFill="1" applyBorder="1" applyAlignment="1">
      <alignment horizontal="left" vertical="center"/>
    </xf>
    <xf numFmtId="0" fontId="20" fillId="3" borderId="147" xfId="4" applyFont="1" applyFill="1" applyBorder="1" applyAlignment="1">
      <alignment horizontal="left" vertical="center" wrapText="1"/>
    </xf>
    <xf numFmtId="0" fontId="18" fillId="0" borderId="111" xfId="0" applyFont="1" applyBorder="1" applyAlignment="1">
      <alignment horizontal="center" vertical="center"/>
    </xf>
    <xf numFmtId="4" fontId="22" fillId="2" borderId="148" xfId="0" applyNumberFormat="1" applyFont="1" applyFill="1" applyBorder="1" applyAlignment="1">
      <alignment wrapText="1"/>
    </xf>
    <xf numFmtId="0" fontId="16" fillId="2" borderId="150" xfId="1" applyFont="1" applyFill="1" applyBorder="1" applyAlignment="1" applyProtection="1">
      <alignment horizontal="center" vertical="center" wrapText="1"/>
      <protection locked="0"/>
    </xf>
    <xf numFmtId="0" fontId="18" fillId="0" borderId="150" xfId="0" applyFont="1" applyBorder="1" applyAlignment="1">
      <alignment horizontal="center" vertical="center"/>
    </xf>
    <xf numFmtId="4" fontId="16" fillId="2" borderId="151" xfId="0" applyNumberFormat="1" applyFont="1" applyFill="1" applyBorder="1" applyAlignment="1">
      <alignment vertical="center"/>
    </xf>
    <xf numFmtId="4" fontId="22" fillId="2" borderId="151" xfId="0" applyNumberFormat="1" applyFont="1" applyFill="1" applyBorder="1" applyAlignment="1">
      <alignment wrapText="1"/>
    </xf>
    <xf numFmtId="0" fontId="20" fillId="2" borderId="154" xfId="4" applyFont="1" applyFill="1" applyBorder="1" applyAlignment="1">
      <alignment horizontal="left" vertical="center" wrapText="1"/>
    </xf>
    <xf numFmtId="0" fontId="18" fillId="0" borderId="155" xfId="0" applyFont="1" applyBorder="1" applyAlignment="1">
      <alignment horizontal="center" vertical="center"/>
    </xf>
    <xf numFmtId="4" fontId="22" fillId="2" borderId="156" xfId="0" applyNumberFormat="1" applyFont="1" applyFill="1" applyBorder="1" applyAlignment="1">
      <alignment wrapText="1"/>
    </xf>
    <xf numFmtId="4" fontId="23" fillId="2" borderId="131" xfId="0" applyNumberFormat="1" applyFont="1" applyFill="1" applyBorder="1" applyAlignment="1">
      <alignment horizontal="center" vertical="center"/>
    </xf>
    <xf numFmtId="0" fontId="16" fillId="2" borderId="155" xfId="1" applyFont="1" applyFill="1" applyBorder="1" applyAlignment="1" applyProtection="1">
      <alignment horizontal="center" vertical="center" wrapText="1"/>
      <protection locked="0"/>
    </xf>
    <xf numFmtId="0" fontId="20" fillId="2" borderId="158" xfId="4" applyFont="1" applyFill="1" applyBorder="1" applyAlignment="1">
      <alignment horizontal="left" vertical="center" wrapText="1"/>
    </xf>
    <xf numFmtId="0" fontId="18" fillId="0" borderId="159" xfId="0" applyFont="1" applyBorder="1" applyAlignment="1">
      <alignment horizontal="center" vertical="center"/>
    </xf>
    <xf numFmtId="4" fontId="22" fillId="2" borderId="160" xfId="0" applyNumberFormat="1" applyFont="1" applyFill="1" applyBorder="1" applyAlignment="1">
      <alignment wrapText="1"/>
    </xf>
    <xf numFmtId="0" fontId="16" fillId="2" borderId="159" xfId="1" applyFont="1" applyFill="1" applyBorder="1" applyAlignment="1" applyProtection="1">
      <alignment horizontal="center" vertical="center" wrapText="1"/>
      <protection locked="0"/>
    </xf>
    <xf numFmtId="0" fontId="20" fillId="2" borderId="162" xfId="4" applyFont="1" applyFill="1" applyBorder="1" applyAlignment="1">
      <alignment horizontal="left" vertical="center" wrapText="1"/>
    </xf>
    <xf numFmtId="0" fontId="16" fillId="2" borderId="165" xfId="1" applyFont="1" applyFill="1" applyBorder="1" applyAlignment="1" applyProtection="1">
      <alignment horizontal="center" vertical="center" wrapText="1"/>
      <protection locked="0"/>
    </xf>
    <xf numFmtId="0" fontId="18" fillId="0" borderId="165" xfId="0" applyFont="1" applyBorder="1" applyAlignment="1">
      <alignment horizontal="center" vertical="center"/>
    </xf>
    <xf numFmtId="4" fontId="22" fillId="2" borderId="166" xfId="0" applyNumberFormat="1" applyFont="1" applyFill="1" applyBorder="1" applyAlignment="1">
      <alignment wrapText="1"/>
    </xf>
    <xf numFmtId="0" fontId="16" fillId="0" borderId="173" xfId="1" applyFont="1" applyBorder="1" applyAlignment="1" applyProtection="1">
      <alignment horizontal="center" vertical="center" wrapText="1"/>
      <protection locked="0"/>
    </xf>
    <xf numFmtId="0" fontId="20" fillId="2" borderId="178" xfId="4" applyFont="1" applyFill="1" applyBorder="1" applyAlignment="1">
      <alignment horizontal="left" vertical="center" wrapText="1"/>
    </xf>
    <xf numFmtId="0" fontId="18" fillId="0" borderId="179" xfId="0" applyFont="1" applyBorder="1" applyAlignment="1">
      <alignment horizontal="center" vertical="center"/>
    </xf>
    <xf numFmtId="4" fontId="16" fillId="2" borderId="180" xfId="0" applyNumberFormat="1" applyFont="1" applyFill="1" applyBorder="1" applyAlignment="1">
      <alignment vertical="center"/>
    </xf>
    <xf numFmtId="4" fontId="22" fillId="2" borderId="180" xfId="0" applyNumberFormat="1" applyFont="1" applyFill="1" applyBorder="1" applyAlignment="1">
      <alignment wrapText="1"/>
    </xf>
    <xf numFmtId="0" fontId="16" fillId="0" borderId="183" xfId="1" applyFont="1" applyBorder="1" applyAlignment="1" applyProtection="1">
      <alignment horizontal="center" vertical="center" wrapText="1"/>
      <protection locked="0"/>
    </xf>
    <xf numFmtId="0" fontId="20" fillId="2" borderId="184" xfId="4" applyFont="1" applyFill="1" applyBorder="1" applyAlignment="1">
      <alignment horizontal="left" vertical="center" wrapText="1"/>
    </xf>
    <xf numFmtId="0" fontId="18" fillId="0" borderId="183" xfId="0" applyFont="1" applyBorder="1" applyAlignment="1">
      <alignment horizontal="center" vertical="center"/>
    </xf>
    <xf numFmtId="4" fontId="16" fillId="2" borderId="185" xfId="0" applyNumberFormat="1" applyFont="1" applyFill="1" applyBorder="1" applyAlignment="1">
      <alignment vertical="center"/>
    </xf>
    <xf numFmtId="4" fontId="22" fillId="2" borderId="185" xfId="0" applyNumberFormat="1" applyFont="1" applyFill="1" applyBorder="1" applyAlignment="1">
      <alignment wrapText="1"/>
    </xf>
    <xf numFmtId="0" fontId="16" fillId="2" borderId="183" xfId="1" applyFont="1" applyFill="1" applyBorder="1" applyAlignment="1" applyProtection="1">
      <alignment horizontal="center" vertical="center" wrapText="1"/>
      <protection locked="0"/>
    </xf>
    <xf numFmtId="0" fontId="20" fillId="2" borderId="189" xfId="4" applyFont="1" applyFill="1" applyBorder="1" applyAlignment="1">
      <alignment horizontal="left" vertical="center" wrapText="1"/>
    </xf>
    <xf numFmtId="0" fontId="16" fillId="2" borderId="191" xfId="1" applyFont="1" applyFill="1" applyBorder="1" applyAlignment="1" applyProtection="1">
      <alignment horizontal="center" vertical="center" wrapText="1"/>
      <protection locked="0"/>
    </xf>
    <xf numFmtId="4" fontId="23" fillId="2" borderId="193" xfId="0" applyNumberFormat="1" applyFont="1" applyFill="1" applyBorder="1" applyAlignment="1">
      <alignment vertical="center"/>
    </xf>
    <xf numFmtId="0" fontId="26" fillId="3" borderId="193" xfId="4" applyFont="1" applyFill="1" applyBorder="1" applyAlignment="1">
      <alignment horizontal="left" vertical="center" wrapText="1"/>
    </xf>
    <xf numFmtId="0" fontId="18" fillId="0" borderId="185" xfId="0" applyFont="1" applyBorder="1" applyAlignment="1">
      <alignment horizontal="center" vertical="center"/>
    </xf>
    <xf numFmtId="4" fontId="25" fillId="2" borderId="193" xfId="0" applyNumberFormat="1" applyFont="1" applyFill="1" applyBorder="1" applyAlignment="1">
      <alignment horizontal="center" vertical="center"/>
    </xf>
    <xf numFmtId="0" fontId="18" fillId="0" borderId="194" xfId="0" applyFont="1" applyBorder="1" applyAlignment="1">
      <alignment horizontal="center" vertical="center"/>
    </xf>
    <xf numFmtId="0" fontId="18" fillId="0" borderId="195" xfId="0" applyFont="1" applyBorder="1" applyAlignment="1">
      <alignment horizontal="center" vertical="center"/>
    </xf>
    <xf numFmtId="4" fontId="22" fillId="2" borderId="195" xfId="0" applyNumberFormat="1" applyFont="1" applyFill="1" applyBorder="1" applyAlignment="1">
      <alignment wrapText="1"/>
    </xf>
    <xf numFmtId="0" fontId="16" fillId="2" borderId="198" xfId="1" applyFont="1" applyFill="1" applyBorder="1" applyAlignment="1" applyProtection="1">
      <alignment horizontal="center" vertical="center" wrapText="1"/>
      <protection locked="0"/>
    </xf>
    <xf numFmtId="0" fontId="17" fillId="0" borderId="199" xfId="1" applyFont="1" applyBorder="1" applyAlignment="1" applyProtection="1">
      <alignment horizontal="center" vertical="center" wrapText="1"/>
      <protection locked="0"/>
    </xf>
    <xf numFmtId="0" fontId="18" fillId="0" borderId="200" xfId="0" applyFont="1" applyBorder="1" applyAlignment="1">
      <alignment horizontal="center" vertical="center"/>
    </xf>
    <xf numFmtId="0" fontId="18" fillId="0" borderId="201" xfId="0" applyFont="1" applyBorder="1" applyAlignment="1">
      <alignment horizontal="center" vertical="center"/>
    </xf>
    <xf numFmtId="4" fontId="16" fillId="2" borderId="193" xfId="0" applyNumberFormat="1" applyFont="1" applyFill="1" applyBorder="1" applyAlignment="1">
      <alignment horizontal="right" vertical="center"/>
    </xf>
    <xf numFmtId="4" fontId="22" fillId="2" borderId="201" xfId="0" applyNumberFormat="1" applyFont="1" applyFill="1" applyBorder="1" applyAlignment="1">
      <alignment wrapText="1"/>
    </xf>
    <xf numFmtId="0" fontId="15" fillId="6" borderId="198" xfId="0" applyFont="1" applyFill="1" applyBorder="1"/>
    <xf numFmtId="4" fontId="16" fillId="2" borderId="201" xfId="0" applyNumberFormat="1" applyFont="1" applyFill="1" applyBorder="1" applyAlignment="1">
      <alignment vertical="center"/>
    </xf>
    <xf numFmtId="0" fontId="16" fillId="2" borderId="204" xfId="1" applyFont="1" applyFill="1" applyBorder="1" applyAlignment="1" applyProtection="1">
      <alignment horizontal="center" vertical="center" wrapText="1"/>
      <protection locked="0"/>
    </xf>
    <xf numFmtId="0" fontId="16" fillId="0" borderId="204" xfId="1" applyFont="1" applyBorder="1" applyAlignment="1" applyProtection="1">
      <alignment horizontal="center" vertical="center" wrapText="1"/>
      <protection locked="0"/>
    </xf>
    <xf numFmtId="0" fontId="21" fillId="0" borderId="199" xfId="1" applyFont="1" applyBorder="1" applyAlignment="1" applyProtection="1">
      <alignment horizontal="center" vertical="center" wrapText="1"/>
      <protection locked="0"/>
    </xf>
    <xf numFmtId="0" fontId="18" fillId="3" borderId="205" xfId="4" applyFont="1" applyFill="1" applyBorder="1" applyAlignment="1">
      <alignment vertical="center" wrapText="1"/>
    </xf>
    <xf numFmtId="0" fontId="18" fillId="0" borderId="204" xfId="0" applyFont="1" applyBorder="1" applyAlignment="1">
      <alignment horizontal="center" vertical="center"/>
    </xf>
    <xf numFmtId="4" fontId="16" fillId="2" borderId="206" xfId="0" applyNumberFormat="1" applyFont="1" applyFill="1" applyBorder="1" applyAlignment="1">
      <alignment vertical="center"/>
    </xf>
    <xf numFmtId="0" fontId="18" fillId="3" borderId="204" xfId="0" applyFont="1" applyFill="1" applyBorder="1" applyAlignment="1">
      <alignment horizontal="left" vertical="center" wrapText="1"/>
    </xf>
    <xf numFmtId="4" fontId="15" fillId="2" borderId="193" xfId="0" applyNumberFormat="1" applyFont="1" applyFill="1" applyBorder="1" applyAlignment="1">
      <alignment horizontal="right" vertical="center"/>
    </xf>
    <xf numFmtId="4" fontId="22" fillId="2" borderId="206" xfId="0" applyNumberFormat="1" applyFont="1" applyFill="1" applyBorder="1" applyAlignment="1">
      <alignment wrapText="1"/>
    </xf>
    <xf numFmtId="0" fontId="15" fillId="6" borderId="204" xfId="0" applyFont="1" applyFill="1" applyBorder="1" applyAlignment="1">
      <alignment horizontal="center"/>
    </xf>
    <xf numFmtId="0" fontId="20" fillId="2" borderId="209" xfId="4" applyFont="1" applyFill="1" applyBorder="1" applyAlignment="1">
      <alignment horizontal="left" vertical="center" wrapText="1"/>
    </xf>
    <xf numFmtId="0" fontId="18" fillId="0" borderId="206" xfId="0" applyFont="1" applyBorder="1" applyAlignment="1">
      <alignment horizontal="center" vertical="center"/>
    </xf>
    <xf numFmtId="4" fontId="29" fillId="2" borderId="206" xfId="0" applyNumberFormat="1" applyFont="1" applyFill="1" applyBorder="1" applyAlignment="1">
      <alignment vertical="center"/>
    </xf>
    <xf numFmtId="0" fontId="16" fillId="2" borderId="211" xfId="1" applyFont="1" applyFill="1" applyBorder="1" applyAlignment="1" applyProtection="1">
      <alignment horizontal="center" vertical="center" wrapText="1"/>
      <protection locked="0"/>
    </xf>
    <xf numFmtId="0" fontId="19" fillId="3" borderId="193" xfId="4" applyFont="1" applyFill="1" applyBorder="1" applyAlignment="1">
      <alignment horizontal="left" vertical="center" wrapText="1"/>
    </xf>
    <xf numFmtId="3" fontId="21" fillId="2" borderId="212" xfId="0" applyNumberFormat="1" applyFont="1" applyFill="1" applyBorder="1" applyAlignment="1">
      <alignment horizontal="right" vertical="center"/>
    </xf>
    <xf numFmtId="49" fontId="21" fillId="2" borderId="212" xfId="0" applyNumberFormat="1" applyFont="1" applyFill="1" applyBorder="1" applyAlignment="1">
      <alignment horizontal="center" vertical="center"/>
    </xf>
    <xf numFmtId="4" fontId="16" fillId="2" borderId="213" xfId="0" applyNumberFormat="1" applyFont="1" applyFill="1" applyBorder="1" applyAlignment="1">
      <alignment vertical="center"/>
    </xf>
    <xf numFmtId="4" fontId="22" fillId="2" borderId="213" xfId="0" applyNumberFormat="1" applyFont="1" applyFill="1" applyBorder="1" applyAlignment="1">
      <alignment wrapText="1"/>
    </xf>
    <xf numFmtId="0" fontId="18" fillId="0" borderId="211" xfId="0" applyFont="1" applyBorder="1" applyAlignment="1">
      <alignment horizontal="center" vertical="center"/>
    </xf>
    <xf numFmtId="0" fontId="20" fillId="2" borderId="218" xfId="4" applyFont="1" applyFill="1" applyBorder="1" applyAlignment="1">
      <alignment horizontal="left" vertical="center" wrapText="1"/>
    </xf>
    <xf numFmtId="0" fontId="18" fillId="0" borderId="219" xfId="0" applyFont="1" applyBorder="1" applyAlignment="1">
      <alignment horizontal="center" vertical="center"/>
    </xf>
    <xf numFmtId="4" fontId="16" fillId="2" borderId="220" xfId="0" applyNumberFormat="1" applyFont="1" applyFill="1" applyBorder="1" applyAlignment="1">
      <alignment vertical="center"/>
    </xf>
    <xf numFmtId="4" fontId="22" fillId="2" borderId="220" xfId="0" applyNumberFormat="1" applyFont="1" applyFill="1" applyBorder="1" applyAlignment="1">
      <alignment wrapText="1"/>
    </xf>
    <xf numFmtId="0" fontId="16" fillId="2" borderId="219" xfId="1" applyFont="1" applyFill="1" applyBorder="1" applyAlignment="1" applyProtection="1">
      <alignment horizontal="center" vertical="center" wrapText="1"/>
      <protection locked="0"/>
    </xf>
    <xf numFmtId="0" fontId="16" fillId="2" borderId="222" xfId="1" applyFont="1" applyFill="1" applyBorder="1" applyAlignment="1" applyProtection="1">
      <alignment horizontal="center" vertical="center" wrapText="1"/>
      <protection locked="0"/>
    </xf>
    <xf numFmtId="0" fontId="20" fillId="2" borderId="223" xfId="4" applyFont="1" applyFill="1" applyBorder="1" applyAlignment="1">
      <alignment horizontal="left" vertical="center" wrapText="1"/>
    </xf>
    <xf numFmtId="3" fontId="21" fillId="2" borderId="224" xfId="0" applyNumberFormat="1" applyFont="1" applyFill="1" applyBorder="1" applyAlignment="1">
      <alignment horizontal="right" vertical="center"/>
    </xf>
    <xf numFmtId="49" fontId="21" fillId="2" borderId="224" xfId="0" applyNumberFormat="1" applyFont="1" applyFill="1" applyBorder="1" applyAlignment="1">
      <alignment horizontal="center" vertical="center"/>
    </xf>
    <xf numFmtId="4" fontId="16" fillId="2" borderId="225" xfId="0" applyNumberFormat="1" applyFont="1" applyFill="1" applyBorder="1" applyAlignment="1">
      <alignment vertical="center"/>
    </xf>
    <xf numFmtId="4" fontId="22" fillId="2" borderId="225" xfId="0" applyNumberFormat="1" applyFont="1" applyFill="1" applyBorder="1" applyAlignment="1">
      <alignment wrapText="1"/>
    </xf>
    <xf numFmtId="0" fontId="16" fillId="2" borderId="231" xfId="1" applyFont="1" applyFill="1" applyBorder="1" applyAlignment="1" applyProtection="1">
      <alignment horizontal="center" vertical="center" wrapText="1"/>
      <protection locked="0"/>
    </xf>
    <xf numFmtId="0" fontId="16" fillId="0" borderId="231" xfId="1" applyFont="1" applyBorder="1" applyAlignment="1" applyProtection="1">
      <alignment horizontal="center" vertical="center" wrapText="1"/>
      <protection locked="0"/>
    </xf>
    <xf numFmtId="0" fontId="18" fillId="3" borderId="232" xfId="4" applyFont="1" applyFill="1" applyBorder="1" applyAlignment="1">
      <alignment horizontal="left" vertical="center" wrapText="1"/>
    </xf>
    <xf numFmtId="0" fontId="18" fillId="0" borderId="231" xfId="0" applyFont="1" applyBorder="1" applyAlignment="1">
      <alignment horizontal="center" vertical="center"/>
    </xf>
    <xf numFmtId="4" fontId="16" fillId="2" borderId="233" xfId="0" applyNumberFormat="1" applyFont="1" applyFill="1" applyBorder="1" applyAlignment="1">
      <alignment vertical="center"/>
    </xf>
    <xf numFmtId="0" fontId="16" fillId="0" borderId="222" xfId="1" applyFont="1" applyBorder="1" applyAlignment="1" applyProtection="1">
      <alignment horizontal="center" vertical="center" wrapText="1"/>
      <protection locked="0"/>
    </xf>
    <xf numFmtId="0" fontId="31" fillId="3" borderId="235" xfId="4" applyFont="1" applyFill="1" applyBorder="1" applyAlignment="1">
      <alignment horizontal="left" vertical="center" wrapText="1"/>
    </xf>
    <xf numFmtId="0" fontId="18" fillId="0" borderId="191" xfId="0" applyFont="1" applyBorder="1" applyAlignment="1">
      <alignment horizontal="center" vertical="center"/>
    </xf>
    <xf numFmtId="4" fontId="16" fillId="2" borderId="195" xfId="0" applyNumberFormat="1" applyFont="1" applyFill="1" applyBorder="1" applyAlignment="1">
      <alignment vertical="center"/>
    </xf>
    <xf numFmtId="0" fontId="16" fillId="2" borderId="237" xfId="1" applyFont="1" applyFill="1" applyBorder="1" applyAlignment="1" applyProtection="1">
      <alignment horizontal="center" vertical="center" wrapText="1"/>
      <protection locked="0"/>
    </xf>
    <xf numFmtId="0" fontId="16" fillId="0" borderId="191" xfId="1" applyFont="1" applyBorder="1" applyAlignment="1" applyProtection="1">
      <alignment horizontal="center" vertical="center" wrapText="1"/>
      <protection locked="0"/>
    </xf>
    <xf numFmtId="0" fontId="20" fillId="3" borderId="238" xfId="4" applyFont="1" applyFill="1" applyBorder="1" applyAlignment="1">
      <alignment horizontal="left" vertical="center" wrapText="1"/>
    </xf>
    <xf numFmtId="0" fontId="20" fillId="3" borderId="240" xfId="4" applyFont="1" applyFill="1" applyBorder="1" applyAlignment="1">
      <alignment horizontal="left" vertical="center" wrapText="1"/>
    </xf>
    <xf numFmtId="0" fontId="20" fillId="2" borderId="241" xfId="4" applyFont="1" applyFill="1" applyBorder="1" applyAlignment="1">
      <alignment horizontal="left" vertical="center" wrapText="1"/>
    </xf>
    <xf numFmtId="0" fontId="15" fillId="3" borderId="150" xfId="0" applyFont="1" applyFill="1" applyBorder="1" applyAlignment="1">
      <alignment horizontal="center"/>
    </xf>
    <xf numFmtId="0" fontId="18" fillId="0" borderId="148" xfId="0" applyFont="1" applyBorder="1" applyAlignment="1">
      <alignment horizontal="center" vertical="center"/>
    </xf>
    <xf numFmtId="4" fontId="16" fillId="2" borderId="148" xfId="0" applyNumberFormat="1" applyFont="1" applyFill="1" applyBorder="1" applyAlignment="1">
      <alignment vertical="center"/>
    </xf>
    <xf numFmtId="0" fontId="18" fillId="0" borderId="225" xfId="0" applyFont="1" applyBorder="1" applyAlignment="1">
      <alignment horizontal="center" vertical="center"/>
    </xf>
    <xf numFmtId="0" fontId="16" fillId="2" borderId="246" xfId="1" applyFont="1" applyFill="1" applyBorder="1" applyAlignment="1" applyProtection="1">
      <alignment horizontal="center" vertical="center" wrapText="1"/>
      <protection locked="0"/>
    </xf>
    <xf numFmtId="0" fontId="18" fillId="0" borderId="247" xfId="0" applyFont="1" applyBorder="1" applyAlignment="1">
      <alignment horizontal="center" vertical="center"/>
    </xf>
    <xf numFmtId="4" fontId="16" fillId="2" borderId="247" xfId="0" applyNumberFormat="1" applyFont="1" applyFill="1" applyBorder="1" applyAlignment="1">
      <alignment vertical="center"/>
    </xf>
    <xf numFmtId="4" fontId="22" fillId="2" borderId="247" xfId="0" applyNumberFormat="1" applyFont="1" applyFill="1" applyBorder="1" applyAlignment="1">
      <alignment wrapText="1"/>
    </xf>
    <xf numFmtId="0" fontId="20" fillId="2" borderId="251" xfId="4" applyFont="1" applyFill="1" applyBorder="1" applyAlignment="1">
      <alignment horizontal="left" vertical="center" wrapText="1"/>
    </xf>
    <xf numFmtId="4" fontId="22" fillId="2" borderId="254" xfId="0" applyNumberFormat="1" applyFont="1" applyFill="1" applyBorder="1" applyAlignment="1">
      <alignment wrapText="1"/>
    </xf>
    <xf numFmtId="0" fontId="16" fillId="2" borderId="257" xfId="1" applyFont="1" applyFill="1" applyBorder="1" applyAlignment="1" applyProtection="1">
      <alignment horizontal="center" vertical="center" wrapText="1"/>
      <protection locked="0"/>
    </xf>
    <xf numFmtId="0" fontId="20" fillId="2" borderId="258" xfId="4" applyFont="1" applyFill="1" applyBorder="1" applyAlignment="1">
      <alignment horizontal="left" vertical="center" wrapText="1"/>
    </xf>
    <xf numFmtId="0" fontId="20" fillId="2" borderId="260" xfId="4" applyFont="1" applyFill="1" applyBorder="1" applyAlignment="1">
      <alignment horizontal="left" vertical="center" wrapText="1"/>
    </xf>
    <xf numFmtId="4" fontId="22" fillId="2" borderId="262" xfId="0" applyNumberFormat="1" applyFont="1" applyFill="1" applyBorder="1" applyAlignment="1">
      <alignment wrapText="1"/>
    </xf>
    <xf numFmtId="0" fontId="22" fillId="2" borderId="260" xfId="4" applyFont="1" applyFill="1" applyBorder="1" applyAlignment="1">
      <alignment horizontal="left" vertical="center" wrapText="1"/>
    </xf>
    <xf numFmtId="0" fontId="18" fillId="3" borderId="257" xfId="0" applyFont="1" applyFill="1" applyBorder="1" applyAlignment="1">
      <alignment horizontal="left" vertical="center" wrapText="1"/>
    </xf>
    <xf numFmtId="0" fontId="18" fillId="0" borderId="262" xfId="0" applyFont="1" applyBorder="1" applyAlignment="1">
      <alignment horizontal="center" vertical="center"/>
    </xf>
    <xf numFmtId="4" fontId="16" fillId="2" borderId="262" xfId="0" applyNumberFormat="1" applyFont="1" applyFill="1" applyBorder="1" applyAlignment="1">
      <alignment vertical="center"/>
    </xf>
    <xf numFmtId="4" fontId="10" fillId="9" borderId="34" xfId="2" applyNumberFormat="1" applyFont="1" applyFill="1" applyBorder="1" applyAlignment="1">
      <alignment horizontal="center" vertical="center" wrapText="1"/>
    </xf>
    <xf numFmtId="4" fontId="10" fillId="9" borderId="30" xfId="2" applyNumberFormat="1" applyFont="1" applyFill="1" applyBorder="1" applyAlignment="1">
      <alignment horizontal="center" vertical="center" wrapText="1"/>
    </xf>
    <xf numFmtId="4" fontId="23" fillId="9" borderId="41" xfId="0" applyNumberFormat="1" applyFont="1" applyFill="1" applyBorder="1" applyAlignment="1">
      <alignment horizontal="right" vertical="center"/>
    </xf>
    <xf numFmtId="4" fontId="24" fillId="9" borderId="23" xfId="0" applyNumberFormat="1" applyFont="1" applyFill="1" applyBorder="1" applyAlignment="1">
      <alignment vertical="center"/>
    </xf>
    <xf numFmtId="4" fontId="24" fillId="9" borderId="20" xfId="0" applyNumberFormat="1" applyFont="1" applyFill="1" applyBorder="1" applyAlignment="1">
      <alignment vertical="center"/>
    </xf>
    <xf numFmtId="4" fontId="25" fillId="9" borderId="40" xfId="0" applyNumberFormat="1" applyFont="1" applyFill="1" applyBorder="1" applyAlignment="1">
      <alignment horizontal="center" vertical="center"/>
    </xf>
    <xf numFmtId="1" fontId="20" fillId="9" borderId="67" xfId="4" applyNumberFormat="1" applyFont="1" applyFill="1" applyBorder="1" applyAlignment="1">
      <alignment horizontal="center" vertical="center" wrapText="1"/>
    </xf>
    <xf numFmtId="1" fontId="20" fillId="9" borderId="68" xfId="4" applyNumberFormat="1" applyFont="1" applyFill="1" applyBorder="1" applyAlignment="1">
      <alignment horizontal="center" vertical="center" wrapText="1"/>
    </xf>
    <xf numFmtId="4" fontId="23" fillId="9" borderId="42" xfId="0" applyNumberFormat="1" applyFont="1" applyFill="1" applyBorder="1" applyAlignment="1">
      <alignment horizontal="center" vertical="center"/>
    </xf>
    <xf numFmtId="1" fontId="20" fillId="9" borderId="79" xfId="4" applyNumberFormat="1" applyFont="1" applyFill="1" applyBorder="1" applyAlignment="1">
      <alignment horizontal="center" vertical="center" wrapText="1"/>
    </xf>
    <xf numFmtId="1" fontId="20" fillId="9" borderId="80" xfId="4" applyNumberFormat="1" applyFont="1" applyFill="1" applyBorder="1" applyAlignment="1">
      <alignment horizontal="center" vertical="center" wrapText="1"/>
    </xf>
    <xf numFmtId="4" fontId="16" fillId="9" borderId="84" xfId="0" applyNumberFormat="1" applyFont="1" applyFill="1" applyBorder="1" applyAlignment="1">
      <alignment horizontal="right" vertical="center"/>
    </xf>
    <xf numFmtId="164" fontId="20" fillId="9" borderId="85" xfId="5" applyNumberFormat="1" applyFont="1" applyFill="1" applyBorder="1" applyAlignment="1">
      <alignment horizontal="center" vertical="center" wrapText="1"/>
    </xf>
    <xf numFmtId="164" fontId="20" fillId="9" borderId="63" xfId="5" applyNumberFormat="1" applyFont="1" applyFill="1" applyBorder="1" applyAlignment="1">
      <alignment horizontal="center" vertical="center" wrapText="1"/>
    </xf>
    <xf numFmtId="1" fontId="20" fillId="9" borderId="86" xfId="4" applyNumberFormat="1" applyFont="1" applyFill="1" applyBorder="1" applyAlignment="1">
      <alignment horizontal="center" vertical="center" wrapText="1"/>
    </xf>
    <xf numFmtId="1" fontId="20" fillId="9" borderId="87" xfId="4" applyNumberFormat="1" applyFont="1" applyFill="1" applyBorder="1" applyAlignment="1">
      <alignment horizontal="center" vertical="center" wrapText="1"/>
    </xf>
    <xf numFmtId="1" fontId="20" fillId="9" borderId="89" xfId="4" applyNumberFormat="1" applyFont="1" applyFill="1" applyBorder="1" applyAlignment="1">
      <alignment horizontal="center" vertical="center" wrapText="1"/>
    </xf>
    <xf numFmtId="1" fontId="28" fillId="9" borderId="91" xfId="4" applyNumberFormat="1" applyFont="1" applyFill="1" applyBorder="1" applyAlignment="1">
      <alignment horizontal="center" vertical="center" wrapText="1"/>
    </xf>
    <xf numFmtId="1" fontId="28" fillId="9" borderId="92" xfId="4" applyNumberFormat="1" applyFont="1" applyFill="1" applyBorder="1" applyAlignment="1">
      <alignment horizontal="center" vertical="center" wrapText="1"/>
    </xf>
    <xf numFmtId="1" fontId="20" fillId="9" borderId="38" xfId="4" applyNumberFormat="1" applyFont="1" applyFill="1" applyBorder="1" applyAlignment="1">
      <alignment horizontal="center" vertical="center" wrapText="1"/>
    </xf>
    <xf numFmtId="1" fontId="28" fillId="9" borderId="42" xfId="4" applyNumberFormat="1" applyFont="1" applyFill="1" applyBorder="1" applyAlignment="1">
      <alignment horizontal="center" vertical="center" wrapText="1"/>
    </xf>
    <xf numFmtId="1" fontId="20" fillId="9" borderId="51" xfId="4" applyNumberFormat="1" applyFont="1" applyFill="1" applyBorder="1" applyAlignment="1">
      <alignment horizontal="center" vertical="center" wrapText="1"/>
    </xf>
    <xf numFmtId="1" fontId="28" fillId="9" borderId="52" xfId="4" applyNumberFormat="1" applyFont="1" applyFill="1" applyBorder="1" applyAlignment="1">
      <alignment horizontal="center" vertical="center" wrapText="1"/>
    </xf>
    <xf numFmtId="1" fontId="20" fillId="9" borderId="53" xfId="4" applyNumberFormat="1" applyFont="1" applyFill="1" applyBorder="1" applyAlignment="1">
      <alignment horizontal="center" vertical="center" wrapText="1"/>
    </xf>
    <xf numFmtId="1" fontId="28" fillId="9" borderId="54" xfId="4" applyNumberFormat="1" applyFont="1" applyFill="1" applyBorder="1" applyAlignment="1">
      <alignment horizontal="center" vertical="center" wrapText="1"/>
    </xf>
    <xf numFmtId="1" fontId="20" fillId="9" borderId="97" xfId="4" applyNumberFormat="1" applyFont="1" applyFill="1" applyBorder="1" applyAlignment="1">
      <alignment horizontal="center" vertical="center" wrapText="1"/>
    </xf>
    <xf numFmtId="1" fontId="20" fillId="9" borderId="98" xfId="4" applyNumberFormat="1" applyFont="1" applyFill="1" applyBorder="1" applyAlignment="1">
      <alignment horizontal="center" vertical="center" wrapText="1"/>
    </xf>
    <xf numFmtId="1" fontId="20" fillId="9" borderId="99" xfId="4" applyNumberFormat="1" applyFont="1" applyFill="1" applyBorder="1" applyAlignment="1">
      <alignment horizontal="center" vertical="center" wrapText="1"/>
    </xf>
    <xf numFmtId="1" fontId="20" fillId="9" borderId="100" xfId="4" applyNumberFormat="1" applyFont="1" applyFill="1" applyBorder="1" applyAlignment="1">
      <alignment horizontal="center" vertical="center" wrapText="1"/>
    </xf>
    <xf numFmtId="1" fontId="20" fillId="9" borderId="113" xfId="4" applyNumberFormat="1" applyFont="1" applyFill="1" applyBorder="1" applyAlignment="1">
      <alignment horizontal="center" vertical="center" wrapText="1"/>
    </xf>
    <xf numFmtId="1" fontId="20" fillId="9" borderId="114" xfId="4" applyNumberFormat="1" applyFont="1" applyFill="1" applyBorder="1" applyAlignment="1">
      <alignment horizontal="center" vertical="center" wrapText="1"/>
    </xf>
    <xf numFmtId="4" fontId="23" fillId="9" borderId="62" xfId="0" applyNumberFormat="1" applyFont="1" applyFill="1" applyBorder="1" applyAlignment="1">
      <alignment horizontal="right" vertical="center"/>
    </xf>
    <xf numFmtId="1" fontId="20" fillId="9" borderId="119" xfId="4" applyNumberFormat="1" applyFont="1" applyFill="1" applyBorder="1" applyAlignment="1">
      <alignment horizontal="center" vertical="center" wrapText="1"/>
    </xf>
    <xf numFmtId="1" fontId="20" fillId="9" borderId="122" xfId="4" applyNumberFormat="1" applyFont="1" applyFill="1" applyBorder="1" applyAlignment="1">
      <alignment horizontal="center" vertical="center" wrapText="1"/>
    </xf>
    <xf numFmtId="1" fontId="20" fillId="9" borderId="123" xfId="4" applyNumberFormat="1" applyFont="1" applyFill="1" applyBorder="1" applyAlignment="1">
      <alignment horizontal="center" vertical="center" wrapText="1"/>
    </xf>
    <xf numFmtId="1" fontId="20" fillId="9" borderId="127" xfId="4" applyNumberFormat="1" applyFont="1" applyFill="1" applyBorder="1" applyAlignment="1">
      <alignment horizontal="center" vertical="center" wrapText="1"/>
    </xf>
    <xf numFmtId="1" fontId="20" fillId="9" borderId="128" xfId="4" applyNumberFormat="1" applyFont="1" applyFill="1" applyBorder="1" applyAlignment="1">
      <alignment horizontal="center" vertical="center" wrapText="1"/>
    </xf>
    <xf numFmtId="4" fontId="25" fillId="9" borderId="58" xfId="0" applyNumberFormat="1" applyFont="1" applyFill="1" applyBorder="1" applyAlignment="1">
      <alignment horizontal="center" vertical="center"/>
    </xf>
    <xf numFmtId="1" fontId="20" fillId="9" borderId="134" xfId="4" applyNumberFormat="1" applyFont="1" applyFill="1" applyBorder="1" applyAlignment="1">
      <alignment horizontal="center" vertical="center" wrapText="1"/>
    </xf>
    <xf numFmtId="1" fontId="20" fillId="9" borderId="135" xfId="4" applyNumberFormat="1" applyFont="1" applyFill="1" applyBorder="1" applyAlignment="1">
      <alignment horizontal="center" vertical="center" wrapText="1"/>
    </xf>
    <xf numFmtId="4" fontId="24" fillId="9" borderId="136" xfId="0" applyNumberFormat="1" applyFont="1" applyFill="1" applyBorder="1" applyAlignment="1">
      <alignment vertical="center"/>
    </xf>
    <xf numFmtId="4" fontId="24" fillId="9" borderId="140" xfId="0" applyNumberFormat="1" applyFont="1" applyFill="1" applyBorder="1" applyAlignment="1">
      <alignment vertical="center"/>
    </xf>
    <xf numFmtId="4" fontId="24" fillId="9" borderId="138" xfId="0" applyNumberFormat="1" applyFont="1" applyFill="1" applyBorder="1" applyAlignment="1">
      <alignment vertical="center"/>
    </xf>
    <xf numFmtId="164" fontId="20" fillId="9" borderId="141" xfId="5" applyNumberFormat="1" applyFont="1" applyFill="1" applyBorder="1" applyAlignment="1">
      <alignment horizontal="center" vertical="center" wrapText="1"/>
    </xf>
    <xf numFmtId="164" fontId="20" fillId="9" borderId="142" xfId="5" applyNumberFormat="1" applyFont="1" applyFill="1" applyBorder="1" applyAlignment="1">
      <alignment horizontal="center" vertical="center" wrapText="1"/>
    </xf>
    <xf numFmtId="4" fontId="16" fillId="9" borderId="143" xfId="0" applyNumberFormat="1" applyFont="1" applyFill="1" applyBorder="1" applyAlignment="1">
      <alignment horizontal="right" vertical="center"/>
    </xf>
    <xf numFmtId="1" fontId="20" fillId="9" borderId="146" xfId="4" applyNumberFormat="1" applyFont="1" applyFill="1" applyBorder="1" applyAlignment="1">
      <alignment horizontal="center" vertical="center" wrapText="1"/>
    </xf>
    <xf numFmtId="1" fontId="20" fillId="9" borderId="149" xfId="4" applyNumberFormat="1" applyFont="1" applyFill="1" applyBorder="1" applyAlignment="1">
      <alignment horizontal="center" vertical="center" wrapText="1"/>
    </xf>
    <xf numFmtId="1" fontId="20" fillId="9" borderId="152" xfId="4" applyNumberFormat="1" applyFont="1" applyFill="1" applyBorder="1" applyAlignment="1">
      <alignment horizontal="center" vertical="center" wrapText="1"/>
    </xf>
    <xf numFmtId="1" fontId="20" fillId="9" borderId="163" xfId="4" applyNumberFormat="1" applyFont="1" applyFill="1" applyBorder="1" applyAlignment="1">
      <alignment horizontal="center" vertical="center" wrapText="1"/>
    </xf>
    <xf numFmtId="1" fontId="28" fillId="9" borderId="164" xfId="4" applyNumberFormat="1" applyFont="1" applyFill="1" applyBorder="1" applyAlignment="1">
      <alignment horizontal="center" vertical="center" wrapText="1"/>
    </xf>
    <xf numFmtId="164" fontId="20" fillId="9" borderId="42" xfId="6" applyNumberFormat="1" applyFont="1" applyFill="1" applyBorder="1" applyAlignment="1">
      <alignment horizontal="center" vertical="center" wrapText="1"/>
    </xf>
    <xf numFmtId="1" fontId="20" fillId="9" borderId="167" xfId="4" applyNumberFormat="1" applyFont="1" applyFill="1" applyBorder="1" applyAlignment="1">
      <alignment horizontal="center" vertical="center" wrapText="1"/>
    </xf>
    <xf numFmtId="1" fontId="28" fillId="9" borderId="168" xfId="4" applyNumberFormat="1" applyFont="1" applyFill="1" applyBorder="1" applyAlignment="1">
      <alignment horizontal="center" vertical="center" wrapText="1"/>
    </xf>
    <xf numFmtId="1" fontId="20" fillId="9" borderId="181" xfId="4" applyNumberFormat="1" applyFont="1" applyFill="1" applyBorder="1" applyAlignment="1">
      <alignment horizontal="center" vertical="center" wrapText="1"/>
    </xf>
    <xf numFmtId="1" fontId="20" fillId="9" borderId="182" xfId="4" applyNumberFormat="1" applyFont="1" applyFill="1" applyBorder="1" applyAlignment="1">
      <alignment horizontal="center" vertical="center" wrapText="1"/>
    </xf>
    <xf numFmtId="1" fontId="20" fillId="9" borderId="186" xfId="4" applyNumberFormat="1" applyFont="1" applyFill="1" applyBorder="1" applyAlignment="1">
      <alignment horizontal="center" vertical="center" wrapText="1"/>
    </xf>
    <xf numFmtId="1" fontId="20" fillId="9" borderId="187" xfId="4" applyNumberFormat="1" applyFont="1" applyFill="1" applyBorder="1" applyAlignment="1">
      <alignment horizontal="center" vertical="center" wrapText="1"/>
    </xf>
    <xf numFmtId="4" fontId="25" fillId="9" borderId="193" xfId="0" applyNumberFormat="1" applyFont="1" applyFill="1" applyBorder="1" applyAlignment="1">
      <alignment horizontal="center" vertical="center"/>
    </xf>
    <xf numFmtId="1" fontId="20" fillId="9" borderId="196" xfId="4" applyNumberFormat="1" applyFont="1" applyFill="1" applyBorder="1" applyAlignment="1">
      <alignment horizontal="center" vertical="center" wrapText="1"/>
    </xf>
    <xf numFmtId="1" fontId="20" fillId="9" borderId="197" xfId="4" applyNumberFormat="1" applyFont="1" applyFill="1" applyBorder="1" applyAlignment="1">
      <alignment horizontal="center" vertical="center" wrapText="1"/>
    </xf>
    <xf numFmtId="1" fontId="20" fillId="9" borderId="202" xfId="4" applyNumberFormat="1" applyFont="1" applyFill="1" applyBorder="1" applyAlignment="1">
      <alignment horizontal="center" vertical="center" wrapText="1"/>
    </xf>
    <xf numFmtId="1" fontId="20" fillId="9" borderId="203" xfId="4" applyNumberFormat="1" applyFont="1" applyFill="1" applyBorder="1" applyAlignment="1">
      <alignment horizontal="center" vertical="center" wrapText="1"/>
    </xf>
    <xf numFmtId="1" fontId="20" fillId="9" borderId="207" xfId="4" applyNumberFormat="1" applyFont="1" applyFill="1" applyBorder="1" applyAlignment="1">
      <alignment horizontal="center" vertical="center" wrapText="1"/>
    </xf>
    <xf numFmtId="4" fontId="24" fillId="9" borderId="39" xfId="0" applyNumberFormat="1" applyFont="1" applyFill="1" applyBorder="1" applyAlignment="1">
      <alignment vertical="center"/>
    </xf>
    <xf numFmtId="1" fontId="20" fillId="9" borderId="208" xfId="4" applyNumberFormat="1" applyFont="1" applyFill="1" applyBorder="1" applyAlignment="1">
      <alignment horizontal="center" vertical="center" wrapText="1"/>
    </xf>
    <xf numFmtId="1" fontId="20" fillId="9" borderId="210" xfId="4" applyNumberFormat="1" applyFont="1" applyFill="1" applyBorder="1" applyAlignment="1">
      <alignment horizontal="center" vertical="center" wrapText="1"/>
    </xf>
    <xf numFmtId="1" fontId="20" fillId="9" borderId="214" xfId="4" applyNumberFormat="1" applyFont="1" applyFill="1" applyBorder="1" applyAlignment="1">
      <alignment horizontal="center" vertical="center" wrapText="1"/>
    </xf>
    <xf numFmtId="1" fontId="20" fillId="9" borderId="215" xfId="4" applyNumberFormat="1" applyFont="1" applyFill="1" applyBorder="1" applyAlignment="1">
      <alignment horizontal="center" vertical="center" wrapText="1"/>
    </xf>
    <xf numFmtId="0" fontId="20" fillId="9" borderId="60" xfId="7" applyFont="1" applyFill="1" applyBorder="1" applyAlignment="1">
      <alignment horizontal="center" vertical="center" wrapText="1"/>
    </xf>
    <xf numFmtId="0" fontId="20" fillId="9" borderId="53" xfId="7" applyFont="1" applyFill="1" applyBorder="1" applyAlignment="1">
      <alignment horizontal="center" vertical="center" wrapText="1"/>
    </xf>
    <xf numFmtId="164" fontId="20" fillId="9" borderId="63" xfId="6" applyNumberFormat="1" applyFont="1" applyFill="1" applyBorder="1" applyAlignment="1">
      <alignment horizontal="center" vertical="center" wrapText="1"/>
    </xf>
    <xf numFmtId="1" fontId="20" fillId="9" borderId="221" xfId="4" applyNumberFormat="1" applyFont="1" applyFill="1" applyBorder="1" applyAlignment="1">
      <alignment horizontal="center" vertical="center" wrapText="1"/>
    </xf>
    <xf numFmtId="4" fontId="24" fillId="9" borderId="226" xfId="0" applyNumberFormat="1" applyFont="1" applyFill="1" applyBorder="1" applyAlignment="1">
      <alignment vertical="center"/>
    </xf>
    <xf numFmtId="4" fontId="24" fillId="9" borderId="224" xfId="0" applyNumberFormat="1" applyFont="1" applyFill="1" applyBorder="1" applyAlignment="1">
      <alignment vertical="center"/>
    </xf>
    <xf numFmtId="1" fontId="20" fillId="9" borderId="227" xfId="4" applyNumberFormat="1" applyFont="1" applyFill="1" applyBorder="1" applyAlignment="1">
      <alignment horizontal="center" vertical="center" wrapText="1"/>
    </xf>
    <xf numFmtId="1" fontId="20" fillId="9" borderId="228" xfId="4" applyNumberFormat="1" applyFont="1" applyFill="1" applyBorder="1" applyAlignment="1">
      <alignment horizontal="center" vertical="center" wrapText="1"/>
    </xf>
    <xf numFmtId="1" fontId="20" fillId="9" borderId="229" xfId="4" applyNumberFormat="1" applyFont="1" applyFill="1" applyBorder="1" applyAlignment="1">
      <alignment horizontal="center" vertical="center" wrapText="1"/>
    </xf>
    <xf numFmtId="1" fontId="20" fillId="9" borderId="230" xfId="4" applyNumberFormat="1" applyFont="1" applyFill="1" applyBorder="1" applyAlignment="1">
      <alignment horizontal="center" vertical="center" wrapText="1"/>
    </xf>
    <xf numFmtId="1" fontId="20" fillId="9" borderId="234" xfId="4" applyNumberFormat="1" applyFont="1" applyFill="1" applyBorder="1" applyAlignment="1">
      <alignment horizontal="center" vertical="center" wrapText="1"/>
    </xf>
    <xf numFmtId="1" fontId="20" fillId="9" borderId="236" xfId="4" applyNumberFormat="1" applyFont="1" applyFill="1" applyBorder="1" applyAlignment="1">
      <alignment horizontal="center" vertical="center" wrapText="1"/>
    </xf>
    <xf numFmtId="1" fontId="33" fillId="9" borderId="239" xfId="4" applyNumberFormat="1" applyFont="1" applyFill="1" applyBorder="1" applyAlignment="1">
      <alignment horizontal="center" vertical="center" wrapText="1"/>
    </xf>
    <xf numFmtId="1" fontId="20" fillId="9" borderId="242" xfId="4" applyNumberFormat="1" applyFont="1" applyFill="1" applyBorder="1" applyAlignment="1">
      <alignment horizontal="center" vertical="center" wrapText="1"/>
    </xf>
    <xf numFmtId="1" fontId="20" fillId="9" borderId="243" xfId="4" applyNumberFormat="1" applyFont="1" applyFill="1" applyBorder="1" applyAlignment="1">
      <alignment horizontal="center" vertical="center" wrapText="1"/>
    </xf>
    <xf numFmtId="1" fontId="20" fillId="9" borderId="244" xfId="4" applyNumberFormat="1" applyFont="1" applyFill="1" applyBorder="1" applyAlignment="1">
      <alignment horizontal="center" vertical="center" wrapText="1"/>
    </xf>
    <xf numFmtId="1" fontId="20" fillId="9" borderId="245" xfId="4" applyNumberFormat="1" applyFont="1" applyFill="1" applyBorder="1" applyAlignment="1">
      <alignment horizontal="center" vertical="center" wrapText="1"/>
    </xf>
    <xf numFmtId="1" fontId="20" fillId="9" borderId="248" xfId="4" applyNumberFormat="1" applyFont="1" applyFill="1" applyBorder="1" applyAlignment="1">
      <alignment horizontal="center" vertical="center" wrapText="1"/>
    </xf>
    <xf numFmtId="1" fontId="20" fillId="9" borderId="249" xfId="4" applyNumberFormat="1" applyFont="1" applyFill="1" applyBorder="1" applyAlignment="1">
      <alignment horizontal="center" vertical="center" wrapText="1"/>
    </xf>
    <xf numFmtId="1" fontId="20" fillId="9" borderId="255" xfId="4" applyNumberFormat="1" applyFont="1" applyFill="1" applyBorder="1" applyAlignment="1">
      <alignment horizontal="center" vertical="center" wrapText="1"/>
    </xf>
    <xf numFmtId="1" fontId="20" fillId="9" borderId="256" xfId="4" applyNumberFormat="1" applyFont="1" applyFill="1" applyBorder="1" applyAlignment="1">
      <alignment horizontal="center" vertical="center" wrapText="1"/>
    </xf>
    <xf numFmtId="1" fontId="20" fillId="9" borderId="263" xfId="4" applyNumberFormat="1" applyFont="1" applyFill="1" applyBorder="1" applyAlignment="1">
      <alignment horizontal="center" vertical="center" wrapText="1"/>
    </xf>
    <xf numFmtId="1" fontId="20" fillId="9" borderId="264" xfId="4" applyNumberFormat="1" applyFont="1" applyFill="1" applyBorder="1" applyAlignment="1">
      <alignment horizontal="center" vertical="center" wrapText="1"/>
    </xf>
    <xf numFmtId="4" fontId="27" fillId="9" borderId="69" xfId="0" applyNumberFormat="1" applyFont="1" applyFill="1" applyBorder="1" applyAlignment="1">
      <alignment vertical="center"/>
    </xf>
    <xf numFmtId="4" fontId="27" fillId="9" borderId="69" xfId="0" applyNumberFormat="1" applyFont="1" applyFill="1" applyBorder="1" applyAlignment="1">
      <alignment horizontal="center" vertical="center"/>
    </xf>
    <xf numFmtId="4" fontId="10" fillId="9" borderId="35" xfId="2" applyNumberFormat="1" applyFont="1" applyFill="1" applyBorder="1" applyAlignment="1">
      <alignment horizontal="center" vertical="center" wrapText="1"/>
    </xf>
    <xf numFmtId="4" fontId="14" fillId="9" borderId="30" xfId="2" applyNumberFormat="1" applyFont="1" applyFill="1" applyBorder="1" applyAlignment="1">
      <alignment horizontal="center" vertical="center" wrapText="1"/>
    </xf>
    <xf numFmtId="4" fontId="10" fillId="9" borderId="36" xfId="2" applyNumberFormat="1" applyFont="1" applyFill="1" applyBorder="1" applyAlignment="1">
      <alignment horizontal="center" vertical="center" wrapText="1"/>
    </xf>
    <xf numFmtId="4" fontId="23" fillId="9" borderId="38" xfId="0" applyNumberFormat="1" applyFont="1" applyFill="1" applyBorder="1" applyAlignment="1">
      <alignment vertical="center"/>
    </xf>
    <xf numFmtId="4" fontId="16" fillId="9" borderId="20" xfId="0" applyNumberFormat="1" applyFont="1" applyFill="1" applyBorder="1" applyAlignment="1">
      <alignment vertical="center"/>
    </xf>
    <xf numFmtId="4" fontId="16" fillId="9" borderId="43" xfId="0" applyNumberFormat="1" applyFont="1" applyFill="1" applyBorder="1" applyAlignment="1">
      <alignment vertical="center"/>
    </xf>
    <xf numFmtId="4" fontId="29" fillId="9" borderId="43" xfId="0" applyNumberFormat="1" applyFont="1" applyFill="1" applyBorder="1" applyAlignment="1">
      <alignment vertical="center"/>
    </xf>
    <xf numFmtId="4" fontId="16" fillId="9" borderId="138" xfId="0" applyNumberFormat="1" applyFont="1" applyFill="1" applyBorder="1" applyAlignment="1">
      <alignment vertical="center"/>
    </xf>
    <xf numFmtId="4" fontId="23" fillId="9" borderId="40" xfId="0" applyNumberFormat="1" applyFont="1" applyFill="1" applyBorder="1" applyAlignment="1">
      <alignment vertical="center"/>
    </xf>
    <xf numFmtId="4" fontId="16" fillId="9" borderId="42" xfId="0" applyNumberFormat="1" applyFont="1" applyFill="1" applyBorder="1" applyAlignment="1">
      <alignment vertical="center"/>
    </xf>
    <xf numFmtId="4" fontId="16" fillId="9" borderId="40" xfId="0" applyNumberFormat="1" applyFont="1" applyFill="1" applyBorder="1" applyAlignment="1">
      <alignment vertical="center"/>
    </xf>
    <xf numFmtId="4" fontId="23" fillId="9" borderId="58" xfId="0" applyNumberFormat="1" applyFont="1" applyFill="1" applyBorder="1" applyAlignment="1">
      <alignment vertical="center"/>
    </xf>
    <xf numFmtId="4" fontId="16" fillId="9" borderId="58" xfId="0" applyNumberFormat="1" applyFont="1" applyFill="1" applyBorder="1" applyAlignment="1">
      <alignment vertical="center"/>
    </xf>
    <xf numFmtId="4" fontId="23" fillId="9" borderId="193" xfId="0" applyNumberFormat="1" applyFont="1" applyFill="1" applyBorder="1" applyAlignment="1">
      <alignment vertical="center"/>
    </xf>
    <xf numFmtId="4" fontId="16" fillId="9" borderId="193" xfId="0" applyNumberFormat="1" applyFont="1" applyFill="1" applyBorder="1" applyAlignment="1">
      <alignment vertical="center"/>
    </xf>
    <xf numFmtId="4" fontId="10" fillId="9" borderId="37" xfId="2" applyNumberFormat="1" applyFont="1" applyFill="1" applyBorder="1" applyAlignment="1">
      <alignment horizontal="center" vertical="center" wrapText="1"/>
    </xf>
    <xf numFmtId="4" fontId="23" fillId="9" borderId="20" xfId="0" applyNumberFormat="1" applyFont="1" applyFill="1" applyBorder="1" applyAlignment="1">
      <alignment vertical="center"/>
    </xf>
    <xf numFmtId="4" fontId="16" fillId="9" borderId="39" xfId="0" applyNumberFormat="1" applyFont="1" applyFill="1" applyBorder="1" applyAlignment="1">
      <alignment vertical="center"/>
    </xf>
    <xf numFmtId="4" fontId="23" fillId="9" borderId="138" xfId="0" applyNumberFormat="1" applyFont="1" applyFill="1" applyBorder="1" applyAlignment="1">
      <alignment vertical="center"/>
    </xf>
    <xf numFmtId="4" fontId="16" fillId="9" borderId="139" xfId="0" applyNumberFormat="1" applyFont="1" applyFill="1" applyBorder="1" applyAlignment="1">
      <alignment vertical="center"/>
    </xf>
    <xf numFmtId="4" fontId="23" fillId="9" borderId="43" xfId="0" applyNumberFormat="1" applyFont="1" applyFill="1" applyBorder="1" applyAlignment="1">
      <alignment vertical="center"/>
    </xf>
    <xf numFmtId="4" fontId="27" fillId="9" borderId="43" xfId="0" applyNumberFormat="1" applyFont="1" applyFill="1" applyBorder="1" applyAlignment="1">
      <alignment vertical="center"/>
    </xf>
    <xf numFmtId="0" fontId="34" fillId="9" borderId="14" xfId="1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>
      <alignment vertical="center"/>
    </xf>
    <xf numFmtId="0" fontId="11" fillId="9" borderId="2" xfId="0" applyFont="1" applyFill="1" applyBorder="1" applyAlignment="1">
      <alignment vertical="center"/>
    </xf>
    <xf numFmtId="0" fontId="11" fillId="9" borderId="3" xfId="0" applyFont="1" applyFill="1" applyBorder="1" applyAlignment="1">
      <alignment vertical="center"/>
    </xf>
    <xf numFmtId="0" fontId="5" fillId="9" borderId="16" xfId="0" applyFont="1" applyFill="1" applyBorder="1" applyAlignment="1">
      <alignment horizontal="left" vertical="center"/>
    </xf>
    <xf numFmtId="0" fontId="5" fillId="9" borderId="14" xfId="0" applyFont="1" applyFill="1" applyBorder="1" applyAlignment="1">
      <alignment horizontal="left" vertical="center"/>
    </xf>
    <xf numFmtId="4" fontId="11" fillId="9" borderId="70" xfId="0" applyNumberFormat="1" applyFont="1" applyFill="1" applyBorder="1" applyAlignment="1">
      <alignment horizontal="right" vertical="center"/>
    </xf>
    <xf numFmtId="0" fontId="11" fillId="9" borderId="14" xfId="0" applyFont="1" applyFill="1" applyBorder="1" applyAlignment="1">
      <alignment horizontal="left" vertical="center" wrapText="1"/>
    </xf>
    <xf numFmtId="0" fontId="11" fillId="9" borderId="17" xfId="0" applyFont="1" applyFill="1" applyBorder="1" applyAlignment="1">
      <alignment horizontal="left" vertical="center" wrapText="1"/>
    </xf>
    <xf numFmtId="4" fontId="11" fillId="9" borderId="71" xfId="0" applyNumberFormat="1" applyFont="1" applyFill="1" applyBorder="1" applyAlignment="1">
      <alignment horizontal="right" vertical="center"/>
    </xf>
    <xf numFmtId="4" fontId="5" fillId="9" borderId="71" xfId="0" applyNumberFormat="1" applyFont="1" applyFill="1" applyBorder="1" applyAlignment="1">
      <alignment horizontal="right" vertical="center"/>
    </xf>
    <xf numFmtId="0" fontId="11" fillId="9" borderId="5" xfId="0" applyFont="1" applyFill="1" applyBorder="1" applyAlignment="1">
      <alignment horizontal="left" vertical="center" wrapText="1"/>
    </xf>
    <xf numFmtId="4" fontId="29" fillId="0" borderId="0" xfId="0" applyNumberFormat="1" applyFont="1"/>
    <xf numFmtId="0" fontId="16" fillId="2" borderId="173" xfId="1" applyFont="1" applyFill="1" applyBorder="1" applyAlignment="1" applyProtection="1">
      <alignment horizontal="center" vertical="center" wrapText="1"/>
      <protection locked="0"/>
    </xf>
    <xf numFmtId="0" fontId="22" fillId="0" borderId="165" xfId="0" applyFont="1" applyBorder="1" applyAlignment="1">
      <alignment horizontal="center" vertical="center"/>
    </xf>
    <xf numFmtId="4" fontId="22" fillId="9" borderId="40" xfId="0" applyNumberFormat="1" applyFont="1" applyFill="1" applyBorder="1" applyAlignment="1">
      <alignment horizontal="center" vertical="center"/>
    </xf>
    <xf numFmtId="1" fontId="22" fillId="9" borderId="169" xfId="4" applyNumberFormat="1" applyFont="1" applyFill="1" applyBorder="1" applyAlignment="1">
      <alignment horizontal="center" vertical="center" wrapText="1"/>
    </xf>
    <xf numFmtId="1" fontId="22" fillId="9" borderId="170" xfId="4" applyNumberFormat="1" applyFont="1" applyFill="1" applyBorder="1" applyAlignment="1">
      <alignment horizontal="center" vertical="center" wrapText="1"/>
    </xf>
    <xf numFmtId="4" fontId="22" fillId="2" borderId="40" xfId="0" applyNumberFormat="1" applyFont="1" applyFill="1" applyBorder="1" applyAlignment="1">
      <alignment horizontal="center" vertical="center"/>
    </xf>
    <xf numFmtId="1" fontId="22" fillId="9" borderId="171" xfId="4" applyNumberFormat="1" applyFont="1" applyFill="1" applyBorder="1" applyAlignment="1">
      <alignment horizontal="center" vertical="center" wrapText="1"/>
    </xf>
    <xf numFmtId="1" fontId="22" fillId="9" borderId="172" xfId="4" applyNumberFormat="1" applyFont="1" applyFill="1" applyBorder="1" applyAlignment="1">
      <alignment horizontal="center" vertical="center" wrapText="1"/>
    </xf>
    <xf numFmtId="0" fontId="22" fillId="0" borderId="173" xfId="0" applyFont="1" applyBorder="1" applyAlignment="1">
      <alignment horizontal="center" vertical="center"/>
    </xf>
    <xf numFmtId="4" fontId="22" fillId="2" borderId="174" xfId="0" applyNumberFormat="1" applyFont="1" applyFill="1" applyBorder="1" applyAlignment="1">
      <alignment wrapText="1"/>
    </xf>
    <xf numFmtId="1" fontId="22" fillId="9" borderId="175" xfId="4" applyNumberFormat="1" applyFont="1" applyFill="1" applyBorder="1" applyAlignment="1">
      <alignment horizontal="center" vertical="center" wrapText="1"/>
    </xf>
    <xf numFmtId="1" fontId="22" fillId="9" borderId="176" xfId="4" applyNumberFormat="1" applyFont="1" applyFill="1" applyBorder="1" applyAlignment="1">
      <alignment horizontal="center" vertical="center" wrapText="1"/>
    </xf>
    <xf numFmtId="0" fontId="16" fillId="6" borderId="20" xfId="0" applyFont="1" applyFill="1" applyBorder="1"/>
    <xf numFmtId="0" fontId="16" fillId="6" borderId="0" xfId="0" applyFont="1" applyFill="1"/>
    <xf numFmtId="0" fontId="16" fillId="0" borderId="0" xfId="0" applyFont="1"/>
    <xf numFmtId="0" fontId="22" fillId="2" borderId="209" xfId="4" applyFont="1" applyFill="1" applyBorder="1" applyAlignment="1">
      <alignment horizontal="left" vertical="center" wrapText="1"/>
    </xf>
    <xf numFmtId="0" fontId="43" fillId="0" borderId="0" xfId="0" applyFont="1"/>
    <xf numFmtId="0" fontId="38" fillId="0" borderId="0" xfId="0" applyFont="1"/>
    <xf numFmtId="4" fontId="43" fillId="0" borderId="0" xfId="0" applyNumberFormat="1" applyFont="1"/>
    <xf numFmtId="4" fontId="2" fillId="0" borderId="0" xfId="0" applyNumberFormat="1" applyFont="1"/>
    <xf numFmtId="11" fontId="43" fillId="0" borderId="0" xfId="0" applyNumberFormat="1" applyFont="1"/>
    <xf numFmtId="4" fontId="43" fillId="0" borderId="0" xfId="0" applyNumberFormat="1" applyFont="1" applyAlignment="1">
      <alignment horizontal="center"/>
    </xf>
    <xf numFmtId="4" fontId="22" fillId="9" borderId="193" xfId="0" applyNumberFormat="1" applyFont="1" applyFill="1" applyBorder="1" applyAlignment="1">
      <alignment horizontal="center" vertical="center"/>
    </xf>
    <xf numFmtId="1" fontId="22" fillId="9" borderId="208" xfId="4" applyNumberFormat="1" applyFont="1" applyFill="1" applyBorder="1" applyAlignment="1">
      <alignment horizontal="center" vertical="center" wrapText="1"/>
    </xf>
    <xf numFmtId="1" fontId="22" fillId="9" borderId="210" xfId="4" applyNumberFormat="1" applyFont="1" applyFill="1" applyBorder="1" applyAlignment="1">
      <alignment horizontal="center" vertical="center" wrapText="1"/>
    </xf>
    <xf numFmtId="4" fontId="22" fillId="2" borderId="193" xfId="0" applyNumberFormat="1" applyFont="1" applyFill="1" applyBorder="1" applyAlignment="1">
      <alignment horizontal="center" vertical="center"/>
    </xf>
    <xf numFmtId="4" fontId="16" fillId="10" borderId="41" xfId="0" applyNumberFormat="1" applyFont="1" applyFill="1" applyBorder="1" applyAlignment="1">
      <alignment vertical="center"/>
    </xf>
    <xf numFmtId="4" fontId="16" fillId="10" borderId="46" xfId="0" applyNumberFormat="1" applyFont="1" applyFill="1" applyBorder="1" applyAlignment="1">
      <alignment vertical="center"/>
    </xf>
    <xf numFmtId="4" fontId="16" fillId="10" borderId="28" xfId="0" applyNumberFormat="1" applyFont="1" applyFill="1" applyBorder="1" applyAlignment="1">
      <alignment vertical="center"/>
    </xf>
    <xf numFmtId="4" fontId="27" fillId="10" borderId="69" xfId="0" applyNumberFormat="1" applyFont="1" applyFill="1" applyBorder="1" applyAlignment="1">
      <alignment vertical="center"/>
    </xf>
    <xf numFmtId="0" fontId="11" fillId="9" borderId="16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horizontal="left" vertical="center" wrapText="1"/>
    </xf>
    <xf numFmtId="4" fontId="10" fillId="9" borderId="3" xfId="2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5" fillId="3" borderId="257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3" borderId="257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34" fillId="9" borderId="16" xfId="1" applyFont="1" applyFill="1" applyBorder="1" applyAlignment="1" applyProtection="1">
      <alignment horizontal="center" vertical="center" wrapText="1"/>
      <protection locked="0"/>
    </xf>
    <xf numFmtId="0" fontId="34" fillId="9" borderId="14" xfId="1" applyFont="1" applyFill="1" applyBorder="1" applyAlignment="1" applyProtection="1">
      <alignment horizontal="center" vertical="center" wrapText="1"/>
      <protection locked="0"/>
    </xf>
    <xf numFmtId="49" fontId="36" fillId="2" borderId="0" xfId="0" applyNumberFormat="1" applyFont="1" applyFill="1" applyAlignment="1">
      <alignment horizontal="left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6" fillId="2" borderId="259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center" vertical="center" wrapText="1"/>
      <protection locked="0"/>
    </xf>
    <xf numFmtId="0" fontId="16" fillId="2" borderId="45" xfId="1" applyFont="1" applyFill="1" applyBorder="1" applyAlignment="1" applyProtection="1">
      <alignment horizontal="center" vertical="center" wrapText="1"/>
      <protection locked="0"/>
    </xf>
    <xf numFmtId="0" fontId="26" fillId="3" borderId="257" xfId="4" applyFont="1" applyFill="1" applyBorder="1" applyAlignment="1">
      <alignment horizontal="left" vertical="center" wrapText="1"/>
    </xf>
    <xf numFmtId="0" fontId="26" fillId="3" borderId="21" xfId="4" applyFont="1" applyFill="1" applyBorder="1" applyAlignment="1">
      <alignment horizontal="left" vertical="center" wrapText="1"/>
    </xf>
    <xf numFmtId="0" fontId="26" fillId="3" borderId="193" xfId="4" applyFont="1" applyFill="1" applyBorder="1" applyAlignment="1">
      <alignment horizontal="left" vertical="center" wrapText="1"/>
    </xf>
    <xf numFmtId="3" fontId="21" fillId="2" borderId="261" xfId="0" applyNumberFormat="1" applyFont="1" applyFill="1" applyBorder="1" applyAlignment="1">
      <alignment horizontal="right" vertical="center"/>
    </xf>
    <xf numFmtId="3" fontId="21" fillId="2" borderId="56" xfId="0" applyNumberFormat="1" applyFont="1" applyFill="1" applyBorder="1" applyAlignment="1">
      <alignment horizontal="right" vertical="center"/>
    </xf>
    <xf numFmtId="3" fontId="21" fillId="2" borderId="192" xfId="0" applyNumberFormat="1" applyFont="1" applyFill="1" applyBorder="1" applyAlignment="1">
      <alignment horizontal="right" vertical="center"/>
    </xf>
    <xf numFmtId="49" fontId="21" fillId="2" borderId="257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40" xfId="0" applyNumberFormat="1" applyFont="1" applyFill="1" applyBorder="1" applyAlignment="1">
      <alignment horizontal="center" vertical="center"/>
    </xf>
    <xf numFmtId="4" fontId="16" fillId="2" borderId="257" xfId="0" applyNumberFormat="1" applyFont="1" applyFill="1" applyBorder="1" applyAlignment="1">
      <alignment vertical="center"/>
    </xf>
    <xf numFmtId="4" fontId="16" fillId="2" borderId="21" xfId="0" applyNumberFormat="1" applyFont="1" applyFill="1" applyBorder="1" applyAlignment="1">
      <alignment vertical="center"/>
    </xf>
    <xf numFmtId="4" fontId="16" fillId="2" borderId="40" xfId="0" applyNumberFormat="1" applyFont="1" applyFill="1" applyBorder="1" applyAlignment="1">
      <alignment vertical="center"/>
    </xf>
    <xf numFmtId="0" fontId="15" fillId="2" borderId="62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26" fillId="3" borderId="250" xfId="4" applyFont="1" applyFill="1" applyBorder="1" applyAlignment="1">
      <alignment horizontal="left" vertical="center" wrapText="1"/>
    </xf>
    <xf numFmtId="0" fontId="26" fillId="3" borderId="47" xfId="4" applyFont="1" applyFill="1" applyBorder="1" applyAlignment="1">
      <alignment horizontal="left" vertical="center" wrapText="1"/>
    </xf>
    <xf numFmtId="3" fontId="21" fillId="2" borderId="252" xfId="0" applyNumberFormat="1" applyFont="1" applyFill="1" applyBorder="1" applyAlignment="1">
      <alignment horizontal="right" vertical="center"/>
    </xf>
    <xf numFmtId="49" fontId="21" fillId="2" borderId="253" xfId="0" applyNumberFormat="1" applyFont="1" applyFill="1" applyBorder="1" applyAlignment="1">
      <alignment horizontal="center" vertical="center"/>
    </xf>
    <xf numFmtId="49" fontId="21" fillId="2" borderId="193" xfId="0" applyNumberFormat="1" applyFont="1" applyFill="1" applyBorder="1" applyAlignment="1">
      <alignment horizontal="center" vertical="center"/>
    </xf>
    <xf numFmtId="4" fontId="16" fillId="2" borderId="253" xfId="0" applyNumberFormat="1" applyFont="1" applyFill="1" applyBorder="1" applyAlignment="1">
      <alignment vertical="center"/>
    </xf>
    <xf numFmtId="4" fontId="16" fillId="2" borderId="193" xfId="0" applyNumberFormat="1" applyFont="1" applyFill="1" applyBorder="1" applyAlignment="1">
      <alignment vertical="center"/>
    </xf>
    <xf numFmtId="0" fontId="15" fillId="3" borderId="193" xfId="0" applyFont="1" applyFill="1" applyBorder="1" applyAlignment="1">
      <alignment horizontal="center"/>
    </xf>
    <xf numFmtId="0" fontId="26" fillId="3" borderId="217" xfId="4" applyFont="1" applyFill="1" applyBorder="1" applyAlignment="1">
      <alignment horizontal="left" vertical="center" wrapText="1"/>
    </xf>
    <xf numFmtId="0" fontId="15" fillId="3" borderId="219" xfId="0" applyFont="1" applyFill="1" applyBorder="1" applyAlignment="1">
      <alignment horizontal="center"/>
    </xf>
    <xf numFmtId="0" fontId="22" fillId="3" borderId="219" xfId="4" applyFont="1" applyFill="1" applyBorder="1" applyAlignment="1">
      <alignment horizontal="left" vertical="center" wrapText="1"/>
    </xf>
    <xf numFmtId="0" fontId="22" fillId="3" borderId="40" xfId="4" applyFont="1" applyFill="1" applyBorder="1" applyAlignment="1">
      <alignment horizontal="left" vertical="center" wrapText="1"/>
    </xf>
    <xf numFmtId="4" fontId="16" fillId="2" borderId="219" xfId="0" applyNumberFormat="1" applyFont="1" applyFill="1" applyBorder="1" applyAlignment="1">
      <alignment vertical="center"/>
    </xf>
    <xf numFmtId="0" fontId="15" fillId="5" borderId="219" xfId="0" applyFont="1" applyFill="1" applyBorder="1" applyAlignment="1">
      <alignment horizontal="center"/>
    </xf>
    <xf numFmtId="0" fontId="15" fillId="5" borderId="40" xfId="0" applyFont="1" applyFill="1" applyBorder="1" applyAlignment="1">
      <alignment horizontal="center"/>
    </xf>
    <xf numFmtId="0" fontId="16" fillId="2" borderId="6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22" fillId="3" borderId="211" xfId="4" applyFont="1" applyFill="1" applyBorder="1" applyAlignment="1">
      <alignment horizontal="left" vertical="center" wrapText="1"/>
    </xf>
    <xf numFmtId="0" fontId="22" fillId="3" borderId="193" xfId="4" applyFont="1" applyFill="1" applyBorder="1" applyAlignment="1">
      <alignment horizontal="left" vertical="center" wrapText="1"/>
    </xf>
    <xf numFmtId="3" fontId="21" fillId="2" borderId="216" xfId="0" applyNumberFormat="1" applyFont="1" applyFill="1" applyBorder="1" applyAlignment="1">
      <alignment horizontal="right" vertical="center"/>
    </xf>
    <xf numFmtId="49" fontId="21" fillId="2" borderId="204" xfId="0" applyNumberFormat="1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left" vertical="center" wrapText="1"/>
    </xf>
    <xf numFmtId="0" fontId="29" fillId="6" borderId="211" xfId="0" applyFont="1" applyFill="1" applyBorder="1" applyAlignment="1">
      <alignment horizontal="center"/>
    </xf>
    <xf numFmtId="0" fontId="29" fillId="6" borderId="40" xfId="0" applyFont="1" applyFill="1" applyBorder="1" applyAlignment="1">
      <alignment horizontal="center"/>
    </xf>
    <xf numFmtId="0" fontId="15" fillId="6" borderId="59" xfId="0" applyFont="1" applyFill="1" applyBorder="1" applyAlignment="1">
      <alignment horizontal="left"/>
    </xf>
    <xf numFmtId="0" fontId="26" fillId="3" borderId="204" xfId="4" applyFont="1" applyFill="1" applyBorder="1" applyAlignment="1">
      <alignment horizontal="left" vertical="center" wrapText="1"/>
    </xf>
    <xf numFmtId="0" fontId="19" fillId="3" borderId="205" xfId="4" applyFont="1" applyFill="1" applyBorder="1" applyAlignment="1">
      <alignment horizontal="left" vertical="center" wrapText="1"/>
    </xf>
    <xf numFmtId="0" fontId="19" fillId="3" borderId="47" xfId="4" applyFont="1" applyFill="1" applyBorder="1" applyAlignment="1">
      <alignment horizontal="left" vertical="center" wrapText="1"/>
    </xf>
    <xf numFmtId="0" fontId="15" fillId="3" borderId="211" xfId="0" applyFont="1" applyFill="1" applyBorder="1" applyAlignment="1">
      <alignment horizontal="center"/>
    </xf>
    <xf numFmtId="0" fontId="26" fillId="3" borderId="191" xfId="4" applyFont="1" applyFill="1" applyBorder="1" applyAlignment="1">
      <alignment horizontal="left" vertical="center" wrapText="1"/>
    </xf>
    <xf numFmtId="4" fontId="16" fillId="2" borderId="191" xfId="0" applyNumberFormat="1" applyFont="1" applyFill="1" applyBorder="1" applyAlignment="1">
      <alignment horizontal="right" vertical="center"/>
    </xf>
    <xf numFmtId="4" fontId="16" fillId="2" borderId="193" xfId="0" applyNumberFormat="1" applyFont="1" applyFill="1" applyBorder="1" applyAlignment="1">
      <alignment horizontal="right" vertical="center"/>
    </xf>
    <xf numFmtId="0" fontId="26" fillId="3" borderId="201" xfId="4" applyFont="1" applyFill="1" applyBorder="1" applyAlignment="1">
      <alignment horizontal="left" vertical="center" wrapText="1"/>
    </xf>
    <xf numFmtId="0" fontId="26" fillId="3" borderId="199" xfId="4" applyFont="1" applyFill="1" applyBorder="1" applyAlignment="1">
      <alignment horizontal="left" vertical="center" wrapText="1"/>
    </xf>
    <xf numFmtId="0" fontId="15" fillId="6" borderId="204" xfId="0" applyFont="1" applyFill="1" applyBorder="1"/>
    <xf numFmtId="0" fontId="15" fillId="6" borderId="193" xfId="0" applyFont="1" applyFill="1" applyBorder="1"/>
    <xf numFmtId="0" fontId="26" fillId="3" borderId="177" xfId="4" applyFont="1" applyFill="1" applyBorder="1" applyAlignment="1">
      <alignment horizontal="left" vertical="center" wrapText="1"/>
    </xf>
    <xf numFmtId="0" fontId="15" fillId="6" borderId="183" xfId="0" applyFont="1" applyFill="1" applyBorder="1" applyAlignment="1">
      <alignment horizontal="center"/>
    </xf>
    <xf numFmtId="0" fontId="15" fillId="6" borderId="40" xfId="0" applyFont="1" applyFill="1" applyBorder="1" applyAlignment="1">
      <alignment horizontal="center"/>
    </xf>
    <xf numFmtId="0" fontId="26" fillId="3" borderId="188" xfId="4" applyFont="1" applyFill="1" applyBorder="1" applyAlignment="1">
      <alignment horizontal="left" vertical="center" wrapText="1"/>
    </xf>
    <xf numFmtId="3" fontId="21" fillId="2" borderId="190" xfId="0" applyNumberFormat="1" applyFont="1" applyFill="1" applyBorder="1" applyAlignment="1">
      <alignment horizontal="right" vertical="center"/>
    </xf>
    <xf numFmtId="49" fontId="21" fillId="2" borderId="183" xfId="0" applyNumberFormat="1" applyFont="1" applyFill="1" applyBorder="1" applyAlignment="1">
      <alignment horizontal="center" vertical="center"/>
    </xf>
    <xf numFmtId="4" fontId="16" fillId="2" borderId="183" xfId="0" applyNumberFormat="1" applyFont="1" applyFill="1" applyBorder="1" applyAlignment="1">
      <alignment vertical="center"/>
    </xf>
    <xf numFmtId="0" fontId="15" fillId="6" borderId="191" xfId="0" applyFont="1" applyFill="1" applyBorder="1" applyAlignment="1">
      <alignment horizontal="center"/>
    </xf>
    <xf numFmtId="0" fontId="15" fillId="6" borderId="193" xfId="0" applyFont="1" applyFill="1" applyBorder="1" applyAlignment="1">
      <alignment horizontal="center"/>
    </xf>
    <xf numFmtId="0" fontId="22" fillId="3" borderId="165" xfId="0" applyFont="1" applyFill="1" applyBorder="1" applyAlignment="1">
      <alignment horizontal="left" vertical="center" wrapText="1"/>
    </xf>
    <xf numFmtId="0" fontId="22" fillId="3" borderId="40" xfId="0" applyFont="1" applyFill="1" applyBorder="1" applyAlignment="1">
      <alignment horizontal="left" vertical="center" wrapText="1"/>
    </xf>
    <xf numFmtId="4" fontId="16" fillId="2" borderId="165" xfId="0" applyNumberFormat="1" applyFont="1" applyFill="1" applyBorder="1" applyAlignment="1">
      <alignment vertical="center"/>
    </xf>
    <xf numFmtId="0" fontId="15" fillId="6" borderId="165" xfId="0" applyFont="1" applyFill="1" applyBorder="1" applyAlignment="1">
      <alignment horizontal="center"/>
    </xf>
    <xf numFmtId="0" fontId="29" fillId="2" borderId="62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39" fillId="3" borderId="257" xfId="4" applyFont="1" applyFill="1" applyBorder="1" applyAlignment="1">
      <alignment horizontal="left" vertical="center" wrapText="1"/>
    </xf>
    <xf numFmtId="0" fontId="39" fillId="3" borderId="21" xfId="4" applyFont="1" applyFill="1" applyBorder="1" applyAlignment="1">
      <alignment horizontal="left" vertical="center" wrapText="1"/>
    </xf>
    <xf numFmtId="0" fontId="39" fillId="3" borderId="193" xfId="4" applyFont="1" applyFill="1" applyBorder="1" applyAlignment="1">
      <alignment horizontal="left" vertical="center" wrapText="1"/>
    </xf>
    <xf numFmtId="0" fontId="16" fillId="6" borderId="165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40" xfId="0" applyFont="1" applyFill="1" applyBorder="1" applyAlignment="1">
      <alignment horizontal="center"/>
    </xf>
    <xf numFmtId="0" fontId="26" fillId="3" borderId="157" xfId="4" applyFont="1" applyFill="1" applyBorder="1" applyAlignment="1">
      <alignment horizontal="left" vertical="center" wrapText="1"/>
    </xf>
    <xf numFmtId="4" fontId="16" fillId="2" borderId="159" xfId="0" applyNumberFormat="1" applyFont="1" applyFill="1" applyBorder="1" applyAlignment="1">
      <alignment vertical="center"/>
    </xf>
    <xf numFmtId="0" fontId="15" fillId="6" borderId="159" xfId="0" applyFont="1" applyFill="1" applyBorder="1" applyAlignment="1">
      <alignment horizontal="center"/>
    </xf>
    <xf numFmtId="0" fontId="26" fillId="3" borderId="161" xfId="4" applyFont="1" applyFill="1" applyBorder="1" applyAlignment="1">
      <alignment horizontal="left" vertical="center" wrapText="1"/>
    </xf>
    <xf numFmtId="0" fontId="26" fillId="3" borderId="153" xfId="4" applyFont="1" applyFill="1" applyBorder="1" applyAlignment="1">
      <alignment horizontal="left" vertical="center" wrapText="1"/>
    </xf>
    <xf numFmtId="0" fontId="15" fillId="6" borderId="155" xfId="0" applyFont="1" applyFill="1" applyBorder="1" applyAlignment="1">
      <alignment horizontal="center"/>
    </xf>
    <xf numFmtId="0" fontId="15" fillId="6" borderId="58" xfId="0" applyFont="1" applyFill="1" applyBorder="1" applyAlignment="1">
      <alignment horizontal="center"/>
    </xf>
    <xf numFmtId="0" fontId="26" fillId="3" borderId="145" xfId="4" applyFont="1" applyFill="1" applyBorder="1" applyAlignment="1">
      <alignment horizontal="left" vertical="center" wrapText="1"/>
    </xf>
    <xf numFmtId="4" fontId="16" fillId="2" borderId="137" xfId="0" applyNumberFormat="1" applyFont="1" applyFill="1" applyBorder="1" applyAlignment="1">
      <alignment vertical="center"/>
    </xf>
    <xf numFmtId="4" fontId="16" fillId="2" borderId="58" xfId="0" applyNumberFormat="1" applyFont="1" applyFill="1" applyBorder="1" applyAlignment="1">
      <alignment vertical="center"/>
    </xf>
    <xf numFmtId="0" fontId="15" fillId="6" borderId="137" xfId="0" applyFont="1" applyFill="1" applyBorder="1" applyAlignment="1">
      <alignment horizontal="center"/>
    </xf>
    <xf numFmtId="0" fontId="18" fillId="3" borderId="137" xfId="0" applyFont="1" applyFill="1" applyBorder="1" applyAlignment="1">
      <alignment horizontal="left" vertical="center" wrapText="1"/>
    </xf>
    <xf numFmtId="0" fontId="18" fillId="3" borderId="58" xfId="0" applyFont="1" applyFill="1" applyBorder="1" applyAlignment="1">
      <alignment horizontal="left" vertical="center" wrapText="1"/>
    </xf>
    <xf numFmtId="0" fontId="15" fillId="6" borderId="150" xfId="0" applyFont="1" applyFill="1" applyBorder="1" applyAlignment="1">
      <alignment horizontal="center"/>
    </xf>
    <xf numFmtId="0" fontId="15" fillId="2" borderId="144" xfId="0" applyFont="1" applyFill="1" applyBorder="1" applyAlignment="1">
      <alignment horizontal="center" vertical="center" wrapText="1"/>
    </xf>
    <xf numFmtId="0" fontId="26" fillId="3" borderId="130" xfId="4" applyFont="1" applyFill="1" applyBorder="1" applyAlignment="1">
      <alignment horizontal="left" vertical="center" wrapText="1"/>
    </xf>
    <xf numFmtId="0" fontId="26" fillId="3" borderId="58" xfId="4" applyFont="1" applyFill="1" applyBorder="1" applyAlignment="1">
      <alignment horizontal="left" vertical="center" wrapText="1"/>
    </xf>
    <xf numFmtId="4" fontId="16" fillId="2" borderId="130" xfId="0" applyNumberFormat="1" applyFont="1" applyFill="1" applyBorder="1" applyAlignment="1">
      <alignment horizontal="right" vertical="center"/>
    </xf>
    <xf numFmtId="4" fontId="16" fillId="2" borderId="58" xfId="0" applyNumberFormat="1" applyFont="1" applyFill="1" applyBorder="1" applyAlignment="1">
      <alignment horizontal="right" vertical="center"/>
    </xf>
    <xf numFmtId="0" fontId="15" fillId="6" borderId="130" xfId="0" applyFont="1" applyFill="1" applyBorder="1" applyAlignment="1">
      <alignment horizontal="center"/>
    </xf>
    <xf numFmtId="0" fontId="18" fillId="3" borderId="130" xfId="0" applyFont="1" applyFill="1" applyBorder="1" applyAlignment="1">
      <alignment horizontal="left" vertical="center" wrapText="1"/>
    </xf>
    <xf numFmtId="4" fontId="16" fillId="2" borderId="130" xfId="0" applyNumberFormat="1" applyFont="1" applyFill="1" applyBorder="1" applyAlignment="1">
      <alignment vertical="center"/>
    </xf>
    <xf numFmtId="0" fontId="19" fillId="3" borderId="111" xfId="4" applyFont="1" applyFill="1" applyBorder="1" applyAlignment="1">
      <alignment horizontal="left" vertical="center" wrapText="1"/>
    </xf>
    <xf numFmtId="0" fontId="19" fillId="3" borderId="40" xfId="4" applyFont="1" applyFill="1" applyBorder="1" applyAlignment="1">
      <alignment horizontal="left" vertical="center" wrapText="1"/>
    </xf>
    <xf numFmtId="0" fontId="15" fillId="5" borderId="120" xfId="0" applyFont="1" applyFill="1" applyBorder="1" applyAlignment="1">
      <alignment horizontal="center"/>
    </xf>
    <xf numFmtId="0" fontId="26" fillId="3" borderId="124" xfId="4" applyFont="1" applyFill="1" applyBorder="1" applyAlignment="1">
      <alignment horizontal="left" vertical="center" wrapText="1"/>
    </xf>
    <xf numFmtId="0" fontId="26" fillId="3" borderId="50" xfId="4" applyFont="1" applyFill="1" applyBorder="1" applyAlignment="1">
      <alignment horizontal="left" vertical="center" wrapText="1"/>
    </xf>
    <xf numFmtId="4" fontId="16" fillId="2" borderId="124" xfId="0" applyNumberFormat="1" applyFont="1" applyFill="1" applyBorder="1" applyAlignment="1">
      <alignment horizontal="right" vertical="center"/>
    </xf>
    <xf numFmtId="0" fontId="15" fillId="3" borderId="124" xfId="0" applyFont="1" applyFill="1" applyBorder="1" applyAlignment="1">
      <alignment horizontal="center"/>
    </xf>
    <xf numFmtId="0" fontId="15" fillId="3" borderId="58" xfId="0" applyFont="1" applyFill="1" applyBorder="1" applyAlignment="1">
      <alignment horizontal="center"/>
    </xf>
    <xf numFmtId="0" fontId="26" fillId="3" borderId="108" xfId="4" applyFont="1" applyFill="1" applyBorder="1" applyAlignment="1">
      <alignment horizontal="left" vertical="center" wrapText="1"/>
    </xf>
    <xf numFmtId="3" fontId="21" fillId="2" borderId="110" xfId="0" applyNumberFormat="1" applyFont="1" applyFill="1" applyBorder="1" applyAlignment="1">
      <alignment horizontal="center" vertical="center"/>
    </xf>
    <xf numFmtId="3" fontId="21" fillId="2" borderId="48" xfId="0" applyNumberFormat="1" applyFont="1" applyFill="1" applyBorder="1" applyAlignment="1">
      <alignment horizontal="center" vertical="center"/>
    </xf>
    <xf numFmtId="49" fontId="21" fillId="2" borderId="107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right" vertical="center" wrapText="1"/>
    </xf>
    <xf numFmtId="0" fontId="15" fillId="2" borderId="43" xfId="0" applyFont="1" applyFill="1" applyBorder="1" applyAlignment="1">
      <alignment horizontal="right" vertical="center" wrapText="1"/>
    </xf>
    <xf numFmtId="0" fontId="15" fillId="3" borderId="111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 vertical="center" wrapText="1"/>
    </xf>
    <xf numFmtId="0" fontId="26" fillId="3" borderId="55" xfId="4" applyFont="1" applyFill="1" applyBorder="1" applyAlignment="1">
      <alignment horizontal="left" vertical="center" wrapText="1"/>
    </xf>
    <xf numFmtId="3" fontId="21" fillId="2" borderId="110" xfId="0" applyNumberFormat="1" applyFont="1" applyFill="1" applyBorder="1" applyAlignment="1">
      <alignment horizontal="right" vertical="center"/>
    </xf>
    <xf numFmtId="3" fontId="21" fillId="2" borderId="48" xfId="0" applyNumberFormat="1" applyFont="1" applyFill="1" applyBorder="1" applyAlignment="1">
      <alignment horizontal="right" vertical="center"/>
    </xf>
    <xf numFmtId="49" fontId="21" fillId="2" borderId="111" xfId="0" applyNumberFormat="1" applyFont="1" applyFill="1" applyBorder="1" applyAlignment="1">
      <alignment horizontal="center" vertical="center"/>
    </xf>
    <xf numFmtId="49" fontId="21" fillId="2" borderId="57" xfId="0" applyNumberFormat="1" applyFont="1" applyFill="1" applyBorder="1" applyAlignment="1">
      <alignment horizontal="center" vertical="center"/>
    </xf>
    <xf numFmtId="4" fontId="16" fillId="2" borderId="111" xfId="0" applyNumberFormat="1" applyFont="1" applyFill="1" applyBorder="1" applyAlignment="1">
      <alignment vertical="center"/>
    </xf>
    <xf numFmtId="4" fontId="16" fillId="2" borderId="57" xfId="0" applyNumberFormat="1" applyFont="1" applyFill="1" applyBorder="1" applyAlignment="1">
      <alignment vertical="center"/>
    </xf>
    <xf numFmtId="0" fontId="19" fillId="3" borderId="101" xfId="4" applyFont="1" applyFill="1" applyBorder="1" applyAlignment="1">
      <alignment horizontal="left" vertical="center" wrapText="1"/>
    </xf>
    <xf numFmtId="0" fontId="15" fillId="3" borderId="103" xfId="0" applyFont="1" applyFill="1" applyBorder="1" applyAlignment="1">
      <alignment horizontal="center"/>
    </xf>
    <xf numFmtId="0" fontId="19" fillId="3" borderId="104" xfId="4" applyFont="1" applyFill="1" applyBorder="1" applyAlignment="1">
      <alignment horizontal="left" vertical="center" wrapText="1"/>
    </xf>
    <xf numFmtId="0" fontId="15" fillId="3" borderId="107" xfId="0" applyFont="1" applyFill="1" applyBorder="1" applyAlignment="1">
      <alignment horizontal="center"/>
    </xf>
    <xf numFmtId="0" fontId="26" fillId="3" borderId="93" xfId="4" applyFont="1" applyFill="1" applyBorder="1" applyAlignment="1">
      <alignment horizontal="left" vertical="center" wrapText="1"/>
    </xf>
    <xf numFmtId="0" fontId="26" fillId="3" borderId="40" xfId="4" applyFont="1" applyFill="1" applyBorder="1" applyAlignment="1">
      <alignment horizontal="left" vertical="center" wrapText="1"/>
    </xf>
    <xf numFmtId="4" fontId="16" fillId="2" borderId="93" xfId="0" applyNumberFormat="1" applyFont="1" applyFill="1" applyBorder="1" applyAlignment="1">
      <alignment vertical="center"/>
    </xf>
    <xf numFmtId="0" fontId="15" fillId="3" borderId="93" xfId="0" applyFont="1" applyFill="1" applyBorder="1" applyAlignment="1">
      <alignment horizontal="center"/>
    </xf>
    <xf numFmtId="0" fontId="15" fillId="3" borderId="95" xfId="0" applyFont="1" applyFill="1" applyBorder="1" applyAlignment="1">
      <alignment horizontal="center"/>
    </xf>
    <xf numFmtId="0" fontId="22" fillId="3" borderId="90" xfId="4" applyFont="1" applyFill="1" applyBorder="1" applyAlignment="1">
      <alignment horizontal="left" vertical="center" wrapText="1"/>
    </xf>
    <xf numFmtId="0" fontId="22" fillId="3" borderId="47" xfId="4" applyFont="1" applyFill="1" applyBorder="1" applyAlignment="1">
      <alignment horizontal="left" vertical="center" wrapText="1"/>
    </xf>
    <xf numFmtId="4" fontId="16" fillId="2" borderId="74" xfId="0" applyNumberFormat="1" applyFont="1" applyFill="1" applyBorder="1" applyAlignment="1">
      <alignment vertical="center"/>
    </xf>
    <xf numFmtId="0" fontId="15" fillId="3" borderId="81" xfId="0" applyFont="1" applyFill="1" applyBorder="1" applyAlignment="1">
      <alignment horizontal="center"/>
    </xf>
    <xf numFmtId="4" fontId="16" fillId="2" borderId="95" xfId="0" applyNumberFormat="1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8" fillId="3" borderId="21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8" fillId="3" borderId="81" xfId="0" applyFont="1" applyFill="1" applyBorder="1" applyAlignment="1">
      <alignment horizontal="left" vertical="center" wrapText="1"/>
    </xf>
    <xf numFmtId="0" fontId="18" fillId="3" borderId="50" xfId="0" applyFont="1" applyFill="1" applyBorder="1" applyAlignment="1">
      <alignment horizontal="left" vertical="center" wrapText="1"/>
    </xf>
    <xf numFmtId="4" fontId="16" fillId="2" borderId="81" xfId="0" applyNumberFormat="1" applyFont="1" applyFill="1" applyBorder="1" applyAlignment="1">
      <alignment vertical="center"/>
    </xf>
    <xf numFmtId="0" fontId="26" fillId="3" borderId="81" xfId="4" applyFont="1" applyFill="1" applyBorder="1" applyAlignment="1">
      <alignment horizontal="left" vertical="center" wrapText="1"/>
    </xf>
    <xf numFmtId="3" fontId="21" fillId="2" borderId="81" xfId="0" applyNumberFormat="1" applyFont="1" applyFill="1" applyBorder="1" applyAlignment="1">
      <alignment horizontal="right" vertical="center"/>
    </xf>
    <xf numFmtId="3" fontId="21" fillId="2" borderId="21" xfId="0" applyNumberFormat="1" applyFont="1" applyFill="1" applyBorder="1" applyAlignment="1">
      <alignment horizontal="right" vertical="center"/>
    </xf>
    <xf numFmtId="3" fontId="21" fillId="2" borderId="40" xfId="0" applyNumberFormat="1" applyFont="1" applyFill="1" applyBorder="1" applyAlignment="1">
      <alignment horizontal="right" vertical="center"/>
    </xf>
    <xf numFmtId="49" fontId="21" fillId="2" borderId="81" xfId="0" applyNumberFormat="1" applyFont="1" applyFill="1" applyBorder="1" applyAlignment="1">
      <alignment horizontal="center" vertical="center"/>
    </xf>
    <xf numFmtId="4" fontId="10" fillId="9" borderId="7" xfId="3" applyNumberFormat="1" applyFont="1" applyFill="1" applyBorder="1" applyAlignment="1">
      <alignment horizontal="center" vertical="center" wrapText="1"/>
    </xf>
    <xf numFmtId="4" fontId="10" fillId="9" borderId="28" xfId="3" applyNumberFormat="1" applyFont="1" applyFill="1" applyBorder="1" applyAlignment="1">
      <alignment horizontal="center" vertical="center" wrapText="1"/>
    </xf>
    <xf numFmtId="4" fontId="10" fillId="9" borderId="24" xfId="3" applyNumberFormat="1" applyFont="1" applyFill="1" applyBorder="1" applyAlignment="1">
      <alignment horizontal="center" vertical="center" wrapText="1"/>
    </xf>
    <xf numFmtId="4" fontId="10" fillId="9" borderId="25" xfId="3" applyNumberFormat="1" applyFont="1" applyFill="1" applyBorder="1" applyAlignment="1">
      <alignment horizontal="center" vertical="center" wrapText="1"/>
    </xf>
    <xf numFmtId="0" fontId="19" fillId="3" borderId="75" xfId="4" applyFont="1" applyFill="1" applyBorder="1" applyAlignment="1">
      <alignment horizontal="left" vertical="center" wrapText="1"/>
    </xf>
    <xf numFmtId="3" fontId="21" fillId="2" borderId="77" xfId="0" applyNumberFormat="1" applyFont="1" applyFill="1" applyBorder="1" applyAlignment="1">
      <alignment horizontal="right" vertical="center"/>
    </xf>
    <xf numFmtId="49" fontId="21" fillId="2" borderId="74" xfId="0" applyNumberFormat="1" applyFont="1" applyFill="1" applyBorder="1" applyAlignment="1">
      <alignment horizontal="center" vertical="center"/>
    </xf>
    <xf numFmtId="4" fontId="10" fillId="2" borderId="7" xfId="3" applyNumberFormat="1" applyFont="1" applyFill="1" applyBorder="1" applyAlignment="1">
      <alignment horizontal="center" vertical="center" wrapText="1"/>
    </xf>
    <xf numFmtId="4" fontId="10" fillId="2" borderId="28" xfId="3" applyNumberFormat="1" applyFont="1" applyFill="1" applyBorder="1" applyAlignment="1">
      <alignment horizontal="center" vertical="center" wrapText="1"/>
    </xf>
    <xf numFmtId="4" fontId="10" fillId="2" borderId="24" xfId="3" applyNumberFormat="1" applyFont="1" applyFill="1" applyBorder="1" applyAlignment="1">
      <alignment horizontal="center" vertical="center" wrapText="1"/>
    </xf>
    <xf numFmtId="4" fontId="10" fillId="2" borderId="25" xfId="3" applyNumberFormat="1" applyFont="1" applyFill="1" applyBorder="1" applyAlignment="1">
      <alignment horizontal="center" vertical="center" wrapText="1"/>
    </xf>
    <xf numFmtId="4" fontId="10" fillId="2" borderId="26" xfId="3" applyNumberFormat="1" applyFont="1" applyFill="1" applyBorder="1" applyAlignment="1">
      <alignment horizontal="center" vertical="center" wrapText="1"/>
    </xf>
    <xf numFmtId="4" fontId="10" fillId="9" borderId="7" xfId="2" applyNumberFormat="1" applyFont="1" applyFill="1" applyBorder="1" applyAlignment="1">
      <alignment horizontal="center" vertical="center" wrapText="1"/>
    </xf>
    <xf numFmtId="4" fontId="10" fillId="9" borderId="28" xfId="2" applyNumberFormat="1" applyFont="1" applyFill="1" applyBorder="1" applyAlignment="1">
      <alignment horizontal="center" vertical="center" wrapText="1"/>
    </xf>
    <xf numFmtId="4" fontId="10" fillId="9" borderId="26" xfId="3" applyNumberFormat="1" applyFont="1" applyFill="1" applyBorder="1" applyAlignment="1">
      <alignment horizontal="center" vertical="center" wrapText="1"/>
    </xf>
    <xf numFmtId="4" fontId="10" fillId="0" borderId="7" xfId="3" applyNumberFormat="1" applyFont="1" applyBorder="1" applyAlignment="1">
      <alignment horizontal="center" vertical="center" wrapText="1"/>
    </xf>
    <xf numFmtId="4" fontId="10" fillId="0" borderId="28" xfId="3" applyNumberFormat="1" applyFont="1" applyBorder="1" applyAlignment="1">
      <alignment horizontal="center" vertical="center" wrapText="1"/>
    </xf>
    <xf numFmtId="4" fontId="10" fillId="0" borderId="24" xfId="3" applyNumberFormat="1" applyFont="1" applyBorder="1" applyAlignment="1">
      <alignment horizontal="center" vertical="center" wrapText="1"/>
    </xf>
    <xf numFmtId="4" fontId="10" fillId="0" borderId="25" xfId="3" applyNumberFormat="1" applyFont="1" applyBorder="1" applyAlignment="1">
      <alignment horizontal="center" vertical="center" wrapText="1"/>
    </xf>
    <xf numFmtId="4" fontId="10" fillId="0" borderId="26" xfId="3" applyNumberFormat="1" applyFont="1" applyBorder="1" applyAlignment="1">
      <alignment horizontal="center" vertical="center" wrapText="1"/>
    </xf>
    <xf numFmtId="4" fontId="13" fillId="9" borderId="7" xfId="2" applyNumberFormat="1" applyFont="1" applyFill="1" applyBorder="1" applyAlignment="1">
      <alignment horizontal="center" vertical="center" wrapText="1"/>
    </xf>
    <xf numFmtId="4" fontId="13" fillId="9" borderId="28" xfId="2" applyNumberFormat="1" applyFont="1" applyFill="1" applyBorder="1" applyAlignment="1">
      <alignment horizontal="center" vertical="center" wrapText="1"/>
    </xf>
    <xf numFmtId="4" fontId="10" fillId="2" borderId="8" xfId="3" applyNumberFormat="1" applyFont="1" applyFill="1" applyBorder="1" applyAlignment="1">
      <alignment horizontal="center" vertical="center" wrapText="1"/>
    </xf>
    <xf numFmtId="4" fontId="10" fillId="2" borderId="29" xfId="3" applyNumberFormat="1" applyFont="1" applyFill="1" applyBorder="1" applyAlignment="1">
      <alignment horizontal="center" vertical="center" wrapText="1"/>
    </xf>
    <xf numFmtId="4" fontId="10" fillId="2" borderId="27" xfId="3" applyNumberFormat="1" applyFont="1" applyFill="1" applyBorder="1" applyAlignment="1">
      <alignment horizontal="center" vertical="center" wrapText="1"/>
    </xf>
    <xf numFmtId="4" fontId="10" fillId="2" borderId="24" xfId="2" applyNumberFormat="1" applyFont="1" applyFill="1" applyBorder="1" applyAlignment="1">
      <alignment horizontal="center" vertical="center" wrapText="1"/>
    </xf>
    <xf numFmtId="4" fontId="10" fillId="2" borderId="25" xfId="2" applyNumberFormat="1" applyFont="1" applyFill="1" applyBorder="1" applyAlignment="1">
      <alignment horizontal="center" vertical="center" wrapText="1"/>
    </xf>
    <xf numFmtId="4" fontId="10" fillId="2" borderId="12" xfId="2" applyNumberFormat="1" applyFont="1" applyFill="1" applyBorder="1" applyAlignment="1">
      <alignment horizontal="center" vertical="center" wrapText="1"/>
    </xf>
    <xf numFmtId="4" fontId="10" fillId="2" borderId="11" xfId="2" applyNumberFormat="1" applyFont="1" applyFill="1" applyBorder="1" applyAlignment="1">
      <alignment horizontal="center" vertical="center" wrapText="1"/>
    </xf>
    <xf numFmtId="4" fontId="10" fillId="2" borderId="32" xfId="2" applyNumberFormat="1" applyFont="1" applyFill="1" applyBorder="1" applyAlignment="1">
      <alignment horizontal="center" vertical="center" wrapText="1"/>
    </xf>
    <xf numFmtId="4" fontId="10" fillId="9" borderId="24" xfId="2" applyNumberFormat="1" applyFont="1" applyFill="1" applyBorder="1" applyAlignment="1">
      <alignment horizontal="center" vertical="center" wrapText="1"/>
    </xf>
    <xf numFmtId="4" fontId="10" fillId="9" borderId="25" xfId="2" applyNumberFormat="1" applyFont="1" applyFill="1" applyBorder="1" applyAlignment="1">
      <alignment horizontal="center" vertical="center" wrapText="1"/>
    </xf>
    <xf numFmtId="4" fontId="10" fillId="2" borderId="7" xfId="2" applyNumberFormat="1" applyFont="1" applyFill="1" applyBorder="1" applyAlignment="1">
      <alignment horizontal="center" vertical="center" wrapText="1"/>
    </xf>
    <xf numFmtId="4" fontId="10" fillId="2" borderId="28" xfId="2" applyNumberFormat="1" applyFont="1" applyFill="1" applyBorder="1" applyAlignment="1">
      <alignment horizontal="center" vertical="center" wrapText="1"/>
    </xf>
    <xf numFmtId="4" fontId="10" fillId="9" borderId="12" xfId="2" applyNumberFormat="1" applyFont="1" applyFill="1" applyBorder="1" applyAlignment="1">
      <alignment horizontal="center" vertical="center" wrapText="1"/>
    </xf>
    <xf numFmtId="4" fontId="10" fillId="9" borderId="10" xfId="2" applyNumberFormat="1" applyFont="1" applyFill="1" applyBorder="1" applyAlignment="1">
      <alignment horizontal="center" vertical="center" wrapText="1"/>
    </xf>
    <xf numFmtId="4" fontId="10" fillId="9" borderId="31" xfId="2" applyNumberFormat="1" applyFont="1" applyFill="1" applyBorder="1" applyAlignment="1">
      <alignment horizontal="center" vertical="center" wrapText="1"/>
    </xf>
    <xf numFmtId="4" fontId="10" fillId="9" borderId="11" xfId="2" applyNumberFormat="1" applyFont="1" applyFill="1" applyBorder="1" applyAlignment="1">
      <alignment horizontal="center" vertical="center" wrapText="1"/>
    </xf>
    <xf numFmtId="4" fontId="10" fillId="9" borderId="32" xfId="2" applyNumberFormat="1" applyFont="1" applyFill="1" applyBorder="1" applyAlignment="1">
      <alignment horizontal="center" vertical="center" wrapText="1"/>
    </xf>
    <xf numFmtId="4" fontId="8" fillId="0" borderId="16" xfId="3" applyNumberFormat="1" applyFont="1" applyBorder="1" applyAlignment="1">
      <alignment horizontal="center" vertical="center" wrapText="1"/>
    </xf>
    <xf numFmtId="4" fontId="8" fillId="0" borderId="14" xfId="3" applyNumberFormat="1" applyFont="1" applyBorder="1" applyAlignment="1">
      <alignment horizontal="center" vertical="center" wrapText="1"/>
    </xf>
    <xf numFmtId="4" fontId="8" fillId="0" borderId="17" xfId="3" applyNumberFormat="1" applyFont="1" applyBorder="1" applyAlignment="1">
      <alignment horizontal="center" vertical="center" wrapText="1"/>
    </xf>
    <xf numFmtId="4" fontId="8" fillId="9" borderId="16" xfId="3" applyNumberFormat="1" applyFont="1" applyFill="1" applyBorder="1" applyAlignment="1">
      <alignment horizontal="center" vertical="center" wrapText="1"/>
    </xf>
    <xf numFmtId="4" fontId="8" fillId="9" borderId="14" xfId="3" applyNumberFormat="1" applyFont="1" applyFill="1" applyBorder="1" applyAlignment="1">
      <alignment horizontal="center" vertical="center" wrapText="1"/>
    </xf>
    <xf numFmtId="4" fontId="8" fillId="9" borderId="17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2" borderId="7" xfId="1" applyFont="1" applyFill="1" applyBorder="1" applyAlignment="1" applyProtection="1">
      <alignment horizontal="center" vertical="center" textRotation="90" wrapText="1"/>
      <protection locked="0"/>
    </xf>
    <xf numFmtId="0" fontId="7" fillId="2" borderId="18" xfId="1" applyFont="1" applyFill="1" applyBorder="1" applyAlignment="1" applyProtection="1">
      <alignment horizontal="center" vertical="center" textRotation="90" wrapText="1"/>
      <protection locked="0"/>
    </xf>
    <xf numFmtId="0" fontId="7" fillId="2" borderId="28" xfId="1" applyFont="1" applyFill="1" applyBorder="1" applyAlignment="1" applyProtection="1">
      <alignment horizontal="center" vertical="center" textRotation="90" wrapText="1"/>
      <protection locked="0"/>
    </xf>
    <xf numFmtId="0" fontId="8" fillId="0" borderId="7" xfId="1" applyFont="1" applyBorder="1" applyAlignment="1" applyProtection="1">
      <alignment horizontal="center" vertical="center" textRotation="90" wrapText="1"/>
      <protection locked="0"/>
    </xf>
    <xf numFmtId="0" fontId="8" fillId="0" borderId="18" xfId="1" applyFont="1" applyBorder="1" applyAlignment="1" applyProtection="1">
      <alignment horizontal="center" vertical="center" textRotation="90" wrapText="1"/>
      <protection locked="0"/>
    </xf>
    <xf numFmtId="0" fontId="8" fillId="0" borderId="28" xfId="1" applyFont="1" applyBorder="1" applyAlignment="1" applyProtection="1">
      <alignment horizontal="center" vertical="center" textRotation="90" wrapText="1"/>
      <protection locked="0"/>
    </xf>
    <xf numFmtId="0" fontId="8" fillId="0" borderId="8" xfId="1" applyFont="1" applyBorder="1" applyAlignment="1" applyProtection="1">
      <alignment horizontal="center" vertical="center" textRotation="90" wrapText="1"/>
      <protection locked="0"/>
    </xf>
    <xf numFmtId="0" fontId="8" fillId="0" borderId="19" xfId="1" applyFont="1" applyBorder="1" applyAlignment="1" applyProtection="1">
      <alignment horizontal="center" vertical="center" textRotation="90" wrapText="1"/>
      <protection locked="0"/>
    </xf>
    <xf numFmtId="0" fontId="8" fillId="0" borderId="29" xfId="1" applyFont="1" applyBorder="1" applyAlignment="1" applyProtection="1">
      <alignment horizontal="center" vertical="center" textRotation="90" wrapText="1"/>
      <protection locked="0"/>
    </xf>
    <xf numFmtId="0" fontId="8" fillId="0" borderId="10" xfId="1" applyFont="1" applyBorder="1" applyAlignment="1" applyProtection="1">
      <alignment horizontal="center" vertical="center" textRotation="90" wrapText="1"/>
      <protection locked="0"/>
    </xf>
    <xf numFmtId="0" fontId="8" fillId="0" borderId="21" xfId="1" applyFont="1" applyBorder="1" applyAlignment="1" applyProtection="1">
      <alignment horizontal="center" vertical="center" textRotation="90" wrapText="1"/>
      <protection locked="0"/>
    </xf>
    <xf numFmtId="0" fontId="8" fillId="0" borderId="31" xfId="1" applyFont="1" applyBorder="1" applyAlignment="1" applyProtection="1">
      <alignment horizontal="center" vertical="center" textRotation="90" wrapTex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textRotation="90" wrapText="1"/>
    </xf>
    <xf numFmtId="0" fontId="11" fillId="2" borderId="19" xfId="0" applyFont="1" applyFill="1" applyBorder="1" applyAlignment="1">
      <alignment horizontal="center" vertical="center" textRotation="90" wrapText="1"/>
    </xf>
    <xf numFmtId="0" fontId="11" fillId="2" borderId="29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21" xfId="0" applyFont="1" applyFill="1" applyBorder="1" applyAlignment="1">
      <alignment horizontal="center" vertical="center" textRotation="90" wrapText="1"/>
    </xf>
    <xf numFmtId="0" fontId="11" fillId="2" borderId="31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" fontId="9" fillId="0" borderId="16" xfId="3" applyNumberFormat="1" applyFont="1" applyBorder="1" applyAlignment="1">
      <alignment horizontal="center" vertical="center"/>
    </xf>
    <xf numFmtId="4" fontId="9" fillId="0" borderId="14" xfId="3" applyNumberFormat="1" applyFont="1" applyBorder="1" applyAlignment="1">
      <alignment horizontal="center" vertical="center"/>
    </xf>
    <xf numFmtId="4" fontId="9" fillId="0" borderId="17" xfId="3" applyNumberFormat="1" applyFont="1" applyBorder="1" applyAlignment="1">
      <alignment horizontal="center" vertical="center"/>
    </xf>
    <xf numFmtId="49" fontId="10" fillId="10" borderId="7" xfId="2" applyNumberFormat="1" applyFont="1" applyFill="1" applyBorder="1" applyAlignment="1">
      <alignment horizontal="center" vertical="center" wrapText="1"/>
    </xf>
    <xf numFmtId="49" fontId="10" fillId="10" borderId="18" xfId="2" applyNumberFormat="1" applyFont="1" applyFill="1" applyBorder="1" applyAlignment="1">
      <alignment horizontal="center" vertical="center" wrapText="1"/>
    </xf>
    <xf numFmtId="49" fontId="10" fillId="10" borderId="28" xfId="2" applyNumberFormat="1" applyFont="1" applyFill="1" applyBorder="1" applyAlignment="1">
      <alignment horizontal="center" vertical="center" wrapText="1"/>
    </xf>
    <xf numFmtId="49" fontId="10" fillId="0" borderId="7" xfId="2" applyNumberFormat="1" applyFont="1" applyBorder="1" applyAlignment="1">
      <alignment horizontal="center" vertical="center" wrapText="1"/>
    </xf>
    <xf numFmtId="49" fontId="10" fillId="0" borderId="18" xfId="2" applyNumberFormat="1" applyFont="1" applyBorder="1" applyAlignment="1">
      <alignment horizontal="center" vertical="center" wrapText="1"/>
    </xf>
    <xf numFmtId="49" fontId="10" fillId="0" borderId="28" xfId="2" applyNumberFormat="1" applyFont="1" applyBorder="1" applyAlignment="1">
      <alignment horizontal="center" vertical="center" wrapText="1"/>
    </xf>
    <xf numFmtId="49" fontId="10" fillId="9" borderId="7" xfId="2" applyNumberFormat="1" applyFont="1" applyFill="1" applyBorder="1" applyAlignment="1">
      <alignment horizontal="center" vertical="center" wrapText="1"/>
    </xf>
    <xf numFmtId="49" fontId="10" fillId="9" borderId="18" xfId="2" applyNumberFormat="1" applyFont="1" applyFill="1" applyBorder="1" applyAlignment="1">
      <alignment horizontal="center" vertical="center" wrapText="1"/>
    </xf>
    <xf numFmtId="49" fontId="10" fillId="9" borderId="28" xfId="2" applyNumberFormat="1" applyFont="1" applyFill="1" applyBorder="1" applyAlignment="1">
      <alignment horizontal="center" vertical="center" wrapText="1"/>
    </xf>
    <xf numFmtId="4" fontId="11" fillId="9" borderId="16" xfId="0" applyNumberFormat="1" applyFont="1" applyFill="1" applyBorder="1" applyAlignment="1">
      <alignment horizontal="center" vertical="center"/>
    </xf>
    <xf numFmtId="4" fontId="11" fillId="9" borderId="14" xfId="0" applyNumberFormat="1" applyFont="1" applyFill="1" applyBorder="1" applyAlignment="1">
      <alignment horizontal="center" vertical="center"/>
    </xf>
    <xf numFmtId="4" fontId="11" fillId="9" borderId="17" xfId="0" applyNumberFormat="1" applyFont="1" applyFill="1" applyBorder="1" applyAlignment="1">
      <alignment horizontal="center" vertical="center"/>
    </xf>
    <xf numFmtId="4" fontId="11" fillId="2" borderId="16" xfId="2" applyNumberFormat="1" applyFont="1" applyFill="1" applyBorder="1" applyAlignment="1">
      <alignment horizontal="center" vertical="center"/>
    </xf>
    <xf numFmtId="4" fontId="11" fillId="2" borderId="14" xfId="2" applyNumberFormat="1" applyFont="1" applyFill="1" applyBorder="1" applyAlignment="1">
      <alignment horizontal="center" vertical="center"/>
    </xf>
    <xf numFmtId="4" fontId="11" fillId="2" borderId="17" xfId="2" applyNumberFormat="1" applyFont="1" applyFill="1" applyBorder="1" applyAlignment="1">
      <alignment horizontal="center" vertical="center"/>
    </xf>
    <xf numFmtId="4" fontId="11" fillId="9" borderId="16" xfId="2" applyNumberFormat="1" applyFont="1" applyFill="1" applyBorder="1" applyAlignment="1">
      <alignment horizontal="center" vertical="center"/>
    </xf>
    <xf numFmtId="4" fontId="11" fillId="9" borderId="14" xfId="2" applyNumberFormat="1" applyFont="1" applyFill="1" applyBorder="1" applyAlignment="1">
      <alignment horizontal="center" vertical="center"/>
    </xf>
    <xf numFmtId="4" fontId="11" fillId="9" borderId="17" xfId="2" applyNumberFormat="1" applyFont="1" applyFill="1" applyBorder="1" applyAlignment="1">
      <alignment horizontal="center" vertical="center"/>
    </xf>
  </cellXfs>
  <cellStyles count="8">
    <cellStyle name="Excel Built-in Normal" xfId="1" xr:uid="{D517918B-181C-4D24-846F-926B26D51589}"/>
    <cellStyle name="Normální" xfId="0" builtinId="0"/>
    <cellStyle name="Normální 2 2" xfId="6" xr:uid="{40724616-C117-4D60-876E-487FBD284217}"/>
    <cellStyle name="Normální 2 3" xfId="4" xr:uid="{279D75AF-E4FF-4CDB-A1C4-4BC4E500B7D5}"/>
    <cellStyle name="Normální 4" xfId="5" xr:uid="{85014412-F523-489D-9B14-268FE3F767DC}"/>
    <cellStyle name="Normální 5 2" xfId="7" xr:uid="{B88DC36E-8E69-4319-91FD-37124D8C044B}"/>
    <cellStyle name="normální_owssvr(1)" xfId="2" xr:uid="{692A2130-C555-4330-AC21-C744FA446C1D}"/>
    <cellStyle name="normální_podklad-příjmy" xfId="3" xr:uid="{A7EBF544-3ECA-4396-9AF4-7168FB61B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35C6-C7CA-4FC7-8069-9CC43EE4D097}">
  <dimension ref="A1:CH137"/>
  <sheetViews>
    <sheetView tabSelected="1" zoomScale="80" zoomScaleNormal="80" workbookViewId="0">
      <pane xSplit="7" ySplit="6" topLeftCell="H100" activePane="bottomRight" state="frozen"/>
      <selection pane="topRight" activeCell="H1" sqref="H1"/>
      <selection pane="bottomLeft" activeCell="A7" sqref="A7"/>
      <selection pane="bottomRight" activeCell="F102" sqref="F102:F103"/>
    </sheetView>
  </sheetViews>
  <sheetFormatPr defaultRowHeight="15" x14ac:dyDescent="0.25"/>
  <cols>
    <col min="1" max="1" width="5" customWidth="1"/>
    <col min="2" max="2" width="6.85546875" customWidth="1"/>
    <col min="3" max="4" width="0" hidden="1" customWidth="1"/>
    <col min="5" max="5" width="5.85546875" customWidth="1"/>
    <col min="6" max="6" width="64.42578125" bestFit="1" customWidth="1"/>
    <col min="7" max="7" width="11.28515625" customWidth="1"/>
    <col min="8" max="8" width="8.140625" customWidth="1"/>
    <col min="9" max="9" width="8.85546875" customWidth="1"/>
    <col min="10" max="10" width="11.7109375" customWidth="1"/>
    <col min="11" max="11" width="9.140625" hidden="1" customWidth="1"/>
    <col min="12" max="12" width="16.7109375" customWidth="1"/>
    <col min="13" max="13" width="16.7109375" hidden="1" customWidth="1"/>
    <col min="14" max="16" width="9.140625" hidden="1" customWidth="1"/>
    <col min="17" max="17" width="10" hidden="1" customWidth="1"/>
    <col min="18" max="18" width="9.140625" hidden="1" customWidth="1"/>
    <col min="19" max="19" width="18.42578125" customWidth="1"/>
    <col min="20" max="20" width="16.7109375" customWidth="1"/>
    <col min="21" max="21" width="18.140625" hidden="1" customWidth="1"/>
    <col min="22" max="24" width="16.7109375" hidden="1" customWidth="1"/>
    <col min="25" max="25" width="19.7109375" customWidth="1"/>
    <col min="26" max="26" width="16.7109375" customWidth="1"/>
    <col min="27" max="30" width="16.7109375" hidden="1" customWidth="1"/>
    <col min="31" max="31" width="19" customWidth="1"/>
    <col min="32" max="32" width="15.140625" customWidth="1"/>
    <col min="33" max="35" width="13.7109375" hidden="1" customWidth="1"/>
    <col min="36" max="36" width="0.140625" customWidth="1"/>
    <col min="37" max="37" width="16.28515625" customWidth="1"/>
    <col min="38" max="38" width="13.7109375" hidden="1" customWidth="1"/>
    <col min="39" max="41" width="9.140625" hidden="1" customWidth="1"/>
    <col min="42" max="42" width="16" customWidth="1"/>
    <col min="43" max="43" width="13.7109375" hidden="1" customWidth="1"/>
    <col min="44" max="44" width="9.140625" hidden="1" customWidth="1"/>
    <col min="45" max="45" width="17.85546875" customWidth="1"/>
    <col min="46" max="46" width="13.7109375" hidden="1" customWidth="1"/>
    <col min="47" max="48" width="9.140625" hidden="1" customWidth="1"/>
    <col min="49" max="49" width="17.7109375" customWidth="1"/>
    <col min="50" max="52" width="13.7109375" hidden="1" customWidth="1"/>
    <col min="53" max="53" width="17.85546875" customWidth="1"/>
    <col min="54" max="56" width="13.7109375" hidden="1" customWidth="1"/>
    <col min="57" max="57" width="16" customWidth="1"/>
    <col min="58" max="58" width="13.7109375" hidden="1" customWidth="1"/>
    <col min="59" max="60" width="9.140625" hidden="1" customWidth="1"/>
    <col min="61" max="61" width="17.5703125" customWidth="1"/>
    <col min="62" max="62" width="13.7109375" hidden="1" customWidth="1"/>
    <col min="63" max="64" width="9.140625" hidden="1" customWidth="1"/>
    <col min="65" max="65" width="15.7109375" customWidth="1"/>
    <col min="66" max="66" width="16.85546875" customWidth="1"/>
    <col min="67" max="67" width="17.42578125" customWidth="1"/>
    <col min="68" max="68" width="13.5703125" customWidth="1"/>
    <col min="69" max="69" width="45.140625" hidden="1" customWidth="1"/>
    <col min="70" max="73" width="9.140625" hidden="1" customWidth="1"/>
    <col min="74" max="74" width="16.7109375" hidden="1" customWidth="1"/>
    <col min="75" max="75" width="15.28515625" customWidth="1"/>
    <col min="76" max="77" width="9.140625" customWidth="1"/>
    <col min="78" max="78" width="12.85546875" customWidth="1"/>
    <col min="81" max="81" width="14.140625" customWidth="1"/>
    <col min="82" max="82" width="14.42578125" customWidth="1"/>
    <col min="83" max="83" width="12" bestFit="1" customWidth="1"/>
    <col min="85" max="85" width="15.140625" customWidth="1"/>
    <col min="86" max="86" width="11.140625" customWidth="1"/>
  </cols>
  <sheetData>
    <row r="1" spans="1:86" ht="47.25" customHeight="1" x14ac:dyDescent="0.25">
      <c r="A1" s="664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5"/>
      <c r="AA1" s="665"/>
      <c r="AB1" s="665"/>
      <c r="AC1" s="665"/>
      <c r="AD1" s="665"/>
      <c r="AE1" s="665"/>
      <c r="AF1" s="665"/>
      <c r="AG1" s="665"/>
      <c r="AH1" s="665"/>
      <c r="AI1" s="665"/>
      <c r="AJ1" s="665"/>
      <c r="AK1" s="665"/>
      <c r="AL1" s="665"/>
      <c r="AM1" s="665"/>
      <c r="AN1" s="665"/>
      <c r="AO1" s="665"/>
      <c r="AP1" s="665"/>
      <c r="AQ1" s="665"/>
      <c r="AR1" s="665"/>
      <c r="AS1" s="665"/>
      <c r="AT1" s="665"/>
      <c r="AU1" s="665"/>
      <c r="AV1" s="665"/>
      <c r="AW1" s="665"/>
      <c r="AX1" s="665"/>
      <c r="AY1" s="665"/>
      <c r="AZ1" s="665"/>
      <c r="BA1" s="665"/>
      <c r="BB1" s="665"/>
      <c r="BC1" s="665"/>
      <c r="BD1" s="665"/>
      <c r="BE1" s="665"/>
      <c r="BF1" s="665"/>
      <c r="BG1" s="665"/>
      <c r="BH1" s="665"/>
      <c r="BI1" s="665"/>
      <c r="BJ1" s="665"/>
      <c r="BK1" s="665"/>
      <c r="BL1" s="665"/>
      <c r="BM1" s="665"/>
      <c r="BN1" s="665"/>
      <c r="BO1" s="666"/>
    </row>
    <row r="2" spans="1:86" ht="18.75" customHeight="1" thickBo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2"/>
      <c r="AL2" s="2"/>
      <c r="AM2" s="2"/>
      <c r="AN2" s="2"/>
      <c r="AO2" s="2"/>
      <c r="AP2" s="2"/>
      <c r="AQ2" s="2"/>
      <c r="AR2" s="2"/>
      <c r="AS2" s="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"/>
      <c r="BN2" s="2"/>
      <c r="BO2" s="4"/>
    </row>
    <row r="3" spans="1:86" ht="21" customHeight="1" thickBot="1" x14ac:dyDescent="0.3">
      <c r="A3" s="667" t="s">
        <v>2</v>
      </c>
      <c r="B3" s="670" t="s">
        <v>3</v>
      </c>
      <c r="C3" s="673" t="s">
        <v>4</v>
      </c>
      <c r="D3" s="5"/>
      <c r="E3" s="676" t="s">
        <v>5</v>
      </c>
      <c r="F3" s="679" t="s">
        <v>6</v>
      </c>
      <c r="G3" s="682" t="s">
        <v>7</v>
      </c>
      <c r="H3" s="685" t="s">
        <v>8</v>
      </c>
      <c r="I3" s="688" t="s">
        <v>9</v>
      </c>
      <c r="J3" s="691" t="s">
        <v>10</v>
      </c>
      <c r="K3" s="6"/>
      <c r="L3" s="694" t="s">
        <v>11</v>
      </c>
      <c r="M3" s="695"/>
      <c r="N3" s="695"/>
      <c r="O3" s="695"/>
      <c r="P3" s="69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695"/>
      <c r="AC3" s="695"/>
      <c r="AD3" s="696"/>
      <c r="AE3" s="7"/>
      <c r="AF3" s="697" t="s">
        <v>12</v>
      </c>
      <c r="AG3" s="698"/>
      <c r="AH3" s="698"/>
      <c r="AI3" s="698"/>
      <c r="AJ3" s="698"/>
      <c r="AK3" s="698"/>
      <c r="AL3" s="698"/>
      <c r="AM3" s="698"/>
      <c r="AN3" s="698"/>
      <c r="AO3" s="698"/>
      <c r="AP3" s="698"/>
      <c r="AQ3" s="698"/>
      <c r="AR3" s="698"/>
      <c r="AS3" s="698"/>
      <c r="AT3" s="698"/>
      <c r="AU3" s="698"/>
      <c r="AV3" s="698"/>
      <c r="AW3" s="698"/>
      <c r="AX3" s="698"/>
      <c r="AY3" s="698"/>
      <c r="AZ3" s="698"/>
      <c r="BA3" s="698"/>
      <c r="BB3" s="698"/>
      <c r="BC3" s="698"/>
      <c r="BD3" s="698"/>
      <c r="BE3" s="698"/>
      <c r="BF3" s="698"/>
      <c r="BG3" s="698"/>
      <c r="BH3" s="698"/>
      <c r="BI3" s="698"/>
      <c r="BJ3" s="698"/>
      <c r="BK3" s="698"/>
      <c r="BL3" s="699"/>
      <c r="BM3" s="700" t="s">
        <v>13</v>
      </c>
      <c r="BN3" s="703" t="s">
        <v>14</v>
      </c>
      <c r="BO3" s="706" t="s">
        <v>15</v>
      </c>
    </row>
    <row r="4" spans="1:86" ht="44.25" customHeight="1" thickBot="1" x14ac:dyDescent="0.3">
      <c r="A4" s="668"/>
      <c r="B4" s="671"/>
      <c r="C4" s="674"/>
      <c r="D4" s="8"/>
      <c r="E4" s="677"/>
      <c r="F4" s="680"/>
      <c r="G4" s="683"/>
      <c r="H4" s="686"/>
      <c r="I4" s="689"/>
      <c r="J4" s="692"/>
      <c r="K4" s="9"/>
      <c r="L4" s="709" t="s">
        <v>16</v>
      </c>
      <c r="M4" s="710"/>
      <c r="N4" s="710"/>
      <c r="O4" s="710"/>
      <c r="P4" s="710"/>
      <c r="Q4" s="710"/>
      <c r="R4" s="710"/>
      <c r="S4" s="711"/>
      <c r="T4" s="712" t="s">
        <v>17</v>
      </c>
      <c r="U4" s="713"/>
      <c r="V4" s="713"/>
      <c r="W4" s="713"/>
      <c r="X4" s="713"/>
      <c r="Y4" s="714"/>
      <c r="Z4" s="715" t="s">
        <v>18</v>
      </c>
      <c r="AA4" s="716"/>
      <c r="AB4" s="716"/>
      <c r="AC4" s="716"/>
      <c r="AD4" s="716"/>
      <c r="AE4" s="717"/>
      <c r="AF4" s="658" t="s">
        <v>19</v>
      </c>
      <c r="AG4" s="659"/>
      <c r="AH4" s="659"/>
      <c r="AI4" s="659"/>
      <c r="AJ4" s="660"/>
      <c r="AK4" s="661" t="s">
        <v>20</v>
      </c>
      <c r="AL4" s="662"/>
      <c r="AM4" s="662"/>
      <c r="AN4" s="662"/>
      <c r="AO4" s="663"/>
      <c r="AP4" s="658" t="s">
        <v>21</v>
      </c>
      <c r="AQ4" s="659"/>
      <c r="AR4" s="660"/>
      <c r="AS4" s="661" t="s">
        <v>22</v>
      </c>
      <c r="AT4" s="662"/>
      <c r="AU4" s="662"/>
      <c r="AV4" s="663"/>
      <c r="AW4" s="658" t="s">
        <v>23</v>
      </c>
      <c r="AX4" s="659"/>
      <c r="AY4" s="660"/>
      <c r="AZ4" s="10"/>
      <c r="BA4" s="661" t="s">
        <v>24</v>
      </c>
      <c r="BB4" s="662"/>
      <c r="BC4" s="662"/>
      <c r="BD4" s="663"/>
      <c r="BE4" s="658" t="s">
        <v>25</v>
      </c>
      <c r="BF4" s="659"/>
      <c r="BG4" s="660"/>
      <c r="BH4" s="10"/>
      <c r="BI4" s="661" t="s">
        <v>26</v>
      </c>
      <c r="BJ4" s="662"/>
      <c r="BK4" s="662"/>
      <c r="BL4" s="663"/>
      <c r="BM4" s="701"/>
      <c r="BN4" s="704"/>
      <c r="BO4" s="707"/>
    </row>
    <row r="5" spans="1:86" ht="15" customHeight="1" x14ac:dyDescent="0.25">
      <c r="A5" s="668"/>
      <c r="B5" s="671"/>
      <c r="C5" s="674"/>
      <c r="D5" s="8"/>
      <c r="E5" s="677"/>
      <c r="F5" s="680"/>
      <c r="G5" s="683"/>
      <c r="H5" s="686"/>
      <c r="I5" s="689"/>
      <c r="J5" s="692"/>
      <c r="K5" s="105"/>
      <c r="L5" s="631" t="s">
        <v>27</v>
      </c>
      <c r="M5" s="649" t="s">
        <v>28</v>
      </c>
      <c r="N5" s="650"/>
      <c r="O5" s="650"/>
      <c r="P5" s="653"/>
      <c r="Q5" s="654" t="s">
        <v>29</v>
      </c>
      <c r="R5" s="656" t="s">
        <v>30</v>
      </c>
      <c r="S5" s="631" t="s">
        <v>31</v>
      </c>
      <c r="T5" s="651" t="s">
        <v>32</v>
      </c>
      <c r="U5" s="644" t="s">
        <v>28</v>
      </c>
      <c r="V5" s="645"/>
      <c r="W5" s="645"/>
      <c r="X5" s="646"/>
      <c r="Y5" s="647" t="s">
        <v>33</v>
      </c>
      <c r="Z5" s="631" t="s">
        <v>34</v>
      </c>
      <c r="AA5" s="649" t="s">
        <v>28</v>
      </c>
      <c r="AB5" s="650"/>
      <c r="AC5" s="650"/>
      <c r="AD5" s="650"/>
      <c r="AE5" s="460" t="s">
        <v>31</v>
      </c>
      <c r="AF5" s="651" t="s">
        <v>35</v>
      </c>
      <c r="AG5" s="636" t="s">
        <v>28</v>
      </c>
      <c r="AH5" s="637"/>
      <c r="AI5" s="637"/>
      <c r="AJ5" s="638"/>
      <c r="AK5" s="639" t="s">
        <v>36</v>
      </c>
      <c r="AL5" s="621" t="s">
        <v>28</v>
      </c>
      <c r="AM5" s="622"/>
      <c r="AN5" s="622"/>
      <c r="AO5" s="633"/>
      <c r="AP5" s="641" t="s">
        <v>35</v>
      </c>
      <c r="AQ5" s="643" t="s">
        <v>28</v>
      </c>
      <c r="AR5" s="630"/>
      <c r="AS5" s="631" t="s">
        <v>36</v>
      </c>
      <c r="AT5" s="621" t="s">
        <v>28</v>
      </c>
      <c r="AU5" s="622"/>
      <c r="AV5" s="633"/>
      <c r="AW5" s="626" t="s">
        <v>35</v>
      </c>
      <c r="AX5" s="628" t="s">
        <v>28</v>
      </c>
      <c r="AY5" s="629"/>
      <c r="AZ5" s="630"/>
      <c r="BA5" s="631" t="s">
        <v>36</v>
      </c>
      <c r="BB5" s="621" t="s">
        <v>28</v>
      </c>
      <c r="BC5" s="622"/>
      <c r="BD5" s="633"/>
      <c r="BE5" s="634" t="s">
        <v>35</v>
      </c>
      <c r="BF5" s="636" t="s">
        <v>28</v>
      </c>
      <c r="BG5" s="637"/>
      <c r="BH5" s="638"/>
      <c r="BI5" s="619" t="s">
        <v>36</v>
      </c>
      <c r="BJ5" s="621" t="s">
        <v>28</v>
      </c>
      <c r="BK5" s="622"/>
      <c r="BL5" s="622"/>
      <c r="BM5" s="701"/>
      <c r="BN5" s="704"/>
      <c r="BO5" s="707"/>
    </row>
    <row r="6" spans="1:86" ht="74.25" customHeight="1" thickBot="1" x14ac:dyDescent="0.3">
      <c r="A6" s="669"/>
      <c r="B6" s="672"/>
      <c r="C6" s="675"/>
      <c r="D6" s="11" t="s">
        <v>37</v>
      </c>
      <c r="E6" s="678"/>
      <c r="F6" s="681"/>
      <c r="G6" s="684"/>
      <c r="H6" s="687"/>
      <c r="I6" s="690"/>
      <c r="J6" s="693"/>
      <c r="K6" s="12" t="s">
        <v>38</v>
      </c>
      <c r="L6" s="632"/>
      <c r="M6" s="299" t="s">
        <v>39</v>
      </c>
      <c r="N6" s="300" t="s">
        <v>40</v>
      </c>
      <c r="O6" s="300" t="s">
        <v>41</v>
      </c>
      <c r="P6" s="300" t="s">
        <v>42</v>
      </c>
      <c r="Q6" s="655"/>
      <c r="R6" s="657"/>
      <c r="S6" s="632"/>
      <c r="T6" s="652"/>
      <c r="U6" s="15" t="s">
        <v>43</v>
      </c>
      <c r="V6" s="14" t="s">
        <v>40</v>
      </c>
      <c r="W6" s="14" t="s">
        <v>41</v>
      </c>
      <c r="X6" s="14" t="s">
        <v>42</v>
      </c>
      <c r="Y6" s="648"/>
      <c r="Z6" s="632"/>
      <c r="AA6" s="393" t="s">
        <v>43</v>
      </c>
      <c r="AB6" s="394" t="s">
        <v>40</v>
      </c>
      <c r="AC6" s="300" t="s">
        <v>41</v>
      </c>
      <c r="AD6" s="395" t="s">
        <v>42</v>
      </c>
      <c r="AE6" s="461"/>
      <c r="AF6" s="652"/>
      <c r="AG6" s="16" t="s">
        <v>43</v>
      </c>
      <c r="AH6" s="17" t="s">
        <v>40</v>
      </c>
      <c r="AI6" s="13" t="s">
        <v>44</v>
      </c>
      <c r="AJ6" s="14" t="s">
        <v>45</v>
      </c>
      <c r="AK6" s="640"/>
      <c r="AL6" s="393" t="s">
        <v>43</v>
      </c>
      <c r="AM6" s="394" t="s">
        <v>40</v>
      </c>
      <c r="AN6" s="300" t="s">
        <v>44</v>
      </c>
      <c r="AO6" s="395" t="s">
        <v>42</v>
      </c>
      <c r="AP6" s="642"/>
      <c r="AQ6" s="14" t="s">
        <v>43</v>
      </c>
      <c r="AR6" s="14" t="s">
        <v>46</v>
      </c>
      <c r="AS6" s="632"/>
      <c r="AT6" s="393" t="s">
        <v>43</v>
      </c>
      <c r="AU6" s="300" t="s">
        <v>44</v>
      </c>
      <c r="AV6" s="300" t="s">
        <v>47</v>
      </c>
      <c r="AW6" s="627"/>
      <c r="AX6" s="15" t="s">
        <v>43</v>
      </c>
      <c r="AY6" s="14" t="s">
        <v>44</v>
      </c>
      <c r="AZ6" s="14" t="s">
        <v>48</v>
      </c>
      <c r="BA6" s="632"/>
      <c r="BB6" s="393" t="s">
        <v>43</v>
      </c>
      <c r="BC6" s="300" t="s">
        <v>44</v>
      </c>
      <c r="BD6" s="300" t="s">
        <v>48</v>
      </c>
      <c r="BE6" s="635"/>
      <c r="BF6" s="16" t="s">
        <v>43</v>
      </c>
      <c r="BG6" s="13" t="s">
        <v>44</v>
      </c>
      <c r="BH6" s="16" t="s">
        <v>48</v>
      </c>
      <c r="BI6" s="620"/>
      <c r="BJ6" s="393" t="s">
        <v>43</v>
      </c>
      <c r="BK6" s="300" t="s">
        <v>44</v>
      </c>
      <c r="BL6" s="408" t="s">
        <v>48</v>
      </c>
      <c r="BM6" s="702"/>
      <c r="BN6" s="705"/>
      <c r="BO6" s="708"/>
      <c r="BP6" s="18" t="s">
        <v>49</v>
      </c>
      <c r="BQ6" s="19" t="s">
        <v>50</v>
      </c>
      <c r="BR6" s="19" t="s">
        <v>51</v>
      </c>
      <c r="BS6" s="20" t="s">
        <v>52</v>
      </c>
      <c r="BV6" s="89">
        <f>BP54+BP56+BP58+BP60+BP62+BP64+BP65+BP67+BP69+BP71+BP73+BP75+BP77+BP80+BP82+BP83+BP84+BP85+BP86+BP87+BP92+BP97+BP98</f>
        <v>344433.402</v>
      </c>
    </row>
    <row r="7" spans="1:86" s="37" customFormat="1" ht="39.950000000000003" customHeight="1" x14ac:dyDescent="0.2">
      <c r="A7" s="77">
        <v>1</v>
      </c>
      <c r="B7" s="83" t="s">
        <v>53</v>
      </c>
      <c r="C7" s="21"/>
      <c r="D7" s="22"/>
      <c r="E7" s="23">
        <v>7</v>
      </c>
      <c r="F7" s="57" t="s">
        <v>54</v>
      </c>
      <c r="G7" s="106">
        <v>5954000000</v>
      </c>
      <c r="H7" s="24">
        <v>4053094</v>
      </c>
      <c r="I7" s="25" t="s">
        <v>55</v>
      </c>
      <c r="J7" s="84">
        <v>33118.150659999999</v>
      </c>
      <c r="K7" s="81"/>
      <c r="L7" s="301">
        <f t="shared" ref="L7:L10" si="0">M7+N7+P7+O7</f>
        <v>39975.599999999999</v>
      </c>
      <c r="M7" s="302">
        <v>39975.599999999999</v>
      </c>
      <c r="N7" s="303"/>
      <c r="O7" s="304"/>
      <c r="P7" s="303"/>
      <c r="Q7" s="305">
        <v>2251</v>
      </c>
      <c r="R7" s="306">
        <v>6121</v>
      </c>
      <c r="S7" s="307">
        <v>0</v>
      </c>
      <c r="T7" s="27">
        <f t="shared" ref="T7:T12" si="1">U7+V7+W7</f>
        <v>0</v>
      </c>
      <c r="U7" s="28">
        <v>0</v>
      </c>
      <c r="V7" s="28"/>
      <c r="W7" s="29"/>
      <c r="X7" s="29"/>
      <c r="Y7" s="30">
        <v>0</v>
      </c>
      <c r="Z7" s="396">
        <f t="shared" ref="Z7:Z53" si="2">AA7+AB7</f>
        <v>39975.599999999999</v>
      </c>
      <c r="AA7" s="397">
        <f t="shared" ref="AA7:AA8" si="3">M7+U7</f>
        <v>39975.599999999999</v>
      </c>
      <c r="AB7" s="397"/>
      <c r="AC7" s="397"/>
      <c r="AD7" s="397"/>
      <c r="AE7" s="398">
        <f t="shared" ref="AE7:AE40" si="4">S7+Y7</f>
        <v>0</v>
      </c>
      <c r="AF7" s="31">
        <f t="shared" ref="AF7:AF8" si="5">AG7+AH7+AI7</f>
        <v>1194000</v>
      </c>
      <c r="AG7" s="28">
        <v>1194000</v>
      </c>
      <c r="AH7" s="28"/>
      <c r="AI7" s="28"/>
      <c r="AJ7" s="28"/>
      <c r="AK7" s="401">
        <f t="shared" ref="AK7:AK70" si="6">AL7+AM7</f>
        <v>500000</v>
      </c>
      <c r="AL7" s="397">
        <v>500000</v>
      </c>
      <c r="AM7" s="397"/>
      <c r="AN7" s="397"/>
      <c r="AO7" s="402"/>
      <c r="AP7" s="32">
        <f t="shared" ref="AP7:AP8" si="7">AQ7</f>
        <v>1194000</v>
      </c>
      <c r="AQ7" s="28">
        <v>1194000</v>
      </c>
      <c r="AR7" s="28"/>
      <c r="AS7" s="401">
        <f t="shared" ref="AS7:AS59" si="8">AT7</f>
        <v>1888000</v>
      </c>
      <c r="AT7" s="397">
        <v>1888000</v>
      </c>
      <c r="AU7" s="397"/>
      <c r="AV7" s="397"/>
      <c r="AW7" s="33">
        <f t="shared" ref="AW7:AW70" si="9">AX7</f>
        <v>1592000</v>
      </c>
      <c r="AX7" s="28">
        <v>1592000</v>
      </c>
      <c r="AY7" s="28"/>
      <c r="AZ7" s="28"/>
      <c r="BA7" s="403">
        <f t="shared" ref="BA7:BA70" si="10">BB7</f>
        <v>1592000</v>
      </c>
      <c r="BB7" s="397">
        <v>1592000</v>
      </c>
      <c r="BC7" s="397"/>
      <c r="BD7" s="397"/>
      <c r="BE7" s="34">
        <f t="shared" ref="BE7:BE53" si="11">BF7</f>
        <v>0</v>
      </c>
      <c r="BF7" s="28">
        <v>0</v>
      </c>
      <c r="BG7" s="28"/>
      <c r="BH7" s="28"/>
      <c r="BI7" s="409">
        <f t="shared" ref="BI7:BI70" si="12">BJ7</f>
        <v>0</v>
      </c>
      <c r="BJ7" s="397">
        <f t="shared" ref="BJ7:BL15" si="13">BF7</f>
        <v>0</v>
      </c>
      <c r="BK7" s="397"/>
      <c r="BL7" s="410"/>
      <c r="BM7" s="454">
        <v>0</v>
      </c>
      <c r="BN7" s="35">
        <f>J7+L7+AF7+AP7+AW7+BE7+BM7</f>
        <v>4053093.7506599999</v>
      </c>
      <c r="BO7" s="413">
        <f>J7+Z7+AK7+AS7+BM7+BI7+BA7</f>
        <v>4053093.7506599999</v>
      </c>
      <c r="BP7" s="36">
        <f>BO7-BN7</f>
        <v>0</v>
      </c>
      <c r="BQ7" s="36">
        <f t="shared" ref="BQ7:BT7" si="14">BP7-BO7</f>
        <v>-4053093.7506599999</v>
      </c>
      <c r="BR7" s="36">
        <f t="shared" si="14"/>
        <v>-4053093.7506599999</v>
      </c>
      <c r="BS7" s="36">
        <f t="shared" si="14"/>
        <v>0</v>
      </c>
      <c r="BT7" s="36">
        <f t="shared" si="14"/>
        <v>4053093.7506599999</v>
      </c>
      <c r="BV7" s="70"/>
      <c r="BW7" s="70"/>
      <c r="BX7" s="70"/>
      <c r="BZ7" s="70"/>
      <c r="CC7" s="70"/>
      <c r="CD7" s="70"/>
      <c r="CE7" s="70"/>
      <c r="CG7" s="70"/>
      <c r="CH7" s="70"/>
    </row>
    <row r="8" spans="1:86" s="37" customFormat="1" ht="39.950000000000003" customHeight="1" x14ac:dyDescent="0.2">
      <c r="A8" s="489">
        <v>1</v>
      </c>
      <c r="B8" s="107" t="s">
        <v>53</v>
      </c>
      <c r="C8" s="21"/>
      <c r="D8" s="22"/>
      <c r="E8" s="23">
        <v>7</v>
      </c>
      <c r="F8" s="623" t="s">
        <v>143</v>
      </c>
      <c r="G8" s="108">
        <v>4343000000</v>
      </c>
      <c r="H8" s="624">
        <v>125000</v>
      </c>
      <c r="I8" s="625" t="s">
        <v>56</v>
      </c>
      <c r="J8" s="605">
        <v>980.18</v>
      </c>
      <c r="K8" s="109"/>
      <c r="L8" s="301">
        <f t="shared" si="0"/>
        <v>24208.1</v>
      </c>
      <c r="M8" s="302">
        <v>24208.1</v>
      </c>
      <c r="N8" s="303"/>
      <c r="O8" s="304"/>
      <c r="P8" s="303"/>
      <c r="Q8" s="308">
        <v>2212</v>
      </c>
      <c r="R8" s="309">
        <v>6121</v>
      </c>
      <c r="S8" s="307">
        <v>0</v>
      </c>
      <c r="T8" s="27">
        <f t="shared" si="1"/>
        <v>-4000</v>
      </c>
      <c r="U8" s="28">
        <v>-4000</v>
      </c>
      <c r="V8" s="28"/>
      <c r="W8" s="29"/>
      <c r="X8" s="29"/>
      <c r="Y8" s="30">
        <v>0</v>
      </c>
      <c r="Z8" s="396">
        <f t="shared" si="2"/>
        <v>20208.099999999999</v>
      </c>
      <c r="AA8" s="397">
        <f t="shared" si="3"/>
        <v>20208.099999999999</v>
      </c>
      <c r="AB8" s="397"/>
      <c r="AC8" s="397"/>
      <c r="AD8" s="397"/>
      <c r="AE8" s="398">
        <f t="shared" si="4"/>
        <v>0</v>
      </c>
      <c r="AF8" s="31">
        <f t="shared" si="5"/>
        <v>58700</v>
      </c>
      <c r="AG8" s="28">
        <v>58700</v>
      </c>
      <c r="AH8" s="28"/>
      <c r="AI8" s="28"/>
      <c r="AJ8" s="28"/>
      <c r="AK8" s="401">
        <f t="shared" si="6"/>
        <v>43100</v>
      </c>
      <c r="AL8" s="397">
        <v>43100</v>
      </c>
      <c r="AM8" s="397"/>
      <c r="AN8" s="397"/>
      <c r="AO8" s="402"/>
      <c r="AP8" s="32">
        <f t="shared" si="7"/>
        <v>35000</v>
      </c>
      <c r="AQ8" s="28">
        <v>35000</v>
      </c>
      <c r="AR8" s="28"/>
      <c r="AS8" s="401">
        <f t="shared" si="8"/>
        <v>54600</v>
      </c>
      <c r="AT8" s="397">
        <v>54600</v>
      </c>
      <c r="AU8" s="397"/>
      <c r="AV8" s="397"/>
      <c r="AW8" s="33">
        <f t="shared" si="9"/>
        <v>0</v>
      </c>
      <c r="AX8" s="28">
        <v>0</v>
      </c>
      <c r="AY8" s="28"/>
      <c r="AZ8" s="28"/>
      <c r="BA8" s="403">
        <f t="shared" si="10"/>
        <v>0</v>
      </c>
      <c r="BB8" s="397">
        <v>0</v>
      </c>
      <c r="BC8" s="397"/>
      <c r="BD8" s="397"/>
      <c r="BE8" s="34">
        <f t="shared" si="11"/>
        <v>0</v>
      </c>
      <c r="BF8" s="28">
        <v>0</v>
      </c>
      <c r="BG8" s="28"/>
      <c r="BH8" s="28"/>
      <c r="BI8" s="409">
        <f t="shared" si="12"/>
        <v>0</v>
      </c>
      <c r="BJ8" s="397">
        <f t="shared" si="13"/>
        <v>0</v>
      </c>
      <c r="BK8" s="397"/>
      <c r="BL8" s="410"/>
      <c r="BM8" s="454">
        <v>0</v>
      </c>
      <c r="BN8" s="35">
        <f t="shared" ref="BN8:BN18" si="15">J8+L8+AF8+AP8+AW8+BE8+BM8</f>
        <v>118888.28</v>
      </c>
      <c r="BO8" s="413">
        <f t="shared" ref="BO8:BO20" si="16">J8+Z8+AK8+AS8+BM8+BI8+BA8</f>
        <v>118888.28</v>
      </c>
      <c r="BP8" s="36">
        <f t="shared" ref="BP8:BP71" si="17">BO8-BN8</f>
        <v>0</v>
      </c>
      <c r="BQ8" s="38" t="s">
        <v>57</v>
      </c>
      <c r="BR8" s="606">
        <v>1</v>
      </c>
      <c r="BS8" s="37" t="s">
        <v>58</v>
      </c>
      <c r="BV8" s="70"/>
      <c r="BW8" s="70"/>
      <c r="BX8" s="70"/>
      <c r="BZ8" s="70"/>
      <c r="CC8" s="70"/>
      <c r="CD8" s="70"/>
      <c r="CE8" s="70"/>
      <c r="CG8" s="70"/>
      <c r="CH8" s="70"/>
    </row>
    <row r="9" spans="1:86" s="37" customFormat="1" ht="39.950000000000003" customHeight="1" x14ac:dyDescent="0.2">
      <c r="A9" s="490"/>
      <c r="B9" s="110" t="s">
        <v>53</v>
      </c>
      <c r="C9" s="21"/>
      <c r="D9" s="22"/>
      <c r="E9" s="23">
        <v>7</v>
      </c>
      <c r="F9" s="518"/>
      <c r="G9" s="108">
        <v>4343006000</v>
      </c>
      <c r="H9" s="589"/>
      <c r="I9" s="485"/>
      <c r="J9" s="488"/>
      <c r="K9" s="109"/>
      <c r="L9" s="301">
        <f t="shared" si="0"/>
        <v>711.73</v>
      </c>
      <c r="M9" s="302">
        <v>711.73</v>
      </c>
      <c r="N9" s="303"/>
      <c r="O9" s="304"/>
      <c r="P9" s="303"/>
      <c r="Q9" s="308">
        <v>2212</v>
      </c>
      <c r="R9" s="309">
        <v>6351</v>
      </c>
      <c r="S9" s="307">
        <v>711722</v>
      </c>
      <c r="T9" s="27">
        <f t="shared" si="1"/>
        <v>0</v>
      </c>
      <c r="U9" s="28">
        <v>0</v>
      </c>
      <c r="V9" s="28"/>
      <c r="W9" s="29"/>
      <c r="X9" s="29"/>
      <c r="Y9" s="30">
        <v>0</v>
      </c>
      <c r="Z9" s="396">
        <f t="shared" si="2"/>
        <v>711.73</v>
      </c>
      <c r="AA9" s="397">
        <f>M9+U9</f>
        <v>711.73</v>
      </c>
      <c r="AB9" s="397"/>
      <c r="AC9" s="397"/>
      <c r="AD9" s="397"/>
      <c r="AE9" s="398">
        <f t="shared" si="4"/>
        <v>711722</v>
      </c>
      <c r="AF9" s="31">
        <f>AG9+AH9+AI9</f>
        <v>0</v>
      </c>
      <c r="AG9" s="28">
        <v>0</v>
      </c>
      <c r="AH9" s="28"/>
      <c r="AI9" s="28"/>
      <c r="AJ9" s="28"/>
      <c r="AK9" s="401">
        <f t="shared" si="6"/>
        <v>0</v>
      </c>
      <c r="AL9" s="397">
        <v>0</v>
      </c>
      <c r="AM9" s="397"/>
      <c r="AN9" s="397"/>
      <c r="AO9" s="402"/>
      <c r="AP9" s="32">
        <f>AQ9</f>
        <v>0</v>
      </c>
      <c r="AQ9" s="28">
        <v>0</v>
      </c>
      <c r="AR9" s="28"/>
      <c r="AS9" s="401">
        <f t="shared" si="8"/>
        <v>0</v>
      </c>
      <c r="AT9" s="397">
        <v>0</v>
      </c>
      <c r="AU9" s="397"/>
      <c r="AV9" s="397"/>
      <c r="AW9" s="33">
        <f t="shared" si="9"/>
        <v>0</v>
      </c>
      <c r="AX9" s="28">
        <v>0</v>
      </c>
      <c r="AY9" s="28"/>
      <c r="AZ9" s="28"/>
      <c r="BA9" s="403">
        <f t="shared" si="10"/>
        <v>0</v>
      </c>
      <c r="BB9" s="397">
        <v>0</v>
      </c>
      <c r="BC9" s="397"/>
      <c r="BD9" s="397"/>
      <c r="BE9" s="34">
        <f t="shared" si="11"/>
        <v>0</v>
      </c>
      <c r="BF9" s="28">
        <v>0</v>
      </c>
      <c r="BG9" s="28"/>
      <c r="BH9" s="28"/>
      <c r="BI9" s="409">
        <f t="shared" si="12"/>
        <v>0</v>
      </c>
      <c r="BJ9" s="397">
        <f t="shared" si="13"/>
        <v>0</v>
      </c>
      <c r="BK9" s="397"/>
      <c r="BL9" s="410"/>
      <c r="BM9" s="454">
        <v>0</v>
      </c>
      <c r="BN9" s="35">
        <f t="shared" si="15"/>
        <v>711.73</v>
      </c>
      <c r="BO9" s="413">
        <f t="shared" si="16"/>
        <v>711.73</v>
      </c>
      <c r="BP9" s="36">
        <f t="shared" si="17"/>
        <v>0</v>
      </c>
      <c r="BQ9" s="38" t="s">
        <v>57</v>
      </c>
      <c r="BR9" s="467"/>
      <c r="BS9" s="40" t="s">
        <v>59</v>
      </c>
      <c r="BV9" s="70"/>
      <c r="BW9" s="70"/>
      <c r="BX9" s="70"/>
      <c r="CC9" s="70"/>
      <c r="CD9" s="70"/>
      <c r="CE9" s="70"/>
      <c r="CG9" s="70"/>
      <c r="CH9" s="70"/>
    </row>
    <row r="10" spans="1:86" s="37" customFormat="1" ht="39.950000000000003" customHeight="1" x14ac:dyDescent="0.2">
      <c r="A10" s="77">
        <v>1</v>
      </c>
      <c r="B10" s="110" t="s">
        <v>53</v>
      </c>
      <c r="C10" s="21"/>
      <c r="D10" s="22"/>
      <c r="E10" s="23">
        <v>7</v>
      </c>
      <c r="F10" s="57" t="s">
        <v>218</v>
      </c>
      <c r="G10" s="108">
        <v>4342006000</v>
      </c>
      <c r="H10" s="24">
        <v>15000</v>
      </c>
      <c r="I10" s="25" t="s">
        <v>60</v>
      </c>
      <c r="J10" s="111">
        <v>88.33</v>
      </c>
      <c r="K10" s="109"/>
      <c r="L10" s="301">
        <f t="shared" si="0"/>
        <v>6811.67</v>
      </c>
      <c r="M10" s="302">
        <v>6811.67</v>
      </c>
      <c r="N10" s="303"/>
      <c r="O10" s="304"/>
      <c r="P10" s="303"/>
      <c r="Q10" s="308">
        <v>2212</v>
      </c>
      <c r="R10" s="309">
        <v>6351</v>
      </c>
      <c r="S10" s="307">
        <v>6811670</v>
      </c>
      <c r="T10" s="27">
        <f t="shared" si="1"/>
        <v>-5811.67</v>
      </c>
      <c r="U10" s="28">
        <v>-5811.67</v>
      </c>
      <c r="V10" s="28"/>
      <c r="W10" s="29"/>
      <c r="X10" s="29"/>
      <c r="Y10" s="30">
        <v>-5811670</v>
      </c>
      <c r="Z10" s="396">
        <f t="shared" si="2"/>
        <v>1000</v>
      </c>
      <c r="AA10" s="397">
        <f>M10+U10</f>
        <v>1000</v>
      </c>
      <c r="AB10" s="397"/>
      <c r="AC10" s="397"/>
      <c r="AD10" s="397"/>
      <c r="AE10" s="398">
        <f t="shared" si="4"/>
        <v>1000000</v>
      </c>
      <c r="AF10" s="31">
        <f>AG10+AH10+AI10</f>
        <v>7000</v>
      </c>
      <c r="AG10" s="28">
        <v>7000</v>
      </c>
      <c r="AH10" s="28"/>
      <c r="AI10" s="28"/>
      <c r="AJ10" s="28"/>
      <c r="AK10" s="401">
        <f t="shared" si="6"/>
        <v>12811.67</v>
      </c>
      <c r="AL10" s="397">
        <v>12811.67</v>
      </c>
      <c r="AM10" s="397"/>
      <c r="AN10" s="397"/>
      <c r="AO10" s="402"/>
      <c r="AP10" s="32">
        <f>AQ10</f>
        <v>0</v>
      </c>
      <c r="AQ10" s="28">
        <v>0</v>
      </c>
      <c r="AR10" s="28"/>
      <c r="AS10" s="401">
        <f t="shared" si="8"/>
        <v>0</v>
      </c>
      <c r="AT10" s="397">
        <v>0</v>
      </c>
      <c r="AU10" s="397"/>
      <c r="AV10" s="397"/>
      <c r="AW10" s="33">
        <f t="shared" si="9"/>
        <v>0</v>
      </c>
      <c r="AX10" s="28">
        <v>0</v>
      </c>
      <c r="AY10" s="28"/>
      <c r="AZ10" s="28"/>
      <c r="BA10" s="403">
        <f t="shared" si="10"/>
        <v>0</v>
      </c>
      <c r="BB10" s="397">
        <v>0</v>
      </c>
      <c r="BC10" s="397"/>
      <c r="BD10" s="397"/>
      <c r="BE10" s="34">
        <f t="shared" si="11"/>
        <v>0</v>
      </c>
      <c r="BF10" s="28">
        <v>0</v>
      </c>
      <c r="BG10" s="28"/>
      <c r="BH10" s="28"/>
      <c r="BI10" s="409">
        <f t="shared" si="12"/>
        <v>0</v>
      </c>
      <c r="BJ10" s="397">
        <f t="shared" si="13"/>
        <v>0</v>
      </c>
      <c r="BK10" s="397"/>
      <c r="BL10" s="410"/>
      <c r="BM10" s="454">
        <v>0</v>
      </c>
      <c r="BN10" s="35">
        <f t="shared" si="15"/>
        <v>13900</v>
      </c>
      <c r="BO10" s="413">
        <f t="shared" si="16"/>
        <v>13900</v>
      </c>
      <c r="BP10" s="36">
        <f t="shared" si="17"/>
        <v>0</v>
      </c>
      <c r="BQ10" s="38" t="s">
        <v>57</v>
      </c>
      <c r="BR10" s="41">
        <v>1</v>
      </c>
      <c r="BS10" s="37" t="s">
        <v>61</v>
      </c>
      <c r="BV10" s="70"/>
      <c r="BW10" s="70"/>
      <c r="BX10" s="70"/>
      <c r="BZ10" s="70"/>
      <c r="CC10" s="70"/>
      <c r="CD10" s="70"/>
      <c r="CE10" s="70"/>
      <c r="CG10" s="70"/>
      <c r="CH10" s="70"/>
    </row>
    <row r="11" spans="1:86" s="37" customFormat="1" ht="39.950000000000003" customHeight="1" x14ac:dyDescent="0.2">
      <c r="A11" s="489">
        <v>1</v>
      </c>
      <c r="B11" s="110" t="s">
        <v>62</v>
      </c>
      <c r="C11" s="21"/>
      <c r="D11" s="22"/>
      <c r="E11" s="23">
        <v>7</v>
      </c>
      <c r="F11" s="614" t="s">
        <v>144</v>
      </c>
      <c r="G11" s="112">
        <v>4077000000</v>
      </c>
      <c r="H11" s="615">
        <v>27000</v>
      </c>
      <c r="I11" s="618" t="s">
        <v>63</v>
      </c>
      <c r="J11" s="113">
        <v>7067.73</v>
      </c>
      <c r="K11" s="114"/>
      <c r="L11" s="301">
        <f>M11+N11+P11+O11</f>
        <v>13423</v>
      </c>
      <c r="M11" s="302">
        <v>13423</v>
      </c>
      <c r="N11" s="303"/>
      <c r="O11" s="304"/>
      <c r="P11" s="303"/>
      <c r="Q11" s="308">
        <v>6172</v>
      </c>
      <c r="R11" s="309">
        <v>6121</v>
      </c>
      <c r="S11" s="307">
        <v>0</v>
      </c>
      <c r="T11" s="27">
        <f t="shared" si="1"/>
        <v>-7000</v>
      </c>
      <c r="U11" s="28">
        <v>-7000</v>
      </c>
      <c r="V11" s="28"/>
      <c r="W11" s="29"/>
      <c r="X11" s="29"/>
      <c r="Y11" s="30">
        <v>0</v>
      </c>
      <c r="Z11" s="396">
        <f t="shared" si="2"/>
        <v>6423</v>
      </c>
      <c r="AA11" s="397">
        <f>M11+U11</f>
        <v>6423</v>
      </c>
      <c r="AB11" s="397"/>
      <c r="AC11" s="397"/>
      <c r="AD11" s="397"/>
      <c r="AE11" s="398">
        <f t="shared" si="4"/>
        <v>0</v>
      </c>
      <c r="AF11" s="31">
        <f>AG11+AH11+AI11</f>
        <v>3000</v>
      </c>
      <c r="AG11" s="28">
        <v>3000</v>
      </c>
      <c r="AH11" s="28"/>
      <c r="AI11" s="28"/>
      <c r="AJ11" s="28"/>
      <c r="AK11" s="401">
        <f t="shared" si="6"/>
        <v>10000</v>
      </c>
      <c r="AL11" s="397">
        <v>10000</v>
      </c>
      <c r="AM11" s="397"/>
      <c r="AN11" s="397"/>
      <c r="AO11" s="402"/>
      <c r="AP11" s="32">
        <f>AQ11</f>
        <v>0</v>
      </c>
      <c r="AQ11" s="28">
        <v>0</v>
      </c>
      <c r="AR11" s="28"/>
      <c r="AS11" s="401">
        <f t="shared" si="8"/>
        <v>0</v>
      </c>
      <c r="AT11" s="397">
        <v>0</v>
      </c>
      <c r="AU11" s="397"/>
      <c r="AV11" s="397"/>
      <c r="AW11" s="33">
        <f t="shared" si="9"/>
        <v>0</v>
      </c>
      <c r="AX11" s="28">
        <v>0</v>
      </c>
      <c r="AY11" s="28"/>
      <c r="AZ11" s="28"/>
      <c r="BA11" s="403">
        <f t="shared" si="10"/>
        <v>0</v>
      </c>
      <c r="BB11" s="397">
        <v>0</v>
      </c>
      <c r="BC11" s="397"/>
      <c r="BD11" s="397"/>
      <c r="BE11" s="34">
        <f t="shared" si="11"/>
        <v>0</v>
      </c>
      <c r="BF11" s="28">
        <v>0</v>
      </c>
      <c r="BG11" s="28"/>
      <c r="BH11" s="28"/>
      <c r="BI11" s="409">
        <f t="shared" si="12"/>
        <v>0</v>
      </c>
      <c r="BJ11" s="397">
        <f t="shared" si="13"/>
        <v>0</v>
      </c>
      <c r="BK11" s="397"/>
      <c r="BL11" s="410"/>
      <c r="BM11" s="454">
        <v>0</v>
      </c>
      <c r="BN11" s="35">
        <f t="shared" si="15"/>
        <v>23490.73</v>
      </c>
      <c r="BO11" s="413">
        <f t="shared" si="16"/>
        <v>23490.73</v>
      </c>
      <c r="BP11" s="36">
        <f t="shared" si="17"/>
        <v>0</v>
      </c>
      <c r="BQ11" s="38" t="s">
        <v>57</v>
      </c>
      <c r="BR11" s="606">
        <v>1</v>
      </c>
      <c r="BS11" s="608" t="s">
        <v>64</v>
      </c>
      <c r="BV11" s="70"/>
      <c r="BW11" s="70"/>
      <c r="BX11" s="70"/>
      <c r="BZ11" s="70"/>
      <c r="CC11" s="70"/>
      <c r="CD11" s="70"/>
      <c r="CE11" s="70"/>
      <c r="CG11" s="70"/>
      <c r="CH11" s="70"/>
    </row>
    <row r="12" spans="1:86" s="37" customFormat="1" ht="39.950000000000003" customHeight="1" x14ac:dyDescent="0.2">
      <c r="A12" s="586"/>
      <c r="B12" s="110" t="s">
        <v>62</v>
      </c>
      <c r="C12" s="21"/>
      <c r="D12" s="22"/>
      <c r="E12" s="23">
        <v>7</v>
      </c>
      <c r="F12" s="478"/>
      <c r="G12" s="112">
        <v>4077000000</v>
      </c>
      <c r="H12" s="616"/>
      <c r="I12" s="484"/>
      <c r="J12" s="111">
        <v>0</v>
      </c>
      <c r="K12" s="109"/>
      <c r="L12" s="301">
        <f>M12+N12+P12+O12</f>
        <v>2693.3</v>
      </c>
      <c r="M12" s="302">
        <v>2693.3</v>
      </c>
      <c r="N12" s="303"/>
      <c r="O12" s="304"/>
      <c r="P12" s="303"/>
      <c r="Q12" s="308">
        <v>6172</v>
      </c>
      <c r="R12" s="309">
        <v>5171</v>
      </c>
      <c r="S12" s="307">
        <v>0</v>
      </c>
      <c r="T12" s="27">
        <f t="shared" si="1"/>
        <v>0</v>
      </c>
      <c r="U12" s="28">
        <v>0</v>
      </c>
      <c r="V12" s="28"/>
      <c r="W12" s="29"/>
      <c r="X12" s="29"/>
      <c r="Y12" s="30">
        <v>0</v>
      </c>
      <c r="Z12" s="396">
        <f t="shared" si="2"/>
        <v>2693.3</v>
      </c>
      <c r="AA12" s="397">
        <f>M12+U12</f>
        <v>2693.3</v>
      </c>
      <c r="AB12" s="397"/>
      <c r="AC12" s="397"/>
      <c r="AD12" s="397"/>
      <c r="AE12" s="398">
        <f t="shared" si="4"/>
        <v>0</v>
      </c>
      <c r="AF12" s="31">
        <f>AG12+AH12+AI12</f>
        <v>0</v>
      </c>
      <c r="AG12" s="28">
        <v>0</v>
      </c>
      <c r="AH12" s="28"/>
      <c r="AI12" s="28"/>
      <c r="AJ12" s="28"/>
      <c r="AK12" s="401">
        <f t="shared" si="6"/>
        <v>0</v>
      </c>
      <c r="AL12" s="397">
        <v>0</v>
      </c>
      <c r="AM12" s="397"/>
      <c r="AN12" s="397"/>
      <c r="AO12" s="402"/>
      <c r="AP12" s="32">
        <f>AQ12</f>
        <v>0</v>
      </c>
      <c r="AQ12" s="28">
        <v>0</v>
      </c>
      <c r="AR12" s="28"/>
      <c r="AS12" s="401">
        <f t="shared" si="8"/>
        <v>0</v>
      </c>
      <c r="AT12" s="397">
        <v>0</v>
      </c>
      <c r="AU12" s="397"/>
      <c r="AV12" s="397"/>
      <c r="AW12" s="33">
        <f t="shared" si="9"/>
        <v>0</v>
      </c>
      <c r="AX12" s="28">
        <v>0</v>
      </c>
      <c r="AY12" s="28"/>
      <c r="AZ12" s="28"/>
      <c r="BA12" s="403">
        <f t="shared" si="10"/>
        <v>0</v>
      </c>
      <c r="BB12" s="397">
        <v>0</v>
      </c>
      <c r="BC12" s="397"/>
      <c r="BD12" s="397"/>
      <c r="BE12" s="34">
        <f t="shared" si="11"/>
        <v>0</v>
      </c>
      <c r="BF12" s="28">
        <v>0</v>
      </c>
      <c r="BG12" s="28"/>
      <c r="BH12" s="28"/>
      <c r="BI12" s="409">
        <f t="shared" si="12"/>
        <v>0</v>
      </c>
      <c r="BJ12" s="397">
        <f t="shared" si="13"/>
        <v>0</v>
      </c>
      <c r="BK12" s="397"/>
      <c r="BL12" s="410"/>
      <c r="BM12" s="454">
        <v>0</v>
      </c>
      <c r="BN12" s="35">
        <f t="shared" si="15"/>
        <v>2693.3</v>
      </c>
      <c r="BO12" s="413">
        <f t="shared" si="16"/>
        <v>2693.3</v>
      </c>
      <c r="BP12" s="36">
        <f t="shared" si="17"/>
        <v>0</v>
      </c>
      <c r="BQ12" s="38" t="s">
        <v>57</v>
      </c>
      <c r="BR12" s="466"/>
      <c r="BS12" s="608"/>
      <c r="BV12" s="70"/>
      <c r="BW12" s="70"/>
      <c r="BX12" s="70"/>
      <c r="CC12" s="70"/>
      <c r="CD12" s="70"/>
      <c r="CE12" s="70"/>
      <c r="CG12" s="70"/>
      <c r="CH12" s="70"/>
    </row>
    <row r="13" spans="1:86" s="37" customFormat="1" ht="39.950000000000003" customHeight="1" x14ac:dyDescent="0.2">
      <c r="A13" s="490"/>
      <c r="B13" s="110" t="s">
        <v>62</v>
      </c>
      <c r="C13" s="21"/>
      <c r="D13" s="22"/>
      <c r="E13" s="23">
        <v>7</v>
      </c>
      <c r="F13" s="599"/>
      <c r="G13" s="112">
        <v>4077000000</v>
      </c>
      <c r="H13" s="617"/>
      <c r="I13" s="485"/>
      <c r="J13" s="111">
        <v>0</v>
      </c>
      <c r="K13" s="109"/>
      <c r="L13" s="301">
        <f>M13+N13+P13+O13</f>
        <v>650</v>
      </c>
      <c r="M13" s="302">
        <v>650</v>
      </c>
      <c r="N13" s="303"/>
      <c r="O13" s="304"/>
      <c r="P13" s="303"/>
      <c r="Q13" s="308">
        <v>6172</v>
      </c>
      <c r="R13" s="309">
        <v>5169</v>
      </c>
      <c r="S13" s="307">
        <v>0</v>
      </c>
      <c r="T13" s="27">
        <f>U13+V13+W13</f>
        <v>0</v>
      </c>
      <c r="U13" s="28">
        <v>0</v>
      </c>
      <c r="V13" s="28"/>
      <c r="W13" s="29"/>
      <c r="X13" s="29"/>
      <c r="Y13" s="30">
        <v>0</v>
      </c>
      <c r="Z13" s="396">
        <f t="shared" si="2"/>
        <v>650</v>
      </c>
      <c r="AA13" s="397">
        <f>M13+U13</f>
        <v>650</v>
      </c>
      <c r="AB13" s="397"/>
      <c r="AC13" s="397"/>
      <c r="AD13" s="397"/>
      <c r="AE13" s="398">
        <f t="shared" si="4"/>
        <v>0</v>
      </c>
      <c r="AF13" s="31">
        <f>AG13+AH13+AI13</f>
        <v>0</v>
      </c>
      <c r="AG13" s="28">
        <v>0</v>
      </c>
      <c r="AH13" s="28"/>
      <c r="AI13" s="28"/>
      <c r="AJ13" s="28"/>
      <c r="AK13" s="401">
        <f t="shared" si="6"/>
        <v>0</v>
      </c>
      <c r="AL13" s="397">
        <v>0</v>
      </c>
      <c r="AM13" s="397"/>
      <c r="AN13" s="397"/>
      <c r="AO13" s="402"/>
      <c r="AP13" s="32">
        <f>AQ13</f>
        <v>0</v>
      </c>
      <c r="AQ13" s="28">
        <v>0</v>
      </c>
      <c r="AR13" s="28"/>
      <c r="AS13" s="401">
        <f t="shared" si="8"/>
        <v>0</v>
      </c>
      <c r="AT13" s="397">
        <v>0</v>
      </c>
      <c r="AU13" s="397"/>
      <c r="AV13" s="397"/>
      <c r="AW13" s="33">
        <f t="shared" si="9"/>
        <v>0</v>
      </c>
      <c r="AX13" s="28">
        <v>0</v>
      </c>
      <c r="AY13" s="28"/>
      <c r="AZ13" s="28"/>
      <c r="BA13" s="403">
        <f t="shared" si="10"/>
        <v>0</v>
      </c>
      <c r="BB13" s="397">
        <v>0</v>
      </c>
      <c r="BC13" s="397"/>
      <c r="BD13" s="397"/>
      <c r="BE13" s="34">
        <f t="shared" si="11"/>
        <v>0</v>
      </c>
      <c r="BF13" s="28">
        <v>0</v>
      </c>
      <c r="BG13" s="28"/>
      <c r="BH13" s="28"/>
      <c r="BI13" s="409">
        <f t="shared" si="12"/>
        <v>0</v>
      </c>
      <c r="BJ13" s="397">
        <f t="shared" si="13"/>
        <v>0</v>
      </c>
      <c r="BK13" s="397"/>
      <c r="BL13" s="410"/>
      <c r="BM13" s="454">
        <v>0</v>
      </c>
      <c r="BN13" s="35">
        <f t="shared" si="15"/>
        <v>650</v>
      </c>
      <c r="BO13" s="413">
        <f t="shared" si="16"/>
        <v>650</v>
      </c>
      <c r="BP13" s="36">
        <f t="shared" si="17"/>
        <v>0</v>
      </c>
      <c r="BQ13" s="38" t="s">
        <v>57</v>
      </c>
      <c r="BR13" s="467"/>
      <c r="BS13" s="608"/>
      <c r="BV13" s="70"/>
      <c r="BW13" s="70"/>
      <c r="BX13" s="70"/>
      <c r="CC13" s="70"/>
      <c r="CD13" s="70"/>
      <c r="CE13" s="70"/>
      <c r="CG13" s="70"/>
      <c r="CH13" s="70"/>
    </row>
    <row r="14" spans="1:86" s="37" customFormat="1" ht="39.950000000000003" customHeight="1" x14ac:dyDescent="0.2">
      <c r="A14" s="586">
        <v>1</v>
      </c>
      <c r="B14" s="110" t="s">
        <v>65</v>
      </c>
      <c r="C14" s="115"/>
      <c r="D14" s="44"/>
      <c r="E14" s="23">
        <v>7</v>
      </c>
      <c r="F14" s="609" t="s">
        <v>145</v>
      </c>
      <c r="G14" s="45">
        <v>4397001404</v>
      </c>
      <c r="H14" s="116" t="s">
        <v>66</v>
      </c>
      <c r="I14" s="116" t="s">
        <v>66</v>
      </c>
      <c r="J14" s="113">
        <v>0</v>
      </c>
      <c r="K14" s="46"/>
      <c r="L14" s="301">
        <f t="shared" ref="L14:L53" si="18">M14+N14+P14+O14</f>
        <v>500</v>
      </c>
      <c r="M14" s="310">
        <v>500</v>
      </c>
      <c r="N14" s="303">
        <v>0</v>
      </c>
      <c r="O14" s="304">
        <v>0</v>
      </c>
      <c r="P14" s="303">
        <v>0</v>
      </c>
      <c r="Q14" s="311">
        <v>3141</v>
      </c>
      <c r="R14" s="312">
        <v>6351</v>
      </c>
      <c r="S14" s="307">
        <v>500000</v>
      </c>
      <c r="T14" s="27">
        <f t="shared" ref="T14:T53" si="19">U14+V14+W14</f>
        <v>0</v>
      </c>
      <c r="U14" s="28">
        <v>0</v>
      </c>
      <c r="V14" s="28">
        <v>0</v>
      </c>
      <c r="W14" s="29">
        <v>0</v>
      </c>
      <c r="X14" s="29">
        <v>0</v>
      </c>
      <c r="Y14" s="30">
        <f>(U14+V14)*1000</f>
        <v>0</v>
      </c>
      <c r="Z14" s="396">
        <f t="shared" si="2"/>
        <v>500</v>
      </c>
      <c r="AA14" s="397">
        <f t="shared" ref="AA14:AC29" si="20">M14+U14</f>
        <v>500</v>
      </c>
      <c r="AB14" s="397">
        <f>N14+V14</f>
        <v>0</v>
      </c>
      <c r="AC14" s="397">
        <f>O14+W14</f>
        <v>0</v>
      </c>
      <c r="AD14" s="397">
        <f>X14</f>
        <v>0</v>
      </c>
      <c r="AE14" s="398">
        <f t="shared" si="4"/>
        <v>500000</v>
      </c>
      <c r="AF14" s="31">
        <f t="shared" ref="AF14:AF77" si="21">AG14+AH14+AI14</f>
        <v>19500</v>
      </c>
      <c r="AG14" s="47">
        <v>19500</v>
      </c>
      <c r="AH14" s="48">
        <v>0</v>
      </c>
      <c r="AI14" s="48">
        <v>0</v>
      </c>
      <c r="AJ14" s="28">
        <v>0</v>
      </c>
      <c r="AK14" s="401">
        <f t="shared" si="6"/>
        <v>150</v>
      </c>
      <c r="AL14" s="397">
        <v>150</v>
      </c>
      <c r="AM14" s="403">
        <v>0</v>
      </c>
      <c r="AN14" s="403">
        <f>AI14</f>
        <v>0</v>
      </c>
      <c r="AO14" s="398">
        <f>AJ14</f>
        <v>0</v>
      </c>
      <c r="AP14" s="32">
        <f t="shared" ref="AP14:AP51" si="22">AQ14</f>
        <v>15000</v>
      </c>
      <c r="AQ14" s="28">
        <v>15000</v>
      </c>
      <c r="AR14" s="28">
        <v>0</v>
      </c>
      <c r="AS14" s="401">
        <f t="shared" si="8"/>
        <v>34350</v>
      </c>
      <c r="AT14" s="397">
        <v>34350</v>
      </c>
      <c r="AU14" s="397"/>
      <c r="AV14" s="397">
        <f>AR14</f>
        <v>0</v>
      </c>
      <c r="AW14" s="33">
        <f t="shared" si="9"/>
        <v>0</v>
      </c>
      <c r="AX14" s="28">
        <v>0</v>
      </c>
      <c r="AY14" s="28">
        <v>0</v>
      </c>
      <c r="AZ14" s="28">
        <v>0</v>
      </c>
      <c r="BA14" s="403">
        <f t="shared" si="10"/>
        <v>0</v>
      </c>
      <c r="BB14" s="397">
        <f t="shared" ref="BB14:BD17" si="23">AX14</f>
        <v>0</v>
      </c>
      <c r="BC14" s="397">
        <f t="shared" si="23"/>
        <v>0</v>
      </c>
      <c r="BD14" s="397">
        <f t="shared" si="23"/>
        <v>0</v>
      </c>
      <c r="BE14" s="34">
        <f t="shared" si="11"/>
        <v>0</v>
      </c>
      <c r="BF14" s="28">
        <v>0</v>
      </c>
      <c r="BG14" s="28">
        <v>0</v>
      </c>
      <c r="BH14" s="28">
        <v>0</v>
      </c>
      <c r="BI14" s="409">
        <f t="shared" si="12"/>
        <v>0</v>
      </c>
      <c r="BJ14" s="397">
        <f t="shared" si="13"/>
        <v>0</v>
      </c>
      <c r="BK14" s="397">
        <f t="shared" si="13"/>
        <v>0</v>
      </c>
      <c r="BL14" s="410">
        <f t="shared" si="13"/>
        <v>0</v>
      </c>
      <c r="BM14" s="455">
        <v>0</v>
      </c>
      <c r="BN14" s="49">
        <f t="shared" si="15"/>
        <v>35000</v>
      </c>
      <c r="BO14" s="414">
        <f t="shared" si="16"/>
        <v>35000</v>
      </c>
      <c r="BP14" s="36">
        <f t="shared" si="17"/>
        <v>0</v>
      </c>
      <c r="BQ14" s="38" t="s">
        <v>57</v>
      </c>
      <c r="BR14" s="606">
        <v>1</v>
      </c>
      <c r="BS14" s="37" t="s">
        <v>67</v>
      </c>
      <c r="BV14" s="70"/>
      <c r="BW14" s="70"/>
      <c r="BX14" s="70"/>
      <c r="BZ14" s="70"/>
      <c r="CC14" s="70"/>
      <c r="CD14" s="70"/>
      <c r="CE14" s="70"/>
      <c r="CG14" s="70"/>
      <c r="CH14" s="70"/>
    </row>
    <row r="15" spans="1:86" s="37" customFormat="1" ht="39.950000000000003" customHeight="1" x14ac:dyDescent="0.2">
      <c r="A15" s="490"/>
      <c r="B15" s="110" t="s">
        <v>65</v>
      </c>
      <c r="C15" s="115"/>
      <c r="D15" s="44"/>
      <c r="E15" s="23">
        <v>7</v>
      </c>
      <c r="F15" s="610"/>
      <c r="G15" s="45">
        <v>4397000000</v>
      </c>
      <c r="H15" s="116" t="s">
        <v>66</v>
      </c>
      <c r="I15" s="116" t="s">
        <v>66</v>
      </c>
      <c r="J15" s="113">
        <v>0</v>
      </c>
      <c r="K15" s="46"/>
      <c r="L15" s="301">
        <f t="shared" si="18"/>
        <v>150</v>
      </c>
      <c r="M15" s="310">
        <v>150</v>
      </c>
      <c r="N15" s="303"/>
      <c r="O15" s="304"/>
      <c r="P15" s="303"/>
      <c r="Q15" s="311">
        <v>3141</v>
      </c>
      <c r="R15" s="312">
        <v>6121</v>
      </c>
      <c r="S15" s="307">
        <v>0</v>
      </c>
      <c r="T15" s="27">
        <f t="shared" si="19"/>
        <v>0</v>
      </c>
      <c r="U15" s="28">
        <v>0</v>
      </c>
      <c r="V15" s="28"/>
      <c r="W15" s="29"/>
      <c r="X15" s="29"/>
      <c r="Y15" s="30">
        <v>0</v>
      </c>
      <c r="Z15" s="396">
        <f t="shared" si="2"/>
        <v>150</v>
      </c>
      <c r="AA15" s="397">
        <f t="shared" si="20"/>
        <v>150</v>
      </c>
      <c r="AB15" s="397"/>
      <c r="AC15" s="397"/>
      <c r="AD15" s="397"/>
      <c r="AE15" s="398">
        <f t="shared" si="4"/>
        <v>0</v>
      </c>
      <c r="AF15" s="31">
        <f t="shared" si="21"/>
        <v>0</v>
      </c>
      <c r="AG15" s="47">
        <v>0</v>
      </c>
      <c r="AH15" s="48"/>
      <c r="AI15" s="48"/>
      <c r="AJ15" s="28"/>
      <c r="AK15" s="401">
        <f t="shared" si="6"/>
        <v>0</v>
      </c>
      <c r="AL15" s="397">
        <v>0</v>
      </c>
      <c r="AM15" s="403"/>
      <c r="AN15" s="403"/>
      <c r="AO15" s="398"/>
      <c r="AP15" s="32">
        <f t="shared" si="22"/>
        <v>0</v>
      </c>
      <c r="AQ15" s="28">
        <v>0</v>
      </c>
      <c r="AR15" s="28"/>
      <c r="AS15" s="401">
        <f t="shared" si="8"/>
        <v>0</v>
      </c>
      <c r="AT15" s="397">
        <v>0</v>
      </c>
      <c r="AU15" s="397"/>
      <c r="AV15" s="397"/>
      <c r="AW15" s="33">
        <f t="shared" si="9"/>
        <v>0</v>
      </c>
      <c r="AX15" s="28">
        <v>0</v>
      </c>
      <c r="AY15" s="28"/>
      <c r="AZ15" s="28"/>
      <c r="BA15" s="403">
        <f t="shared" si="10"/>
        <v>0</v>
      </c>
      <c r="BB15" s="397">
        <f t="shared" si="23"/>
        <v>0</v>
      </c>
      <c r="BC15" s="397">
        <f t="shared" si="23"/>
        <v>0</v>
      </c>
      <c r="BD15" s="397">
        <f t="shared" si="23"/>
        <v>0</v>
      </c>
      <c r="BE15" s="34">
        <f t="shared" si="11"/>
        <v>0</v>
      </c>
      <c r="BF15" s="28">
        <v>0</v>
      </c>
      <c r="BG15" s="28">
        <v>0</v>
      </c>
      <c r="BH15" s="28">
        <v>0</v>
      </c>
      <c r="BI15" s="409">
        <f t="shared" si="12"/>
        <v>0</v>
      </c>
      <c r="BJ15" s="397">
        <f t="shared" si="13"/>
        <v>0</v>
      </c>
      <c r="BK15" s="397">
        <f t="shared" si="13"/>
        <v>0</v>
      </c>
      <c r="BL15" s="410">
        <f t="shared" si="13"/>
        <v>0</v>
      </c>
      <c r="BM15" s="455">
        <v>0</v>
      </c>
      <c r="BN15" s="49">
        <f t="shared" si="15"/>
        <v>150</v>
      </c>
      <c r="BO15" s="414">
        <f t="shared" si="16"/>
        <v>150</v>
      </c>
      <c r="BP15" s="36">
        <f t="shared" si="17"/>
        <v>0</v>
      </c>
      <c r="BQ15" s="38" t="s">
        <v>57</v>
      </c>
      <c r="BR15" s="467"/>
      <c r="BS15" s="37" t="s">
        <v>67</v>
      </c>
      <c r="BV15" s="70"/>
      <c r="BW15" s="70"/>
      <c r="BX15" s="70"/>
      <c r="BZ15" s="70"/>
      <c r="CC15" s="70"/>
      <c r="CD15" s="70"/>
      <c r="CE15" s="70"/>
      <c r="CG15" s="70"/>
      <c r="CH15" s="70"/>
    </row>
    <row r="16" spans="1:86" s="37" customFormat="1" ht="39.950000000000003" customHeight="1" x14ac:dyDescent="0.2">
      <c r="A16" s="50">
        <v>1</v>
      </c>
      <c r="B16" s="110" t="s">
        <v>65</v>
      </c>
      <c r="C16" s="21"/>
      <c r="D16" s="22"/>
      <c r="E16" s="23">
        <v>7</v>
      </c>
      <c r="F16" s="43" t="s">
        <v>146</v>
      </c>
      <c r="G16" s="108">
        <v>4512001538</v>
      </c>
      <c r="H16" s="117" t="s">
        <v>66</v>
      </c>
      <c r="I16" s="117" t="s">
        <v>66</v>
      </c>
      <c r="J16" s="111">
        <v>13.55</v>
      </c>
      <c r="K16" s="109"/>
      <c r="L16" s="301">
        <f t="shared" si="18"/>
        <v>5986.45</v>
      </c>
      <c r="M16" s="302">
        <v>5986.45</v>
      </c>
      <c r="N16" s="303"/>
      <c r="O16" s="304"/>
      <c r="P16" s="303"/>
      <c r="Q16" s="308">
        <v>3133</v>
      </c>
      <c r="R16" s="309">
        <v>6351</v>
      </c>
      <c r="S16" s="307">
        <v>5986448</v>
      </c>
      <c r="T16" s="27">
        <f t="shared" si="19"/>
        <v>-3500</v>
      </c>
      <c r="U16" s="28">
        <v>-3500</v>
      </c>
      <c r="V16" s="28"/>
      <c r="W16" s="29"/>
      <c r="X16" s="29"/>
      <c r="Y16" s="30">
        <v>-3500000</v>
      </c>
      <c r="Z16" s="396">
        <f t="shared" si="2"/>
        <v>2486.4499999999998</v>
      </c>
      <c r="AA16" s="397">
        <f>M16+U16</f>
        <v>2486.4499999999998</v>
      </c>
      <c r="AB16" s="397"/>
      <c r="AC16" s="397"/>
      <c r="AD16" s="397"/>
      <c r="AE16" s="398">
        <f t="shared" si="4"/>
        <v>2486448</v>
      </c>
      <c r="AF16" s="31">
        <f t="shared" si="21"/>
        <v>0</v>
      </c>
      <c r="AG16" s="28">
        <v>0</v>
      </c>
      <c r="AH16" s="28"/>
      <c r="AI16" s="28"/>
      <c r="AJ16" s="28"/>
      <c r="AK16" s="401">
        <f t="shared" si="6"/>
        <v>3500</v>
      </c>
      <c r="AL16" s="397">
        <v>3500</v>
      </c>
      <c r="AM16" s="397"/>
      <c r="AN16" s="397"/>
      <c r="AO16" s="402"/>
      <c r="AP16" s="32">
        <f t="shared" si="22"/>
        <v>0</v>
      </c>
      <c r="AQ16" s="28">
        <v>0</v>
      </c>
      <c r="AR16" s="28"/>
      <c r="AS16" s="401">
        <f t="shared" si="8"/>
        <v>0</v>
      </c>
      <c r="AT16" s="397">
        <v>0</v>
      </c>
      <c r="AU16" s="397"/>
      <c r="AV16" s="397"/>
      <c r="AW16" s="33">
        <f t="shared" si="9"/>
        <v>0</v>
      </c>
      <c r="AX16" s="28">
        <v>0</v>
      </c>
      <c r="AY16" s="28"/>
      <c r="AZ16" s="28"/>
      <c r="BA16" s="403">
        <f t="shared" si="10"/>
        <v>0</v>
      </c>
      <c r="BB16" s="397">
        <v>0</v>
      </c>
      <c r="BC16" s="397"/>
      <c r="BD16" s="397"/>
      <c r="BE16" s="34">
        <f t="shared" si="11"/>
        <v>0</v>
      </c>
      <c r="BF16" s="28">
        <v>0</v>
      </c>
      <c r="BG16" s="28"/>
      <c r="BH16" s="28"/>
      <c r="BI16" s="409">
        <f t="shared" si="12"/>
        <v>0</v>
      </c>
      <c r="BJ16" s="397">
        <f>BF16</f>
        <v>0</v>
      </c>
      <c r="BK16" s="397"/>
      <c r="BL16" s="410"/>
      <c r="BM16" s="454">
        <v>0</v>
      </c>
      <c r="BN16" s="35">
        <f t="shared" si="15"/>
        <v>6000</v>
      </c>
      <c r="BO16" s="413">
        <f>J16+Z16+AK16+AS16+BM16+BI16+BA16</f>
        <v>6000</v>
      </c>
      <c r="BP16" s="36">
        <f t="shared" si="17"/>
        <v>0</v>
      </c>
      <c r="BQ16" s="38" t="s">
        <v>57</v>
      </c>
      <c r="BR16" s="41">
        <v>1</v>
      </c>
      <c r="BS16" s="37" t="s">
        <v>68</v>
      </c>
      <c r="BV16" s="70"/>
      <c r="BW16" s="70"/>
      <c r="BX16" s="70"/>
      <c r="BZ16" s="70"/>
      <c r="CC16" s="70"/>
      <c r="CD16" s="70"/>
      <c r="CE16" s="70"/>
      <c r="CG16" s="70"/>
      <c r="CH16" s="70"/>
    </row>
    <row r="17" spans="1:86" s="37" customFormat="1" ht="39.950000000000003" customHeight="1" x14ac:dyDescent="0.2">
      <c r="A17" s="586">
        <v>1</v>
      </c>
      <c r="B17" s="110" t="s">
        <v>65</v>
      </c>
      <c r="C17" s="21" t="s">
        <v>69</v>
      </c>
      <c r="D17" s="22" t="s">
        <v>70</v>
      </c>
      <c r="E17" s="116">
        <v>7</v>
      </c>
      <c r="F17" s="611" t="s">
        <v>147</v>
      </c>
      <c r="G17" s="45">
        <v>4646001324</v>
      </c>
      <c r="H17" s="116" t="s">
        <v>66</v>
      </c>
      <c r="I17" s="116" t="s">
        <v>66</v>
      </c>
      <c r="J17" s="613">
        <v>0</v>
      </c>
      <c r="K17" s="114"/>
      <c r="L17" s="301">
        <f t="shared" si="18"/>
        <v>9850</v>
      </c>
      <c r="M17" s="302">
        <v>9850</v>
      </c>
      <c r="N17" s="303">
        <v>0</v>
      </c>
      <c r="O17" s="304">
        <v>0</v>
      </c>
      <c r="P17" s="303">
        <v>0</v>
      </c>
      <c r="Q17" s="313">
        <v>3127</v>
      </c>
      <c r="R17" s="312">
        <v>6351</v>
      </c>
      <c r="S17" s="307">
        <v>9850000</v>
      </c>
      <c r="T17" s="27">
        <f t="shared" si="19"/>
        <v>-9850</v>
      </c>
      <c r="U17" s="28">
        <v>-9850</v>
      </c>
      <c r="V17" s="28">
        <v>0</v>
      </c>
      <c r="W17" s="29">
        <v>0</v>
      </c>
      <c r="X17" s="29">
        <v>0</v>
      </c>
      <c r="Y17" s="30">
        <f>(U17+V17)*1000</f>
        <v>-9850000</v>
      </c>
      <c r="Z17" s="396">
        <f t="shared" si="2"/>
        <v>0</v>
      </c>
      <c r="AA17" s="397">
        <f t="shared" si="20"/>
        <v>0</v>
      </c>
      <c r="AB17" s="397">
        <f>N17+V17</f>
        <v>0</v>
      </c>
      <c r="AC17" s="397">
        <f>O17+W17</f>
        <v>0</v>
      </c>
      <c r="AD17" s="397">
        <f>X17</f>
        <v>0</v>
      </c>
      <c r="AE17" s="398">
        <f t="shared" si="4"/>
        <v>0</v>
      </c>
      <c r="AF17" s="31">
        <f t="shared" si="21"/>
        <v>10000</v>
      </c>
      <c r="AG17" s="28">
        <v>10000</v>
      </c>
      <c r="AH17" s="28">
        <v>0</v>
      </c>
      <c r="AI17" s="28">
        <v>0</v>
      </c>
      <c r="AJ17" s="28">
        <v>0</v>
      </c>
      <c r="AK17" s="401">
        <f t="shared" si="6"/>
        <v>2000</v>
      </c>
      <c r="AL17" s="397">
        <v>2000</v>
      </c>
      <c r="AM17" s="397">
        <f>AH17</f>
        <v>0</v>
      </c>
      <c r="AN17" s="397">
        <f>AI17</f>
        <v>0</v>
      </c>
      <c r="AO17" s="402">
        <f>AJ17</f>
        <v>0</v>
      </c>
      <c r="AP17" s="32">
        <f t="shared" si="22"/>
        <v>0</v>
      </c>
      <c r="AQ17" s="28">
        <v>0</v>
      </c>
      <c r="AR17" s="28">
        <v>0</v>
      </c>
      <c r="AS17" s="401">
        <f t="shared" si="8"/>
        <v>0</v>
      </c>
      <c r="AT17" s="397">
        <v>0</v>
      </c>
      <c r="AU17" s="397"/>
      <c r="AV17" s="397">
        <f>AR17</f>
        <v>0</v>
      </c>
      <c r="AW17" s="33">
        <f t="shared" si="9"/>
        <v>0</v>
      </c>
      <c r="AX17" s="28">
        <v>0</v>
      </c>
      <c r="AY17" s="28">
        <v>0</v>
      </c>
      <c r="AZ17" s="28">
        <v>0</v>
      </c>
      <c r="BA17" s="403">
        <f t="shared" si="10"/>
        <v>17850</v>
      </c>
      <c r="BB17" s="397">
        <v>17850</v>
      </c>
      <c r="BC17" s="397">
        <f t="shared" si="23"/>
        <v>0</v>
      </c>
      <c r="BD17" s="397">
        <f t="shared" si="23"/>
        <v>0</v>
      </c>
      <c r="BE17" s="34">
        <f t="shared" si="11"/>
        <v>0</v>
      </c>
      <c r="BF17" s="28">
        <v>0</v>
      </c>
      <c r="BG17" s="28">
        <v>0</v>
      </c>
      <c r="BH17" s="28">
        <v>0</v>
      </c>
      <c r="BI17" s="409">
        <f t="shared" si="12"/>
        <v>0</v>
      </c>
      <c r="BJ17" s="397">
        <f>BF17</f>
        <v>0</v>
      </c>
      <c r="BK17" s="397">
        <f>BG17</f>
        <v>0</v>
      </c>
      <c r="BL17" s="410">
        <f>BH17</f>
        <v>0</v>
      </c>
      <c r="BM17" s="454">
        <v>1000</v>
      </c>
      <c r="BN17" s="49">
        <f t="shared" si="15"/>
        <v>20850</v>
      </c>
      <c r="BO17" s="414">
        <f t="shared" si="16"/>
        <v>20850</v>
      </c>
      <c r="BP17" s="36">
        <f t="shared" si="17"/>
        <v>0</v>
      </c>
      <c r="BQ17" s="38" t="s">
        <v>57</v>
      </c>
      <c r="BR17" s="606">
        <v>1</v>
      </c>
      <c r="BS17" s="37" t="s">
        <v>71</v>
      </c>
      <c r="BV17" s="70"/>
      <c r="BW17" s="70"/>
      <c r="BX17" s="70"/>
      <c r="BZ17" s="70"/>
      <c r="CC17" s="70"/>
      <c r="CD17" s="70"/>
      <c r="CE17" s="70"/>
      <c r="CG17" s="70"/>
      <c r="CH17" s="70"/>
    </row>
    <row r="18" spans="1:86" s="37" customFormat="1" ht="39.950000000000003" customHeight="1" x14ac:dyDescent="0.2">
      <c r="A18" s="490"/>
      <c r="B18" s="110" t="s">
        <v>65</v>
      </c>
      <c r="C18" s="21" t="s">
        <v>69</v>
      </c>
      <c r="D18" s="22" t="s">
        <v>70</v>
      </c>
      <c r="E18" s="116">
        <v>7</v>
      </c>
      <c r="F18" s="612"/>
      <c r="G18" s="45">
        <v>4646000000</v>
      </c>
      <c r="H18" s="116" t="s">
        <v>66</v>
      </c>
      <c r="I18" s="116" t="s">
        <v>66</v>
      </c>
      <c r="J18" s="488"/>
      <c r="K18" s="114"/>
      <c r="L18" s="301">
        <f t="shared" si="18"/>
        <v>150</v>
      </c>
      <c r="M18" s="302">
        <v>150</v>
      </c>
      <c r="N18" s="303"/>
      <c r="O18" s="304"/>
      <c r="P18" s="303"/>
      <c r="Q18" s="313">
        <v>3127</v>
      </c>
      <c r="R18" s="312">
        <v>6121</v>
      </c>
      <c r="S18" s="307">
        <v>0</v>
      </c>
      <c r="T18" s="27">
        <f t="shared" si="19"/>
        <v>0</v>
      </c>
      <c r="U18" s="28">
        <v>0</v>
      </c>
      <c r="V18" s="28"/>
      <c r="W18" s="29"/>
      <c r="X18" s="29"/>
      <c r="Y18" s="30">
        <v>0</v>
      </c>
      <c r="Z18" s="396">
        <f t="shared" si="2"/>
        <v>150</v>
      </c>
      <c r="AA18" s="397">
        <f t="shared" si="20"/>
        <v>150</v>
      </c>
      <c r="AB18" s="397"/>
      <c r="AC18" s="397"/>
      <c r="AD18" s="397"/>
      <c r="AE18" s="398">
        <f t="shared" si="4"/>
        <v>0</v>
      </c>
      <c r="AF18" s="31">
        <f t="shared" si="21"/>
        <v>0</v>
      </c>
      <c r="AG18" s="28">
        <v>0</v>
      </c>
      <c r="AH18" s="51"/>
      <c r="AI18" s="28"/>
      <c r="AJ18" s="28"/>
      <c r="AK18" s="401">
        <f t="shared" si="6"/>
        <v>0</v>
      </c>
      <c r="AL18" s="397">
        <v>0</v>
      </c>
      <c r="AM18" s="397"/>
      <c r="AN18" s="397"/>
      <c r="AO18" s="402"/>
      <c r="AP18" s="32">
        <f t="shared" si="22"/>
        <v>0</v>
      </c>
      <c r="AQ18" s="28">
        <v>0</v>
      </c>
      <c r="AR18" s="28"/>
      <c r="AS18" s="401">
        <f t="shared" si="8"/>
        <v>0</v>
      </c>
      <c r="AT18" s="397">
        <v>0</v>
      </c>
      <c r="AU18" s="397"/>
      <c r="AV18" s="397"/>
      <c r="AW18" s="33">
        <f t="shared" si="9"/>
        <v>0</v>
      </c>
      <c r="AX18" s="28">
        <v>0</v>
      </c>
      <c r="AY18" s="28"/>
      <c r="AZ18" s="28"/>
      <c r="BA18" s="403">
        <f t="shared" si="10"/>
        <v>0</v>
      </c>
      <c r="BB18" s="397">
        <v>0</v>
      </c>
      <c r="BC18" s="397"/>
      <c r="BD18" s="397"/>
      <c r="BE18" s="34">
        <f t="shared" si="11"/>
        <v>0</v>
      </c>
      <c r="BF18" s="28">
        <v>0</v>
      </c>
      <c r="BG18" s="28"/>
      <c r="BH18" s="28"/>
      <c r="BI18" s="409">
        <f t="shared" si="12"/>
        <v>0</v>
      </c>
      <c r="BJ18" s="397">
        <f>BF18</f>
        <v>0</v>
      </c>
      <c r="BK18" s="397"/>
      <c r="BL18" s="410"/>
      <c r="BM18" s="454">
        <v>0</v>
      </c>
      <c r="BN18" s="49">
        <f t="shared" si="15"/>
        <v>150</v>
      </c>
      <c r="BO18" s="414">
        <f t="shared" si="16"/>
        <v>150</v>
      </c>
      <c r="BP18" s="36">
        <f t="shared" si="17"/>
        <v>0</v>
      </c>
      <c r="BQ18" s="38" t="s">
        <v>57</v>
      </c>
      <c r="BR18" s="467"/>
      <c r="BS18" s="37" t="s">
        <v>71</v>
      </c>
      <c r="BV18" s="70"/>
      <c r="BW18" s="70"/>
      <c r="BX18" s="70"/>
      <c r="CC18" s="70"/>
      <c r="CD18" s="70"/>
      <c r="CE18" s="70"/>
      <c r="CG18" s="70"/>
      <c r="CH18" s="70"/>
    </row>
    <row r="19" spans="1:86" s="37" customFormat="1" ht="39.950000000000003" customHeight="1" x14ac:dyDescent="0.2">
      <c r="A19" s="77">
        <v>1</v>
      </c>
      <c r="B19" s="83" t="s">
        <v>65</v>
      </c>
      <c r="C19" s="21" t="s">
        <v>69</v>
      </c>
      <c r="D19" s="22" t="s">
        <v>70</v>
      </c>
      <c r="E19" s="23">
        <v>7</v>
      </c>
      <c r="F19" s="76" t="s">
        <v>215</v>
      </c>
      <c r="G19" s="106">
        <v>4650001232</v>
      </c>
      <c r="H19" s="24" t="s">
        <v>66</v>
      </c>
      <c r="I19" s="25" t="s">
        <v>66</v>
      </c>
      <c r="J19" s="84">
        <v>0</v>
      </c>
      <c r="K19" s="81"/>
      <c r="L19" s="301">
        <f t="shared" si="18"/>
        <v>3650</v>
      </c>
      <c r="M19" s="302">
        <f>1000+2650</f>
        <v>3650</v>
      </c>
      <c r="N19" s="303">
        <v>0</v>
      </c>
      <c r="O19" s="304">
        <v>0</v>
      </c>
      <c r="P19" s="303">
        <v>0</v>
      </c>
      <c r="Q19" s="305">
        <v>3122</v>
      </c>
      <c r="R19" s="306">
        <v>6351</v>
      </c>
      <c r="S19" s="307">
        <v>3650000</v>
      </c>
      <c r="T19" s="27">
        <f t="shared" si="19"/>
        <v>0</v>
      </c>
      <c r="U19" s="28">
        <v>0</v>
      </c>
      <c r="V19" s="28">
        <v>0</v>
      </c>
      <c r="W19" s="29">
        <v>0</v>
      </c>
      <c r="X19" s="29">
        <v>0</v>
      </c>
      <c r="Y19" s="30">
        <v>0</v>
      </c>
      <c r="Z19" s="396">
        <f t="shared" si="2"/>
        <v>3650</v>
      </c>
      <c r="AA19" s="397">
        <f t="shared" si="20"/>
        <v>3650</v>
      </c>
      <c r="AB19" s="397">
        <f>N19+V19</f>
        <v>0</v>
      </c>
      <c r="AC19" s="397">
        <f>O19+W19</f>
        <v>0</v>
      </c>
      <c r="AD19" s="397">
        <f>X19</f>
        <v>0</v>
      </c>
      <c r="AE19" s="398">
        <f t="shared" si="4"/>
        <v>3650000</v>
      </c>
      <c r="AF19" s="31">
        <f t="shared" si="21"/>
        <v>2650</v>
      </c>
      <c r="AG19" s="28">
        <v>2650</v>
      </c>
      <c r="AH19" s="28">
        <v>0</v>
      </c>
      <c r="AI19" s="28">
        <v>0</v>
      </c>
      <c r="AJ19" s="28">
        <v>0</v>
      </c>
      <c r="AK19" s="401">
        <f t="shared" si="6"/>
        <v>0</v>
      </c>
      <c r="AL19" s="397">
        <v>0</v>
      </c>
      <c r="AM19" s="397">
        <f>AH19</f>
        <v>0</v>
      </c>
      <c r="AN19" s="397">
        <f>AI19</f>
        <v>0</v>
      </c>
      <c r="AO19" s="402">
        <f>AJ19</f>
        <v>0</v>
      </c>
      <c r="AP19" s="32">
        <f t="shared" si="22"/>
        <v>0</v>
      </c>
      <c r="AQ19" s="28">
        <v>0</v>
      </c>
      <c r="AR19" s="28">
        <v>0</v>
      </c>
      <c r="AS19" s="401">
        <f t="shared" si="8"/>
        <v>0</v>
      </c>
      <c r="AT19" s="397">
        <f t="shared" ref="AT19" si="24">AQ19</f>
        <v>0</v>
      </c>
      <c r="AU19" s="397"/>
      <c r="AV19" s="397">
        <f>AR19</f>
        <v>0</v>
      </c>
      <c r="AW19" s="33">
        <f t="shared" si="9"/>
        <v>0</v>
      </c>
      <c r="AX19" s="28">
        <v>0</v>
      </c>
      <c r="AY19" s="28">
        <v>0</v>
      </c>
      <c r="AZ19" s="28">
        <v>0</v>
      </c>
      <c r="BA19" s="403">
        <f t="shared" si="10"/>
        <v>0</v>
      </c>
      <c r="BB19" s="397">
        <f>AX19</f>
        <v>0</v>
      </c>
      <c r="BC19" s="397">
        <f>AY19</f>
        <v>0</v>
      </c>
      <c r="BD19" s="397">
        <f>AZ19</f>
        <v>0</v>
      </c>
      <c r="BE19" s="34">
        <f t="shared" si="11"/>
        <v>0</v>
      </c>
      <c r="BF19" s="28">
        <v>0</v>
      </c>
      <c r="BG19" s="28">
        <v>0</v>
      </c>
      <c r="BH19" s="28">
        <v>0</v>
      </c>
      <c r="BI19" s="409">
        <f t="shared" si="12"/>
        <v>0</v>
      </c>
      <c r="BJ19" s="397">
        <f>BF19</f>
        <v>0</v>
      </c>
      <c r="BK19" s="397">
        <f>BG19</f>
        <v>0</v>
      </c>
      <c r="BL19" s="410">
        <f>BH19</f>
        <v>0</v>
      </c>
      <c r="BM19" s="454">
        <v>157</v>
      </c>
      <c r="BN19" s="35">
        <f>J19+L19+AF19+AP19+AW19+BE19+BM19-2650</f>
        <v>3807</v>
      </c>
      <c r="BO19" s="413">
        <f t="shared" si="16"/>
        <v>3807</v>
      </c>
      <c r="BP19" s="36">
        <f t="shared" si="17"/>
        <v>0</v>
      </c>
      <c r="BQ19" s="38" t="s">
        <v>57</v>
      </c>
      <c r="BR19" s="41">
        <v>1</v>
      </c>
      <c r="BS19" s="36" t="s">
        <v>71</v>
      </c>
      <c r="BT19" s="36"/>
      <c r="BV19" s="70"/>
      <c r="BW19" s="70"/>
      <c r="BX19" s="70"/>
      <c r="BZ19" s="70"/>
      <c r="CC19" s="70"/>
      <c r="CD19" s="70"/>
      <c r="CE19" s="70"/>
      <c r="CG19" s="70"/>
      <c r="CH19" s="70"/>
    </row>
    <row r="20" spans="1:86" s="37" customFormat="1" ht="39.950000000000003" customHeight="1" x14ac:dyDescent="0.2">
      <c r="A20" s="77">
        <v>1</v>
      </c>
      <c r="B20" s="107" t="s">
        <v>65</v>
      </c>
      <c r="C20" s="21" t="s">
        <v>69</v>
      </c>
      <c r="D20" s="22" t="s">
        <v>70</v>
      </c>
      <c r="E20" s="118">
        <v>7</v>
      </c>
      <c r="F20" s="52" t="s">
        <v>148</v>
      </c>
      <c r="G20" s="45">
        <v>4669001224</v>
      </c>
      <c r="H20" s="118" t="s">
        <v>66</v>
      </c>
      <c r="I20" s="118" t="s">
        <v>66</v>
      </c>
      <c r="J20" s="111">
        <v>0</v>
      </c>
      <c r="K20" s="109"/>
      <c r="L20" s="301">
        <f t="shared" si="18"/>
        <v>2500</v>
      </c>
      <c r="M20" s="302">
        <v>2500</v>
      </c>
      <c r="N20" s="303"/>
      <c r="O20" s="304"/>
      <c r="P20" s="303"/>
      <c r="Q20" s="314">
        <v>3122</v>
      </c>
      <c r="R20" s="312">
        <v>6351</v>
      </c>
      <c r="S20" s="307">
        <v>2500000</v>
      </c>
      <c r="T20" s="27">
        <f t="shared" si="19"/>
        <v>-2200</v>
      </c>
      <c r="U20" s="28">
        <v>-2200</v>
      </c>
      <c r="V20" s="28"/>
      <c r="W20" s="29"/>
      <c r="X20" s="29"/>
      <c r="Y20" s="30">
        <f>(U20+V20)*1000</f>
        <v>-2200000</v>
      </c>
      <c r="Z20" s="396">
        <f t="shared" si="2"/>
        <v>300</v>
      </c>
      <c r="AA20" s="397">
        <f t="shared" si="20"/>
        <v>300</v>
      </c>
      <c r="AB20" s="397"/>
      <c r="AC20" s="397"/>
      <c r="AD20" s="397"/>
      <c r="AE20" s="398">
        <f t="shared" si="4"/>
        <v>300000</v>
      </c>
      <c r="AF20" s="31">
        <f t="shared" si="21"/>
        <v>0</v>
      </c>
      <c r="AG20" s="28">
        <v>0</v>
      </c>
      <c r="AH20" s="28"/>
      <c r="AI20" s="28"/>
      <c r="AJ20" s="28"/>
      <c r="AK20" s="401">
        <f t="shared" si="6"/>
        <v>2200</v>
      </c>
      <c r="AL20" s="397">
        <v>2200</v>
      </c>
      <c r="AM20" s="397"/>
      <c r="AN20" s="397"/>
      <c r="AO20" s="402"/>
      <c r="AP20" s="32">
        <f t="shared" si="22"/>
        <v>0</v>
      </c>
      <c r="AQ20" s="28">
        <v>0</v>
      </c>
      <c r="AR20" s="28"/>
      <c r="AS20" s="401">
        <f t="shared" si="8"/>
        <v>0</v>
      </c>
      <c r="AT20" s="397">
        <f>AQ20</f>
        <v>0</v>
      </c>
      <c r="AU20" s="397"/>
      <c r="AV20" s="397">
        <f t="shared" ref="AV20" si="25">AR20</f>
        <v>0</v>
      </c>
      <c r="AW20" s="33">
        <f t="shared" si="9"/>
        <v>0</v>
      </c>
      <c r="AX20" s="28">
        <v>0</v>
      </c>
      <c r="AY20" s="28">
        <v>0</v>
      </c>
      <c r="AZ20" s="28">
        <v>0</v>
      </c>
      <c r="BA20" s="403">
        <f t="shared" si="10"/>
        <v>0</v>
      </c>
      <c r="BB20" s="397">
        <f t="shared" ref="BB20:BD24" si="26">AX20</f>
        <v>0</v>
      </c>
      <c r="BC20" s="397">
        <f t="shared" si="26"/>
        <v>0</v>
      </c>
      <c r="BD20" s="397">
        <f t="shared" si="26"/>
        <v>0</v>
      </c>
      <c r="BE20" s="34">
        <f t="shared" si="11"/>
        <v>0</v>
      </c>
      <c r="BF20" s="28">
        <v>0</v>
      </c>
      <c r="BG20" s="28">
        <v>0</v>
      </c>
      <c r="BH20" s="28">
        <v>0</v>
      </c>
      <c r="BI20" s="409">
        <f t="shared" si="12"/>
        <v>0</v>
      </c>
      <c r="BJ20" s="397">
        <f t="shared" ref="BJ20:BL35" si="27">BF20</f>
        <v>0</v>
      </c>
      <c r="BK20" s="397">
        <f t="shared" si="27"/>
        <v>0</v>
      </c>
      <c r="BL20" s="410">
        <f t="shared" si="27"/>
        <v>0</v>
      </c>
      <c r="BM20" s="454">
        <v>0</v>
      </c>
      <c r="BN20" s="49">
        <f t="shared" ref="BN20:BN27" si="28">J20+L20+AF20+AP20+AW20+BE20+BM20</f>
        <v>2500</v>
      </c>
      <c r="BO20" s="414">
        <f t="shared" si="16"/>
        <v>2500</v>
      </c>
      <c r="BP20" s="36">
        <f t="shared" si="17"/>
        <v>0</v>
      </c>
      <c r="BQ20" s="38" t="s">
        <v>57</v>
      </c>
      <c r="BR20" s="41">
        <v>1</v>
      </c>
      <c r="BS20" s="37" t="s">
        <v>71</v>
      </c>
      <c r="BV20" s="70"/>
      <c r="BW20" s="70"/>
      <c r="BX20" s="70"/>
      <c r="BZ20" s="70"/>
      <c r="CC20" s="70"/>
      <c r="CD20" s="70"/>
      <c r="CE20" s="70"/>
      <c r="CG20" s="70"/>
      <c r="CH20" s="70"/>
    </row>
    <row r="21" spans="1:86" s="37" customFormat="1" ht="39.950000000000003" customHeight="1" x14ac:dyDescent="0.2">
      <c r="A21" s="50">
        <v>1</v>
      </c>
      <c r="B21" s="107" t="s">
        <v>65</v>
      </c>
      <c r="C21" s="21"/>
      <c r="D21" s="22"/>
      <c r="E21" s="23">
        <v>7</v>
      </c>
      <c r="F21" s="119" t="s">
        <v>149</v>
      </c>
      <c r="G21" s="120">
        <v>4405001545</v>
      </c>
      <c r="H21" s="121" t="s">
        <v>66</v>
      </c>
      <c r="I21" s="121" t="s">
        <v>66</v>
      </c>
      <c r="J21" s="84">
        <v>123.42</v>
      </c>
      <c r="K21" s="81"/>
      <c r="L21" s="301">
        <f t="shared" si="18"/>
        <v>1276.58</v>
      </c>
      <c r="M21" s="302">
        <v>1276.58</v>
      </c>
      <c r="N21" s="303">
        <v>0</v>
      </c>
      <c r="O21" s="304">
        <v>0</v>
      </c>
      <c r="P21" s="303">
        <v>0</v>
      </c>
      <c r="Q21" s="315">
        <v>3113</v>
      </c>
      <c r="R21" s="312">
        <v>6351</v>
      </c>
      <c r="S21" s="307">
        <v>1276580</v>
      </c>
      <c r="T21" s="27">
        <f t="shared" si="19"/>
        <v>-1276.58</v>
      </c>
      <c r="U21" s="28">
        <v>-1276.58</v>
      </c>
      <c r="V21" s="28">
        <v>0</v>
      </c>
      <c r="W21" s="29">
        <v>0</v>
      </c>
      <c r="X21" s="29">
        <v>0</v>
      </c>
      <c r="Y21" s="30">
        <f>(U21+V21)*1000</f>
        <v>-1276580</v>
      </c>
      <c r="Z21" s="396">
        <f t="shared" si="2"/>
        <v>0</v>
      </c>
      <c r="AA21" s="397">
        <f t="shared" si="20"/>
        <v>0</v>
      </c>
      <c r="AB21" s="397">
        <f t="shared" si="20"/>
        <v>0</v>
      </c>
      <c r="AC21" s="397">
        <f t="shared" si="20"/>
        <v>0</v>
      </c>
      <c r="AD21" s="397">
        <f>X21</f>
        <v>0</v>
      </c>
      <c r="AE21" s="398">
        <f t="shared" si="4"/>
        <v>0</v>
      </c>
      <c r="AF21" s="31">
        <f t="shared" si="21"/>
        <v>5000</v>
      </c>
      <c r="AG21" s="28">
        <v>5000</v>
      </c>
      <c r="AH21" s="28">
        <v>0</v>
      </c>
      <c r="AI21" s="28">
        <v>0</v>
      </c>
      <c r="AJ21" s="28">
        <v>0</v>
      </c>
      <c r="AK21" s="401">
        <f t="shared" si="6"/>
        <v>6276.58</v>
      </c>
      <c r="AL21" s="397">
        <v>6276.58</v>
      </c>
      <c r="AM21" s="397">
        <v>0</v>
      </c>
      <c r="AN21" s="397">
        <v>0</v>
      </c>
      <c r="AO21" s="402">
        <v>0</v>
      </c>
      <c r="AP21" s="32">
        <f t="shared" si="22"/>
        <v>0</v>
      </c>
      <c r="AQ21" s="28">
        <v>0</v>
      </c>
      <c r="AR21" s="28">
        <v>0</v>
      </c>
      <c r="AS21" s="401">
        <f t="shared" si="8"/>
        <v>0</v>
      </c>
      <c r="AT21" s="397">
        <f>AQ21</f>
        <v>0</v>
      </c>
      <c r="AU21" s="397"/>
      <c r="AV21" s="397">
        <f>AR21</f>
        <v>0</v>
      </c>
      <c r="AW21" s="33">
        <f t="shared" si="9"/>
        <v>0</v>
      </c>
      <c r="AX21" s="28">
        <v>0</v>
      </c>
      <c r="AY21" s="28">
        <v>0</v>
      </c>
      <c r="AZ21" s="28">
        <v>0</v>
      </c>
      <c r="BA21" s="403">
        <f t="shared" si="10"/>
        <v>0</v>
      </c>
      <c r="BB21" s="397">
        <f t="shared" si="26"/>
        <v>0</v>
      </c>
      <c r="BC21" s="397">
        <f t="shared" si="26"/>
        <v>0</v>
      </c>
      <c r="BD21" s="397">
        <f t="shared" si="26"/>
        <v>0</v>
      </c>
      <c r="BE21" s="34">
        <f t="shared" si="11"/>
        <v>0</v>
      </c>
      <c r="BF21" s="28">
        <v>0</v>
      </c>
      <c r="BG21" s="28">
        <v>0</v>
      </c>
      <c r="BH21" s="28">
        <v>0</v>
      </c>
      <c r="BI21" s="409">
        <f t="shared" si="12"/>
        <v>0</v>
      </c>
      <c r="BJ21" s="397">
        <f t="shared" si="27"/>
        <v>0</v>
      </c>
      <c r="BK21" s="397">
        <f t="shared" si="27"/>
        <v>0</v>
      </c>
      <c r="BL21" s="410">
        <f t="shared" si="27"/>
        <v>0</v>
      </c>
      <c r="BM21" s="454">
        <f>BL21+BD21+AW21+AO21</f>
        <v>0</v>
      </c>
      <c r="BN21" s="49">
        <f t="shared" si="28"/>
        <v>6400</v>
      </c>
      <c r="BO21" s="413">
        <f>J21+Z21+AK21+AS21+BM21+BI21+BA21</f>
        <v>6400</v>
      </c>
      <c r="BP21" s="36">
        <f t="shared" si="17"/>
        <v>0</v>
      </c>
      <c r="BQ21" s="38" t="s">
        <v>57</v>
      </c>
      <c r="BR21" s="41">
        <v>1</v>
      </c>
      <c r="BS21" s="37" t="s">
        <v>72</v>
      </c>
      <c r="BV21" s="70"/>
      <c r="BW21" s="70"/>
      <c r="BX21" s="70"/>
      <c r="BZ21" s="70"/>
      <c r="CC21" s="70"/>
      <c r="CD21" s="70"/>
      <c r="CE21" s="70"/>
      <c r="CG21" s="70"/>
      <c r="CH21" s="70"/>
    </row>
    <row r="22" spans="1:86" s="37" customFormat="1" ht="39.950000000000003" customHeight="1" x14ac:dyDescent="0.2">
      <c r="A22" s="489">
        <v>1</v>
      </c>
      <c r="B22" s="83" t="s">
        <v>65</v>
      </c>
      <c r="C22" s="21"/>
      <c r="D22" s="22"/>
      <c r="E22" s="23">
        <v>7</v>
      </c>
      <c r="F22" s="603" t="s">
        <v>150</v>
      </c>
      <c r="G22" s="120">
        <v>4438001218</v>
      </c>
      <c r="H22" s="118" t="s">
        <v>66</v>
      </c>
      <c r="I22" s="118" t="s">
        <v>66</v>
      </c>
      <c r="J22" s="605">
        <v>36.299999999999997</v>
      </c>
      <c r="K22" s="109"/>
      <c r="L22" s="301">
        <f t="shared" si="18"/>
        <v>10463.700000000001</v>
      </c>
      <c r="M22" s="302">
        <f>10763.7-300</f>
        <v>10463.700000000001</v>
      </c>
      <c r="N22" s="303">
        <v>0</v>
      </c>
      <c r="O22" s="304">
        <v>0</v>
      </c>
      <c r="P22" s="303">
        <v>0</v>
      </c>
      <c r="Q22" s="314">
        <v>3127</v>
      </c>
      <c r="R22" s="316">
        <v>6351</v>
      </c>
      <c r="S22" s="307">
        <v>10463700</v>
      </c>
      <c r="T22" s="27">
        <f t="shared" si="19"/>
        <v>-10000</v>
      </c>
      <c r="U22" s="28">
        <v>-10000</v>
      </c>
      <c r="V22" s="28">
        <v>0</v>
      </c>
      <c r="W22" s="29">
        <v>0</v>
      </c>
      <c r="X22" s="29">
        <v>0</v>
      </c>
      <c r="Y22" s="30">
        <f>(U22+V22)*1000</f>
        <v>-10000000</v>
      </c>
      <c r="Z22" s="396">
        <f t="shared" si="2"/>
        <v>463.70000000000073</v>
      </c>
      <c r="AA22" s="397">
        <f t="shared" si="20"/>
        <v>463.70000000000073</v>
      </c>
      <c r="AB22" s="397">
        <f t="shared" si="20"/>
        <v>0</v>
      </c>
      <c r="AC22" s="397">
        <f t="shared" si="20"/>
        <v>0</v>
      </c>
      <c r="AD22" s="397">
        <f>X22</f>
        <v>0</v>
      </c>
      <c r="AE22" s="398">
        <f>S22+Y22</f>
        <v>463700</v>
      </c>
      <c r="AF22" s="31">
        <f t="shared" si="21"/>
        <v>19200</v>
      </c>
      <c r="AG22" s="28">
        <v>19200</v>
      </c>
      <c r="AH22" s="28">
        <v>0</v>
      </c>
      <c r="AI22" s="28">
        <v>0</v>
      </c>
      <c r="AJ22" s="28">
        <v>0</v>
      </c>
      <c r="AK22" s="401">
        <f t="shared" si="6"/>
        <v>700</v>
      </c>
      <c r="AL22" s="397">
        <v>700</v>
      </c>
      <c r="AM22" s="397">
        <v>0</v>
      </c>
      <c r="AN22" s="397">
        <v>0</v>
      </c>
      <c r="AO22" s="402">
        <v>0</v>
      </c>
      <c r="AP22" s="32">
        <f t="shared" si="22"/>
        <v>0</v>
      </c>
      <c r="AQ22" s="28">
        <v>0</v>
      </c>
      <c r="AR22" s="28">
        <v>0</v>
      </c>
      <c r="AS22" s="401">
        <f t="shared" si="8"/>
        <v>28500</v>
      </c>
      <c r="AT22" s="397">
        <f>19200+9300</f>
        <v>28500</v>
      </c>
      <c r="AU22" s="397"/>
      <c r="AV22" s="397">
        <f>AR22</f>
        <v>0</v>
      </c>
      <c r="AW22" s="33">
        <f t="shared" si="9"/>
        <v>0</v>
      </c>
      <c r="AX22" s="28">
        <v>0</v>
      </c>
      <c r="AY22" s="28">
        <v>0</v>
      </c>
      <c r="AZ22" s="28">
        <v>0</v>
      </c>
      <c r="BA22" s="403">
        <f t="shared" si="10"/>
        <v>0</v>
      </c>
      <c r="BB22" s="397">
        <f t="shared" si="26"/>
        <v>0</v>
      </c>
      <c r="BC22" s="397">
        <f t="shared" si="26"/>
        <v>0</v>
      </c>
      <c r="BD22" s="397">
        <f t="shared" si="26"/>
        <v>0</v>
      </c>
      <c r="BE22" s="34">
        <f t="shared" si="11"/>
        <v>0</v>
      </c>
      <c r="BF22" s="28">
        <v>0</v>
      </c>
      <c r="BG22" s="28">
        <v>0</v>
      </c>
      <c r="BH22" s="28">
        <v>0</v>
      </c>
      <c r="BI22" s="409">
        <f t="shared" si="12"/>
        <v>0</v>
      </c>
      <c r="BJ22" s="397">
        <f t="shared" si="27"/>
        <v>0</v>
      </c>
      <c r="BK22" s="397">
        <f t="shared" si="27"/>
        <v>0</v>
      </c>
      <c r="BL22" s="410">
        <f t="shared" si="27"/>
        <v>0</v>
      </c>
      <c r="BM22" s="454">
        <f>BL22+BD22+AW22+AO22</f>
        <v>0</v>
      </c>
      <c r="BN22" s="49">
        <f t="shared" si="28"/>
        <v>29700</v>
      </c>
      <c r="BO22" s="413">
        <f>J22+Z22+AK22+AS22+BM22+BI22+BA22</f>
        <v>29700</v>
      </c>
      <c r="BP22" s="36">
        <f t="shared" si="17"/>
        <v>0</v>
      </c>
      <c r="BQ22" s="38" t="s">
        <v>57</v>
      </c>
      <c r="BR22" s="606">
        <v>1</v>
      </c>
      <c r="BS22" s="37" t="s">
        <v>73</v>
      </c>
      <c r="BV22" s="70"/>
      <c r="BW22" s="70"/>
      <c r="BX22" s="70"/>
      <c r="BZ22" s="70"/>
      <c r="CC22" s="70"/>
      <c r="CD22" s="70"/>
      <c r="CE22" s="70"/>
      <c r="CG22" s="70"/>
      <c r="CH22" s="70"/>
    </row>
    <row r="23" spans="1:86" s="37" customFormat="1" ht="39.950000000000003" customHeight="1" x14ac:dyDescent="0.2">
      <c r="A23" s="490"/>
      <c r="B23" s="110" t="s">
        <v>65</v>
      </c>
      <c r="C23" s="21"/>
      <c r="D23" s="22"/>
      <c r="E23" s="23">
        <v>7</v>
      </c>
      <c r="F23" s="604"/>
      <c r="G23" s="108">
        <v>4438000000</v>
      </c>
      <c r="H23" s="116" t="s">
        <v>66</v>
      </c>
      <c r="I23" s="116" t="s">
        <v>66</v>
      </c>
      <c r="J23" s="488"/>
      <c r="K23" s="114"/>
      <c r="L23" s="301">
        <f t="shared" si="18"/>
        <v>300</v>
      </c>
      <c r="M23" s="302">
        <v>300</v>
      </c>
      <c r="N23" s="303"/>
      <c r="O23" s="304"/>
      <c r="P23" s="303"/>
      <c r="Q23" s="313">
        <v>3127</v>
      </c>
      <c r="R23" s="317">
        <v>6121</v>
      </c>
      <c r="S23" s="307">
        <v>0</v>
      </c>
      <c r="T23" s="27">
        <f t="shared" si="19"/>
        <v>-300</v>
      </c>
      <c r="U23" s="28">
        <v>-300</v>
      </c>
      <c r="V23" s="28"/>
      <c r="W23" s="29"/>
      <c r="X23" s="29"/>
      <c r="Y23" s="53">
        <v>0</v>
      </c>
      <c r="Z23" s="396">
        <f t="shared" si="2"/>
        <v>0</v>
      </c>
      <c r="AA23" s="397">
        <f t="shared" si="20"/>
        <v>0</v>
      </c>
      <c r="AB23" s="397">
        <f t="shared" si="20"/>
        <v>0</v>
      </c>
      <c r="AC23" s="397">
        <f t="shared" si="20"/>
        <v>0</v>
      </c>
      <c r="AD23" s="397">
        <f>X23</f>
        <v>0</v>
      </c>
      <c r="AE23" s="398">
        <f t="shared" si="4"/>
        <v>0</v>
      </c>
      <c r="AF23" s="31">
        <f t="shared" si="21"/>
        <v>0</v>
      </c>
      <c r="AG23" s="28">
        <v>0</v>
      </c>
      <c r="AH23" s="28"/>
      <c r="AI23" s="28"/>
      <c r="AJ23" s="28"/>
      <c r="AK23" s="401">
        <f t="shared" si="6"/>
        <v>300</v>
      </c>
      <c r="AL23" s="397">
        <v>300</v>
      </c>
      <c r="AM23" s="397"/>
      <c r="AN23" s="397"/>
      <c r="AO23" s="402"/>
      <c r="AP23" s="32">
        <f t="shared" si="22"/>
        <v>0</v>
      </c>
      <c r="AQ23" s="28">
        <v>0</v>
      </c>
      <c r="AR23" s="28">
        <v>0</v>
      </c>
      <c r="AS23" s="401">
        <f t="shared" si="8"/>
        <v>0</v>
      </c>
      <c r="AT23" s="397">
        <f t="shared" ref="AT23" si="29">AQ23</f>
        <v>0</v>
      </c>
      <c r="AU23" s="397"/>
      <c r="AV23" s="397">
        <f>AR23</f>
        <v>0</v>
      </c>
      <c r="AW23" s="33">
        <f t="shared" si="9"/>
        <v>0</v>
      </c>
      <c r="AX23" s="28">
        <v>0</v>
      </c>
      <c r="AY23" s="28">
        <v>0</v>
      </c>
      <c r="AZ23" s="28">
        <v>0</v>
      </c>
      <c r="BA23" s="403">
        <f t="shared" si="10"/>
        <v>0</v>
      </c>
      <c r="BB23" s="397">
        <f t="shared" si="26"/>
        <v>0</v>
      </c>
      <c r="BC23" s="397">
        <f t="shared" si="26"/>
        <v>0</v>
      </c>
      <c r="BD23" s="397">
        <f t="shared" si="26"/>
        <v>0</v>
      </c>
      <c r="BE23" s="34">
        <f t="shared" si="11"/>
        <v>0</v>
      </c>
      <c r="BF23" s="28">
        <v>0</v>
      </c>
      <c r="BG23" s="28">
        <v>0</v>
      </c>
      <c r="BH23" s="28">
        <v>0</v>
      </c>
      <c r="BI23" s="409">
        <f t="shared" si="12"/>
        <v>0</v>
      </c>
      <c r="BJ23" s="397">
        <f t="shared" si="27"/>
        <v>0</v>
      </c>
      <c r="BK23" s="397">
        <f t="shared" si="27"/>
        <v>0</v>
      </c>
      <c r="BL23" s="410">
        <f t="shared" si="27"/>
        <v>0</v>
      </c>
      <c r="BM23" s="454">
        <f>BL23+BD23+AW23+AO23</f>
        <v>0</v>
      </c>
      <c r="BN23" s="49">
        <f t="shared" si="28"/>
        <v>300</v>
      </c>
      <c r="BO23" s="413">
        <f>J23+Z23+AK23+AS23+BM23+BI23+BA23</f>
        <v>300</v>
      </c>
      <c r="BP23" s="36">
        <f t="shared" si="17"/>
        <v>0</v>
      </c>
      <c r="BQ23" s="38" t="s">
        <v>57</v>
      </c>
      <c r="BR23" s="467"/>
      <c r="BS23" s="37" t="s">
        <v>73</v>
      </c>
      <c r="BV23" s="70"/>
      <c r="BW23" s="70"/>
      <c r="BX23" s="70"/>
      <c r="CC23" s="70"/>
      <c r="CD23" s="70"/>
      <c r="CE23" s="70"/>
      <c r="CG23" s="70"/>
      <c r="CH23" s="70"/>
    </row>
    <row r="24" spans="1:86" s="37" customFormat="1" ht="39.950000000000003" customHeight="1" x14ac:dyDescent="0.2">
      <c r="A24" s="489">
        <v>1</v>
      </c>
      <c r="B24" s="122" t="s">
        <v>65</v>
      </c>
      <c r="C24" s="21"/>
      <c r="D24" s="22"/>
      <c r="E24" s="23">
        <v>7</v>
      </c>
      <c r="F24" s="603" t="s">
        <v>151</v>
      </c>
      <c r="G24" s="123">
        <v>4440001118</v>
      </c>
      <c r="H24" s="124" t="s">
        <v>66</v>
      </c>
      <c r="I24" s="124" t="s">
        <v>66</v>
      </c>
      <c r="J24" s="607">
        <f>393.86</f>
        <v>393.86</v>
      </c>
      <c r="K24" s="125"/>
      <c r="L24" s="301">
        <f t="shared" si="18"/>
        <v>19306.145</v>
      </c>
      <c r="M24" s="302">
        <f>19606.145-300</f>
        <v>19306.145</v>
      </c>
      <c r="N24" s="303">
        <v>0</v>
      </c>
      <c r="O24" s="304">
        <v>0</v>
      </c>
      <c r="P24" s="303">
        <v>0</v>
      </c>
      <c r="Q24" s="318">
        <v>3121</v>
      </c>
      <c r="R24" s="319">
        <v>6351</v>
      </c>
      <c r="S24" s="307">
        <v>19306145</v>
      </c>
      <c r="T24" s="27">
        <f t="shared" si="19"/>
        <v>-18500</v>
      </c>
      <c r="U24" s="28">
        <v>-18500</v>
      </c>
      <c r="V24" s="28">
        <v>0</v>
      </c>
      <c r="W24" s="30">
        <v>0</v>
      </c>
      <c r="X24" s="29">
        <v>0</v>
      </c>
      <c r="Y24" s="30">
        <f>(U24+V24)*1000</f>
        <v>-18500000</v>
      </c>
      <c r="Z24" s="396">
        <f t="shared" si="2"/>
        <v>806.14500000000044</v>
      </c>
      <c r="AA24" s="397">
        <f t="shared" si="20"/>
        <v>806.14500000000044</v>
      </c>
      <c r="AB24" s="397">
        <f t="shared" si="20"/>
        <v>0</v>
      </c>
      <c r="AC24" s="397">
        <f t="shared" si="20"/>
        <v>0</v>
      </c>
      <c r="AD24" s="397">
        <f>X24</f>
        <v>0</v>
      </c>
      <c r="AE24" s="398">
        <f>S24+Y24</f>
        <v>806145</v>
      </c>
      <c r="AF24" s="31">
        <f t="shared" si="21"/>
        <v>10000</v>
      </c>
      <c r="AG24" s="28">
        <v>10000</v>
      </c>
      <c r="AH24" s="28">
        <v>0</v>
      </c>
      <c r="AI24" s="28">
        <v>0</v>
      </c>
      <c r="AJ24" s="28">
        <v>0</v>
      </c>
      <c r="AK24" s="401">
        <f t="shared" si="6"/>
        <v>28500</v>
      </c>
      <c r="AL24" s="397">
        <v>28500</v>
      </c>
      <c r="AM24" s="397">
        <v>0</v>
      </c>
      <c r="AN24" s="397">
        <v>0</v>
      </c>
      <c r="AO24" s="402">
        <v>0</v>
      </c>
      <c r="AP24" s="32">
        <f t="shared" si="22"/>
        <v>0</v>
      </c>
      <c r="AQ24" s="28">
        <v>0</v>
      </c>
      <c r="AR24" s="28">
        <v>0</v>
      </c>
      <c r="AS24" s="401">
        <f t="shared" si="8"/>
        <v>0</v>
      </c>
      <c r="AT24" s="397">
        <f>AQ24</f>
        <v>0</v>
      </c>
      <c r="AU24" s="397"/>
      <c r="AV24" s="397">
        <f>AR24</f>
        <v>0</v>
      </c>
      <c r="AW24" s="33">
        <f t="shared" si="9"/>
        <v>0</v>
      </c>
      <c r="AX24" s="28">
        <v>0</v>
      </c>
      <c r="AY24" s="28">
        <v>0</v>
      </c>
      <c r="AZ24" s="28">
        <v>0</v>
      </c>
      <c r="BA24" s="403">
        <f t="shared" si="10"/>
        <v>0</v>
      </c>
      <c r="BB24" s="397">
        <f t="shared" si="26"/>
        <v>0</v>
      </c>
      <c r="BC24" s="397">
        <f t="shared" si="26"/>
        <v>0</v>
      </c>
      <c r="BD24" s="397">
        <f t="shared" si="26"/>
        <v>0</v>
      </c>
      <c r="BE24" s="34">
        <f t="shared" si="11"/>
        <v>0</v>
      </c>
      <c r="BF24" s="28">
        <v>0</v>
      </c>
      <c r="BG24" s="28">
        <v>0</v>
      </c>
      <c r="BH24" s="28">
        <v>0</v>
      </c>
      <c r="BI24" s="409">
        <f t="shared" si="12"/>
        <v>0</v>
      </c>
      <c r="BJ24" s="397">
        <f t="shared" si="27"/>
        <v>0</v>
      </c>
      <c r="BK24" s="397">
        <f t="shared" si="27"/>
        <v>0</v>
      </c>
      <c r="BL24" s="410">
        <f t="shared" si="27"/>
        <v>0</v>
      </c>
      <c r="BM24" s="454">
        <v>85</v>
      </c>
      <c r="BN24" s="49">
        <f t="shared" si="28"/>
        <v>29785.005000000001</v>
      </c>
      <c r="BO24" s="413">
        <f>J24+Z24+AK24+AS24+BM24+BI24+BA24</f>
        <v>29785.005000000001</v>
      </c>
      <c r="BP24" s="36">
        <f t="shared" si="17"/>
        <v>0</v>
      </c>
      <c r="BQ24" s="38" t="s">
        <v>57</v>
      </c>
      <c r="BR24" s="602">
        <v>1</v>
      </c>
      <c r="BS24" s="37" t="s">
        <v>73</v>
      </c>
      <c r="BV24" s="70"/>
      <c r="BW24" s="70"/>
      <c r="BX24" s="70"/>
      <c r="BZ24" s="70"/>
      <c r="CC24" s="70"/>
      <c r="CD24" s="70"/>
      <c r="CE24" s="70"/>
      <c r="CG24" s="70"/>
      <c r="CH24" s="70"/>
    </row>
    <row r="25" spans="1:86" s="37" customFormat="1" ht="39.950000000000003" customHeight="1" x14ac:dyDescent="0.2">
      <c r="A25" s="490"/>
      <c r="B25" s="126" t="s">
        <v>65</v>
      </c>
      <c r="C25" s="23">
        <v>7</v>
      </c>
      <c r="D25" s="22"/>
      <c r="E25" s="23">
        <v>7</v>
      </c>
      <c r="F25" s="604"/>
      <c r="G25" s="123">
        <v>4440000000</v>
      </c>
      <c r="H25" s="124" t="s">
        <v>66</v>
      </c>
      <c r="I25" s="124" t="s">
        <v>66</v>
      </c>
      <c r="J25" s="488"/>
      <c r="K25" s="125"/>
      <c r="L25" s="301">
        <f t="shared" si="18"/>
        <v>300</v>
      </c>
      <c r="M25" s="302">
        <v>300</v>
      </c>
      <c r="N25" s="303"/>
      <c r="O25" s="304"/>
      <c r="P25" s="303"/>
      <c r="Q25" s="318">
        <v>3121</v>
      </c>
      <c r="R25" s="319">
        <v>6121</v>
      </c>
      <c r="S25" s="307">
        <v>0</v>
      </c>
      <c r="T25" s="27">
        <f>U25+V25+W25</f>
        <v>0</v>
      </c>
      <c r="U25" s="28">
        <v>0</v>
      </c>
      <c r="V25" s="28"/>
      <c r="W25" s="54"/>
      <c r="X25" s="29"/>
      <c r="Y25" s="53">
        <v>0</v>
      </c>
      <c r="Z25" s="396">
        <f t="shared" si="2"/>
        <v>300</v>
      </c>
      <c r="AA25" s="397">
        <f t="shared" si="20"/>
        <v>300</v>
      </c>
      <c r="AB25" s="399">
        <v>0</v>
      </c>
      <c r="AC25" s="397"/>
      <c r="AD25" s="397"/>
      <c r="AE25" s="398">
        <f t="shared" si="4"/>
        <v>0</v>
      </c>
      <c r="AF25" s="31">
        <f t="shared" si="21"/>
        <v>0</v>
      </c>
      <c r="AG25" s="28">
        <v>0</v>
      </c>
      <c r="AH25" s="28"/>
      <c r="AI25" s="28"/>
      <c r="AJ25" s="28"/>
      <c r="AK25" s="401">
        <f t="shared" si="6"/>
        <v>0</v>
      </c>
      <c r="AL25" s="397">
        <v>0</v>
      </c>
      <c r="AM25" s="397"/>
      <c r="AN25" s="397"/>
      <c r="AO25" s="402"/>
      <c r="AP25" s="32">
        <f t="shared" si="22"/>
        <v>0</v>
      </c>
      <c r="AQ25" s="28">
        <v>0</v>
      </c>
      <c r="AR25" s="28"/>
      <c r="AS25" s="401">
        <f t="shared" si="8"/>
        <v>0</v>
      </c>
      <c r="AT25" s="397">
        <f>AQ25</f>
        <v>0</v>
      </c>
      <c r="AU25" s="397"/>
      <c r="AV25" s="397"/>
      <c r="AW25" s="33">
        <f t="shared" si="9"/>
        <v>0</v>
      </c>
      <c r="AX25" s="28">
        <v>0</v>
      </c>
      <c r="AY25" s="28"/>
      <c r="AZ25" s="28"/>
      <c r="BA25" s="403">
        <f t="shared" si="10"/>
        <v>0</v>
      </c>
      <c r="BB25" s="397">
        <f>AX25</f>
        <v>0</v>
      </c>
      <c r="BC25" s="397"/>
      <c r="BD25" s="397"/>
      <c r="BE25" s="34">
        <f t="shared" si="11"/>
        <v>0</v>
      </c>
      <c r="BF25" s="28">
        <v>0</v>
      </c>
      <c r="BG25" s="28"/>
      <c r="BH25" s="28"/>
      <c r="BI25" s="409">
        <f t="shared" si="12"/>
        <v>0</v>
      </c>
      <c r="BJ25" s="397">
        <f t="shared" si="27"/>
        <v>0</v>
      </c>
      <c r="BK25" s="397"/>
      <c r="BL25" s="410"/>
      <c r="BM25" s="454">
        <f>BL25+BD25+AW25+AO25</f>
        <v>0</v>
      </c>
      <c r="BN25" s="35">
        <f t="shared" si="28"/>
        <v>300</v>
      </c>
      <c r="BO25" s="413">
        <f>J25+Z25+AK25+AS25+BM25+BI25+BA25</f>
        <v>300</v>
      </c>
      <c r="BP25" s="36">
        <f t="shared" si="17"/>
        <v>0</v>
      </c>
      <c r="BQ25" s="38" t="s">
        <v>57</v>
      </c>
      <c r="BR25" s="467"/>
      <c r="BS25" s="37" t="s">
        <v>73</v>
      </c>
      <c r="BV25" s="70"/>
      <c r="BW25" s="70"/>
      <c r="BX25" s="70"/>
      <c r="CC25" s="70"/>
      <c r="CD25" s="70"/>
      <c r="CE25" s="70"/>
      <c r="CG25" s="70"/>
      <c r="CH25" s="70"/>
    </row>
    <row r="26" spans="1:86" s="37" customFormat="1" ht="39.950000000000003" customHeight="1" x14ac:dyDescent="0.2">
      <c r="A26" s="489">
        <v>1</v>
      </c>
      <c r="B26" s="122" t="s">
        <v>65</v>
      </c>
      <c r="C26" s="21" t="s">
        <v>69</v>
      </c>
      <c r="D26" s="22" t="s">
        <v>70</v>
      </c>
      <c r="E26" s="127">
        <v>7</v>
      </c>
      <c r="F26" s="598" t="s">
        <v>152</v>
      </c>
      <c r="G26" s="45">
        <v>4431001117</v>
      </c>
      <c r="H26" s="127" t="s">
        <v>66</v>
      </c>
      <c r="I26" s="127" t="s">
        <v>66</v>
      </c>
      <c r="J26" s="600">
        <v>0</v>
      </c>
      <c r="K26" s="125"/>
      <c r="L26" s="301">
        <f t="shared" si="18"/>
        <v>5000</v>
      </c>
      <c r="M26" s="302">
        <f>38850-33850</f>
        <v>5000</v>
      </c>
      <c r="N26" s="303">
        <v>0</v>
      </c>
      <c r="O26" s="304">
        <v>0</v>
      </c>
      <c r="P26" s="303">
        <v>0</v>
      </c>
      <c r="Q26" s="320">
        <v>3127</v>
      </c>
      <c r="R26" s="321">
        <v>6351</v>
      </c>
      <c r="S26" s="307">
        <v>5000000</v>
      </c>
      <c r="T26" s="27">
        <f t="shared" si="19"/>
        <v>-5000</v>
      </c>
      <c r="U26" s="28">
        <v>-5000</v>
      </c>
      <c r="V26" s="28">
        <v>0</v>
      </c>
      <c r="W26" s="29">
        <v>0</v>
      </c>
      <c r="X26" s="29">
        <v>0</v>
      </c>
      <c r="Y26" s="30">
        <f>(U26+V26)*1000</f>
        <v>-5000000</v>
      </c>
      <c r="Z26" s="396">
        <f t="shared" si="2"/>
        <v>0</v>
      </c>
      <c r="AA26" s="397">
        <f t="shared" si="20"/>
        <v>0</v>
      </c>
      <c r="AB26" s="397">
        <f t="shared" si="20"/>
        <v>0</v>
      </c>
      <c r="AC26" s="397">
        <f t="shared" si="20"/>
        <v>0</v>
      </c>
      <c r="AD26" s="397">
        <f>X26</f>
        <v>0</v>
      </c>
      <c r="AE26" s="398">
        <f t="shared" si="4"/>
        <v>0</v>
      </c>
      <c r="AF26" s="31">
        <f t="shared" si="21"/>
        <v>0</v>
      </c>
      <c r="AG26" s="28">
        <v>0</v>
      </c>
      <c r="AH26" s="28">
        <v>0</v>
      </c>
      <c r="AI26" s="28">
        <v>0</v>
      </c>
      <c r="AJ26" s="28">
        <v>0</v>
      </c>
      <c r="AK26" s="401">
        <f t="shared" si="6"/>
        <v>5000</v>
      </c>
      <c r="AL26" s="397">
        <v>5000</v>
      </c>
      <c r="AM26" s="397">
        <f>AH26</f>
        <v>0</v>
      </c>
      <c r="AN26" s="397">
        <f>AI26</f>
        <v>0</v>
      </c>
      <c r="AO26" s="402">
        <f>AJ26</f>
        <v>0</v>
      </c>
      <c r="AP26" s="32">
        <f t="shared" si="22"/>
        <v>0</v>
      </c>
      <c r="AQ26" s="28">
        <v>0</v>
      </c>
      <c r="AR26" s="28">
        <v>0</v>
      </c>
      <c r="AS26" s="401">
        <f t="shared" si="8"/>
        <v>0</v>
      </c>
      <c r="AT26" s="397">
        <f>AQ26</f>
        <v>0</v>
      </c>
      <c r="AU26" s="397"/>
      <c r="AV26" s="397">
        <f>AR26</f>
        <v>0</v>
      </c>
      <c r="AW26" s="33">
        <f t="shared" si="9"/>
        <v>0</v>
      </c>
      <c r="AX26" s="28">
        <v>0</v>
      </c>
      <c r="AY26" s="28">
        <v>0</v>
      </c>
      <c r="AZ26" s="28">
        <v>0</v>
      </c>
      <c r="BA26" s="403">
        <f t="shared" si="10"/>
        <v>0</v>
      </c>
      <c r="BB26" s="397">
        <f>AX26</f>
        <v>0</v>
      </c>
      <c r="BC26" s="397">
        <f>AY26</f>
        <v>0</v>
      </c>
      <c r="BD26" s="397">
        <f>AZ26</f>
        <v>0</v>
      </c>
      <c r="BE26" s="34">
        <f t="shared" si="11"/>
        <v>0</v>
      </c>
      <c r="BF26" s="28">
        <v>0</v>
      </c>
      <c r="BG26" s="28">
        <v>0</v>
      </c>
      <c r="BH26" s="28">
        <v>0</v>
      </c>
      <c r="BI26" s="409">
        <f t="shared" si="12"/>
        <v>0</v>
      </c>
      <c r="BJ26" s="397">
        <f t="shared" si="27"/>
        <v>0</v>
      </c>
      <c r="BK26" s="397">
        <f t="shared" si="27"/>
        <v>0</v>
      </c>
      <c r="BL26" s="410">
        <f t="shared" si="27"/>
        <v>0</v>
      </c>
      <c r="BM26" s="454">
        <v>823.5</v>
      </c>
      <c r="BN26" s="49">
        <f t="shared" si="28"/>
        <v>5823.5</v>
      </c>
      <c r="BO26" s="414">
        <f t="shared" ref="BO26:BO59" si="30">J26+Z26+AK26+AS26+BM26+BI26+BA26</f>
        <v>5823.5</v>
      </c>
      <c r="BP26" s="36">
        <f t="shared" si="17"/>
        <v>0</v>
      </c>
      <c r="BQ26" s="38" t="s">
        <v>57</v>
      </c>
      <c r="BR26" s="601">
        <v>1</v>
      </c>
      <c r="BS26" s="37" t="s">
        <v>73</v>
      </c>
      <c r="BV26" s="70"/>
      <c r="BW26" s="70"/>
      <c r="BX26" s="70"/>
      <c r="BZ26" s="70"/>
      <c r="CC26" s="70"/>
      <c r="CD26" s="70"/>
      <c r="CE26" s="70"/>
      <c r="CG26" s="70"/>
      <c r="CH26" s="70"/>
    </row>
    <row r="27" spans="1:86" s="37" customFormat="1" ht="39.950000000000003" customHeight="1" x14ac:dyDescent="0.2">
      <c r="A27" s="490"/>
      <c r="B27" s="122" t="s">
        <v>65</v>
      </c>
      <c r="C27" s="21" t="s">
        <v>69</v>
      </c>
      <c r="D27" s="22" t="s">
        <v>70</v>
      </c>
      <c r="E27" s="127">
        <v>7</v>
      </c>
      <c r="F27" s="599"/>
      <c r="G27" s="45">
        <v>4431000000</v>
      </c>
      <c r="H27" s="127" t="s">
        <v>66</v>
      </c>
      <c r="I27" s="127" t="s">
        <v>66</v>
      </c>
      <c r="J27" s="488"/>
      <c r="K27" s="125"/>
      <c r="L27" s="301">
        <f t="shared" si="18"/>
        <v>0</v>
      </c>
      <c r="M27" s="302">
        <f>150-150</f>
        <v>0</v>
      </c>
      <c r="N27" s="303"/>
      <c r="O27" s="304"/>
      <c r="P27" s="303"/>
      <c r="Q27" s="322">
        <v>3127</v>
      </c>
      <c r="R27" s="323">
        <v>6121</v>
      </c>
      <c r="S27" s="307">
        <v>0</v>
      </c>
      <c r="T27" s="27">
        <f t="shared" si="19"/>
        <v>0</v>
      </c>
      <c r="U27" s="28">
        <v>0</v>
      </c>
      <c r="V27" s="28"/>
      <c r="W27" s="29"/>
      <c r="X27" s="29"/>
      <c r="Y27" s="30">
        <v>0</v>
      </c>
      <c r="Z27" s="396">
        <f t="shared" si="2"/>
        <v>0</v>
      </c>
      <c r="AA27" s="397">
        <f t="shared" si="20"/>
        <v>0</v>
      </c>
      <c r="AB27" s="397">
        <f t="shared" si="20"/>
        <v>0</v>
      </c>
      <c r="AC27" s="397">
        <f t="shared" si="20"/>
        <v>0</v>
      </c>
      <c r="AD27" s="397">
        <f>X27</f>
        <v>0</v>
      </c>
      <c r="AE27" s="398">
        <f t="shared" si="4"/>
        <v>0</v>
      </c>
      <c r="AF27" s="31">
        <f t="shared" si="21"/>
        <v>0</v>
      </c>
      <c r="AG27" s="28">
        <v>0</v>
      </c>
      <c r="AH27" s="28"/>
      <c r="AI27" s="28"/>
      <c r="AJ27" s="28"/>
      <c r="AK27" s="401">
        <f t="shared" si="6"/>
        <v>0</v>
      </c>
      <c r="AL27" s="397">
        <v>0</v>
      </c>
      <c r="AM27" s="397"/>
      <c r="AN27" s="397"/>
      <c r="AO27" s="402"/>
      <c r="AP27" s="32">
        <f t="shared" si="22"/>
        <v>0</v>
      </c>
      <c r="AQ27" s="28">
        <v>0</v>
      </c>
      <c r="AR27" s="28">
        <v>0</v>
      </c>
      <c r="AS27" s="401">
        <f t="shared" si="8"/>
        <v>0</v>
      </c>
      <c r="AT27" s="397">
        <f>AQ27</f>
        <v>0</v>
      </c>
      <c r="AU27" s="397"/>
      <c r="AV27" s="397">
        <f>AR27</f>
        <v>0</v>
      </c>
      <c r="AW27" s="33">
        <f t="shared" si="9"/>
        <v>0</v>
      </c>
      <c r="AX27" s="28">
        <v>0</v>
      </c>
      <c r="AY27" s="28">
        <v>0</v>
      </c>
      <c r="AZ27" s="28">
        <v>0</v>
      </c>
      <c r="BA27" s="403">
        <f t="shared" si="10"/>
        <v>0</v>
      </c>
      <c r="BB27" s="397">
        <f>AX27</f>
        <v>0</v>
      </c>
      <c r="BC27" s="397">
        <f>AY27</f>
        <v>0</v>
      </c>
      <c r="BD27" s="397">
        <f>AZ27</f>
        <v>0</v>
      </c>
      <c r="BE27" s="34">
        <f t="shared" si="11"/>
        <v>0</v>
      </c>
      <c r="BF27" s="28">
        <v>0</v>
      </c>
      <c r="BG27" s="28">
        <v>0</v>
      </c>
      <c r="BH27" s="28">
        <v>0</v>
      </c>
      <c r="BI27" s="409">
        <f t="shared" si="12"/>
        <v>0</v>
      </c>
      <c r="BJ27" s="397">
        <f t="shared" si="27"/>
        <v>0</v>
      </c>
      <c r="BK27" s="397">
        <f t="shared" si="27"/>
        <v>0</v>
      </c>
      <c r="BL27" s="410">
        <f t="shared" si="27"/>
        <v>0</v>
      </c>
      <c r="BM27" s="454">
        <f>BL27+BD27+AW27+AO27</f>
        <v>0</v>
      </c>
      <c r="BN27" s="49">
        <f t="shared" si="28"/>
        <v>0</v>
      </c>
      <c r="BO27" s="414">
        <f t="shared" si="30"/>
        <v>0</v>
      </c>
      <c r="BP27" s="36">
        <f t="shared" si="17"/>
        <v>0</v>
      </c>
      <c r="BQ27" s="38" t="s">
        <v>57</v>
      </c>
      <c r="BR27" s="467"/>
      <c r="BS27" s="37" t="s">
        <v>73</v>
      </c>
      <c r="BV27" s="70"/>
      <c r="BW27" s="70"/>
      <c r="BX27" s="70"/>
      <c r="CC27" s="70"/>
      <c r="CD27" s="70"/>
      <c r="CE27" s="70"/>
      <c r="CG27" s="70"/>
      <c r="CH27" s="70"/>
    </row>
    <row r="28" spans="1:86" s="37" customFormat="1" ht="39.950000000000003" customHeight="1" x14ac:dyDescent="0.2">
      <c r="A28" s="489">
        <v>1</v>
      </c>
      <c r="B28" s="128" t="s">
        <v>65</v>
      </c>
      <c r="C28" s="21"/>
      <c r="D28" s="22"/>
      <c r="E28" s="23">
        <v>7</v>
      </c>
      <c r="F28" s="594" t="s">
        <v>153</v>
      </c>
      <c r="G28" s="123">
        <v>4642001317</v>
      </c>
      <c r="H28" s="124" t="s">
        <v>66</v>
      </c>
      <c r="I28" s="124" t="s">
        <v>66</v>
      </c>
      <c r="J28" s="129">
        <v>0</v>
      </c>
      <c r="K28" s="125"/>
      <c r="L28" s="301">
        <f t="shared" si="18"/>
        <v>15850</v>
      </c>
      <c r="M28" s="302">
        <v>15850</v>
      </c>
      <c r="N28" s="303"/>
      <c r="O28" s="304"/>
      <c r="P28" s="303"/>
      <c r="Q28" s="324">
        <v>3127</v>
      </c>
      <c r="R28" s="325">
        <v>6351</v>
      </c>
      <c r="S28" s="307">
        <v>15850000</v>
      </c>
      <c r="T28" s="27">
        <f t="shared" si="19"/>
        <v>-4850</v>
      </c>
      <c r="U28" s="28">
        <v>-4850</v>
      </c>
      <c r="V28" s="28"/>
      <c r="W28" s="29"/>
      <c r="X28" s="29"/>
      <c r="Y28" s="30">
        <f>(U28+V28)*1000</f>
        <v>-4850000</v>
      </c>
      <c r="Z28" s="396">
        <f t="shared" si="2"/>
        <v>11000</v>
      </c>
      <c r="AA28" s="397">
        <f t="shared" si="20"/>
        <v>11000</v>
      </c>
      <c r="AB28" s="397">
        <f t="shared" si="20"/>
        <v>0</v>
      </c>
      <c r="AC28" s="397">
        <f t="shared" si="20"/>
        <v>0</v>
      </c>
      <c r="AD28" s="397">
        <f t="shared" ref="AD28:AD35" si="31">X28</f>
        <v>0</v>
      </c>
      <c r="AE28" s="398">
        <f>S28+Y28</f>
        <v>11000000</v>
      </c>
      <c r="AF28" s="31">
        <f t="shared" si="21"/>
        <v>10000</v>
      </c>
      <c r="AG28" s="28">
        <v>10000</v>
      </c>
      <c r="AH28" s="28"/>
      <c r="AI28" s="28"/>
      <c r="AJ28" s="28"/>
      <c r="AK28" s="401">
        <f t="shared" si="6"/>
        <v>14850</v>
      </c>
      <c r="AL28" s="397">
        <v>14850</v>
      </c>
      <c r="AM28" s="397"/>
      <c r="AN28" s="397"/>
      <c r="AO28" s="402"/>
      <c r="AP28" s="32">
        <f t="shared" si="22"/>
        <v>0</v>
      </c>
      <c r="AQ28" s="28">
        <v>0</v>
      </c>
      <c r="AR28" s="28">
        <v>0</v>
      </c>
      <c r="AS28" s="401">
        <f t="shared" si="8"/>
        <v>0</v>
      </c>
      <c r="AT28" s="397">
        <v>0</v>
      </c>
      <c r="AU28" s="397"/>
      <c r="AV28" s="397">
        <v>0</v>
      </c>
      <c r="AW28" s="33">
        <f t="shared" si="9"/>
        <v>0</v>
      </c>
      <c r="AX28" s="28">
        <v>0</v>
      </c>
      <c r="AY28" s="28">
        <v>0</v>
      </c>
      <c r="AZ28" s="28">
        <v>0</v>
      </c>
      <c r="BA28" s="403">
        <f t="shared" si="10"/>
        <v>0</v>
      </c>
      <c r="BB28" s="397">
        <v>0</v>
      </c>
      <c r="BC28" s="397">
        <v>0</v>
      </c>
      <c r="BD28" s="397">
        <v>0</v>
      </c>
      <c r="BE28" s="34">
        <f t="shared" si="11"/>
        <v>0</v>
      </c>
      <c r="BF28" s="28">
        <v>0</v>
      </c>
      <c r="BG28" s="28">
        <v>0</v>
      </c>
      <c r="BH28" s="28">
        <v>0</v>
      </c>
      <c r="BI28" s="409">
        <f t="shared" si="12"/>
        <v>0</v>
      </c>
      <c r="BJ28" s="397">
        <f t="shared" si="27"/>
        <v>0</v>
      </c>
      <c r="BK28" s="397">
        <f t="shared" si="27"/>
        <v>0</v>
      </c>
      <c r="BL28" s="410">
        <f t="shared" si="27"/>
        <v>0</v>
      </c>
      <c r="BM28" s="454">
        <f t="shared" ref="BM28:BM38" si="32">BL28+BD28+AW28+AO28</f>
        <v>0</v>
      </c>
      <c r="BN28" s="35">
        <f>J28+L28+AF28+AP28+AW28+BE28+BM28</f>
        <v>25850</v>
      </c>
      <c r="BO28" s="413">
        <f t="shared" si="30"/>
        <v>25850</v>
      </c>
      <c r="BP28" s="36">
        <f t="shared" si="17"/>
        <v>0</v>
      </c>
      <c r="BQ28" s="38" t="s">
        <v>57</v>
      </c>
      <c r="BR28" s="602">
        <v>1</v>
      </c>
      <c r="BS28" s="55" t="s">
        <v>74</v>
      </c>
      <c r="BV28" s="70"/>
      <c r="BW28" s="70"/>
      <c r="BX28" s="70"/>
      <c r="BZ28" s="70"/>
      <c r="CC28" s="70"/>
      <c r="CD28" s="70"/>
      <c r="CE28" s="70"/>
      <c r="CG28" s="70"/>
      <c r="CH28" s="70"/>
    </row>
    <row r="29" spans="1:86" s="37" customFormat="1" ht="39.950000000000003" customHeight="1" x14ac:dyDescent="0.2">
      <c r="A29" s="490"/>
      <c r="B29" s="130" t="s">
        <v>65</v>
      </c>
      <c r="C29" s="21"/>
      <c r="D29" s="22"/>
      <c r="E29" s="23">
        <v>7</v>
      </c>
      <c r="F29" s="518"/>
      <c r="G29" s="123">
        <v>4642000000</v>
      </c>
      <c r="H29" s="124" t="s">
        <v>66</v>
      </c>
      <c r="I29" s="124" t="s">
        <v>66</v>
      </c>
      <c r="J29" s="129">
        <v>0</v>
      </c>
      <c r="K29" s="125"/>
      <c r="L29" s="301">
        <f t="shared" si="18"/>
        <v>150</v>
      </c>
      <c r="M29" s="302">
        <v>150</v>
      </c>
      <c r="N29" s="303"/>
      <c r="O29" s="304"/>
      <c r="P29" s="303"/>
      <c r="Q29" s="326">
        <v>3127</v>
      </c>
      <c r="R29" s="327">
        <v>6121</v>
      </c>
      <c r="S29" s="307">
        <v>0</v>
      </c>
      <c r="T29" s="27">
        <f t="shared" si="19"/>
        <v>0</v>
      </c>
      <c r="U29" s="28">
        <v>0</v>
      </c>
      <c r="V29" s="28"/>
      <c r="W29" s="29"/>
      <c r="X29" s="29"/>
      <c r="Y29" s="30">
        <f>(U29+V29)*1000</f>
        <v>0</v>
      </c>
      <c r="Z29" s="396">
        <f t="shared" si="2"/>
        <v>150</v>
      </c>
      <c r="AA29" s="397">
        <f t="shared" si="20"/>
        <v>150</v>
      </c>
      <c r="AB29" s="397">
        <f t="shared" si="20"/>
        <v>0</v>
      </c>
      <c r="AC29" s="397">
        <f t="shared" si="20"/>
        <v>0</v>
      </c>
      <c r="AD29" s="397">
        <f t="shared" si="31"/>
        <v>0</v>
      </c>
      <c r="AE29" s="398">
        <f t="shared" si="4"/>
        <v>0</v>
      </c>
      <c r="AF29" s="31">
        <f t="shared" si="21"/>
        <v>0</v>
      </c>
      <c r="AG29" s="28">
        <v>0</v>
      </c>
      <c r="AH29" s="28"/>
      <c r="AI29" s="28"/>
      <c r="AJ29" s="28"/>
      <c r="AK29" s="401">
        <f t="shared" si="6"/>
        <v>0</v>
      </c>
      <c r="AL29" s="397">
        <v>0</v>
      </c>
      <c r="AM29" s="397"/>
      <c r="AN29" s="397"/>
      <c r="AO29" s="402"/>
      <c r="AP29" s="32">
        <f t="shared" si="22"/>
        <v>0</v>
      </c>
      <c r="AQ29" s="28">
        <v>0</v>
      </c>
      <c r="AR29" s="28">
        <v>0</v>
      </c>
      <c r="AS29" s="401">
        <f t="shared" si="8"/>
        <v>0</v>
      </c>
      <c r="AT29" s="397">
        <v>0</v>
      </c>
      <c r="AU29" s="397"/>
      <c r="AV29" s="397">
        <v>0</v>
      </c>
      <c r="AW29" s="33">
        <f t="shared" si="9"/>
        <v>0</v>
      </c>
      <c r="AX29" s="28">
        <v>0</v>
      </c>
      <c r="AY29" s="28">
        <v>0</v>
      </c>
      <c r="AZ29" s="28">
        <v>0</v>
      </c>
      <c r="BA29" s="403">
        <f t="shared" si="10"/>
        <v>0</v>
      </c>
      <c r="BB29" s="397">
        <v>0</v>
      </c>
      <c r="BC29" s="397">
        <v>0</v>
      </c>
      <c r="BD29" s="397">
        <v>0</v>
      </c>
      <c r="BE29" s="34">
        <f t="shared" si="11"/>
        <v>0</v>
      </c>
      <c r="BF29" s="28">
        <v>0</v>
      </c>
      <c r="BG29" s="28">
        <v>0</v>
      </c>
      <c r="BH29" s="28">
        <v>0</v>
      </c>
      <c r="BI29" s="409">
        <f t="shared" si="12"/>
        <v>0</v>
      </c>
      <c r="BJ29" s="397">
        <f t="shared" si="27"/>
        <v>0</v>
      </c>
      <c r="BK29" s="397">
        <f t="shared" si="27"/>
        <v>0</v>
      </c>
      <c r="BL29" s="410">
        <f t="shared" si="27"/>
        <v>0</v>
      </c>
      <c r="BM29" s="454">
        <f t="shared" si="32"/>
        <v>0</v>
      </c>
      <c r="BN29" s="35">
        <f t="shared" ref="BN29" si="33">J29+L29+AF29+AP29+AW29+BE29+BM29</f>
        <v>150</v>
      </c>
      <c r="BO29" s="413">
        <f t="shared" si="30"/>
        <v>150</v>
      </c>
      <c r="BP29" s="36">
        <f t="shared" si="17"/>
        <v>0</v>
      </c>
      <c r="BQ29" s="38" t="s">
        <v>57</v>
      </c>
      <c r="BR29" s="467"/>
      <c r="BS29" s="55" t="s">
        <v>74</v>
      </c>
      <c r="BV29" s="70"/>
      <c r="BW29" s="70"/>
      <c r="BX29" s="70"/>
      <c r="BZ29" s="70"/>
      <c r="CC29" s="70"/>
      <c r="CD29" s="70"/>
      <c r="CE29" s="70"/>
      <c r="CG29" s="70"/>
      <c r="CH29" s="70"/>
    </row>
    <row r="30" spans="1:86" s="37" customFormat="1" ht="39.950000000000003" customHeight="1" x14ac:dyDescent="0.2">
      <c r="A30" s="489">
        <v>1</v>
      </c>
      <c r="B30" s="126" t="s">
        <v>65</v>
      </c>
      <c r="C30" s="21"/>
      <c r="D30" s="22"/>
      <c r="E30" s="23">
        <v>7</v>
      </c>
      <c r="F30" s="594" t="s">
        <v>154</v>
      </c>
      <c r="G30" s="131">
        <v>4393001101</v>
      </c>
      <c r="H30" s="132" t="s">
        <v>66</v>
      </c>
      <c r="I30" s="132" t="s">
        <v>66</v>
      </c>
      <c r="J30" s="129">
        <v>1984.4</v>
      </c>
      <c r="K30" s="125"/>
      <c r="L30" s="301">
        <f t="shared" si="18"/>
        <v>9865.6</v>
      </c>
      <c r="M30" s="302">
        <v>9865.6</v>
      </c>
      <c r="N30" s="303"/>
      <c r="O30" s="304"/>
      <c r="P30" s="303"/>
      <c r="Q30" s="326">
        <v>3121</v>
      </c>
      <c r="R30" s="327">
        <v>6351</v>
      </c>
      <c r="S30" s="307">
        <v>9865600</v>
      </c>
      <c r="T30" s="27">
        <f t="shared" si="19"/>
        <v>-9165.6</v>
      </c>
      <c r="U30" s="28">
        <v>-9165.6</v>
      </c>
      <c r="V30" s="28"/>
      <c r="W30" s="29"/>
      <c r="X30" s="29"/>
      <c r="Y30" s="30">
        <v>-9165600</v>
      </c>
      <c r="Z30" s="396">
        <f t="shared" si="2"/>
        <v>700</v>
      </c>
      <c r="AA30" s="397">
        <f t="shared" ref="AA30:AC58" si="34">M30+U30</f>
        <v>700</v>
      </c>
      <c r="AB30" s="397"/>
      <c r="AC30" s="397"/>
      <c r="AD30" s="397"/>
      <c r="AE30" s="398">
        <f>S30+Y30</f>
        <v>700000</v>
      </c>
      <c r="AF30" s="31">
        <f t="shared" si="21"/>
        <v>25000</v>
      </c>
      <c r="AG30" s="28">
        <v>25000</v>
      </c>
      <c r="AH30" s="28"/>
      <c r="AI30" s="28"/>
      <c r="AJ30" s="28"/>
      <c r="AK30" s="401">
        <f t="shared" si="6"/>
        <v>9165.6</v>
      </c>
      <c r="AL30" s="397">
        <v>9165.6</v>
      </c>
      <c r="AM30" s="397"/>
      <c r="AN30" s="397"/>
      <c r="AO30" s="402"/>
      <c r="AP30" s="32">
        <f t="shared" si="22"/>
        <v>0</v>
      </c>
      <c r="AQ30" s="28">
        <v>0</v>
      </c>
      <c r="AR30" s="28"/>
      <c r="AS30" s="401">
        <f t="shared" si="8"/>
        <v>25000</v>
      </c>
      <c r="AT30" s="397">
        <v>25000</v>
      </c>
      <c r="AU30" s="397"/>
      <c r="AV30" s="397"/>
      <c r="AW30" s="33">
        <f t="shared" si="9"/>
        <v>0</v>
      </c>
      <c r="AX30" s="28">
        <v>0</v>
      </c>
      <c r="AY30" s="28"/>
      <c r="AZ30" s="28"/>
      <c r="BA30" s="403">
        <f t="shared" si="10"/>
        <v>0</v>
      </c>
      <c r="BB30" s="397">
        <v>0</v>
      </c>
      <c r="BC30" s="397"/>
      <c r="BD30" s="397"/>
      <c r="BE30" s="34">
        <f t="shared" si="11"/>
        <v>0</v>
      </c>
      <c r="BF30" s="28">
        <v>0</v>
      </c>
      <c r="BG30" s="28"/>
      <c r="BH30" s="28"/>
      <c r="BI30" s="409">
        <f t="shared" si="12"/>
        <v>0</v>
      </c>
      <c r="BJ30" s="397">
        <f t="shared" si="27"/>
        <v>0</v>
      </c>
      <c r="BK30" s="397"/>
      <c r="BL30" s="410"/>
      <c r="BM30" s="454">
        <f t="shared" si="32"/>
        <v>0</v>
      </c>
      <c r="BN30" s="35">
        <f t="shared" ref="BN30:BN35" si="35">J30+L30+AF30+AP30+AW30+BE30+BM30</f>
        <v>36850</v>
      </c>
      <c r="BO30" s="413">
        <f t="shared" si="30"/>
        <v>36850</v>
      </c>
      <c r="BP30" s="36">
        <f t="shared" si="17"/>
        <v>0</v>
      </c>
      <c r="BQ30" s="38" t="s">
        <v>57</v>
      </c>
      <c r="BR30" s="595">
        <v>1</v>
      </c>
      <c r="BS30" s="37" t="s">
        <v>75</v>
      </c>
      <c r="BV30" s="70"/>
      <c r="BW30" s="70"/>
      <c r="BX30" s="70"/>
      <c r="BZ30" s="70"/>
      <c r="CC30" s="70"/>
      <c r="CD30" s="70"/>
      <c r="CE30" s="70"/>
      <c r="CG30" s="70"/>
      <c r="CH30" s="70"/>
    </row>
    <row r="31" spans="1:86" s="37" customFormat="1" ht="39.950000000000003" customHeight="1" x14ac:dyDescent="0.2">
      <c r="A31" s="490"/>
      <c r="B31" s="133" t="s">
        <v>65</v>
      </c>
      <c r="C31" s="21"/>
      <c r="D31" s="22"/>
      <c r="E31" s="23">
        <v>7</v>
      </c>
      <c r="F31" s="518"/>
      <c r="G31" s="131">
        <v>4393001101</v>
      </c>
      <c r="H31" s="132" t="s">
        <v>66</v>
      </c>
      <c r="I31" s="132" t="s">
        <v>66</v>
      </c>
      <c r="J31" s="129">
        <v>0</v>
      </c>
      <c r="K31" s="125"/>
      <c r="L31" s="301">
        <f t="shared" si="18"/>
        <v>150</v>
      </c>
      <c r="M31" s="302">
        <v>150</v>
      </c>
      <c r="N31" s="303"/>
      <c r="O31" s="304"/>
      <c r="P31" s="303"/>
      <c r="Q31" s="326">
        <v>3121</v>
      </c>
      <c r="R31" s="327">
        <v>6121</v>
      </c>
      <c r="S31" s="307">
        <v>0</v>
      </c>
      <c r="T31" s="27">
        <f t="shared" si="19"/>
        <v>0</v>
      </c>
      <c r="U31" s="28">
        <v>0</v>
      </c>
      <c r="V31" s="28"/>
      <c r="W31" s="29"/>
      <c r="X31" s="29"/>
      <c r="Y31" s="30">
        <v>0</v>
      </c>
      <c r="Z31" s="396">
        <f t="shared" si="2"/>
        <v>150</v>
      </c>
      <c r="AA31" s="397">
        <f t="shared" si="34"/>
        <v>150</v>
      </c>
      <c r="AB31" s="397"/>
      <c r="AC31" s="397"/>
      <c r="AD31" s="397"/>
      <c r="AE31" s="398">
        <f t="shared" si="4"/>
        <v>0</v>
      </c>
      <c r="AF31" s="31">
        <f t="shared" si="21"/>
        <v>0</v>
      </c>
      <c r="AG31" s="28">
        <v>0</v>
      </c>
      <c r="AH31" s="28"/>
      <c r="AI31" s="28"/>
      <c r="AJ31" s="28"/>
      <c r="AK31" s="401">
        <f t="shared" si="6"/>
        <v>0</v>
      </c>
      <c r="AL31" s="397">
        <v>0</v>
      </c>
      <c r="AM31" s="397"/>
      <c r="AN31" s="397"/>
      <c r="AO31" s="402"/>
      <c r="AP31" s="32">
        <f t="shared" si="22"/>
        <v>0</v>
      </c>
      <c r="AQ31" s="28">
        <v>0</v>
      </c>
      <c r="AR31" s="28"/>
      <c r="AS31" s="401">
        <f t="shared" si="8"/>
        <v>0</v>
      </c>
      <c r="AT31" s="397">
        <v>0</v>
      </c>
      <c r="AU31" s="397"/>
      <c r="AV31" s="397"/>
      <c r="AW31" s="33">
        <f t="shared" si="9"/>
        <v>0</v>
      </c>
      <c r="AX31" s="28">
        <v>0</v>
      </c>
      <c r="AY31" s="28"/>
      <c r="AZ31" s="28"/>
      <c r="BA31" s="403">
        <f t="shared" si="10"/>
        <v>0</v>
      </c>
      <c r="BB31" s="397">
        <v>0</v>
      </c>
      <c r="BC31" s="397"/>
      <c r="BD31" s="397"/>
      <c r="BE31" s="34">
        <f t="shared" si="11"/>
        <v>0</v>
      </c>
      <c r="BF31" s="28">
        <v>0</v>
      </c>
      <c r="BG31" s="28"/>
      <c r="BH31" s="28"/>
      <c r="BI31" s="409">
        <f t="shared" si="12"/>
        <v>0</v>
      </c>
      <c r="BJ31" s="397">
        <f t="shared" si="27"/>
        <v>0</v>
      </c>
      <c r="BK31" s="397"/>
      <c r="BL31" s="410"/>
      <c r="BM31" s="454">
        <f t="shared" si="32"/>
        <v>0</v>
      </c>
      <c r="BN31" s="35">
        <f t="shared" si="35"/>
        <v>150</v>
      </c>
      <c r="BO31" s="413">
        <f t="shared" si="30"/>
        <v>150</v>
      </c>
      <c r="BP31" s="36">
        <f t="shared" si="17"/>
        <v>0</v>
      </c>
      <c r="BQ31" s="38" t="s">
        <v>57</v>
      </c>
      <c r="BR31" s="467"/>
      <c r="BS31" s="37" t="s">
        <v>75</v>
      </c>
      <c r="BV31" s="70"/>
      <c r="BW31" s="70"/>
      <c r="BX31" s="70"/>
      <c r="CC31" s="70"/>
      <c r="CD31" s="70"/>
      <c r="CE31" s="70"/>
      <c r="CG31" s="70"/>
      <c r="CH31" s="70"/>
    </row>
    <row r="32" spans="1:86" s="37" customFormat="1" ht="39.950000000000003" customHeight="1" x14ac:dyDescent="0.2">
      <c r="A32" s="489">
        <v>1</v>
      </c>
      <c r="B32" s="133" t="s">
        <v>65</v>
      </c>
      <c r="C32" s="21"/>
      <c r="D32" s="22"/>
      <c r="E32" s="23">
        <v>7</v>
      </c>
      <c r="F32" s="596" t="s">
        <v>155</v>
      </c>
      <c r="G32" s="134">
        <v>4401001102</v>
      </c>
      <c r="H32" s="135" t="s">
        <v>66</v>
      </c>
      <c r="I32" s="135" t="s">
        <v>66</v>
      </c>
      <c r="J32" s="136">
        <v>0</v>
      </c>
      <c r="K32" s="137"/>
      <c r="L32" s="301">
        <f t="shared" si="18"/>
        <v>15850</v>
      </c>
      <c r="M32" s="302">
        <v>15850</v>
      </c>
      <c r="N32" s="303"/>
      <c r="O32" s="304"/>
      <c r="P32" s="303"/>
      <c r="Q32" s="326">
        <v>3121</v>
      </c>
      <c r="R32" s="327">
        <v>6351</v>
      </c>
      <c r="S32" s="307">
        <v>15850000</v>
      </c>
      <c r="T32" s="27">
        <f t="shared" si="19"/>
        <v>-14727.55</v>
      </c>
      <c r="U32" s="28">
        <v>-14727.55</v>
      </c>
      <c r="V32" s="28"/>
      <c r="W32" s="29"/>
      <c r="X32" s="29"/>
      <c r="Y32" s="30">
        <v>-14727550</v>
      </c>
      <c r="Z32" s="396">
        <f t="shared" si="2"/>
        <v>1122.4500000000007</v>
      </c>
      <c r="AA32" s="397">
        <f t="shared" si="34"/>
        <v>1122.4500000000007</v>
      </c>
      <c r="AB32" s="397"/>
      <c r="AC32" s="397"/>
      <c r="AD32" s="397"/>
      <c r="AE32" s="398">
        <f>S32+Y32</f>
        <v>1122450</v>
      </c>
      <c r="AF32" s="31">
        <f t="shared" si="21"/>
        <v>10000</v>
      </c>
      <c r="AG32" s="28">
        <v>10000</v>
      </c>
      <c r="AH32" s="28"/>
      <c r="AI32" s="28"/>
      <c r="AJ32" s="28"/>
      <c r="AK32" s="401">
        <f t="shared" si="6"/>
        <v>17000</v>
      </c>
      <c r="AL32" s="397">
        <v>17000</v>
      </c>
      <c r="AM32" s="397"/>
      <c r="AN32" s="397"/>
      <c r="AO32" s="402"/>
      <c r="AP32" s="32">
        <f t="shared" si="22"/>
        <v>0</v>
      </c>
      <c r="AQ32" s="28">
        <v>0</v>
      </c>
      <c r="AR32" s="28"/>
      <c r="AS32" s="401">
        <f t="shared" si="8"/>
        <v>7727.55</v>
      </c>
      <c r="AT32" s="397">
        <f>10000-2272.45</f>
        <v>7727.55</v>
      </c>
      <c r="AU32" s="397"/>
      <c r="AV32" s="397"/>
      <c r="AW32" s="33">
        <f t="shared" si="9"/>
        <v>0</v>
      </c>
      <c r="AX32" s="28">
        <v>0</v>
      </c>
      <c r="AY32" s="28"/>
      <c r="AZ32" s="28"/>
      <c r="BA32" s="403">
        <f t="shared" si="10"/>
        <v>0</v>
      </c>
      <c r="BB32" s="397">
        <v>0</v>
      </c>
      <c r="BC32" s="397"/>
      <c r="BD32" s="397"/>
      <c r="BE32" s="34">
        <f t="shared" si="11"/>
        <v>0</v>
      </c>
      <c r="BF32" s="28">
        <v>0</v>
      </c>
      <c r="BG32" s="28"/>
      <c r="BH32" s="28"/>
      <c r="BI32" s="409">
        <f t="shared" si="12"/>
        <v>0</v>
      </c>
      <c r="BJ32" s="397">
        <f t="shared" si="27"/>
        <v>0</v>
      </c>
      <c r="BK32" s="397"/>
      <c r="BL32" s="410"/>
      <c r="BM32" s="454">
        <f t="shared" si="32"/>
        <v>0</v>
      </c>
      <c r="BN32" s="35">
        <f t="shared" si="35"/>
        <v>25850</v>
      </c>
      <c r="BO32" s="413">
        <f t="shared" si="30"/>
        <v>25850</v>
      </c>
      <c r="BP32" s="36">
        <f t="shared" si="17"/>
        <v>0</v>
      </c>
      <c r="BQ32" s="38" t="s">
        <v>57</v>
      </c>
      <c r="BR32" s="597">
        <v>1</v>
      </c>
      <c r="BS32" s="37" t="s">
        <v>75</v>
      </c>
      <c r="BV32" s="70"/>
      <c r="BW32" s="70"/>
      <c r="BX32" s="70"/>
      <c r="BZ32" s="70"/>
      <c r="CC32" s="70"/>
      <c r="CD32" s="70"/>
      <c r="CE32" s="70"/>
      <c r="CG32" s="70"/>
      <c r="CH32" s="70"/>
    </row>
    <row r="33" spans="1:86" s="37" customFormat="1" ht="39.950000000000003" customHeight="1" x14ac:dyDescent="0.2">
      <c r="A33" s="490"/>
      <c r="B33" s="138" t="s">
        <v>65</v>
      </c>
      <c r="C33" s="21"/>
      <c r="D33" s="22"/>
      <c r="E33" s="23">
        <v>7</v>
      </c>
      <c r="F33" s="518"/>
      <c r="G33" s="134">
        <v>4401000000</v>
      </c>
      <c r="H33" s="132" t="s">
        <v>66</v>
      </c>
      <c r="I33" s="132" t="s">
        <v>66</v>
      </c>
      <c r="J33" s="129">
        <v>0</v>
      </c>
      <c r="K33" s="125"/>
      <c r="L33" s="301">
        <f t="shared" si="18"/>
        <v>150</v>
      </c>
      <c r="M33" s="302">
        <v>150</v>
      </c>
      <c r="N33" s="303"/>
      <c r="O33" s="304"/>
      <c r="P33" s="303"/>
      <c r="Q33" s="326">
        <v>3121</v>
      </c>
      <c r="R33" s="327">
        <v>6121</v>
      </c>
      <c r="S33" s="307">
        <v>0</v>
      </c>
      <c r="T33" s="27">
        <f t="shared" si="19"/>
        <v>0</v>
      </c>
      <c r="U33" s="28">
        <v>0</v>
      </c>
      <c r="V33" s="28"/>
      <c r="W33" s="29"/>
      <c r="X33" s="29"/>
      <c r="Y33" s="30">
        <v>0</v>
      </c>
      <c r="Z33" s="396">
        <f t="shared" si="2"/>
        <v>150</v>
      </c>
      <c r="AA33" s="397">
        <f t="shared" si="34"/>
        <v>150</v>
      </c>
      <c r="AB33" s="397"/>
      <c r="AC33" s="397"/>
      <c r="AD33" s="397"/>
      <c r="AE33" s="398">
        <f t="shared" si="4"/>
        <v>0</v>
      </c>
      <c r="AF33" s="31">
        <f t="shared" si="21"/>
        <v>0</v>
      </c>
      <c r="AG33" s="28">
        <v>0</v>
      </c>
      <c r="AH33" s="28"/>
      <c r="AI33" s="28"/>
      <c r="AJ33" s="28"/>
      <c r="AK33" s="401">
        <f t="shared" si="6"/>
        <v>0</v>
      </c>
      <c r="AL33" s="397">
        <v>0</v>
      </c>
      <c r="AM33" s="397"/>
      <c r="AN33" s="397"/>
      <c r="AO33" s="402"/>
      <c r="AP33" s="32">
        <f t="shared" si="22"/>
        <v>0</v>
      </c>
      <c r="AQ33" s="28">
        <v>0</v>
      </c>
      <c r="AR33" s="28"/>
      <c r="AS33" s="401">
        <f t="shared" si="8"/>
        <v>0</v>
      </c>
      <c r="AT33" s="397">
        <v>0</v>
      </c>
      <c r="AU33" s="397"/>
      <c r="AV33" s="397"/>
      <c r="AW33" s="33">
        <f t="shared" si="9"/>
        <v>0</v>
      </c>
      <c r="AX33" s="28">
        <v>0</v>
      </c>
      <c r="AY33" s="28"/>
      <c r="AZ33" s="28"/>
      <c r="BA33" s="403">
        <f t="shared" si="10"/>
        <v>0</v>
      </c>
      <c r="BB33" s="397">
        <v>0</v>
      </c>
      <c r="BC33" s="397"/>
      <c r="BD33" s="397"/>
      <c r="BE33" s="34">
        <f t="shared" si="11"/>
        <v>0</v>
      </c>
      <c r="BF33" s="28">
        <v>0</v>
      </c>
      <c r="BG33" s="28"/>
      <c r="BH33" s="28"/>
      <c r="BI33" s="409">
        <f t="shared" si="12"/>
        <v>0</v>
      </c>
      <c r="BJ33" s="397">
        <f t="shared" si="27"/>
        <v>0</v>
      </c>
      <c r="BK33" s="397"/>
      <c r="BL33" s="410"/>
      <c r="BM33" s="454">
        <f t="shared" si="32"/>
        <v>0</v>
      </c>
      <c r="BN33" s="35">
        <f t="shared" si="35"/>
        <v>150</v>
      </c>
      <c r="BO33" s="413">
        <f t="shared" si="30"/>
        <v>150</v>
      </c>
      <c r="BP33" s="36">
        <f t="shared" si="17"/>
        <v>0</v>
      </c>
      <c r="BQ33" s="38" t="s">
        <v>57</v>
      </c>
      <c r="BR33" s="467"/>
      <c r="BS33" s="37" t="s">
        <v>75</v>
      </c>
      <c r="BV33" s="70"/>
      <c r="BW33" s="70"/>
      <c r="BX33" s="70"/>
      <c r="CC33" s="70"/>
      <c r="CD33" s="70"/>
      <c r="CE33" s="70"/>
      <c r="CG33" s="70"/>
      <c r="CH33" s="70"/>
    </row>
    <row r="34" spans="1:86" s="37" customFormat="1" ht="39.950000000000003" customHeight="1" x14ac:dyDescent="0.2">
      <c r="A34" s="77">
        <v>1</v>
      </c>
      <c r="B34" s="138" t="s">
        <v>65</v>
      </c>
      <c r="C34" s="21"/>
      <c r="D34" s="22"/>
      <c r="E34" s="23">
        <v>7</v>
      </c>
      <c r="F34" s="43" t="s">
        <v>156</v>
      </c>
      <c r="G34" s="134">
        <v>4364001911</v>
      </c>
      <c r="H34" s="132" t="s">
        <v>66</v>
      </c>
      <c r="I34" s="132" t="s">
        <v>66</v>
      </c>
      <c r="J34" s="129">
        <v>0</v>
      </c>
      <c r="K34" s="125"/>
      <c r="L34" s="301">
        <f t="shared" si="18"/>
        <v>6300</v>
      </c>
      <c r="M34" s="302">
        <v>6300</v>
      </c>
      <c r="N34" s="303"/>
      <c r="O34" s="304"/>
      <c r="P34" s="303"/>
      <c r="Q34" s="326">
        <v>3133</v>
      </c>
      <c r="R34" s="327">
        <v>6351</v>
      </c>
      <c r="S34" s="307">
        <v>6300000</v>
      </c>
      <c r="T34" s="27">
        <f t="shared" si="19"/>
        <v>-5700</v>
      </c>
      <c r="U34" s="28">
        <v>-5700</v>
      </c>
      <c r="V34" s="28"/>
      <c r="W34" s="29"/>
      <c r="X34" s="29"/>
      <c r="Y34" s="30">
        <v>-5700000</v>
      </c>
      <c r="Z34" s="396">
        <f t="shared" si="2"/>
        <v>600</v>
      </c>
      <c r="AA34" s="397">
        <f t="shared" si="34"/>
        <v>600</v>
      </c>
      <c r="AB34" s="397"/>
      <c r="AC34" s="397"/>
      <c r="AD34" s="397"/>
      <c r="AE34" s="398">
        <f>S34+Y34</f>
        <v>600000</v>
      </c>
      <c r="AF34" s="31">
        <f t="shared" si="21"/>
        <v>0</v>
      </c>
      <c r="AG34" s="28">
        <v>0</v>
      </c>
      <c r="AH34" s="28"/>
      <c r="AI34" s="28"/>
      <c r="AJ34" s="28"/>
      <c r="AK34" s="401">
        <f t="shared" si="6"/>
        <v>100</v>
      </c>
      <c r="AL34" s="397">
        <v>100</v>
      </c>
      <c r="AM34" s="397"/>
      <c r="AN34" s="397"/>
      <c r="AO34" s="402"/>
      <c r="AP34" s="32">
        <f t="shared" si="22"/>
        <v>0</v>
      </c>
      <c r="AQ34" s="28">
        <v>0</v>
      </c>
      <c r="AR34" s="28"/>
      <c r="AS34" s="401">
        <f t="shared" si="8"/>
        <v>5600</v>
      </c>
      <c r="AT34" s="397">
        <v>5600</v>
      </c>
      <c r="AU34" s="397"/>
      <c r="AV34" s="397"/>
      <c r="AW34" s="33">
        <f t="shared" si="9"/>
        <v>0</v>
      </c>
      <c r="AX34" s="28">
        <v>0</v>
      </c>
      <c r="AY34" s="28"/>
      <c r="AZ34" s="28"/>
      <c r="BA34" s="403">
        <f t="shared" si="10"/>
        <v>0</v>
      </c>
      <c r="BB34" s="397">
        <v>0</v>
      </c>
      <c r="BC34" s="397"/>
      <c r="BD34" s="397"/>
      <c r="BE34" s="34">
        <f t="shared" si="11"/>
        <v>0</v>
      </c>
      <c r="BF34" s="28">
        <v>0</v>
      </c>
      <c r="BG34" s="28"/>
      <c r="BH34" s="28"/>
      <c r="BI34" s="409">
        <f t="shared" si="12"/>
        <v>0</v>
      </c>
      <c r="BJ34" s="397">
        <f t="shared" si="27"/>
        <v>0</v>
      </c>
      <c r="BK34" s="397"/>
      <c r="BL34" s="410"/>
      <c r="BM34" s="454">
        <v>500</v>
      </c>
      <c r="BN34" s="35">
        <f t="shared" si="35"/>
        <v>6800</v>
      </c>
      <c r="BO34" s="413">
        <f t="shared" si="30"/>
        <v>6800</v>
      </c>
      <c r="BP34" s="36">
        <f t="shared" si="17"/>
        <v>0</v>
      </c>
      <c r="BQ34" s="38" t="s">
        <v>57</v>
      </c>
      <c r="BR34" s="41">
        <v>1</v>
      </c>
      <c r="BS34" s="37" t="s">
        <v>59</v>
      </c>
      <c r="BV34" s="70"/>
      <c r="BW34" s="70"/>
      <c r="BX34" s="70"/>
      <c r="BZ34" s="70"/>
      <c r="CC34" s="70"/>
      <c r="CD34" s="70"/>
      <c r="CE34" s="70"/>
      <c r="CG34" s="70"/>
      <c r="CH34" s="70"/>
    </row>
    <row r="35" spans="1:86" s="37" customFormat="1" ht="39.950000000000003" customHeight="1" x14ac:dyDescent="0.2">
      <c r="A35" s="489">
        <v>1</v>
      </c>
      <c r="B35" s="138" t="s">
        <v>65</v>
      </c>
      <c r="C35" s="21"/>
      <c r="D35" s="22"/>
      <c r="E35" s="23">
        <v>7</v>
      </c>
      <c r="F35" s="579" t="s">
        <v>157</v>
      </c>
      <c r="G35" s="139">
        <v>5879000000</v>
      </c>
      <c r="H35" s="588">
        <v>75000</v>
      </c>
      <c r="I35" s="590" t="s">
        <v>76</v>
      </c>
      <c r="J35" s="592">
        <v>2046.14977</v>
      </c>
      <c r="K35" s="140"/>
      <c r="L35" s="301">
        <f t="shared" si="18"/>
        <v>14069.10023</v>
      </c>
      <c r="M35" s="302">
        <f>24219.10023-10000-150</f>
        <v>14069.10023</v>
      </c>
      <c r="N35" s="303"/>
      <c r="O35" s="304"/>
      <c r="P35" s="303"/>
      <c r="Q35" s="328">
        <v>3114</v>
      </c>
      <c r="R35" s="329">
        <v>6121</v>
      </c>
      <c r="S35" s="307">
        <v>0</v>
      </c>
      <c r="T35" s="27">
        <f t="shared" si="19"/>
        <v>-7000</v>
      </c>
      <c r="U35" s="28">
        <v>-7000</v>
      </c>
      <c r="V35" s="28"/>
      <c r="W35" s="29"/>
      <c r="X35" s="29"/>
      <c r="Y35" s="30">
        <v>0</v>
      </c>
      <c r="Z35" s="396">
        <f t="shared" si="2"/>
        <v>7069.10023</v>
      </c>
      <c r="AA35" s="397">
        <f t="shared" si="34"/>
        <v>7069.10023</v>
      </c>
      <c r="AB35" s="397">
        <f>N35+V35</f>
        <v>0</v>
      </c>
      <c r="AC35" s="397">
        <f>O35+W35</f>
        <v>0</v>
      </c>
      <c r="AD35" s="397">
        <f t="shared" si="31"/>
        <v>0</v>
      </c>
      <c r="AE35" s="398">
        <f t="shared" si="4"/>
        <v>0</v>
      </c>
      <c r="AF35" s="31">
        <f t="shared" si="21"/>
        <v>47735</v>
      </c>
      <c r="AG35" s="28">
        <f>37735+10000</f>
        <v>47735</v>
      </c>
      <c r="AH35" s="28"/>
      <c r="AI35" s="28"/>
      <c r="AJ35" s="28"/>
      <c r="AK35" s="401">
        <f t="shared" si="6"/>
        <v>54735</v>
      </c>
      <c r="AL35" s="397">
        <v>54735</v>
      </c>
      <c r="AM35" s="397"/>
      <c r="AN35" s="397"/>
      <c r="AO35" s="402">
        <v>0</v>
      </c>
      <c r="AP35" s="32">
        <f t="shared" si="22"/>
        <v>0</v>
      </c>
      <c r="AQ35" s="28">
        <v>0</v>
      </c>
      <c r="AR35" s="28">
        <v>0</v>
      </c>
      <c r="AS35" s="401">
        <f t="shared" si="8"/>
        <v>0</v>
      </c>
      <c r="AT35" s="397">
        <v>0</v>
      </c>
      <c r="AU35" s="397"/>
      <c r="AV35" s="397">
        <v>0</v>
      </c>
      <c r="AW35" s="33">
        <f t="shared" si="9"/>
        <v>0</v>
      </c>
      <c r="AX35" s="28">
        <v>0</v>
      </c>
      <c r="AY35" s="28"/>
      <c r="AZ35" s="28"/>
      <c r="BA35" s="403">
        <f t="shared" si="10"/>
        <v>0</v>
      </c>
      <c r="BB35" s="397">
        <v>0</v>
      </c>
      <c r="BC35" s="397"/>
      <c r="BD35" s="397"/>
      <c r="BE35" s="34">
        <f t="shared" si="11"/>
        <v>0</v>
      </c>
      <c r="BF35" s="28">
        <v>0</v>
      </c>
      <c r="BG35" s="28"/>
      <c r="BH35" s="28"/>
      <c r="BI35" s="409">
        <f t="shared" si="12"/>
        <v>0</v>
      </c>
      <c r="BJ35" s="397">
        <f t="shared" si="27"/>
        <v>0</v>
      </c>
      <c r="BK35" s="397"/>
      <c r="BL35" s="410"/>
      <c r="BM35" s="454">
        <f t="shared" si="32"/>
        <v>0</v>
      </c>
      <c r="BN35" s="35">
        <f t="shared" si="35"/>
        <v>63850.25</v>
      </c>
      <c r="BO35" s="413">
        <f t="shared" si="30"/>
        <v>63850.25</v>
      </c>
      <c r="BP35" s="36">
        <f t="shared" si="17"/>
        <v>0</v>
      </c>
      <c r="BQ35" s="38" t="s">
        <v>77</v>
      </c>
      <c r="BR35" s="585">
        <v>1</v>
      </c>
      <c r="BS35" s="37" t="s">
        <v>78</v>
      </c>
      <c r="BV35" s="70"/>
      <c r="BW35" s="70"/>
      <c r="BX35" s="70"/>
      <c r="BZ35" s="70"/>
      <c r="CC35" s="70"/>
      <c r="CD35" s="70"/>
      <c r="CE35" s="70"/>
      <c r="CG35" s="70"/>
      <c r="CH35" s="70"/>
    </row>
    <row r="36" spans="1:86" s="37" customFormat="1" ht="39.950000000000003" customHeight="1" x14ac:dyDescent="0.2">
      <c r="A36" s="586"/>
      <c r="B36" s="141" t="s">
        <v>65</v>
      </c>
      <c r="C36" s="21"/>
      <c r="D36" s="22"/>
      <c r="E36" s="23">
        <v>7</v>
      </c>
      <c r="F36" s="587"/>
      <c r="G36" s="139">
        <v>5879001121</v>
      </c>
      <c r="H36" s="481"/>
      <c r="I36" s="484"/>
      <c r="J36" s="487"/>
      <c r="K36" s="142"/>
      <c r="L36" s="301">
        <f t="shared" si="18"/>
        <v>1300</v>
      </c>
      <c r="M36" s="302">
        <v>1300</v>
      </c>
      <c r="N36" s="303"/>
      <c r="O36" s="304"/>
      <c r="P36" s="303"/>
      <c r="Q36" s="328">
        <v>3121</v>
      </c>
      <c r="R36" s="329">
        <v>6351</v>
      </c>
      <c r="S36" s="307">
        <v>1300000</v>
      </c>
      <c r="T36" s="27">
        <f t="shared" si="19"/>
        <v>0</v>
      </c>
      <c r="U36" s="28">
        <v>0</v>
      </c>
      <c r="V36" s="28"/>
      <c r="W36" s="29"/>
      <c r="X36" s="29"/>
      <c r="Y36" s="30">
        <f t="shared" ref="Y36:Y37" si="36">(U36+V36)*1000</f>
        <v>0</v>
      </c>
      <c r="Z36" s="396">
        <f t="shared" si="2"/>
        <v>1300</v>
      </c>
      <c r="AA36" s="397">
        <f t="shared" si="34"/>
        <v>1300</v>
      </c>
      <c r="AB36" s="397"/>
      <c r="AC36" s="397"/>
      <c r="AD36" s="397"/>
      <c r="AE36" s="398">
        <f>S36+Y36</f>
        <v>1300000</v>
      </c>
      <c r="AF36" s="31">
        <f t="shared" si="21"/>
        <v>0</v>
      </c>
      <c r="AG36" s="28">
        <v>0</v>
      </c>
      <c r="AH36" s="28"/>
      <c r="AI36" s="28"/>
      <c r="AJ36" s="28"/>
      <c r="AK36" s="401">
        <f t="shared" si="6"/>
        <v>0</v>
      </c>
      <c r="AL36" s="397">
        <v>0</v>
      </c>
      <c r="AM36" s="397"/>
      <c r="AN36" s="397"/>
      <c r="AO36" s="402"/>
      <c r="AP36" s="32">
        <f t="shared" si="22"/>
        <v>0</v>
      </c>
      <c r="AQ36" s="28">
        <v>0</v>
      </c>
      <c r="AR36" s="28">
        <v>0</v>
      </c>
      <c r="AS36" s="401">
        <f t="shared" si="8"/>
        <v>0</v>
      </c>
      <c r="AT36" s="397">
        <v>0</v>
      </c>
      <c r="AU36" s="397"/>
      <c r="AV36" s="397">
        <v>0</v>
      </c>
      <c r="AW36" s="33">
        <f t="shared" si="9"/>
        <v>0</v>
      </c>
      <c r="AX36" s="28">
        <v>0</v>
      </c>
      <c r="AY36" s="28"/>
      <c r="AZ36" s="28"/>
      <c r="BA36" s="403">
        <f t="shared" si="10"/>
        <v>0</v>
      </c>
      <c r="BB36" s="397">
        <v>0</v>
      </c>
      <c r="BC36" s="397"/>
      <c r="BD36" s="397"/>
      <c r="BE36" s="34">
        <f t="shared" si="11"/>
        <v>0</v>
      </c>
      <c r="BF36" s="28">
        <v>0</v>
      </c>
      <c r="BG36" s="28"/>
      <c r="BH36" s="28"/>
      <c r="BI36" s="409">
        <f t="shared" si="12"/>
        <v>0</v>
      </c>
      <c r="BJ36" s="397">
        <f t="shared" ref="BJ36:BJ48" si="37">BF36</f>
        <v>0</v>
      </c>
      <c r="BK36" s="397"/>
      <c r="BL36" s="410"/>
      <c r="BM36" s="454">
        <f t="shared" si="32"/>
        <v>0</v>
      </c>
      <c r="BN36" s="35">
        <f t="shared" ref="BN36:BN59" si="38">J36+L36+AF36+AP36+AW36+BE36+BM36</f>
        <v>1300</v>
      </c>
      <c r="BO36" s="413">
        <f t="shared" si="30"/>
        <v>1300</v>
      </c>
      <c r="BP36" s="36">
        <f t="shared" si="17"/>
        <v>0</v>
      </c>
      <c r="BQ36" s="38" t="s">
        <v>57</v>
      </c>
      <c r="BR36" s="466"/>
      <c r="BS36" s="37" t="s">
        <v>78</v>
      </c>
      <c r="BV36" s="70"/>
      <c r="BW36" s="70"/>
      <c r="BX36" s="70"/>
      <c r="CC36" s="70"/>
      <c r="CD36" s="70"/>
      <c r="CE36" s="70"/>
      <c r="CG36" s="70"/>
      <c r="CH36" s="70"/>
    </row>
    <row r="37" spans="1:86" s="37" customFormat="1" ht="39.950000000000003" customHeight="1" x14ac:dyDescent="0.2">
      <c r="A37" s="490"/>
      <c r="B37" s="141" t="s">
        <v>65</v>
      </c>
      <c r="C37" s="21"/>
      <c r="D37" s="22"/>
      <c r="E37" s="23">
        <v>7</v>
      </c>
      <c r="F37" s="492"/>
      <c r="G37" s="139">
        <v>5879000000</v>
      </c>
      <c r="H37" s="589"/>
      <c r="I37" s="591"/>
      <c r="J37" s="593"/>
      <c r="K37" s="142"/>
      <c r="L37" s="301">
        <f t="shared" si="18"/>
        <v>150</v>
      </c>
      <c r="M37" s="302">
        <v>150</v>
      </c>
      <c r="N37" s="303"/>
      <c r="O37" s="304"/>
      <c r="P37" s="303"/>
      <c r="Q37" s="328">
        <v>3121</v>
      </c>
      <c r="R37" s="329">
        <v>5171</v>
      </c>
      <c r="S37" s="307">
        <v>0</v>
      </c>
      <c r="T37" s="27">
        <f t="shared" si="19"/>
        <v>0</v>
      </c>
      <c r="U37" s="28">
        <v>0</v>
      </c>
      <c r="V37" s="28"/>
      <c r="W37" s="29"/>
      <c r="X37" s="29"/>
      <c r="Y37" s="30">
        <f t="shared" si="36"/>
        <v>0</v>
      </c>
      <c r="Z37" s="396">
        <f t="shared" si="2"/>
        <v>150</v>
      </c>
      <c r="AA37" s="397">
        <f t="shared" si="34"/>
        <v>150</v>
      </c>
      <c r="AB37" s="397"/>
      <c r="AC37" s="397"/>
      <c r="AD37" s="397"/>
      <c r="AE37" s="398">
        <f t="shared" si="4"/>
        <v>0</v>
      </c>
      <c r="AF37" s="31">
        <f t="shared" si="21"/>
        <v>0</v>
      </c>
      <c r="AG37" s="28">
        <v>0</v>
      </c>
      <c r="AH37" s="28"/>
      <c r="AI37" s="28"/>
      <c r="AJ37" s="28"/>
      <c r="AK37" s="401">
        <f t="shared" si="6"/>
        <v>0</v>
      </c>
      <c r="AL37" s="397">
        <v>0</v>
      </c>
      <c r="AM37" s="397"/>
      <c r="AN37" s="397"/>
      <c r="AO37" s="402"/>
      <c r="AP37" s="32">
        <f t="shared" si="22"/>
        <v>0</v>
      </c>
      <c r="AQ37" s="28">
        <v>0</v>
      </c>
      <c r="AR37" s="28">
        <v>0</v>
      </c>
      <c r="AS37" s="401">
        <f t="shared" si="8"/>
        <v>0</v>
      </c>
      <c r="AT37" s="397">
        <v>0</v>
      </c>
      <c r="AU37" s="397"/>
      <c r="AV37" s="397">
        <v>0</v>
      </c>
      <c r="AW37" s="33">
        <f t="shared" si="9"/>
        <v>0</v>
      </c>
      <c r="AX37" s="28">
        <v>0</v>
      </c>
      <c r="AY37" s="28"/>
      <c r="AZ37" s="28"/>
      <c r="BA37" s="403">
        <f t="shared" si="10"/>
        <v>0</v>
      </c>
      <c r="BB37" s="397">
        <v>0</v>
      </c>
      <c r="BC37" s="397"/>
      <c r="BD37" s="397"/>
      <c r="BE37" s="34">
        <f t="shared" si="11"/>
        <v>0</v>
      </c>
      <c r="BF37" s="28">
        <v>0</v>
      </c>
      <c r="BG37" s="28"/>
      <c r="BH37" s="28"/>
      <c r="BI37" s="409">
        <f t="shared" si="12"/>
        <v>0</v>
      </c>
      <c r="BJ37" s="397">
        <f t="shared" si="37"/>
        <v>0</v>
      </c>
      <c r="BK37" s="397"/>
      <c r="BL37" s="410"/>
      <c r="BM37" s="454">
        <f t="shared" si="32"/>
        <v>0</v>
      </c>
      <c r="BN37" s="35">
        <f t="shared" si="38"/>
        <v>150</v>
      </c>
      <c r="BO37" s="413">
        <f t="shared" si="30"/>
        <v>150</v>
      </c>
      <c r="BP37" s="36">
        <f t="shared" si="17"/>
        <v>0</v>
      </c>
      <c r="BQ37" s="38" t="s">
        <v>57</v>
      </c>
      <c r="BR37" s="467"/>
      <c r="BS37" s="37" t="s">
        <v>78</v>
      </c>
      <c r="BV37" s="70"/>
      <c r="BW37" s="70"/>
      <c r="BX37" s="70"/>
      <c r="CC37" s="70"/>
      <c r="CD37" s="70"/>
      <c r="CE37" s="70"/>
      <c r="CG37" s="70"/>
      <c r="CH37" s="70"/>
    </row>
    <row r="38" spans="1:86" s="37" customFormat="1" ht="39.950000000000003" customHeight="1" x14ac:dyDescent="0.2">
      <c r="A38" s="77">
        <v>1</v>
      </c>
      <c r="B38" s="138" t="s">
        <v>65</v>
      </c>
      <c r="C38" s="21"/>
      <c r="D38" s="22"/>
      <c r="E38" s="23">
        <v>7</v>
      </c>
      <c r="F38" s="43" t="s">
        <v>158</v>
      </c>
      <c r="G38" s="134">
        <v>5868000000</v>
      </c>
      <c r="H38" s="24">
        <v>80000</v>
      </c>
      <c r="I38" s="25" t="s">
        <v>56</v>
      </c>
      <c r="J38" s="129">
        <v>5449.4925000000003</v>
      </c>
      <c r="K38" s="125"/>
      <c r="L38" s="301">
        <f t="shared" si="18"/>
        <v>25011.49</v>
      </c>
      <c r="M38" s="302">
        <f>25011.49</f>
        <v>25011.49</v>
      </c>
      <c r="N38" s="303"/>
      <c r="O38" s="304"/>
      <c r="P38" s="303"/>
      <c r="Q38" s="326">
        <v>3122</v>
      </c>
      <c r="R38" s="327">
        <v>6121</v>
      </c>
      <c r="S38" s="307">
        <v>0</v>
      </c>
      <c r="T38" s="27">
        <f t="shared" si="19"/>
        <v>-24000</v>
      </c>
      <c r="U38" s="28">
        <v>-24000</v>
      </c>
      <c r="V38" s="28"/>
      <c r="W38" s="29"/>
      <c r="X38" s="29"/>
      <c r="Y38" s="30">
        <v>0</v>
      </c>
      <c r="Z38" s="396">
        <f t="shared" si="2"/>
        <v>1011.4900000000016</v>
      </c>
      <c r="AA38" s="397">
        <f t="shared" si="34"/>
        <v>1011.4900000000016</v>
      </c>
      <c r="AB38" s="397">
        <f>N38+V38</f>
        <v>0</v>
      </c>
      <c r="AC38" s="397">
        <f>O38+W38</f>
        <v>0</v>
      </c>
      <c r="AD38" s="397">
        <f t="shared" ref="AD38:AD40" si="39">X38</f>
        <v>0</v>
      </c>
      <c r="AE38" s="398">
        <f t="shared" si="4"/>
        <v>0</v>
      </c>
      <c r="AF38" s="31">
        <f t="shared" si="21"/>
        <v>41539</v>
      </c>
      <c r="AG38" s="28">
        <v>41539</v>
      </c>
      <c r="AH38" s="28"/>
      <c r="AI38" s="28"/>
      <c r="AJ38" s="28"/>
      <c r="AK38" s="401">
        <f t="shared" si="6"/>
        <v>41539</v>
      </c>
      <c r="AL38" s="397">
        <v>41539</v>
      </c>
      <c r="AM38" s="397"/>
      <c r="AN38" s="397"/>
      <c r="AO38" s="402">
        <v>0</v>
      </c>
      <c r="AP38" s="32">
        <f t="shared" si="22"/>
        <v>0</v>
      </c>
      <c r="AQ38" s="28">
        <v>0</v>
      </c>
      <c r="AR38" s="28">
        <v>0</v>
      </c>
      <c r="AS38" s="401">
        <f t="shared" si="8"/>
        <v>24000</v>
      </c>
      <c r="AT38" s="397">
        <v>24000</v>
      </c>
      <c r="AU38" s="397"/>
      <c r="AV38" s="397"/>
      <c r="AW38" s="33">
        <f t="shared" si="9"/>
        <v>0</v>
      </c>
      <c r="AX38" s="28">
        <v>0</v>
      </c>
      <c r="AY38" s="28"/>
      <c r="AZ38" s="28"/>
      <c r="BA38" s="403">
        <f t="shared" si="10"/>
        <v>0</v>
      </c>
      <c r="BB38" s="397">
        <v>0</v>
      </c>
      <c r="BC38" s="397"/>
      <c r="BD38" s="397"/>
      <c r="BE38" s="34">
        <f t="shared" si="11"/>
        <v>0</v>
      </c>
      <c r="BF38" s="28">
        <v>0</v>
      </c>
      <c r="BG38" s="28"/>
      <c r="BH38" s="28"/>
      <c r="BI38" s="409">
        <f t="shared" si="12"/>
        <v>0</v>
      </c>
      <c r="BJ38" s="397">
        <f t="shared" si="37"/>
        <v>0</v>
      </c>
      <c r="BK38" s="397"/>
      <c r="BL38" s="410"/>
      <c r="BM38" s="454">
        <f t="shared" si="32"/>
        <v>0</v>
      </c>
      <c r="BN38" s="35">
        <f t="shared" si="38"/>
        <v>71999.982499999998</v>
      </c>
      <c r="BO38" s="413">
        <f t="shared" si="30"/>
        <v>71999.982499999998</v>
      </c>
      <c r="BP38" s="36">
        <f t="shared" si="17"/>
        <v>0</v>
      </c>
      <c r="BQ38" s="38" t="s">
        <v>57</v>
      </c>
      <c r="BR38" s="41">
        <v>1</v>
      </c>
      <c r="BS38" s="37" t="s">
        <v>79</v>
      </c>
      <c r="BV38" s="70"/>
      <c r="BW38" s="70"/>
      <c r="BX38" s="70"/>
      <c r="BZ38" s="70"/>
      <c r="CC38" s="70"/>
      <c r="CD38" s="70"/>
      <c r="CE38" s="70"/>
      <c r="CG38" s="70"/>
      <c r="CH38" s="70"/>
    </row>
    <row r="39" spans="1:86" s="37" customFormat="1" ht="39.950000000000003" customHeight="1" x14ac:dyDescent="0.2">
      <c r="A39" s="77">
        <v>1</v>
      </c>
      <c r="B39" s="138" t="s">
        <v>65</v>
      </c>
      <c r="C39" s="21"/>
      <c r="D39" s="22"/>
      <c r="E39" s="23">
        <v>7</v>
      </c>
      <c r="F39" s="43" t="s">
        <v>159</v>
      </c>
      <c r="G39" s="134">
        <v>5681000000</v>
      </c>
      <c r="H39" s="24">
        <v>20000</v>
      </c>
      <c r="I39" s="25" t="s">
        <v>80</v>
      </c>
      <c r="J39" s="129">
        <v>4201.1791300000004</v>
      </c>
      <c r="K39" s="125"/>
      <c r="L39" s="330">
        <f t="shared" si="18"/>
        <v>10000</v>
      </c>
      <c r="M39" s="302">
        <f>10000</f>
        <v>10000</v>
      </c>
      <c r="N39" s="303"/>
      <c r="O39" s="304"/>
      <c r="P39" s="303"/>
      <c r="Q39" s="326">
        <v>3299</v>
      </c>
      <c r="R39" s="327">
        <v>6121</v>
      </c>
      <c r="S39" s="307">
        <v>0</v>
      </c>
      <c r="T39" s="27">
        <f t="shared" si="19"/>
        <v>-5500</v>
      </c>
      <c r="U39" s="28">
        <v>-5500</v>
      </c>
      <c r="V39" s="28"/>
      <c r="W39" s="29"/>
      <c r="X39" s="29"/>
      <c r="Y39" s="30">
        <v>0</v>
      </c>
      <c r="Z39" s="396">
        <f t="shared" si="2"/>
        <v>4500</v>
      </c>
      <c r="AA39" s="397">
        <f t="shared" si="34"/>
        <v>4500</v>
      </c>
      <c r="AB39" s="397">
        <f>N39+V39</f>
        <v>0</v>
      </c>
      <c r="AC39" s="397">
        <f>O39+W39</f>
        <v>0</v>
      </c>
      <c r="AD39" s="397">
        <f t="shared" si="39"/>
        <v>0</v>
      </c>
      <c r="AE39" s="398">
        <f t="shared" si="4"/>
        <v>0</v>
      </c>
      <c r="AF39" s="31">
        <f t="shared" si="21"/>
        <v>5176</v>
      </c>
      <c r="AG39" s="28">
        <v>5176</v>
      </c>
      <c r="AH39" s="28"/>
      <c r="AI39" s="28"/>
      <c r="AJ39" s="28"/>
      <c r="AK39" s="401">
        <f t="shared" si="6"/>
        <v>10676</v>
      </c>
      <c r="AL39" s="397">
        <f>AF39+5500</f>
        <v>10676</v>
      </c>
      <c r="AM39" s="397"/>
      <c r="AN39" s="397"/>
      <c r="AO39" s="402">
        <v>0</v>
      </c>
      <c r="AP39" s="32">
        <f t="shared" si="22"/>
        <v>0</v>
      </c>
      <c r="AQ39" s="28">
        <v>0</v>
      </c>
      <c r="AR39" s="28">
        <v>0</v>
      </c>
      <c r="AS39" s="401">
        <f t="shared" si="8"/>
        <v>0</v>
      </c>
      <c r="AT39" s="397">
        <v>0</v>
      </c>
      <c r="AU39" s="397"/>
      <c r="AV39" s="397"/>
      <c r="AW39" s="33">
        <f t="shared" si="9"/>
        <v>0</v>
      </c>
      <c r="AX39" s="28">
        <v>0</v>
      </c>
      <c r="AY39" s="28"/>
      <c r="AZ39" s="28"/>
      <c r="BA39" s="403">
        <f t="shared" si="10"/>
        <v>0</v>
      </c>
      <c r="BB39" s="397">
        <v>0</v>
      </c>
      <c r="BC39" s="397"/>
      <c r="BD39" s="397"/>
      <c r="BE39" s="34">
        <f t="shared" si="11"/>
        <v>0</v>
      </c>
      <c r="BF39" s="28">
        <v>0</v>
      </c>
      <c r="BG39" s="28"/>
      <c r="BH39" s="28"/>
      <c r="BI39" s="409">
        <f t="shared" si="12"/>
        <v>0</v>
      </c>
      <c r="BJ39" s="397">
        <f t="shared" si="37"/>
        <v>0</v>
      </c>
      <c r="BK39" s="397"/>
      <c r="BL39" s="410"/>
      <c r="BM39" s="454">
        <v>520000</v>
      </c>
      <c r="BN39" s="35">
        <f t="shared" si="38"/>
        <v>539377.17912999995</v>
      </c>
      <c r="BO39" s="413">
        <f t="shared" si="30"/>
        <v>539377.17912999995</v>
      </c>
      <c r="BP39" s="36">
        <f t="shared" si="17"/>
        <v>0</v>
      </c>
      <c r="BQ39" s="38" t="s">
        <v>57</v>
      </c>
      <c r="BR39" s="41">
        <v>1</v>
      </c>
      <c r="BS39" s="37" t="s">
        <v>58</v>
      </c>
      <c r="BV39" s="70"/>
      <c r="BW39" s="70"/>
      <c r="BX39" s="70"/>
      <c r="BZ39" s="70"/>
      <c r="CC39" s="70"/>
      <c r="CD39" s="70"/>
      <c r="CE39" s="70"/>
      <c r="CG39" s="70"/>
      <c r="CH39" s="70"/>
    </row>
    <row r="40" spans="1:86" s="37" customFormat="1" ht="39.950000000000003" customHeight="1" x14ac:dyDescent="0.2">
      <c r="A40" s="489">
        <v>1</v>
      </c>
      <c r="B40" s="138" t="s">
        <v>65</v>
      </c>
      <c r="C40" s="21" t="s">
        <v>81</v>
      </c>
      <c r="D40" s="22" t="s">
        <v>82</v>
      </c>
      <c r="E40" s="23">
        <v>7</v>
      </c>
      <c r="F40" s="579" t="s">
        <v>160</v>
      </c>
      <c r="G40" s="139">
        <v>4289000000</v>
      </c>
      <c r="H40" s="580">
        <v>100000</v>
      </c>
      <c r="I40" s="582" t="s">
        <v>83</v>
      </c>
      <c r="J40" s="583">
        <v>0</v>
      </c>
      <c r="K40" s="46"/>
      <c r="L40" s="301">
        <f t="shared" si="18"/>
        <v>9800.43</v>
      </c>
      <c r="M40" s="302">
        <v>9800.43</v>
      </c>
      <c r="N40" s="303">
        <v>0</v>
      </c>
      <c r="O40" s="304">
        <v>0</v>
      </c>
      <c r="P40" s="303">
        <v>0</v>
      </c>
      <c r="Q40" s="311">
        <v>3127</v>
      </c>
      <c r="R40" s="312">
        <v>6121</v>
      </c>
      <c r="S40" s="307">
        <v>0</v>
      </c>
      <c r="T40" s="27">
        <f t="shared" si="19"/>
        <v>-9550</v>
      </c>
      <c r="U40" s="28">
        <f>-9550</f>
        <v>-9550</v>
      </c>
      <c r="V40" s="28">
        <v>0</v>
      </c>
      <c r="W40" s="29">
        <v>0</v>
      </c>
      <c r="X40" s="29">
        <v>0</v>
      </c>
      <c r="Y40" s="30">
        <f>0</f>
        <v>0</v>
      </c>
      <c r="Z40" s="396">
        <f t="shared" si="2"/>
        <v>250.43000000000029</v>
      </c>
      <c r="AA40" s="397">
        <f t="shared" si="34"/>
        <v>250.43000000000029</v>
      </c>
      <c r="AB40" s="397">
        <f>N40+V40</f>
        <v>0</v>
      </c>
      <c r="AC40" s="397">
        <f t="shared" ref="AC40" si="40">O40+W40</f>
        <v>0</v>
      </c>
      <c r="AD40" s="397">
        <f t="shared" si="39"/>
        <v>0</v>
      </c>
      <c r="AE40" s="398">
        <f t="shared" si="4"/>
        <v>0</v>
      </c>
      <c r="AF40" s="31">
        <f t="shared" si="21"/>
        <v>20000</v>
      </c>
      <c r="AG40" s="48">
        <v>20000</v>
      </c>
      <c r="AH40" s="48">
        <v>0</v>
      </c>
      <c r="AI40" s="48">
        <v>0</v>
      </c>
      <c r="AJ40" s="28">
        <v>0</v>
      </c>
      <c r="AK40" s="401">
        <f t="shared" si="6"/>
        <v>2500</v>
      </c>
      <c r="AL40" s="397">
        <v>2500</v>
      </c>
      <c r="AM40" s="403">
        <v>0</v>
      </c>
      <c r="AN40" s="403">
        <f t="shared" ref="AN40:AO40" si="41">AI40</f>
        <v>0</v>
      </c>
      <c r="AO40" s="398">
        <f t="shared" si="41"/>
        <v>0</v>
      </c>
      <c r="AP40" s="32">
        <f t="shared" si="22"/>
        <v>70000</v>
      </c>
      <c r="AQ40" s="28">
        <v>70000</v>
      </c>
      <c r="AR40" s="28">
        <v>0</v>
      </c>
      <c r="AS40" s="401">
        <f t="shared" si="8"/>
        <v>20000</v>
      </c>
      <c r="AT40" s="397">
        <v>20000</v>
      </c>
      <c r="AU40" s="397"/>
      <c r="AV40" s="397">
        <f t="shared" ref="AV40" si="42">AR40</f>
        <v>0</v>
      </c>
      <c r="AW40" s="33">
        <f t="shared" si="9"/>
        <v>0</v>
      </c>
      <c r="AX40" s="28">
        <v>0</v>
      </c>
      <c r="AY40" s="28">
        <v>0</v>
      </c>
      <c r="AZ40" s="28">
        <v>0</v>
      </c>
      <c r="BA40" s="403">
        <f t="shared" si="10"/>
        <v>77050</v>
      </c>
      <c r="BB40" s="397">
        <f>77150.43-100.43</f>
        <v>77050</v>
      </c>
      <c r="BC40" s="397">
        <f t="shared" ref="BC40:BD40" si="43">AY40</f>
        <v>0</v>
      </c>
      <c r="BD40" s="397">
        <f t="shared" si="43"/>
        <v>0</v>
      </c>
      <c r="BE40" s="34">
        <f t="shared" si="11"/>
        <v>0</v>
      </c>
      <c r="BF40" s="28">
        <v>0</v>
      </c>
      <c r="BG40" s="28">
        <v>0</v>
      </c>
      <c r="BH40" s="28">
        <v>0</v>
      </c>
      <c r="BI40" s="409">
        <f t="shared" si="12"/>
        <v>0</v>
      </c>
      <c r="BJ40" s="397">
        <f t="shared" si="37"/>
        <v>0</v>
      </c>
      <c r="BK40" s="397">
        <f>BG40</f>
        <v>0</v>
      </c>
      <c r="BL40" s="410">
        <f>BH40</f>
        <v>0</v>
      </c>
      <c r="BM40" s="455">
        <v>0</v>
      </c>
      <c r="BN40" s="49">
        <f t="shared" si="38"/>
        <v>99800.43</v>
      </c>
      <c r="BO40" s="414">
        <f t="shared" si="30"/>
        <v>99800.43</v>
      </c>
      <c r="BP40" s="36">
        <f t="shared" si="17"/>
        <v>0</v>
      </c>
      <c r="BQ40" s="38" t="s">
        <v>57</v>
      </c>
      <c r="BR40" s="585">
        <v>1</v>
      </c>
      <c r="BS40" s="37" t="s">
        <v>84</v>
      </c>
      <c r="BV40" s="70"/>
      <c r="BW40" s="70"/>
      <c r="BX40" s="70"/>
      <c r="CC40" s="70"/>
      <c r="CD40" s="70"/>
      <c r="CE40" s="70"/>
      <c r="CG40" s="70"/>
      <c r="CH40" s="70"/>
    </row>
    <row r="41" spans="1:86" s="37" customFormat="1" ht="39.950000000000003" customHeight="1" x14ac:dyDescent="0.2">
      <c r="A41" s="490"/>
      <c r="B41" s="141" t="s">
        <v>65</v>
      </c>
      <c r="C41" s="21"/>
      <c r="D41" s="22"/>
      <c r="E41" s="23">
        <v>7</v>
      </c>
      <c r="F41" s="492"/>
      <c r="G41" s="139">
        <v>4289001345</v>
      </c>
      <c r="H41" s="581"/>
      <c r="I41" s="485"/>
      <c r="J41" s="584"/>
      <c r="K41" s="46"/>
      <c r="L41" s="301">
        <f t="shared" si="18"/>
        <v>199.57</v>
      </c>
      <c r="M41" s="302">
        <v>199.57</v>
      </c>
      <c r="N41" s="303"/>
      <c r="O41" s="304"/>
      <c r="P41" s="303"/>
      <c r="Q41" s="311">
        <v>3127</v>
      </c>
      <c r="R41" s="312">
        <v>6351</v>
      </c>
      <c r="S41" s="307">
        <v>199570</v>
      </c>
      <c r="T41" s="27">
        <f t="shared" si="19"/>
        <v>0</v>
      </c>
      <c r="U41" s="28">
        <v>0</v>
      </c>
      <c r="V41" s="28">
        <v>0</v>
      </c>
      <c r="W41" s="29">
        <v>0</v>
      </c>
      <c r="X41" s="29">
        <v>0</v>
      </c>
      <c r="Y41" s="30">
        <v>0</v>
      </c>
      <c r="Z41" s="396">
        <f t="shared" si="2"/>
        <v>199.57</v>
      </c>
      <c r="AA41" s="397">
        <f t="shared" si="34"/>
        <v>199.57</v>
      </c>
      <c r="AB41" s="397"/>
      <c r="AC41" s="397"/>
      <c r="AD41" s="397"/>
      <c r="AE41" s="398">
        <f>S41+Y41</f>
        <v>199570</v>
      </c>
      <c r="AF41" s="31">
        <f t="shared" si="21"/>
        <v>0</v>
      </c>
      <c r="AG41" s="48">
        <v>0</v>
      </c>
      <c r="AH41" s="48"/>
      <c r="AI41" s="48"/>
      <c r="AJ41" s="28"/>
      <c r="AK41" s="401">
        <f t="shared" si="6"/>
        <v>0</v>
      </c>
      <c r="AL41" s="397">
        <v>0</v>
      </c>
      <c r="AM41" s="403"/>
      <c r="AN41" s="403"/>
      <c r="AO41" s="398"/>
      <c r="AP41" s="32">
        <f t="shared" si="22"/>
        <v>0</v>
      </c>
      <c r="AQ41" s="28">
        <v>0</v>
      </c>
      <c r="AR41" s="28"/>
      <c r="AS41" s="401">
        <f t="shared" si="8"/>
        <v>0</v>
      </c>
      <c r="AT41" s="397">
        <v>0</v>
      </c>
      <c r="AU41" s="397"/>
      <c r="AV41" s="397"/>
      <c r="AW41" s="33">
        <f t="shared" si="9"/>
        <v>0</v>
      </c>
      <c r="AX41" s="28">
        <v>0</v>
      </c>
      <c r="AY41" s="28"/>
      <c r="AZ41" s="28"/>
      <c r="BA41" s="403">
        <f t="shared" si="10"/>
        <v>0</v>
      </c>
      <c r="BB41" s="397">
        <v>0</v>
      </c>
      <c r="BC41" s="397"/>
      <c r="BD41" s="397"/>
      <c r="BE41" s="34">
        <f t="shared" si="11"/>
        <v>0</v>
      </c>
      <c r="BF41" s="28">
        <v>0</v>
      </c>
      <c r="BG41" s="28"/>
      <c r="BH41" s="28"/>
      <c r="BI41" s="409">
        <f t="shared" si="12"/>
        <v>0</v>
      </c>
      <c r="BJ41" s="397">
        <f t="shared" si="37"/>
        <v>0</v>
      </c>
      <c r="BK41" s="397"/>
      <c r="BL41" s="410"/>
      <c r="BM41" s="455">
        <v>0</v>
      </c>
      <c r="BN41" s="49">
        <f t="shared" si="38"/>
        <v>199.57</v>
      </c>
      <c r="BO41" s="414">
        <f t="shared" si="30"/>
        <v>199.57</v>
      </c>
      <c r="BP41" s="36">
        <f t="shared" si="17"/>
        <v>0</v>
      </c>
      <c r="BQ41" s="38" t="s">
        <v>57</v>
      </c>
      <c r="BR41" s="467"/>
      <c r="BS41" s="37" t="s">
        <v>84</v>
      </c>
      <c r="BV41" s="70"/>
      <c r="BW41" s="70"/>
      <c r="BX41" s="70"/>
      <c r="CC41" s="70"/>
      <c r="CD41" s="70"/>
      <c r="CE41" s="70"/>
      <c r="CG41" s="70"/>
      <c r="CH41" s="70"/>
    </row>
    <row r="42" spans="1:86" s="37" customFormat="1" ht="39.950000000000003" customHeight="1" x14ac:dyDescent="0.2">
      <c r="A42" s="77">
        <v>1</v>
      </c>
      <c r="B42" s="141" t="s">
        <v>65</v>
      </c>
      <c r="C42" s="21"/>
      <c r="D42" s="22"/>
      <c r="E42" s="23">
        <v>7</v>
      </c>
      <c r="F42" s="57" t="s">
        <v>161</v>
      </c>
      <c r="G42" s="139">
        <v>4263000000</v>
      </c>
      <c r="H42" s="24">
        <v>110000</v>
      </c>
      <c r="I42" s="25" t="s">
        <v>85</v>
      </c>
      <c r="J42" s="143">
        <v>6753</v>
      </c>
      <c r="K42" s="142"/>
      <c r="L42" s="301">
        <f t="shared" si="18"/>
        <v>35235.31</v>
      </c>
      <c r="M42" s="302">
        <v>35235.31</v>
      </c>
      <c r="N42" s="303"/>
      <c r="O42" s="304"/>
      <c r="P42" s="303"/>
      <c r="Q42" s="328">
        <v>3121</v>
      </c>
      <c r="R42" s="329">
        <v>6121</v>
      </c>
      <c r="S42" s="307">
        <v>0</v>
      </c>
      <c r="T42" s="27">
        <f t="shared" si="19"/>
        <v>-2500</v>
      </c>
      <c r="U42" s="28">
        <v>-2500</v>
      </c>
      <c r="V42" s="28"/>
      <c r="W42" s="29"/>
      <c r="X42" s="29"/>
      <c r="Y42" s="30">
        <v>0</v>
      </c>
      <c r="Z42" s="396">
        <f t="shared" si="2"/>
        <v>32735.309999999998</v>
      </c>
      <c r="AA42" s="397">
        <f t="shared" si="34"/>
        <v>32735.309999999998</v>
      </c>
      <c r="AB42" s="397"/>
      <c r="AC42" s="397"/>
      <c r="AD42" s="397"/>
      <c r="AE42" s="398">
        <f t="shared" ref="AE42:AE81" si="44">S42+Y42</f>
        <v>0</v>
      </c>
      <c r="AF42" s="31">
        <f t="shared" si="21"/>
        <v>50000</v>
      </c>
      <c r="AG42" s="28">
        <v>50000</v>
      </c>
      <c r="AH42" s="28"/>
      <c r="AI42" s="28"/>
      <c r="AJ42" s="28"/>
      <c r="AK42" s="401">
        <f t="shared" si="6"/>
        <v>50000</v>
      </c>
      <c r="AL42" s="397">
        <v>50000</v>
      </c>
      <c r="AM42" s="397"/>
      <c r="AN42" s="397"/>
      <c r="AO42" s="402"/>
      <c r="AP42" s="32">
        <f t="shared" si="22"/>
        <v>13000</v>
      </c>
      <c r="AQ42" s="28">
        <v>13000</v>
      </c>
      <c r="AR42" s="28"/>
      <c r="AS42" s="401">
        <f t="shared" si="8"/>
        <v>15500</v>
      </c>
      <c r="AT42" s="397">
        <v>15500</v>
      </c>
      <c r="AU42" s="397"/>
      <c r="AV42" s="397"/>
      <c r="AW42" s="33">
        <f t="shared" si="9"/>
        <v>0</v>
      </c>
      <c r="AX42" s="28">
        <v>0</v>
      </c>
      <c r="AY42" s="28"/>
      <c r="AZ42" s="28"/>
      <c r="BA42" s="403">
        <f t="shared" si="10"/>
        <v>0</v>
      </c>
      <c r="BB42" s="397">
        <v>0</v>
      </c>
      <c r="BC42" s="397"/>
      <c r="BD42" s="397"/>
      <c r="BE42" s="34">
        <f t="shared" si="11"/>
        <v>0</v>
      </c>
      <c r="BF42" s="28">
        <v>0</v>
      </c>
      <c r="BG42" s="28"/>
      <c r="BH42" s="28"/>
      <c r="BI42" s="409">
        <f t="shared" si="12"/>
        <v>0</v>
      </c>
      <c r="BJ42" s="397">
        <f t="shared" si="37"/>
        <v>0</v>
      </c>
      <c r="BK42" s="397"/>
      <c r="BL42" s="410"/>
      <c r="BM42" s="454">
        <v>0</v>
      </c>
      <c r="BN42" s="35">
        <f t="shared" si="38"/>
        <v>104988.31</v>
      </c>
      <c r="BO42" s="413">
        <f t="shared" si="30"/>
        <v>104988.31</v>
      </c>
      <c r="BP42" s="36">
        <f t="shared" si="17"/>
        <v>0</v>
      </c>
      <c r="BQ42" s="38" t="s">
        <v>57</v>
      </c>
      <c r="BR42" s="41">
        <v>1</v>
      </c>
      <c r="BS42" s="37" t="s">
        <v>78</v>
      </c>
      <c r="BV42" s="70"/>
      <c r="BW42" s="70"/>
      <c r="BX42" s="70"/>
      <c r="BZ42" s="70"/>
      <c r="CC42" s="70"/>
      <c r="CD42" s="70"/>
      <c r="CE42" s="70"/>
      <c r="CG42" s="70"/>
      <c r="CH42" s="70"/>
    </row>
    <row r="43" spans="1:86" s="37" customFormat="1" ht="39.950000000000003" customHeight="1" x14ac:dyDescent="0.2">
      <c r="A43" s="77">
        <v>1</v>
      </c>
      <c r="B43" s="138" t="s">
        <v>65</v>
      </c>
      <c r="C43" s="21"/>
      <c r="D43" s="22"/>
      <c r="E43" s="23">
        <v>7</v>
      </c>
      <c r="F43" s="43" t="s">
        <v>162</v>
      </c>
      <c r="G43" s="139">
        <v>4095000000</v>
      </c>
      <c r="H43" s="24">
        <v>135000</v>
      </c>
      <c r="I43" s="25" t="s">
        <v>85</v>
      </c>
      <c r="J43" s="143">
        <f>1082.6+1174.3</f>
        <v>2256.8999999999996</v>
      </c>
      <c r="K43" s="142"/>
      <c r="L43" s="301">
        <f t="shared" si="18"/>
        <v>40115</v>
      </c>
      <c r="M43" s="302">
        <v>40115</v>
      </c>
      <c r="N43" s="303"/>
      <c r="O43" s="304"/>
      <c r="P43" s="303"/>
      <c r="Q43" s="328">
        <v>3127</v>
      </c>
      <c r="R43" s="329">
        <v>6121</v>
      </c>
      <c r="S43" s="307">
        <v>0</v>
      </c>
      <c r="T43" s="27">
        <f t="shared" si="19"/>
        <v>-20000</v>
      </c>
      <c r="U43" s="28">
        <v>-20000</v>
      </c>
      <c r="V43" s="28"/>
      <c r="W43" s="29"/>
      <c r="X43" s="29"/>
      <c r="Y43" s="30">
        <v>0</v>
      </c>
      <c r="Z43" s="396">
        <f t="shared" si="2"/>
        <v>20115</v>
      </c>
      <c r="AA43" s="397">
        <f t="shared" si="34"/>
        <v>20115</v>
      </c>
      <c r="AB43" s="397"/>
      <c r="AC43" s="397"/>
      <c r="AD43" s="397"/>
      <c r="AE43" s="398">
        <f t="shared" si="44"/>
        <v>0</v>
      </c>
      <c r="AF43" s="31">
        <f t="shared" si="21"/>
        <v>77500</v>
      </c>
      <c r="AG43" s="28">
        <v>77500</v>
      </c>
      <c r="AH43" s="28"/>
      <c r="AI43" s="28"/>
      <c r="AJ43" s="28"/>
      <c r="AK43" s="401">
        <f t="shared" si="6"/>
        <v>50000</v>
      </c>
      <c r="AL43" s="397">
        <v>50000</v>
      </c>
      <c r="AM43" s="397"/>
      <c r="AN43" s="397"/>
      <c r="AO43" s="402"/>
      <c r="AP43" s="32">
        <f t="shared" si="22"/>
        <v>0</v>
      </c>
      <c r="AQ43" s="28">
        <v>0</v>
      </c>
      <c r="AR43" s="28"/>
      <c r="AS43" s="401">
        <f t="shared" si="8"/>
        <v>47500</v>
      </c>
      <c r="AT43" s="397">
        <v>47500</v>
      </c>
      <c r="AU43" s="397"/>
      <c r="AV43" s="397"/>
      <c r="AW43" s="33">
        <f t="shared" si="9"/>
        <v>0</v>
      </c>
      <c r="AX43" s="28">
        <v>0</v>
      </c>
      <c r="AY43" s="28"/>
      <c r="AZ43" s="28"/>
      <c r="BA43" s="403">
        <f t="shared" si="10"/>
        <v>0</v>
      </c>
      <c r="BB43" s="397">
        <v>0</v>
      </c>
      <c r="BC43" s="397"/>
      <c r="BD43" s="397"/>
      <c r="BE43" s="34">
        <f t="shared" si="11"/>
        <v>0</v>
      </c>
      <c r="BF43" s="28">
        <v>0</v>
      </c>
      <c r="BG43" s="28"/>
      <c r="BH43" s="28"/>
      <c r="BI43" s="409">
        <f t="shared" si="12"/>
        <v>0</v>
      </c>
      <c r="BJ43" s="397">
        <f t="shared" si="37"/>
        <v>0</v>
      </c>
      <c r="BK43" s="397"/>
      <c r="BL43" s="410"/>
      <c r="BM43" s="454">
        <f>48.4+80</f>
        <v>128.4</v>
      </c>
      <c r="BN43" s="35">
        <f t="shared" si="38"/>
        <v>120000.29999999999</v>
      </c>
      <c r="BO43" s="413">
        <f t="shared" si="30"/>
        <v>120000.29999999999</v>
      </c>
      <c r="BP43" s="36">
        <f t="shared" si="17"/>
        <v>0</v>
      </c>
      <c r="BQ43" s="38" t="s">
        <v>57</v>
      </c>
      <c r="BR43" s="41">
        <v>1</v>
      </c>
      <c r="BS43" s="37" t="s">
        <v>86</v>
      </c>
      <c r="BV43" s="70"/>
      <c r="BW43" s="70"/>
      <c r="BX43" s="70"/>
      <c r="BZ43" s="70"/>
      <c r="CC43" s="70"/>
      <c r="CD43" s="70"/>
      <c r="CE43" s="70"/>
      <c r="CG43" s="70"/>
      <c r="CH43" s="70"/>
    </row>
    <row r="44" spans="1:86" s="37" customFormat="1" ht="39.950000000000003" customHeight="1" x14ac:dyDescent="0.2">
      <c r="A44" s="77">
        <v>1</v>
      </c>
      <c r="B44" s="138" t="s">
        <v>65</v>
      </c>
      <c r="C44" s="21"/>
      <c r="D44" s="22"/>
      <c r="E44" s="23">
        <v>7</v>
      </c>
      <c r="F44" s="43" t="s">
        <v>163</v>
      </c>
      <c r="G44" s="134">
        <v>5837000000</v>
      </c>
      <c r="H44" s="24">
        <v>135000</v>
      </c>
      <c r="I44" s="25" t="s">
        <v>55</v>
      </c>
      <c r="J44" s="129">
        <v>937</v>
      </c>
      <c r="K44" s="125"/>
      <c r="L44" s="301">
        <f t="shared" si="18"/>
        <v>3115</v>
      </c>
      <c r="M44" s="302">
        <v>3115</v>
      </c>
      <c r="N44" s="303"/>
      <c r="O44" s="304"/>
      <c r="P44" s="303"/>
      <c r="Q44" s="326">
        <v>3121</v>
      </c>
      <c r="R44" s="327">
        <v>6121</v>
      </c>
      <c r="S44" s="307">
        <v>0</v>
      </c>
      <c r="T44" s="27">
        <f t="shared" si="19"/>
        <v>-2890</v>
      </c>
      <c r="U44" s="28">
        <v>-2890</v>
      </c>
      <c r="V44" s="28"/>
      <c r="W44" s="29"/>
      <c r="X44" s="29"/>
      <c r="Y44" s="30">
        <v>0</v>
      </c>
      <c r="Z44" s="396">
        <f t="shared" si="2"/>
        <v>225</v>
      </c>
      <c r="AA44" s="397">
        <f t="shared" si="34"/>
        <v>225</v>
      </c>
      <c r="AB44" s="397"/>
      <c r="AC44" s="397"/>
      <c r="AD44" s="397"/>
      <c r="AE44" s="398">
        <f t="shared" si="44"/>
        <v>0</v>
      </c>
      <c r="AF44" s="31">
        <f t="shared" si="21"/>
        <v>20500</v>
      </c>
      <c r="AG44" s="28">
        <v>20500</v>
      </c>
      <c r="AH44" s="28"/>
      <c r="AI44" s="28"/>
      <c r="AJ44" s="28"/>
      <c r="AK44" s="401">
        <f t="shared" si="6"/>
        <v>6000</v>
      </c>
      <c r="AL44" s="397">
        <v>6000</v>
      </c>
      <c r="AM44" s="397"/>
      <c r="AN44" s="397"/>
      <c r="AO44" s="402"/>
      <c r="AP44" s="32">
        <f t="shared" si="22"/>
        <v>108949</v>
      </c>
      <c r="AQ44" s="28">
        <v>108949</v>
      </c>
      <c r="AR44" s="28"/>
      <c r="AS44" s="401">
        <f t="shared" si="8"/>
        <v>50000</v>
      </c>
      <c r="AT44" s="397">
        <v>50000</v>
      </c>
      <c r="AU44" s="397"/>
      <c r="AV44" s="397"/>
      <c r="AW44" s="33">
        <f t="shared" si="9"/>
        <v>0</v>
      </c>
      <c r="AX44" s="28">
        <v>0</v>
      </c>
      <c r="AY44" s="28"/>
      <c r="AZ44" s="28"/>
      <c r="BA44" s="403">
        <f t="shared" si="10"/>
        <v>76339</v>
      </c>
      <c r="BB44" s="397">
        <v>76339</v>
      </c>
      <c r="BC44" s="397"/>
      <c r="BD44" s="397"/>
      <c r="BE44" s="34">
        <f t="shared" si="11"/>
        <v>0</v>
      </c>
      <c r="BF44" s="28">
        <v>0</v>
      </c>
      <c r="BG44" s="28"/>
      <c r="BH44" s="28"/>
      <c r="BI44" s="409">
        <f t="shared" si="12"/>
        <v>0</v>
      </c>
      <c r="BJ44" s="397">
        <f t="shared" si="37"/>
        <v>0</v>
      </c>
      <c r="BK44" s="397"/>
      <c r="BL44" s="410"/>
      <c r="BM44" s="454">
        <v>352</v>
      </c>
      <c r="BN44" s="35">
        <f t="shared" si="38"/>
        <v>133853</v>
      </c>
      <c r="BO44" s="413">
        <f t="shared" si="30"/>
        <v>133853</v>
      </c>
      <c r="BP44" s="36">
        <f t="shared" si="17"/>
        <v>0</v>
      </c>
      <c r="BQ44" s="38" t="s">
        <v>57</v>
      </c>
      <c r="BR44" s="41">
        <v>1</v>
      </c>
      <c r="BS44" s="37" t="s">
        <v>87</v>
      </c>
      <c r="BV44" s="70"/>
      <c r="BW44" s="70"/>
      <c r="BX44" s="70"/>
      <c r="BZ44" s="70"/>
      <c r="CC44" s="70"/>
      <c r="CD44" s="70"/>
      <c r="CE44" s="70"/>
      <c r="CG44" s="70"/>
      <c r="CH44" s="70"/>
    </row>
    <row r="45" spans="1:86" s="37" customFormat="1" ht="39.950000000000003" customHeight="1" x14ac:dyDescent="0.2">
      <c r="A45" s="77">
        <v>1</v>
      </c>
      <c r="B45" s="122" t="s">
        <v>65</v>
      </c>
      <c r="C45" s="21"/>
      <c r="D45" s="22"/>
      <c r="E45" s="23">
        <v>7</v>
      </c>
      <c r="F45" s="43" t="s">
        <v>164</v>
      </c>
      <c r="G45" s="134">
        <v>4430000000</v>
      </c>
      <c r="H45" s="24">
        <v>115500</v>
      </c>
      <c r="I45" s="25" t="s">
        <v>88</v>
      </c>
      <c r="J45" s="26">
        <v>200</v>
      </c>
      <c r="K45" s="125"/>
      <c r="L45" s="301">
        <f t="shared" si="18"/>
        <v>4000</v>
      </c>
      <c r="M45" s="302">
        <v>4000</v>
      </c>
      <c r="N45" s="303"/>
      <c r="O45" s="304"/>
      <c r="P45" s="303"/>
      <c r="Q45" s="326">
        <v>3122</v>
      </c>
      <c r="R45" s="327">
        <v>6121</v>
      </c>
      <c r="S45" s="307">
        <v>0</v>
      </c>
      <c r="T45" s="27">
        <f t="shared" si="19"/>
        <v>-3700</v>
      </c>
      <c r="U45" s="28">
        <v>-3700</v>
      </c>
      <c r="V45" s="28"/>
      <c r="W45" s="29"/>
      <c r="X45" s="29"/>
      <c r="Y45" s="30">
        <v>0</v>
      </c>
      <c r="Z45" s="396">
        <f t="shared" si="2"/>
        <v>300</v>
      </c>
      <c r="AA45" s="397">
        <f t="shared" si="34"/>
        <v>300</v>
      </c>
      <c r="AB45" s="397"/>
      <c r="AC45" s="397"/>
      <c r="AD45" s="397"/>
      <c r="AE45" s="398">
        <f t="shared" si="44"/>
        <v>0</v>
      </c>
      <c r="AF45" s="31">
        <f t="shared" si="21"/>
        <v>30000</v>
      </c>
      <c r="AG45" s="28">
        <v>30000</v>
      </c>
      <c r="AH45" s="28"/>
      <c r="AI45" s="28"/>
      <c r="AJ45" s="28"/>
      <c r="AK45" s="401">
        <f t="shared" si="6"/>
        <v>7000</v>
      </c>
      <c r="AL45" s="397">
        <v>7000</v>
      </c>
      <c r="AM45" s="397"/>
      <c r="AN45" s="397"/>
      <c r="AO45" s="402"/>
      <c r="AP45" s="32">
        <f t="shared" si="22"/>
        <v>81000</v>
      </c>
      <c r="AQ45" s="28">
        <v>81000</v>
      </c>
      <c r="AR45" s="28"/>
      <c r="AS45" s="401">
        <f t="shared" si="8"/>
        <v>81000</v>
      </c>
      <c r="AT45" s="397">
        <v>81000</v>
      </c>
      <c r="AU45" s="397"/>
      <c r="AV45" s="397"/>
      <c r="AW45" s="33">
        <f t="shared" si="9"/>
        <v>0</v>
      </c>
      <c r="AX45" s="28">
        <v>0</v>
      </c>
      <c r="AY45" s="28"/>
      <c r="AZ45" s="28"/>
      <c r="BA45" s="403">
        <f t="shared" si="10"/>
        <v>26700</v>
      </c>
      <c r="BB45" s="397">
        <v>26700</v>
      </c>
      <c r="BC45" s="397"/>
      <c r="BD45" s="397"/>
      <c r="BE45" s="34">
        <f t="shared" si="11"/>
        <v>0</v>
      </c>
      <c r="BF45" s="28">
        <v>0</v>
      </c>
      <c r="BG45" s="28"/>
      <c r="BH45" s="28"/>
      <c r="BI45" s="409">
        <f t="shared" si="12"/>
        <v>0</v>
      </c>
      <c r="BJ45" s="397">
        <f t="shared" si="37"/>
        <v>0</v>
      </c>
      <c r="BK45" s="397"/>
      <c r="BL45" s="410"/>
      <c r="BM45" s="454">
        <v>162</v>
      </c>
      <c r="BN45" s="35">
        <f t="shared" si="38"/>
        <v>115362</v>
      </c>
      <c r="BO45" s="413">
        <f t="shared" si="30"/>
        <v>115362</v>
      </c>
      <c r="BP45" s="36">
        <f t="shared" si="17"/>
        <v>0</v>
      </c>
      <c r="BQ45" s="38" t="s">
        <v>57</v>
      </c>
      <c r="BR45" s="41">
        <v>1</v>
      </c>
      <c r="BS45" s="37" t="s">
        <v>89</v>
      </c>
      <c r="BV45" s="70"/>
      <c r="BW45" s="70"/>
      <c r="BX45" s="70"/>
      <c r="BZ45" s="70"/>
      <c r="CC45" s="70"/>
      <c r="CD45" s="70"/>
      <c r="CE45" s="70"/>
      <c r="CG45" s="70"/>
      <c r="CH45" s="70"/>
    </row>
    <row r="46" spans="1:86" s="37" customFormat="1" ht="39.950000000000003" customHeight="1" x14ac:dyDescent="0.2">
      <c r="A46" s="77">
        <v>1</v>
      </c>
      <c r="B46" s="122" t="s">
        <v>65</v>
      </c>
      <c r="C46" s="21"/>
      <c r="D46" s="22"/>
      <c r="E46" s="23">
        <v>7</v>
      </c>
      <c r="F46" s="43" t="s">
        <v>165</v>
      </c>
      <c r="G46" s="134">
        <v>4439000000</v>
      </c>
      <c r="H46" s="144">
        <v>55500</v>
      </c>
      <c r="I46" s="145" t="s">
        <v>90</v>
      </c>
      <c r="J46" s="143">
        <f>109+96.8</f>
        <v>205.8</v>
      </c>
      <c r="K46" s="142"/>
      <c r="L46" s="301">
        <f t="shared" si="18"/>
        <v>1903.2</v>
      </c>
      <c r="M46" s="302">
        <v>1903.2</v>
      </c>
      <c r="N46" s="303"/>
      <c r="O46" s="304"/>
      <c r="P46" s="303"/>
      <c r="Q46" s="328">
        <v>3231</v>
      </c>
      <c r="R46" s="329">
        <v>6121</v>
      </c>
      <c r="S46" s="307">
        <v>0</v>
      </c>
      <c r="T46" s="27">
        <f t="shared" si="19"/>
        <v>-600</v>
      </c>
      <c r="U46" s="28">
        <v>-600</v>
      </c>
      <c r="V46" s="28"/>
      <c r="W46" s="29"/>
      <c r="X46" s="29"/>
      <c r="Y46" s="30">
        <v>0</v>
      </c>
      <c r="Z46" s="396">
        <f t="shared" si="2"/>
        <v>1303.2</v>
      </c>
      <c r="AA46" s="397">
        <f t="shared" si="34"/>
        <v>1303.2</v>
      </c>
      <c r="AB46" s="397"/>
      <c r="AC46" s="397"/>
      <c r="AD46" s="397"/>
      <c r="AE46" s="398">
        <f t="shared" si="44"/>
        <v>0</v>
      </c>
      <c r="AF46" s="31">
        <f t="shared" si="21"/>
        <v>35000</v>
      </c>
      <c r="AG46" s="28">
        <v>35000</v>
      </c>
      <c r="AH46" s="28"/>
      <c r="AI46" s="28"/>
      <c r="AJ46" s="28"/>
      <c r="AK46" s="401">
        <f t="shared" si="6"/>
        <v>20000</v>
      </c>
      <c r="AL46" s="397">
        <v>20000</v>
      </c>
      <c r="AM46" s="397"/>
      <c r="AN46" s="397"/>
      <c r="AO46" s="402"/>
      <c r="AP46" s="32">
        <f t="shared" si="22"/>
        <v>18391</v>
      </c>
      <c r="AQ46" s="28">
        <v>18391</v>
      </c>
      <c r="AR46" s="28"/>
      <c r="AS46" s="401">
        <f t="shared" si="8"/>
        <v>33991</v>
      </c>
      <c r="AT46" s="397">
        <v>33991</v>
      </c>
      <c r="AU46" s="397"/>
      <c r="AV46" s="397"/>
      <c r="AW46" s="33">
        <f t="shared" si="9"/>
        <v>0</v>
      </c>
      <c r="AX46" s="28">
        <v>0</v>
      </c>
      <c r="AY46" s="28"/>
      <c r="AZ46" s="28"/>
      <c r="BA46" s="403">
        <f t="shared" si="10"/>
        <v>0</v>
      </c>
      <c r="BB46" s="397">
        <v>0</v>
      </c>
      <c r="BC46" s="397"/>
      <c r="BD46" s="397"/>
      <c r="BE46" s="34">
        <f t="shared" si="11"/>
        <v>0</v>
      </c>
      <c r="BF46" s="28">
        <v>0</v>
      </c>
      <c r="BG46" s="28"/>
      <c r="BH46" s="28"/>
      <c r="BI46" s="409">
        <f t="shared" si="12"/>
        <v>0</v>
      </c>
      <c r="BJ46" s="397">
        <f t="shared" si="37"/>
        <v>0</v>
      </c>
      <c r="BK46" s="397"/>
      <c r="BL46" s="410"/>
      <c r="BM46" s="454">
        <v>0</v>
      </c>
      <c r="BN46" s="35">
        <f t="shared" si="38"/>
        <v>55500</v>
      </c>
      <c r="BO46" s="413">
        <f t="shared" si="30"/>
        <v>55500</v>
      </c>
      <c r="BP46" s="36">
        <f t="shared" si="17"/>
        <v>0</v>
      </c>
      <c r="BQ46" s="38" t="s">
        <v>57</v>
      </c>
      <c r="BR46" s="41">
        <v>1</v>
      </c>
      <c r="BS46" s="37" t="s">
        <v>91</v>
      </c>
      <c r="BV46" s="70"/>
      <c r="BW46" s="70"/>
      <c r="BX46" s="70"/>
      <c r="BZ46" s="70"/>
      <c r="CC46" s="70"/>
      <c r="CD46" s="70"/>
      <c r="CE46" s="70"/>
      <c r="CG46" s="70"/>
      <c r="CH46" s="70"/>
    </row>
    <row r="47" spans="1:86" s="37" customFormat="1" ht="39.950000000000003" customHeight="1" x14ac:dyDescent="0.2">
      <c r="A47" s="77">
        <v>1</v>
      </c>
      <c r="B47" s="122" t="s">
        <v>65</v>
      </c>
      <c r="C47" s="21"/>
      <c r="D47" s="22"/>
      <c r="E47" s="23">
        <v>7</v>
      </c>
      <c r="F47" s="43" t="s">
        <v>166</v>
      </c>
      <c r="G47" s="146">
        <v>4151000000</v>
      </c>
      <c r="H47" s="147">
        <v>61000</v>
      </c>
      <c r="I47" s="148" t="s">
        <v>92</v>
      </c>
      <c r="J47" s="129">
        <v>1552.43</v>
      </c>
      <c r="K47" s="125"/>
      <c r="L47" s="301">
        <f t="shared" si="18"/>
        <v>15182.69</v>
      </c>
      <c r="M47" s="302">
        <v>15182.69</v>
      </c>
      <c r="N47" s="303"/>
      <c r="O47" s="304"/>
      <c r="P47" s="303"/>
      <c r="Q47" s="328">
        <v>3125</v>
      </c>
      <c r="R47" s="329">
        <v>6121</v>
      </c>
      <c r="S47" s="307">
        <v>0</v>
      </c>
      <c r="T47" s="27">
        <f t="shared" si="19"/>
        <v>-5000</v>
      </c>
      <c r="U47" s="28">
        <v>-5000</v>
      </c>
      <c r="V47" s="28"/>
      <c r="W47" s="29"/>
      <c r="X47" s="29"/>
      <c r="Y47" s="30">
        <v>0</v>
      </c>
      <c r="Z47" s="396">
        <f t="shared" si="2"/>
        <v>10182.69</v>
      </c>
      <c r="AA47" s="397">
        <f t="shared" si="34"/>
        <v>10182.69</v>
      </c>
      <c r="AB47" s="397"/>
      <c r="AC47" s="397"/>
      <c r="AD47" s="397"/>
      <c r="AE47" s="398">
        <f t="shared" si="44"/>
        <v>0</v>
      </c>
      <c r="AF47" s="31">
        <f t="shared" si="21"/>
        <v>36885</v>
      </c>
      <c r="AG47" s="28">
        <v>36885</v>
      </c>
      <c r="AH47" s="28"/>
      <c r="AI47" s="28"/>
      <c r="AJ47" s="28"/>
      <c r="AK47" s="401">
        <f t="shared" si="6"/>
        <v>41885</v>
      </c>
      <c r="AL47" s="397">
        <v>41885</v>
      </c>
      <c r="AM47" s="397"/>
      <c r="AN47" s="397"/>
      <c r="AO47" s="402"/>
      <c r="AP47" s="32">
        <f t="shared" si="22"/>
        <v>0</v>
      </c>
      <c r="AQ47" s="28">
        <v>0</v>
      </c>
      <c r="AR47" s="28"/>
      <c r="AS47" s="401">
        <f t="shared" si="8"/>
        <v>0</v>
      </c>
      <c r="AT47" s="397">
        <v>0</v>
      </c>
      <c r="AU47" s="397"/>
      <c r="AV47" s="397"/>
      <c r="AW47" s="33">
        <f t="shared" si="9"/>
        <v>0</v>
      </c>
      <c r="AX47" s="28">
        <v>0</v>
      </c>
      <c r="AY47" s="28"/>
      <c r="AZ47" s="28"/>
      <c r="BA47" s="403">
        <f t="shared" si="10"/>
        <v>0</v>
      </c>
      <c r="BB47" s="397">
        <v>0</v>
      </c>
      <c r="BC47" s="397"/>
      <c r="BD47" s="397"/>
      <c r="BE47" s="34">
        <f t="shared" si="11"/>
        <v>0</v>
      </c>
      <c r="BF47" s="28">
        <v>0</v>
      </c>
      <c r="BG47" s="28"/>
      <c r="BH47" s="28"/>
      <c r="BI47" s="409">
        <f t="shared" si="12"/>
        <v>0</v>
      </c>
      <c r="BJ47" s="397">
        <f t="shared" si="37"/>
        <v>0</v>
      </c>
      <c r="BK47" s="397"/>
      <c r="BL47" s="410"/>
      <c r="BM47" s="454">
        <v>60.02</v>
      </c>
      <c r="BN47" s="35">
        <f t="shared" si="38"/>
        <v>53680.139999999992</v>
      </c>
      <c r="BO47" s="413">
        <f t="shared" si="30"/>
        <v>53680.14</v>
      </c>
      <c r="BP47" s="36">
        <f t="shared" si="17"/>
        <v>0</v>
      </c>
      <c r="BQ47" s="38" t="s">
        <v>57</v>
      </c>
      <c r="BR47" s="41">
        <v>1</v>
      </c>
      <c r="BS47" s="37" t="s">
        <v>93</v>
      </c>
      <c r="BV47" s="70"/>
      <c r="BW47" s="70"/>
      <c r="BX47" s="70"/>
      <c r="BZ47" s="70"/>
      <c r="CC47" s="70"/>
      <c r="CD47" s="70"/>
      <c r="CE47" s="70"/>
      <c r="CG47" s="70"/>
      <c r="CH47" s="70"/>
    </row>
    <row r="48" spans="1:86" s="37" customFormat="1" ht="39.950000000000003" customHeight="1" x14ac:dyDescent="0.2">
      <c r="A48" s="77">
        <v>1</v>
      </c>
      <c r="B48" s="83" t="s">
        <v>65</v>
      </c>
      <c r="C48" s="21"/>
      <c r="D48" s="22"/>
      <c r="E48" s="23">
        <v>7</v>
      </c>
      <c r="F48" s="57" t="s">
        <v>167</v>
      </c>
      <c r="G48" s="139">
        <v>4667000000</v>
      </c>
      <c r="H48" s="24">
        <v>58000</v>
      </c>
      <c r="I48" s="25" t="s">
        <v>94</v>
      </c>
      <c r="J48" s="129">
        <v>0</v>
      </c>
      <c r="K48" s="125"/>
      <c r="L48" s="301">
        <f t="shared" si="18"/>
        <v>150</v>
      </c>
      <c r="M48" s="302">
        <v>150</v>
      </c>
      <c r="N48" s="303"/>
      <c r="O48" s="304"/>
      <c r="P48" s="303"/>
      <c r="Q48" s="328">
        <v>3112</v>
      </c>
      <c r="R48" s="329">
        <v>6121</v>
      </c>
      <c r="S48" s="307">
        <v>0</v>
      </c>
      <c r="T48" s="27">
        <f t="shared" si="19"/>
        <v>0</v>
      </c>
      <c r="U48" s="28">
        <v>0</v>
      </c>
      <c r="V48" s="28"/>
      <c r="W48" s="29"/>
      <c r="X48" s="29"/>
      <c r="Y48" s="30">
        <v>0</v>
      </c>
      <c r="Z48" s="396">
        <f t="shared" si="2"/>
        <v>150</v>
      </c>
      <c r="AA48" s="397">
        <f t="shared" si="34"/>
        <v>150</v>
      </c>
      <c r="AB48" s="397"/>
      <c r="AC48" s="397"/>
      <c r="AD48" s="397"/>
      <c r="AE48" s="398">
        <f t="shared" si="44"/>
        <v>0</v>
      </c>
      <c r="AF48" s="31">
        <f t="shared" si="21"/>
        <v>4000</v>
      </c>
      <c r="AG48" s="28">
        <v>4000</v>
      </c>
      <c r="AH48" s="28"/>
      <c r="AI48" s="28"/>
      <c r="AJ48" s="28"/>
      <c r="AK48" s="401">
        <f t="shared" si="6"/>
        <v>4000</v>
      </c>
      <c r="AL48" s="397">
        <v>4000</v>
      </c>
      <c r="AM48" s="397"/>
      <c r="AN48" s="397"/>
      <c r="AO48" s="402"/>
      <c r="AP48" s="32">
        <f t="shared" si="22"/>
        <v>30000</v>
      </c>
      <c r="AQ48" s="28">
        <v>30000</v>
      </c>
      <c r="AR48" s="28"/>
      <c r="AS48" s="401">
        <f t="shared" si="8"/>
        <v>20000</v>
      </c>
      <c r="AT48" s="397">
        <v>20000</v>
      </c>
      <c r="AU48" s="397"/>
      <c r="AV48" s="397"/>
      <c r="AW48" s="33">
        <f t="shared" si="9"/>
        <v>23400</v>
      </c>
      <c r="AX48" s="28">
        <v>23400</v>
      </c>
      <c r="AY48" s="28"/>
      <c r="AZ48" s="28"/>
      <c r="BA48" s="403">
        <f t="shared" si="10"/>
        <v>33400</v>
      </c>
      <c r="BB48" s="397">
        <v>33400</v>
      </c>
      <c r="BC48" s="397"/>
      <c r="BD48" s="397"/>
      <c r="BE48" s="34">
        <f t="shared" si="11"/>
        <v>0</v>
      </c>
      <c r="BF48" s="28">
        <v>0</v>
      </c>
      <c r="BG48" s="28"/>
      <c r="BH48" s="28"/>
      <c r="BI48" s="409">
        <f t="shared" si="12"/>
        <v>0</v>
      </c>
      <c r="BJ48" s="397">
        <f t="shared" si="37"/>
        <v>0</v>
      </c>
      <c r="BK48" s="397"/>
      <c r="BL48" s="410"/>
      <c r="BM48" s="454">
        <v>87</v>
      </c>
      <c r="BN48" s="35">
        <f t="shared" si="38"/>
        <v>57637</v>
      </c>
      <c r="BO48" s="413">
        <f t="shared" si="30"/>
        <v>57637</v>
      </c>
      <c r="BP48" s="36">
        <f t="shared" si="17"/>
        <v>0</v>
      </c>
      <c r="BQ48" s="38" t="s">
        <v>57</v>
      </c>
      <c r="BR48" s="41">
        <v>1</v>
      </c>
      <c r="BS48" s="37" t="s">
        <v>93</v>
      </c>
      <c r="BV48" s="70"/>
      <c r="BW48" s="70"/>
      <c r="BX48" s="70"/>
      <c r="BZ48" s="70"/>
      <c r="CC48" s="70"/>
      <c r="CD48" s="70"/>
      <c r="CE48" s="70"/>
      <c r="CG48" s="70"/>
      <c r="CH48" s="70"/>
    </row>
    <row r="49" spans="1:86" s="37" customFormat="1" ht="39.950000000000003" customHeight="1" x14ac:dyDescent="0.2">
      <c r="A49" s="489">
        <v>1</v>
      </c>
      <c r="B49" s="141" t="s">
        <v>65</v>
      </c>
      <c r="C49" s="21"/>
      <c r="D49" s="58"/>
      <c r="E49" s="59">
        <v>7</v>
      </c>
      <c r="F49" s="571" t="s">
        <v>168</v>
      </c>
      <c r="G49" s="60">
        <v>4455001333</v>
      </c>
      <c r="H49" s="149" t="s">
        <v>66</v>
      </c>
      <c r="I49" s="149" t="s">
        <v>66</v>
      </c>
      <c r="J49" s="150">
        <v>0</v>
      </c>
      <c r="K49" s="151"/>
      <c r="L49" s="301">
        <f t="shared" si="18"/>
        <v>8650</v>
      </c>
      <c r="M49" s="302">
        <v>8650</v>
      </c>
      <c r="N49" s="303"/>
      <c r="O49" s="304"/>
      <c r="P49" s="303"/>
      <c r="Q49" s="331">
        <v>3127</v>
      </c>
      <c r="R49" s="312">
        <v>6351</v>
      </c>
      <c r="S49" s="307">
        <v>8650000</v>
      </c>
      <c r="T49" s="27">
        <f t="shared" si="19"/>
        <v>-8285.7900000000009</v>
      </c>
      <c r="U49" s="28">
        <v>-8285.7900000000009</v>
      </c>
      <c r="V49" s="28"/>
      <c r="W49" s="29"/>
      <c r="X49" s="29"/>
      <c r="Y49" s="30">
        <v>-8285790</v>
      </c>
      <c r="Z49" s="396">
        <f t="shared" si="2"/>
        <v>364.20999999999913</v>
      </c>
      <c r="AA49" s="397">
        <f t="shared" si="34"/>
        <v>364.20999999999913</v>
      </c>
      <c r="AB49" s="397"/>
      <c r="AC49" s="397"/>
      <c r="AD49" s="397"/>
      <c r="AE49" s="398">
        <f t="shared" si="44"/>
        <v>364210</v>
      </c>
      <c r="AF49" s="31">
        <f t="shared" si="21"/>
        <v>0</v>
      </c>
      <c r="AG49" s="28">
        <v>0</v>
      </c>
      <c r="AH49" s="28"/>
      <c r="AI49" s="28"/>
      <c r="AJ49" s="28"/>
      <c r="AK49" s="401">
        <f t="shared" si="6"/>
        <v>8285.7900000000009</v>
      </c>
      <c r="AL49" s="397">
        <v>8285.7900000000009</v>
      </c>
      <c r="AM49" s="397"/>
      <c r="AN49" s="397"/>
      <c r="AO49" s="402"/>
      <c r="AP49" s="32">
        <f t="shared" si="22"/>
        <v>0</v>
      </c>
      <c r="AQ49" s="28">
        <v>0</v>
      </c>
      <c r="AR49" s="28"/>
      <c r="AS49" s="401">
        <f t="shared" si="8"/>
        <v>0</v>
      </c>
      <c r="AT49" s="397">
        <v>0</v>
      </c>
      <c r="AU49" s="397"/>
      <c r="AV49" s="397"/>
      <c r="AW49" s="33">
        <f t="shared" si="9"/>
        <v>0</v>
      </c>
      <c r="AX49" s="28">
        <v>0</v>
      </c>
      <c r="AY49" s="28"/>
      <c r="AZ49" s="28"/>
      <c r="BA49" s="403">
        <f t="shared" si="10"/>
        <v>0</v>
      </c>
      <c r="BB49" s="397">
        <v>0</v>
      </c>
      <c r="BC49" s="397"/>
      <c r="BD49" s="397"/>
      <c r="BE49" s="34">
        <f t="shared" si="11"/>
        <v>0</v>
      </c>
      <c r="BF49" s="28">
        <v>0</v>
      </c>
      <c r="BG49" s="28"/>
      <c r="BH49" s="28"/>
      <c r="BI49" s="409">
        <f t="shared" si="12"/>
        <v>0</v>
      </c>
      <c r="BJ49" s="397">
        <v>0</v>
      </c>
      <c r="BK49" s="397"/>
      <c r="BL49" s="410"/>
      <c r="BM49" s="454">
        <v>0</v>
      </c>
      <c r="BN49" s="49">
        <f t="shared" si="38"/>
        <v>8650</v>
      </c>
      <c r="BO49" s="414">
        <f t="shared" si="30"/>
        <v>8650</v>
      </c>
      <c r="BP49" s="36">
        <f t="shared" si="17"/>
        <v>0</v>
      </c>
      <c r="BQ49" s="38" t="s">
        <v>57</v>
      </c>
      <c r="BR49" s="573"/>
      <c r="BS49" s="37" t="s">
        <v>95</v>
      </c>
      <c r="BV49" s="70"/>
      <c r="BW49" s="70"/>
      <c r="BX49" s="70"/>
      <c r="BZ49" s="70"/>
      <c r="CC49" s="70"/>
      <c r="CD49" s="70"/>
      <c r="CE49" s="70"/>
      <c r="CG49" s="70"/>
      <c r="CH49" s="70"/>
    </row>
    <row r="50" spans="1:86" s="37" customFormat="1" ht="39.950000000000003" customHeight="1" x14ac:dyDescent="0.2">
      <c r="A50" s="490"/>
      <c r="B50" s="152" t="s">
        <v>65</v>
      </c>
      <c r="C50" s="21"/>
      <c r="D50" s="58"/>
      <c r="E50" s="59">
        <v>7</v>
      </c>
      <c r="F50" s="572"/>
      <c r="G50" s="60">
        <v>4455000000</v>
      </c>
      <c r="H50" s="153" t="s">
        <v>66</v>
      </c>
      <c r="I50" s="153" t="s">
        <v>66</v>
      </c>
      <c r="J50" s="154">
        <v>0</v>
      </c>
      <c r="K50" s="155"/>
      <c r="L50" s="301">
        <f t="shared" si="18"/>
        <v>150</v>
      </c>
      <c r="M50" s="302">
        <v>150</v>
      </c>
      <c r="N50" s="303"/>
      <c r="O50" s="304"/>
      <c r="P50" s="303"/>
      <c r="Q50" s="331">
        <v>3127</v>
      </c>
      <c r="R50" s="312">
        <v>6121</v>
      </c>
      <c r="S50" s="307">
        <v>0</v>
      </c>
      <c r="T50" s="27">
        <f t="shared" si="19"/>
        <v>0</v>
      </c>
      <c r="U50" s="28">
        <v>0</v>
      </c>
      <c r="V50" s="28"/>
      <c r="W50" s="29"/>
      <c r="X50" s="29"/>
      <c r="Y50" s="30">
        <v>0</v>
      </c>
      <c r="Z50" s="396">
        <f t="shared" si="2"/>
        <v>150</v>
      </c>
      <c r="AA50" s="397">
        <f t="shared" si="34"/>
        <v>150</v>
      </c>
      <c r="AB50" s="397"/>
      <c r="AC50" s="397"/>
      <c r="AD50" s="397"/>
      <c r="AE50" s="398">
        <f t="shared" si="44"/>
        <v>0</v>
      </c>
      <c r="AF50" s="31">
        <f t="shared" si="21"/>
        <v>0</v>
      </c>
      <c r="AG50" s="48">
        <v>0</v>
      </c>
      <c r="AH50" s="48"/>
      <c r="AI50" s="48"/>
      <c r="AJ50" s="28"/>
      <c r="AK50" s="401">
        <f t="shared" si="6"/>
        <v>0</v>
      </c>
      <c r="AL50" s="397">
        <v>0</v>
      </c>
      <c r="AM50" s="403"/>
      <c r="AN50" s="403"/>
      <c r="AO50" s="398"/>
      <c r="AP50" s="32">
        <f t="shared" si="22"/>
        <v>0</v>
      </c>
      <c r="AQ50" s="28">
        <v>0</v>
      </c>
      <c r="AR50" s="28"/>
      <c r="AS50" s="401">
        <f t="shared" si="8"/>
        <v>0</v>
      </c>
      <c r="AT50" s="397">
        <v>0</v>
      </c>
      <c r="AU50" s="397"/>
      <c r="AV50" s="397"/>
      <c r="AW50" s="33">
        <f t="shared" si="9"/>
        <v>0</v>
      </c>
      <c r="AX50" s="28">
        <v>0</v>
      </c>
      <c r="AY50" s="28"/>
      <c r="AZ50" s="28"/>
      <c r="BA50" s="403">
        <f t="shared" si="10"/>
        <v>0</v>
      </c>
      <c r="BB50" s="397">
        <v>0</v>
      </c>
      <c r="BC50" s="397"/>
      <c r="BD50" s="397"/>
      <c r="BE50" s="34">
        <f t="shared" si="11"/>
        <v>0</v>
      </c>
      <c r="BF50" s="28">
        <v>0</v>
      </c>
      <c r="BG50" s="28"/>
      <c r="BH50" s="28"/>
      <c r="BI50" s="409">
        <f t="shared" si="12"/>
        <v>0</v>
      </c>
      <c r="BJ50" s="397">
        <v>0</v>
      </c>
      <c r="BK50" s="397"/>
      <c r="BL50" s="410"/>
      <c r="BM50" s="454">
        <v>0</v>
      </c>
      <c r="BN50" s="49">
        <f t="shared" si="38"/>
        <v>150</v>
      </c>
      <c r="BO50" s="414">
        <f t="shared" si="30"/>
        <v>150</v>
      </c>
      <c r="BP50" s="36">
        <f t="shared" si="17"/>
        <v>0</v>
      </c>
      <c r="BQ50" s="38" t="s">
        <v>57</v>
      </c>
      <c r="BR50" s="505"/>
      <c r="BS50" s="37" t="s">
        <v>95</v>
      </c>
      <c r="BV50" s="70"/>
      <c r="BW50" s="70"/>
      <c r="BX50" s="70"/>
      <c r="CC50" s="70"/>
      <c r="CD50" s="70"/>
      <c r="CE50" s="70"/>
      <c r="CG50" s="70"/>
      <c r="CH50" s="70"/>
    </row>
    <row r="51" spans="1:86" s="37" customFormat="1" ht="39.950000000000003" customHeight="1" x14ac:dyDescent="0.2">
      <c r="A51" s="77">
        <v>1</v>
      </c>
      <c r="B51" s="152" t="s">
        <v>65</v>
      </c>
      <c r="C51" s="21"/>
      <c r="D51" s="22"/>
      <c r="E51" s="23">
        <v>7</v>
      </c>
      <c r="F51" s="43" t="s">
        <v>169</v>
      </c>
      <c r="G51" s="60">
        <v>4576001101</v>
      </c>
      <c r="H51" s="156" t="s">
        <v>66</v>
      </c>
      <c r="I51" s="156" t="s">
        <v>66</v>
      </c>
      <c r="J51" s="154">
        <v>0</v>
      </c>
      <c r="K51" s="157"/>
      <c r="L51" s="301">
        <f t="shared" si="18"/>
        <v>500</v>
      </c>
      <c r="M51" s="302">
        <v>500</v>
      </c>
      <c r="N51" s="303"/>
      <c r="O51" s="304"/>
      <c r="P51" s="303"/>
      <c r="Q51" s="332">
        <v>3121</v>
      </c>
      <c r="R51" s="333">
        <v>6351</v>
      </c>
      <c r="S51" s="307">
        <v>500000</v>
      </c>
      <c r="T51" s="27">
        <f t="shared" si="19"/>
        <v>-500</v>
      </c>
      <c r="U51" s="28">
        <v>-500</v>
      </c>
      <c r="V51" s="28"/>
      <c r="W51" s="29"/>
      <c r="X51" s="29"/>
      <c r="Y51" s="30">
        <v>-500000</v>
      </c>
      <c r="Z51" s="396">
        <f t="shared" si="2"/>
        <v>0</v>
      </c>
      <c r="AA51" s="397">
        <f t="shared" si="34"/>
        <v>0</v>
      </c>
      <c r="AB51" s="397"/>
      <c r="AC51" s="397"/>
      <c r="AD51" s="397"/>
      <c r="AE51" s="398">
        <f t="shared" si="44"/>
        <v>0</v>
      </c>
      <c r="AF51" s="31">
        <f t="shared" si="21"/>
        <v>10000</v>
      </c>
      <c r="AG51" s="28">
        <v>10000</v>
      </c>
      <c r="AH51" s="28"/>
      <c r="AI51" s="28"/>
      <c r="AJ51" s="28"/>
      <c r="AK51" s="401">
        <f t="shared" si="6"/>
        <v>500</v>
      </c>
      <c r="AL51" s="397">
        <v>500</v>
      </c>
      <c r="AM51" s="397"/>
      <c r="AN51" s="397"/>
      <c r="AO51" s="402"/>
      <c r="AP51" s="32">
        <f t="shared" si="22"/>
        <v>10000</v>
      </c>
      <c r="AQ51" s="28">
        <v>10000</v>
      </c>
      <c r="AR51" s="28"/>
      <c r="AS51" s="401">
        <f t="shared" si="8"/>
        <v>10000</v>
      </c>
      <c r="AT51" s="397">
        <v>10000</v>
      </c>
      <c r="AU51" s="397"/>
      <c r="AV51" s="397"/>
      <c r="AW51" s="33">
        <f t="shared" si="9"/>
        <v>0</v>
      </c>
      <c r="AX51" s="28">
        <v>0</v>
      </c>
      <c r="AY51" s="28"/>
      <c r="AZ51" s="28"/>
      <c r="BA51" s="403">
        <f t="shared" si="10"/>
        <v>10000</v>
      </c>
      <c r="BB51" s="397">
        <v>10000</v>
      </c>
      <c r="BC51" s="397"/>
      <c r="BD51" s="397"/>
      <c r="BE51" s="34">
        <f t="shared" si="11"/>
        <v>0</v>
      </c>
      <c r="BF51" s="28">
        <v>0</v>
      </c>
      <c r="BG51" s="28"/>
      <c r="BH51" s="28"/>
      <c r="BI51" s="409">
        <f t="shared" si="12"/>
        <v>0</v>
      </c>
      <c r="BJ51" s="397">
        <f t="shared" ref="BJ51:BJ52" si="45">BF51</f>
        <v>0</v>
      </c>
      <c r="BK51" s="397"/>
      <c r="BL51" s="410"/>
      <c r="BM51" s="454">
        <v>0</v>
      </c>
      <c r="BN51" s="35">
        <f t="shared" si="38"/>
        <v>20500</v>
      </c>
      <c r="BO51" s="413">
        <f t="shared" si="30"/>
        <v>20500</v>
      </c>
      <c r="BP51" s="36">
        <f t="shared" si="17"/>
        <v>0</v>
      </c>
      <c r="BQ51" s="38" t="s">
        <v>57</v>
      </c>
      <c r="BR51" s="41">
        <v>1</v>
      </c>
      <c r="BS51" s="37" t="s">
        <v>95</v>
      </c>
      <c r="BV51" s="70"/>
      <c r="BW51" s="70"/>
      <c r="BX51" s="70"/>
      <c r="BZ51" s="70"/>
      <c r="CC51" s="70"/>
      <c r="CD51" s="70"/>
      <c r="CE51" s="70"/>
      <c r="CG51" s="70"/>
      <c r="CH51" s="70"/>
    </row>
    <row r="52" spans="1:86" s="37" customFormat="1" ht="39.950000000000003" customHeight="1" x14ac:dyDescent="0.2">
      <c r="A52" s="489">
        <v>1</v>
      </c>
      <c r="B52" s="158" t="s">
        <v>65</v>
      </c>
      <c r="C52" s="158"/>
      <c r="D52" s="79"/>
      <c r="E52" s="23">
        <v>7</v>
      </c>
      <c r="F52" s="574" t="s">
        <v>170</v>
      </c>
      <c r="G52" s="60">
        <v>4664001339</v>
      </c>
      <c r="H52" s="159" t="s">
        <v>66</v>
      </c>
      <c r="I52" s="160" t="s">
        <v>66</v>
      </c>
      <c r="J52" s="576">
        <v>0</v>
      </c>
      <c r="K52" s="161"/>
      <c r="L52" s="301">
        <f t="shared" si="18"/>
        <v>850</v>
      </c>
      <c r="M52" s="302">
        <v>850</v>
      </c>
      <c r="N52" s="303"/>
      <c r="O52" s="304"/>
      <c r="P52" s="303"/>
      <c r="Q52" s="334">
        <v>3127</v>
      </c>
      <c r="R52" s="335">
        <v>6351</v>
      </c>
      <c r="S52" s="307">
        <v>850000</v>
      </c>
      <c r="T52" s="27">
        <f t="shared" si="19"/>
        <v>0</v>
      </c>
      <c r="U52" s="28">
        <v>0</v>
      </c>
      <c r="V52" s="28"/>
      <c r="W52" s="29"/>
      <c r="X52" s="29"/>
      <c r="Y52" s="30">
        <v>0</v>
      </c>
      <c r="Z52" s="396">
        <f t="shared" si="2"/>
        <v>850</v>
      </c>
      <c r="AA52" s="397">
        <f t="shared" si="34"/>
        <v>850</v>
      </c>
      <c r="AB52" s="397"/>
      <c r="AC52" s="397"/>
      <c r="AD52" s="397"/>
      <c r="AE52" s="398">
        <f t="shared" si="44"/>
        <v>850000</v>
      </c>
      <c r="AF52" s="31">
        <f t="shared" si="21"/>
        <v>12500</v>
      </c>
      <c r="AG52" s="48">
        <v>12500</v>
      </c>
      <c r="AH52" s="48"/>
      <c r="AI52" s="48"/>
      <c r="AJ52" s="28"/>
      <c r="AK52" s="401">
        <f t="shared" si="6"/>
        <v>1000</v>
      </c>
      <c r="AL52" s="397">
        <v>1000</v>
      </c>
      <c r="AM52" s="403"/>
      <c r="AN52" s="403"/>
      <c r="AO52" s="398"/>
      <c r="AP52" s="32">
        <f>AQ52</f>
        <v>0</v>
      </c>
      <c r="AQ52" s="28">
        <v>0</v>
      </c>
      <c r="AR52" s="28"/>
      <c r="AS52" s="401">
        <f t="shared" si="8"/>
        <v>11500</v>
      </c>
      <c r="AT52" s="397">
        <v>11500</v>
      </c>
      <c r="AU52" s="397"/>
      <c r="AV52" s="397"/>
      <c r="AW52" s="33">
        <f t="shared" si="9"/>
        <v>0</v>
      </c>
      <c r="AX52" s="28">
        <v>0</v>
      </c>
      <c r="AY52" s="28"/>
      <c r="AZ52" s="28"/>
      <c r="BA52" s="403">
        <f t="shared" si="10"/>
        <v>0</v>
      </c>
      <c r="BB52" s="397">
        <v>0</v>
      </c>
      <c r="BC52" s="397"/>
      <c r="BD52" s="397"/>
      <c r="BE52" s="34">
        <f t="shared" si="11"/>
        <v>0</v>
      </c>
      <c r="BF52" s="28">
        <v>0</v>
      </c>
      <c r="BG52" s="28"/>
      <c r="BH52" s="28"/>
      <c r="BI52" s="409">
        <f t="shared" si="12"/>
        <v>0</v>
      </c>
      <c r="BJ52" s="397">
        <f t="shared" si="45"/>
        <v>0</v>
      </c>
      <c r="BK52" s="397"/>
      <c r="BL52" s="410"/>
      <c r="BM52" s="455">
        <v>0</v>
      </c>
      <c r="BN52" s="35">
        <f t="shared" si="38"/>
        <v>13350</v>
      </c>
      <c r="BO52" s="413">
        <f t="shared" si="30"/>
        <v>13350</v>
      </c>
      <c r="BP52" s="36">
        <f t="shared" si="17"/>
        <v>0</v>
      </c>
      <c r="BQ52" s="38" t="s">
        <v>57</v>
      </c>
      <c r="BR52" s="577">
        <v>1</v>
      </c>
      <c r="BS52" s="37" t="s">
        <v>74</v>
      </c>
      <c r="BV52" s="70"/>
      <c r="BW52" s="70"/>
      <c r="BX52" s="70"/>
      <c r="BZ52" s="70"/>
      <c r="CC52" s="70"/>
      <c r="CD52" s="70"/>
      <c r="CE52" s="70"/>
      <c r="CG52" s="70"/>
      <c r="CH52" s="70"/>
    </row>
    <row r="53" spans="1:86" s="37" customFormat="1" ht="39.950000000000003" customHeight="1" x14ac:dyDescent="0.2">
      <c r="A53" s="490"/>
      <c r="B53" s="158" t="s">
        <v>65</v>
      </c>
      <c r="C53" s="158"/>
      <c r="D53" s="79"/>
      <c r="E53" s="23">
        <v>7</v>
      </c>
      <c r="F53" s="575"/>
      <c r="G53" s="61">
        <v>4664000000</v>
      </c>
      <c r="H53" s="160" t="s">
        <v>66</v>
      </c>
      <c r="I53" s="160" t="s">
        <v>66</v>
      </c>
      <c r="J53" s="567"/>
      <c r="K53" s="161"/>
      <c r="L53" s="301">
        <f t="shared" si="18"/>
        <v>150</v>
      </c>
      <c r="M53" s="302">
        <v>150</v>
      </c>
      <c r="N53" s="303"/>
      <c r="O53" s="336"/>
      <c r="P53" s="303"/>
      <c r="Q53" s="334">
        <v>3127</v>
      </c>
      <c r="R53" s="335">
        <v>6121</v>
      </c>
      <c r="S53" s="307">
        <v>0</v>
      </c>
      <c r="T53" s="27">
        <f t="shared" si="19"/>
        <v>0</v>
      </c>
      <c r="U53" s="28">
        <v>0</v>
      </c>
      <c r="V53" s="28"/>
      <c r="W53" s="163"/>
      <c r="X53" s="163"/>
      <c r="Y53" s="30">
        <v>0</v>
      </c>
      <c r="Z53" s="396">
        <f t="shared" si="2"/>
        <v>150</v>
      </c>
      <c r="AA53" s="397">
        <f t="shared" si="34"/>
        <v>150</v>
      </c>
      <c r="AB53" s="397"/>
      <c r="AC53" s="397"/>
      <c r="AD53" s="397"/>
      <c r="AE53" s="398">
        <f t="shared" si="44"/>
        <v>0</v>
      </c>
      <c r="AF53" s="31">
        <f t="shared" si="21"/>
        <v>0</v>
      </c>
      <c r="AG53" s="162">
        <v>0</v>
      </c>
      <c r="AH53" s="162"/>
      <c r="AI53" s="162"/>
      <c r="AJ53" s="28"/>
      <c r="AK53" s="404">
        <f t="shared" si="6"/>
        <v>0</v>
      </c>
      <c r="AL53" s="397">
        <v>0</v>
      </c>
      <c r="AM53" s="405"/>
      <c r="AN53" s="405"/>
      <c r="AO53" s="398"/>
      <c r="AP53" s="164">
        <f>AQ53</f>
        <v>0</v>
      </c>
      <c r="AQ53" s="28">
        <v>0</v>
      </c>
      <c r="AR53" s="28"/>
      <c r="AS53" s="404">
        <f t="shared" si="8"/>
        <v>0</v>
      </c>
      <c r="AT53" s="397">
        <v>0</v>
      </c>
      <c r="AU53" s="397"/>
      <c r="AV53" s="397"/>
      <c r="AW53" s="165">
        <f t="shared" si="9"/>
        <v>0</v>
      </c>
      <c r="AX53" s="28">
        <v>0</v>
      </c>
      <c r="AY53" s="28"/>
      <c r="AZ53" s="28"/>
      <c r="BA53" s="405">
        <f t="shared" si="10"/>
        <v>0</v>
      </c>
      <c r="BB53" s="397">
        <v>0</v>
      </c>
      <c r="BC53" s="397"/>
      <c r="BD53" s="397"/>
      <c r="BE53" s="34">
        <f t="shared" si="11"/>
        <v>0</v>
      </c>
      <c r="BF53" s="28">
        <v>0</v>
      </c>
      <c r="BG53" s="28"/>
      <c r="BH53" s="28"/>
      <c r="BI53" s="409">
        <f t="shared" si="12"/>
        <v>0</v>
      </c>
      <c r="BJ53" s="397">
        <v>0</v>
      </c>
      <c r="BK53" s="397"/>
      <c r="BL53" s="410"/>
      <c r="BM53" s="455">
        <v>0</v>
      </c>
      <c r="BN53" s="35">
        <f t="shared" si="38"/>
        <v>150</v>
      </c>
      <c r="BO53" s="413">
        <f t="shared" si="30"/>
        <v>150</v>
      </c>
      <c r="BP53" s="36">
        <f t="shared" si="17"/>
        <v>0</v>
      </c>
      <c r="BQ53" s="38" t="s">
        <v>57</v>
      </c>
      <c r="BR53" s="578"/>
      <c r="BV53" s="70"/>
      <c r="BW53" s="70"/>
      <c r="BX53" s="70"/>
      <c r="CC53" s="70"/>
      <c r="CD53" s="70"/>
      <c r="CE53" s="70"/>
      <c r="CG53" s="70"/>
      <c r="CH53" s="70"/>
    </row>
    <row r="54" spans="1:86" s="37" customFormat="1" ht="39.950000000000003" customHeight="1" x14ac:dyDescent="0.2">
      <c r="A54" s="489">
        <v>1</v>
      </c>
      <c r="B54" s="166" t="s">
        <v>65</v>
      </c>
      <c r="C54" s="166"/>
      <c r="D54" s="167"/>
      <c r="E54" s="168">
        <v>7</v>
      </c>
      <c r="F54" s="564" t="s">
        <v>171</v>
      </c>
      <c r="G54" s="169">
        <v>4412001205</v>
      </c>
      <c r="H54" s="170" t="s">
        <v>66</v>
      </c>
      <c r="I54" s="170" t="s">
        <v>66</v>
      </c>
      <c r="J54" s="566">
        <v>943.8</v>
      </c>
      <c r="K54" s="171"/>
      <c r="L54" s="301">
        <f>M54+N54+P54+O54</f>
        <v>15406.2</v>
      </c>
      <c r="M54" s="302">
        <f>13906.2+1500</f>
        <v>15406.2</v>
      </c>
      <c r="N54" s="303"/>
      <c r="O54" s="336"/>
      <c r="P54" s="303"/>
      <c r="Q54" s="334">
        <v>3122</v>
      </c>
      <c r="R54" s="335">
        <v>6351</v>
      </c>
      <c r="S54" s="307">
        <v>15406200</v>
      </c>
      <c r="T54" s="27">
        <f>U54+V54+W54</f>
        <v>0</v>
      </c>
      <c r="U54" s="28">
        <v>0</v>
      </c>
      <c r="V54" s="28"/>
      <c r="W54" s="163"/>
      <c r="X54" s="163"/>
      <c r="Y54" s="30">
        <v>0</v>
      </c>
      <c r="Z54" s="396">
        <f>AA54+AB54</f>
        <v>15406.2</v>
      </c>
      <c r="AA54" s="397">
        <f t="shared" si="34"/>
        <v>15406.2</v>
      </c>
      <c r="AB54" s="397"/>
      <c r="AC54" s="397"/>
      <c r="AD54" s="397"/>
      <c r="AE54" s="398">
        <f t="shared" si="44"/>
        <v>15406200</v>
      </c>
      <c r="AF54" s="31">
        <f t="shared" si="21"/>
        <v>10000</v>
      </c>
      <c r="AG54" s="162">
        <v>10000</v>
      </c>
      <c r="AH54" s="162"/>
      <c r="AI54" s="162"/>
      <c r="AJ54" s="28"/>
      <c r="AK54" s="404">
        <f t="shared" si="6"/>
        <v>11000</v>
      </c>
      <c r="AL54" s="397">
        <v>11000</v>
      </c>
      <c r="AM54" s="405"/>
      <c r="AN54" s="405"/>
      <c r="AO54" s="398"/>
      <c r="AP54" s="164">
        <f>AQ54</f>
        <v>10000</v>
      </c>
      <c r="AQ54" s="28">
        <v>10000</v>
      </c>
      <c r="AR54" s="28"/>
      <c r="AS54" s="404">
        <f t="shared" si="8"/>
        <v>11000</v>
      </c>
      <c r="AT54" s="397">
        <v>11000</v>
      </c>
      <c r="AU54" s="397"/>
      <c r="AV54" s="397"/>
      <c r="AW54" s="165">
        <f t="shared" si="9"/>
        <v>0</v>
      </c>
      <c r="AX54" s="28">
        <v>0</v>
      </c>
      <c r="AY54" s="28"/>
      <c r="AZ54" s="28"/>
      <c r="BA54" s="405">
        <f t="shared" si="10"/>
        <v>0</v>
      </c>
      <c r="BB54" s="397">
        <v>0</v>
      </c>
      <c r="BC54" s="397"/>
      <c r="BD54" s="397"/>
      <c r="BE54" s="34">
        <v>0</v>
      </c>
      <c r="BF54" s="28">
        <v>0</v>
      </c>
      <c r="BG54" s="28"/>
      <c r="BH54" s="28"/>
      <c r="BI54" s="409">
        <f t="shared" si="12"/>
        <v>0</v>
      </c>
      <c r="BJ54" s="397">
        <v>0</v>
      </c>
      <c r="BK54" s="397"/>
      <c r="BL54" s="410"/>
      <c r="BM54" s="455">
        <v>0</v>
      </c>
      <c r="BN54" s="35">
        <f t="shared" si="38"/>
        <v>36350</v>
      </c>
      <c r="BO54" s="413">
        <f t="shared" si="30"/>
        <v>38350</v>
      </c>
      <c r="BP54" s="36">
        <f t="shared" si="17"/>
        <v>2000</v>
      </c>
      <c r="BQ54" s="62" t="s">
        <v>96</v>
      </c>
      <c r="BR54" s="568">
        <v>2</v>
      </c>
      <c r="BS54" s="63" t="s">
        <v>97</v>
      </c>
      <c r="BV54" s="70"/>
      <c r="BW54" s="70"/>
      <c r="BX54" s="70"/>
      <c r="BZ54" s="70"/>
      <c r="CC54" s="70"/>
      <c r="CD54" s="70"/>
      <c r="CE54" s="70"/>
      <c r="CG54" s="70"/>
      <c r="CH54" s="70"/>
    </row>
    <row r="55" spans="1:86" s="37" customFormat="1" ht="39.950000000000003" customHeight="1" x14ac:dyDescent="0.2">
      <c r="A55" s="490"/>
      <c r="B55" s="166" t="s">
        <v>65</v>
      </c>
      <c r="C55" s="166"/>
      <c r="D55" s="167"/>
      <c r="E55" s="23">
        <v>7</v>
      </c>
      <c r="F55" s="565"/>
      <c r="G55" s="61">
        <v>4412000000</v>
      </c>
      <c r="H55" s="170" t="s">
        <v>66</v>
      </c>
      <c r="I55" s="170" t="s">
        <v>66</v>
      </c>
      <c r="J55" s="567"/>
      <c r="K55" s="171"/>
      <c r="L55" s="301">
        <f>M55+N55+P55+O55</f>
        <v>150</v>
      </c>
      <c r="M55" s="302">
        <v>150</v>
      </c>
      <c r="N55" s="303"/>
      <c r="O55" s="336"/>
      <c r="P55" s="303"/>
      <c r="Q55" s="337">
        <v>3122</v>
      </c>
      <c r="R55" s="338">
        <v>6121</v>
      </c>
      <c r="S55" s="307">
        <v>0</v>
      </c>
      <c r="T55" s="27">
        <f>U55+V55+W55</f>
        <v>0</v>
      </c>
      <c r="U55" s="28">
        <v>0</v>
      </c>
      <c r="V55" s="28"/>
      <c r="W55" s="163"/>
      <c r="X55" s="163"/>
      <c r="Y55" s="30">
        <v>0</v>
      </c>
      <c r="Z55" s="396">
        <f t="shared" ref="Z55:Z86" si="46">AA55+AB55</f>
        <v>150</v>
      </c>
      <c r="AA55" s="397">
        <f t="shared" si="34"/>
        <v>150</v>
      </c>
      <c r="AB55" s="397"/>
      <c r="AC55" s="397"/>
      <c r="AD55" s="397"/>
      <c r="AE55" s="398">
        <f t="shared" si="44"/>
        <v>0</v>
      </c>
      <c r="AF55" s="31">
        <f t="shared" si="21"/>
        <v>0</v>
      </c>
      <c r="AG55" s="162">
        <v>0</v>
      </c>
      <c r="AH55" s="162"/>
      <c r="AI55" s="162"/>
      <c r="AJ55" s="28"/>
      <c r="AK55" s="404">
        <f t="shared" si="6"/>
        <v>0</v>
      </c>
      <c r="AL55" s="397">
        <v>0</v>
      </c>
      <c r="AM55" s="405"/>
      <c r="AN55" s="405"/>
      <c r="AO55" s="398"/>
      <c r="AP55" s="164">
        <f>AQ55</f>
        <v>0</v>
      </c>
      <c r="AQ55" s="28">
        <v>0</v>
      </c>
      <c r="AR55" s="28"/>
      <c r="AS55" s="404">
        <f t="shared" si="8"/>
        <v>0</v>
      </c>
      <c r="AT55" s="397">
        <v>0</v>
      </c>
      <c r="AU55" s="397"/>
      <c r="AV55" s="397"/>
      <c r="AW55" s="165">
        <f t="shared" si="9"/>
        <v>0</v>
      </c>
      <c r="AX55" s="28">
        <v>0</v>
      </c>
      <c r="AY55" s="28"/>
      <c r="AZ55" s="28"/>
      <c r="BA55" s="405">
        <f t="shared" si="10"/>
        <v>0</v>
      </c>
      <c r="BB55" s="397">
        <v>0</v>
      </c>
      <c r="BC55" s="397"/>
      <c r="BD55" s="397"/>
      <c r="BE55" s="34">
        <v>0</v>
      </c>
      <c r="BF55" s="28">
        <v>0</v>
      </c>
      <c r="BG55" s="28"/>
      <c r="BH55" s="28"/>
      <c r="BI55" s="409">
        <f t="shared" si="12"/>
        <v>0</v>
      </c>
      <c r="BJ55" s="397">
        <v>0</v>
      </c>
      <c r="BK55" s="397"/>
      <c r="BL55" s="410"/>
      <c r="BM55" s="455">
        <v>0</v>
      </c>
      <c r="BN55" s="35">
        <f t="shared" si="38"/>
        <v>150</v>
      </c>
      <c r="BO55" s="413">
        <f t="shared" si="30"/>
        <v>150</v>
      </c>
      <c r="BP55" s="36">
        <f t="shared" si="17"/>
        <v>0</v>
      </c>
      <c r="BQ55" s="62"/>
      <c r="BR55" s="555"/>
      <c r="BS55" s="63" t="s">
        <v>67</v>
      </c>
      <c r="BV55" s="70"/>
      <c r="BW55" s="70"/>
      <c r="BX55" s="70"/>
      <c r="CC55" s="70"/>
      <c r="CD55" s="70"/>
      <c r="CE55" s="70"/>
      <c r="CG55" s="70"/>
      <c r="CH55" s="70"/>
    </row>
    <row r="56" spans="1:86" s="37" customFormat="1" ht="39.950000000000003" customHeight="1" x14ac:dyDescent="0.2">
      <c r="A56" s="489">
        <v>1</v>
      </c>
      <c r="B56" s="166" t="s">
        <v>65</v>
      </c>
      <c r="C56" s="172"/>
      <c r="D56" s="173"/>
      <c r="E56" s="23">
        <v>7</v>
      </c>
      <c r="F56" s="569" t="s">
        <v>172</v>
      </c>
      <c r="G56" s="174">
        <v>4396001404</v>
      </c>
      <c r="H56" s="175" t="s">
        <v>66</v>
      </c>
      <c r="I56" s="175" t="s">
        <v>66</v>
      </c>
      <c r="J56" s="570">
        <v>500.94</v>
      </c>
      <c r="K56" s="46"/>
      <c r="L56" s="301">
        <f t="shared" ref="L56:L83" si="47">M56+N56+P56+O56</f>
        <v>15049.06</v>
      </c>
      <c r="M56" s="302">
        <f>15199.06-150</f>
        <v>15049.06</v>
      </c>
      <c r="N56" s="303">
        <v>0</v>
      </c>
      <c r="O56" s="336">
        <v>0</v>
      </c>
      <c r="P56" s="303">
        <v>0</v>
      </c>
      <c r="Q56" s="311">
        <v>3114</v>
      </c>
      <c r="R56" s="312">
        <v>6351</v>
      </c>
      <c r="S56" s="307">
        <v>15049060</v>
      </c>
      <c r="T56" s="27">
        <f t="shared" ref="T56:T86" si="48">U56+V56+W56</f>
        <v>-10000</v>
      </c>
      <c r="U56" s="28">
        <v>-10000</v>
      </c>
      <c r="V56" s="28">
        <v>0</v>
      </c>
      <c r="W56" s="163">
        <v>0</v>
      </c>
      <c r="X56" s="163">
        <v>0</v>
      </c>
      <c r="Y56" s="30">
        <f>(U56+V56)*1000</f>
        <v>-10000000</v>
      </c>
      <c r="Z56" s="396">
        <f t="shared" si="46"/>
        <v>5049.0599999999995</v>
      </c>
      <c r="AA56" s="397">
        <f t="shared" si="34"/>
        <v>5049.0599999999995</v>
      </c>
      <c r="AB56" s="397">
        <f t="shared" si="34"/>
        <v>0</v>
      </c>
      <c r="AC56" s="397">
        <f t="shared" si="34"/>
        <v>0</v>
      </c>
      <c r="AD56" s="397">
        <f t="shared" ref="AD56:AD58" si="49">X56</f>
        <v>0</v>
      </c>
      <c r="AE56" s="398">
        <f t="shared" si="44"/>
        <v>5049060</v>
      </c>
      <c r="AF56" s="31">
        <f t="shared" si="21"/>
        <v>0</v>
      </c>
      <c r="AG56" s="176">
        <v>0</v>
      </c>
      <c r="AH56" s="162">
        <v>0</v>
      </c>
      <c r="AI56" s="162">
        <v>0</v>
      </c>
      <c r="AJ56" s="28">
        <v>0</v>
      </c>
      <c r="AK56" s="404">
        <f t="shared" si="6"/>
        <v>47000</v>
      </c>
      <c r="AL56" s="397">
        <v>47000</v>
      </c>
      <c r="AM56" s="405">
        <v>0</v>
      </c>
      <c r="AN56" s="405">
        <f t="shared" ref="AN56:AO58" si="50">AI56</f>
        <v>0</v>
      </c>
      <c r="AO56" s="398">
        <f t="shared" si="50"/>
        <v>0</v>
      </c>
      <c r="AP56" s="164">
        <f t="shared" ref="AP56:AP83" si="51">AQ56</f>
        <v>0</v>
      </c>
      <c r="AQ56" s="28">
        <v>0</v>
      </c>
      <c r="AR56" s="28">
        <v>0</v>
      </c>
      <c r="AS56" s="404">
        <f t="shared" si="8"/>
        <v>0</v>
      </c>
      <c r="AT56" s="397">
        <f t="shared" ref="AT56:AT57" si="52">AQ56</f>
        <v>0</v>
      </c>
      <c r="AU56" s="397"/>
      <c r="AV56" s="397">
        <f t="shared" ref="AV56:AV58" si="53">AR56</f>
        <v>0</v>
      </c>
      <c r="AW56" s="165">
        <f t="shared" si="9"/>
        <v>0</v>
      </c>
      <c r="AX56" s="28">
        <v>0</v>
      </c>
      <c r="AY56" s="28">
        <v>0</v>
      </c>
      <c r="AZ56" s="28">
        <v>0</v>
      </c>
      <c r="BA56" s="405">
        <f t="shared" si="10"/>
        <v>0</v>
      </c>
      <c r="BB56" s="397">
        <f>AX56</f>
        <v>0</v>
      </c>
      <c r="BC56" s="397">
        <f t="shared" ref="BC56:BD58" si="54">AY56</f>
        <v>0</v>
      </c>
      <c r="BD56" s="397">
        <f t="shared" si="54"/>
        <v>0</v>
      </c>
      <c r="BE56" s="34">
        <f t="shared" ref="BE56:BE86" si="55">BF56</f>
        <v>0</v>
      </c>
      <c r="BF56" s="28">
        <v>0</v>
      </c>
      <c r="BG56" s="28">
        <v>0</v>
      </c>
      <c r="BH56" s="28">
        <v>0</v>
      </c>
      <c r="BI56" s="409">
        <f t="shared" si="12"/>
        <v>0</v>
      </c>
      <c r="BJ56" s="397">
        <f t="shared" ref="BJ56:BL71" si="56">BF56</f>
        <v>0</v>
      </c>
      <c r="BK56" s="397">
        <f t="shared" si="56"/>
        <v>0</v>
      </c>
      <c r="BL56" s="410">
        <f t="shared" si="56"/>
        <v>0</v>
      </c>
      <c r="BM56" s="455">
        <v>0</v>
      </c>
      <c r="BN56" s="49">
        <f>J56+L56+AF56+AP56+AW56+BE56+BM56</f>
        <v>15550</v>
      </c>
      <c r="BO56" s="414">
        <f t="shared" si="30"/>
        <v>52550</v>
      </c>
      <c r="BP56" s="36">
        <f t="shared" si="17"/>
        <v>37000</v>
      </c>
      <c r="BQ56" s="62" t="s">
        <v>96</v>
      </c>
      <c r="BR56" s="568">
        <v>2</v>
      </c>
      <c r="BS56" s="63" t="s">
        <v>67</v>
      </c>
      <c r="BV56" s="70"/>
      <c r="BW56" s="70"/>
      <c r="BX56" s="70"/>
      <c r="BZ56" s="70"/>
      <c r="CC56" s="70"/>
      <c r="CD56" s="70"/>
      <c r="CE56" s="70"/>
      <c r="CG56" s="70"/>
      <c r="CH56" s="70"/>
    </row>
    <row r="57" spans="1:86" s="37" customFormat="1" ht="39.950000000000003" customHeight="1" x14ac:dyDescent="0.2">
      <c r="A57" s="490"/>
      <c r="B57" s="166" t="s">
        <v>65</v>
      </c>
      <c r="C57" s="172"/>
      <c r="D57" s="173"/>
      <c r="E57" s="23">
        <v>7</v>
      </c>
      <c r="F57" s="561"/>
      <c r="G57" s="45">
        <v>4396000000</v>
      </c>
      <c r="H57" s="175" t="s">
        <v>66</v>
      </c>
      <c r="I57" s="175" t="s">
        <v>66</v>
      </c>
      <c r="J57" s="558"/>
      <c r="K57" s="46"/>
      <c r="L57" s="301">
        <f t="shared" si="47"/>
        <v>150</v>
      </c>
      <c r="M57" s="339">
        <v>150</v>
      </c>
      <c r="N57" s="303"/>
      <c r="O57" s="336"/>
      <c r="P57" s="303"/>
      <c r="Q57" s="311">
        <v>3114</v>
      </c>
      <c r="R57" s="312">
        <v>6121</v>
      </c>
      <c r="S57" s="307">
        <v>0</v>
      </c>
      <c r="T57" s="27">
        <f t="shared" si="48"/>
        <v>0</v>
      </c>
      <c r="U57" s="28">
        <v>0</v>
      </c>
      <c r="V57" s="28"/>
      <c r="W57" s="163"/>
      <c r="X57" s="163"/>
      <c r="Y57" s="30">
        <v>0</v>
      </c>
      <c r="Z57" s="396">
        <f t="shared" si="46"/>
        <v>150</v>
      </c>
      <c r="AA57" s="397">
        <f t="shared" si="34"/>
        <v>150</v>
      </c>
      <c r="AB57" s="397"/>
      <c r="AC57" s="397"/>
      <c r="AD57" s="397"/>
      <c r="AE57" s="398">
        <f t="shared" si="44"/>
        <v>0</v>
      </c>
      <c r="AF57" s="31">
        <f t="shared" si="21"/>
        <v>0</v>
      </c>
      <c r="AG57" s="176">
        <v>0</v>
      </c>
      <c r="AH57" s="162"/>
      <c r="AI57" s="162"/>
      <c r="AJ57" s="28"/>
      <c r="AK57" s="404">
        <f t="shared" si="6"/>
        <v>0</v>
      </c>
      <c r="AL57" s="397">
        <v>0</v>
      </c>
      <c r="AM57" s="405"/>
      <c r="AN57" s="405"/>
      <c r="AO57" s="398"/>
      <c r="AP57" s="164">
        <f t="shared" si="51"/>
        <v>0</v>
      </c>
      <c r="AQ57" s="28">
        <v>0</v>
      </c>
      <c r="AR57" s="28">
        <v>0</v>
      </c>
      <c r="AS57" s="404">
        <f t="shared" si="8"/>
        <v>0</v>
      </c>
      <c r="AT57" s="397">
        <f t="shared" si="52"/>
        <v>0</v>
      </c>
      <c r="AU57" s="397"/>
      <c r="AV57" s="397">
        <f t="shared" si="53"/>
        <v>0</v>
      </c>
      <c r="AW57" s="165">
        <f t="shared" si="9"/>
        <v>0</v>
      </c>
      <c r="AX57" s="28">
        <v>0</v>
      </c>
      <c r="AY57" s="28">
        <v>0</v>
      </c>
      <c r="AZ57" s="28">
        <v>0</v>
      </c>
      <c r="BA57" s="405">
        <f t="shared" si="10"/>
        <v>0</v>
      </c>
      <c r="BB57" s="397">
        <v>0</v>
      </c>
      <c r="BC57" s="397">
        <f t="shared" si="54"/>
        <v>0</v>
      </c>
      <c r="BD57" s="397">
        <f t="shared" si="54"/>
        <v>0</v>
      </c>
      <c r="BE57" s="34">
        <f t="shared" si="55"/>
        <v>0</v>
      </c>
      <c r="BF57" s="28">
        <v>0</v>
      </c>
      <c r="BG57" s="28">
        <v>0</v>
      </c>
      <c r="BH57" s="28">
        <v>0</v>
      </c>
      <c r="BI57" s="409">
        <f t="shared" si="12"/>
        <v>0</v>
      </c>
      <c r="BJ57" s="397">
        <f t="shared" si="56"/>
        <v>0</v>
      </c>
      <c r="BK57" s="397">
        <f t="shared" si="56"/>
        <v>0</v>
      </c>
      <c r="BL57" s="410">
        <f t="shared" si="56"/>
        <v>0</v>
      </c>
      <c r="BM57" s="455">
        <v>0</v>
      </c>
      <c r="BN57" s="49">
        <f t="shared" si="38"/>
        <v>150</v>
      </c>
      <c r="BO57" s="414">
        <f t="shared" si="30"/>
        <v>150</v>
      </c>
      <c r="BP57" s="36">
        <f t="shared" si="17"/>
        <v>0</v>
      </c>
      <c r="BQ57" s="62"/>
      <c r="BR57" s="555"/>
      <c r="BS57" s="63" t="s">
        <v>67</v>
      </c>
      <c r="BV57" s="70"/>
      <c r="BW57" s="70"/>
      <c r="BX57" s="70"/>
      <c r="CC57" s="70"/>
      <c r="CD57" s="70"/>
      <c r="CE57" s="70"/>
      <c r="CG57" s="70"/>
      <c r="CH57" s="70"/>
    </row>
    <row r="58" spans="1:86" s="37" customFormat="1" ht="39.950000000000003" customHeight="1" x14ac:dyDescent="0.2">
      <c r="A58" s="489">
        <v>1</v>
      </c>
      <c r="B58" s="177" t="s">
        <v>65</v>
      </c>
      <c r="C58" s="178" t="s">
        <v>81</v>
      </c>
      <c r="D58" s="173" t="s">
        <v>82</v>
      </c>
      <c r="E58" s="179">
        <v>7</v>
      </c>
      <c r="F58" s="560" t="s">
        <v>173</v>
      </c>
      <c r="G58" s="180">
        <v>4427001318</v>
      </c>
      <c r="H58" s="181" t="s">
        <v>66</v>
      </c>
      <c r="I58" s="181" t="s">
        <v>66</v>
      </c>
      <c r="J58" s="557">
        <v>1350</v>
      </c>
      <c r="K58" s="182"/>
      <c r="L58" s="301">
        <f t="shared" si="47"/>
        <v>8000</v>
      </c>
      <c r="M58" s="340">
        <f>8150-150</f>
        <v>8000</v>
      </c>
      <c r="N58" s="341">
        <v>0</v>
      </c>
      <c r="O58" s="336">
        <v>0</v>
      </c>
      <c r="P58" s="341">
        <v>0</v>
      </c>
      <c r="Q58" s="342">
        <v>3124</v>
      </c>
      <c r="R58" s="343">
        <v>6351</v>
      </c>
      <c r="S58" s="307">
        <f>8000000</f>
        <v>8000000</v>
      </c>
      <c r="T58" s="27">
        <f t="shared" si="48"/>
        <v>-8000</v>
      </c>
      <c r="U58" s="183">
        <v>-8000</v>
      </c>
      <c r="V58" s="183">
        <v>0</v>
      </c>
      <c r="W58" s="163">
        <v>0</v>
      </c>
      <c r="X58" s="163">
        <v>0</v>
      </c>
      <c r="Y58" s="30">
        <f t="shared" ref="Y58" si="57">(U58+V58)*1000</f>
        <v>-8000000</v>
      </c>
      <c r="Z58" s="396">
        <f t="shared" si="46"/>
        <v>0</v>
      </c>
      <c r="AA58" s="400">
        <f t="shared" si="34"/>
        <v>0</v>
      </c>
      <c r="AB58" s="400">
        <f t="shared" si="34"/>
        <v>0</v>
      </c>
      <c r="AC58" s="400">
        <f t="shared" si="34"/>
        <v>0</v>
      </c>
      <c r="AD58" s="400">
        <f t="shared" si="49"/>
        <v>0</v>
      </c>
      <c r="AE58" s="398">
        <f t="shared" si="44"/>
        <v>0</v>
      </c>
      <c r="AF58" s="31">
        <f t="shared" si="21"/>
        <v>0</v>
      </c>
      <c r="AG58" s="162">
        <v>0</v>
      </c>
      <c r="AH58" s="162">
        <v>0</v>
      </c>
      <c r="AI58" s="162">
        <v>0</v>
      </c>
      <c r="AJ58" s="183">
        <v>0</v>
      </c>
      <c r="AK58" s="404">
        <f t="shared" si="6"/>
        <v>10150</v>
      </c>
      <c r="AL58" s="400">
        <f>10000+150</f>
        <v>10150</v>
      </c>
      <c r="AM58" s="405">
        <v>0</v>
      </c>
      <c r="AN58" s="405">
        <f t="shared" si="50"/>
        <v>0</v>
      </c>
      <c r="AO58" s="398">
        <f t="shared" si="50"/>
        <v>0</v>
      </c>
      <c r="AP58" s="164">
        <f t="shared" si="51"/>
        <v>0</v>
      </c>
      <c r="AQ58" s="183">
        <v>0</v>
      </c>
      <c r="AR58" s="183">
        <v>0</v>
      </c>
      <c r="AS58" s="404">
        <f t="shared" si="8"/>
        <v>10000</v>
      </c>
      <c r="AT58" s="400">
        <v>10000</v>
      </c>
      <c r="AU58" s="400"/>
      <c r="AV58" s="400">
        <f t="shared" si="53"/>
        <v>0</v>
      </c>
      <c r="AW58" s="165">
        <f t="shared" si="9"/>
        <v>0</v>
      </c>
      <c r="AX58" s="183">
        <v>0</v>
      </c>
      <c r="AY58" s="183">
        <v>0</v>
      </c>
      <c r="AZ58" s="183">
        <v>0</v>
      </c>
      <c r="BA58" s="405">
        <f t="shared" si="10"/>
        <v>10000</v>
      </c>
      <c r="BB58" s="400">
        <v>10000</v>
      </c>
      <c r="BC58" s="400">
        <f t="shared" si="54"/>
        <v>0</v>
      </c>
      <c r="BD58" s="400">
        <f t="shared" si="54"/>
        <v>0</v>
      </c>
      <c r="BE58" s="184">
        <f t="shared" si="55"/>
        <v>0</v>
      </c>
      <c r="BF58" s="183">
        <v>0</v>
      </c>
      <c r="BG58" s="183">
        <v>0</v>
      </c>
      <c r="BH58" s="183">
        <v>0</v>
      </c>
      <c r="BI58" s="411">
        <f t="shared" si="12"/>
        <v>0</v>
      </c>
      <c r="BJ58" s="400">
        <f t="shared" si="56"/>
        <v>0</v>
      </c>
      <c r="BK58" s="400">
        <f t="shared" si="56"/>
        <v>0</v>
      </c>
      <c r="BL58" s="412">
        <f t="shared" si="56"/>
        <v>0</v>
      </c>
      <c r="BM58" s="454">
        <v>99.58</v>
      </c>
      <c r="BN58" s="49">
        <f>J58+L58+AF58+AP58+AW58+BE58+BM58</f>
        <v>9449.58</v>
      </c>
      <c r="BO58" s="414">
        <f t="shared" si="30"/>
        <v>31599.58</v>
      </c>
      <c r="BP58" s="185">
        <f t="shared" si="17"/>
        <v>22150</v>
      </c>
      <c r="BQ58" s="186" t="s">
        <v>96</v>
      </c>
      <c r="BR58" s="559">
        <v>2</v>
      </c>
      <c r="BS58" s="63" t="s">
        <v>73</v>
      </c>
      <c r="BV58" s="70"/>
      <c r="BW58" s="70"/>
      <c r="BX58" s="70"/>
      <c r="BZ58" s="70"/>
      <c r="CC58" s="70"/>
      <c r="CD58" s="70"/>
      <c r="CE58" s="70"/>
      <c r="CG58" s="70"/>
      <c r="CH58" s="70"/>
    </row>
    <row r="59" spans="1:86" s="37" customFormat="1" ht="39.950000000000003" customHeight="1" x14ac:dyDescent="0.2">
      <c r="A59" s="490"/>
      <c r="B59" s="177" t="s">
        <v>65</v>
      </c>
      <c r="C59" s="178"/>
      <c r="D59" s="173"/>
      <c r="E59" s="179">
        <v>7</v>
      </c>
      <c r="F59" s="561"/>
      <c r="G59" s="180">
        <v>4427000000</v>
      </c>
      <c r="H59" s="181" t="s">
        <v>66</v>
      </c>
      <c r="I59" s="181" t="s">
        <v>66</v>
      </c>
      <c r="J59" s="558"/>
      <c r="K59" s="182"/>
      <c r="L59" s="301">
        <f t="shared" si="47"/>
        <v>150</v>
      </c>
      <c r="M59" s="344">
        <f>150</f>
        <v>150</v>
      </c>
      <c r="N59" s="341"/>
      <c r="O59" s="336"/>
      <c r="P59" s="341"/>
      <c r="Q59" s="342">
        <v>3124</v>
      </c>
      <c r="R59" s="343">
        <v>6121</v>
      </c>
      <c r="S59" s="307">
        <v>0</v>
      </c>
      <c r="T59" s="27">
        <f t="shared" si="48"/>
        <v>0</v>
      </c>
      <c r="U59" s="183">
        <v>0</v>
      </c>
      <c r="V59" s="183"/>
      <c r="W59" s="163"/>
      <c r="X59" s="163"/>
      <c r="Y59" s="30">
        <v>0</v>
      </c>
      <c r="Z59" s="396">
        <f t="shared" si="46"/>
        <v>150</v>
      </c>
      <c r="AA59" s="400">
        <f t="shared" ref="AA59:AC74" si="58">M59+U59</f>
        <v>150</v>
      </c>
      <c r="AB59" s="400"/>
      <c r="AC59" s="400"/>
      <c r="AD59" s="400"/>
      <c r="AE59" s="398">
        <f t="shared" si="44"/>
        <v>0</v>
      </c>
      <c r="AF59" s="31">
        <f t="shared" si="21"/>
        <v>0</v>
      </c>
      <c r="AG59" s="162">
        <v>0</v>
      </c>
      <c r="AH59" s="162"/>
      <c r="AI59" s="162"/>
      <c r="AJ59" s="183"/>
      <c r="AK59" s="404">
        <f t="shared" si="6"/>
        <v>0</v>
      </c>
      <c r="AL59" s="400">
        <v>0</v>
      </c>
      <c r="AM59" s="405"/>
      <c r="AN59" s="405"/>
      <c r="AO59" s="398"/>
      <c r="AP59" s="164">
        <f t="shared" si="51"/>
        <v>0</v>
      </c>
      <c r="AQ59" s="183">
        <v>0</v>
      </c>
      <c r="AR59" s="183"/>
      <c r="AS59" s="404">
        <f t="shared" si="8"/>
        <v>0</v>
      </c>
      <c r="AT59" s="400">
        <v>0</v>
      </c>
      <c r="AU59" s="400"/>
      <c r="AV59" s="400"/>
      <c r="AW59" s="165">
        <f t="shared" si="9"/>
        <v>0</v>
      </c>
      <c r="AX59" s="183">
        <v>0</v>
      </c>
      <c r="AY59" s="183"/>
      <c r="AZ59" s="183"/>
      <c r="BA59" s="405">
        <f t="shared" si="10"/>
        <v>0</v>
      </c>
      <c r="BB59" s="400">
        <v>0</v>
      </c>
      <c r="BC59" s="400"/>
      <c r="BD59" s="400"/>
      <c r="BE59" s="184">
        <f t="shared" si="55"/>
        <v>0</v>
      </c>
      <c r="BF59" s="183">
        <v>0</v>
      </c>
      <c r="BG59" s="183"/>
      <c r="BH59" s="183"/>
      <c r="BI59" s="411">
        <f t="shared" si="12"/>
        <v>0</v>
      </c>
      <c r="BJ59" s="400">
        <f t="shared" si="56"/>
        <v>0</v>
      </c>
      <c r="BK59" s="400"/>
      <c r="BL59" s="412"/>
      <c r="BM59" s="454">
        <v>0</v>
      </c>
      <c r="BN59" s="49">
        <f t="shared" si="38"/>
        <v>150</v>
      </c>
      <c r="BO59" s="414">
        <f t="shared" si="30"/>
        <v>150</v>
      </c>
      <c r="BP59" s="185">
        <f t="shared" si="17"/>
        <v>0</v>
      </c>
      <c r="BQ59" s="186"/>
      <c r="BR59" s="555"/>
      <c r="BS59" s="63" t="s">
        <v>73</v>
      </c>
      <c r="BV59" s="70"/>
      <c r="BW59" s="70"/>
      <c r="BX59" s="70"/>
      <c r="CC59" s="70"/>
      <c r="CD59" s="70"/>
      <c r="CE59" s="70"/>
      <c r="CG59" s="70"/>
      <c r="CH59" s="70"/>
    </row>
    <row r="60" spans="1:86" s="37" customFormat="1" ht="39.950000000000003" customHeight="1" x14ac:dyDescent="0.2">
      <c r="A60" s="563">
        <v>1</v>
      </c>
      <c r="B60" s="177" t="s">
        <v>65</v>
      </c>
      <c r="C60" s="178" t="s">
        <v>98</v>
      </c>
      <c r="D60" s="173" t="s">
        <v>82</v>
      </c>
      <c r="E60" s="179">
        <v>7</v>
      </c>
      <c r="F60" s="556" t="s">
        <v>174</v>
      </c>
      <c r="G60" s="180">
        <v>4511001614</v>
      </c>
      <c r="H60" s="181" t="s">
        <v>66</v>
      </c>
      <c r="I60" s="181" t="s">
        <v>66</v>
      </c>
      <c r="J60" s="557">
        <v>0</v>
      </c>
      <c r="K60" s="182"/>
      <c r="L60" s="301">
        <f t="shared" si="47"/>
        <v>11650</v>
      </c>
      <c r="M60" s="340">
        <v>11650</v>
      </c>
      <c r="N60" s="341">
        <v>0</v>
      </c>
      <c r="O60" s="336">
        <v>0</v>
      </c>
      <c r="P60" s="341">
        <v>0</v>
      </c>
      <c r="Q60" s="345">
        <v>3231</v>
      </c>
      <c r="R60" s="312">
        <v>6351</v>
      </c>
      <c r="S60" s="307">
        <f>9850000+1800000</f>
        <v>11650000</v>
      </c>
      <c r="T60" s="27">
        <f t="shared" si="48"/>
        <v>-9500</v>
      </c>
      <c r="U60" s="28">
        <v>-9500</v>
      </c>
      <c r="V60" s="28">
        <v>0</v>
      </c>
      <c r="W60" s="163">
        <v>0</v>
      </c>
      <c r="X60" s="163">
        <v>0</v>
      </c>
      <c r="Y60" s="30">
        <f t="shared" ref="Y60:Y62" si="59">(U60+V60)*1000</f>
        <v>-9500000</v>
      </c>
      <c r="Z60" s="396">
        <f t="shared" si="46"/>
        <v>2150</v>
      </c>
      <c r="AA60" s="397">
        <f t="shared" si="58"/>
        <v>2150</v>
      </c>
      <c r="AB60" s="397">
        <f t="shared" si="58"/>
        <v>0</v>
      </c>
      <c r="AC60" s="397">
        <f t="shared" si="58"/>
        <v>0</v>
      </c>
      <c r="AD60" s="397">
        <f t="shared" ref="AD60:AD62" si="60">X60</f>
        <v>0</v>
      </c>
      <c r="AE60" s="398">
        <f t="shared" si="44"/>
        <v>2150000</v>
      </c>
      <c r="AF60" s="31">
        <f t="shared" si="21"/>
        <v>10200</v>
      </c>
      <c r="AG60" s="162">
        <v>10200</v>
      </c>
      <c r="AH60" s="162">
        <v>0</v>
      </c>
      <c r="AI60" s="162">
        <v>0</v>
      </c>
      <c r="AJ60" s="28">
        <v>0</v>
      </c>
      <c r="AK60" s="404">
        <f t="shared" si="6"/>
        <v>30000</v>
      </c>
      <c r="AL60" s="397">
        <v>30000</v>
      </c>
      <c r="AM60" s="405">
        <v>0</v>
      </c>
      <c r="AN60" s="405">
        <f t="shared" ref="AN60:AO60" si="61">AI60</f>
        <v>0</v>
      </c>
      <c r="AO60" s="398">
        <f t="shared" si="61"/>
        <v>0</v>
      </c>
      <c r="AP60" s="164">
        <f t="shared" si="51"/>
        <v>0</v>
      </c>
      <c r="AQ60" s="28">
        <v>0</v>
      </c>
      <c r="AR60" s="28">
        <v>0</v>
      </c>
      <c r="AS60" s="404">
        <f>AT60</f>
        <v>27800</v>
      </c>
      <c r="AT60" s="397">
        <f>20000+7800</f>
        <v>27800</v>
      </c>
      <c r="AU60" s="397"/>
      <c r="AV60" s="397">
        <f t="shared" ref="AV60" si="62">AR60</f>
        <v>0</v>
      </c>
      <c r="AW60" s="165">
        <f t="shared" si="9"/>
        <v>0</v>
      </c>
      <c r="AX60" s="28">
        <v>0</v>
      </c>
      <c r="AY60" s="28">
        <v>0</v>
      </c>
      <c r="AZ60" s="28">
        <v>0</v>
      </c>
      <c r="BA60" s="405">
        <f t="shared" si="10"/>
        <v>0</v>
      </c>
      <c r="BB60" s="397">
        <v>0</v>
      </c>
      <c r="BC60" s="397">
        <f t="shared" ref="BB60:BD75" si="63">AY60</f>
        <v>0</v>
      </c>
      <c r="BD60" s="397">
        <f t="shared" si="63"/>
        <v>0</v>
      </c>
      <c r="BE60" s="34">
        <f t="shared" si="55"/>
        <v>0</v>
      </c>
      <c r="BF60" s="28">
        <v>0</v>
      </c>
      <c r="BG60" s="28">
        <v>0</v>
      </c>
      <c r="BH60" s="28">
        <v>0</v>
      </c>
      <c r="BI60" s="409">
        <f t="shared" si="12"/>
        <v>0</v>
      </c>
      <c r="BJ60" s="397">
        <f t="shared" si="56"/>
        <v>0</v>
      </c>
      <c r="BK60" s="397">
        <f t="shared" si="56"/>
        <v>0</v>
      </c>
      <c r="BL60" s="410">
        <f t="shared" si="56"/>
        <v>0</v>
      </c>
      <c r="BM60" s="454">
        <v>58.89</v>
      </c>
      <c r="BN60" s="49">
        <f>J60+L60+AF60+AP60+AW60+BE60+BM60</f>
        <v>21908.89</v>
      </c>
      <c r="BO60" s="414">
        <f>J60+Z60+AK60+AS60+BM60+BI60+BA60</f>
        <v>60008.89</v>
      </c>
      <c r="BP60" s="36">
        <f t="shared" si="17"/>
        <v>38100</v>
      </c>
      <c r="BQ60" s="62" t="s">
        <v>96</v>
      </c>
      <c r="BR60" s="559">
        <v>2</v>
      </c>
      <c r="BS60" s="63" t="s">
        <v>73</v>
      </c>
      <c r="BV60" s="70"/>
      <c r="BW60" s="70"/>
      <c r="BX60" s="70"/>
      <c r="BZ60" s="70"/>
      <c r="CC60" s="70"/>
      <c r="CD60" s="70"/>
      <c r="CE60" s="70"/>
      <c r="CG60" s="70"/>
      <c r="CH60" s="70"/>
    </row>
    <row r="61" spans="1:86" s="37" customFormat="1" ht="39.950000000000003" customHeight="1" x14ac:dyDescent="0.2">
      <c r="A61" s="490"/>
      <c r="B61" s="177" t="s">
        <v>65</v>
      </c>
      <c r="C61" s="178"/>
      <c r="D61" s="173"/>
      <c r="E61" s="23">
        <v>7</v>
      </c>
      <c r="F61" s="492"/>
      <c r="G61" s="45">
        <v>4511000000</v>
      </c>
      <c r="H61" s="181" t="s">
        <v>66</v>
      </c>
      <c r="I61" s="181" t="s">
        <v>66</v>
      </c>
      <c r="J61" s="558"/>
      <c r="K61" s="46"/>
      <c r="L61" s="301">
        <f t="shared" si="47"/>
        <v>150</v>
      </c>
      <c r="M61" s="302">
        <v>150</v>
      </c>
      <c r="N61" s="303"/>
      <c r="O61" s="336"/>
      <c r="P61" s="303"/>
      <c r="Q61" s="345">
        <v>3231</v>
      </c>
      <c r="R61" s="312">
        <v>6121</v>
      </c>
      <c r="S61" s="307">
        <v>0</v>
      </c>
      <c r="T61" s="27">
        <f t="shared" si="48"/>
        <v>0</v>
      </c>
      <c r="U61" s="28">
        <v>0</v>
      </c>
      <c r="V61" s="28"/>
      <c r="W61" s="163"/>
      <c r="X61" s="163"/>
      <c r="Y61" s="30">
        <f t="shared" si="59"/>
        <v>0</v>
      </c>
      <c r="Z61" s="396">
        <f t="shared" si="46"/>
        <v>150</v>
      </c>
      <c r="AA61" s="397">
        <f t="shared" si="58"/>
        <v>150</v>
      </c>
      <c r="AB61" s="397"/>
      <c r="AC61" s="397"/>
      <c r="AD61" s="397"/>
      <c r="AE61" s="398">
        <f t="shared" si="44"/>
        <v>0</v>
      </c>
      <c r="AF61" s="31">
        <f t="shared" si="21"/>
        <v>0</v>
      </c>
      <c r="AG61" s="162">
        <v>0</v>
      </c>
      <c r="AH61" s="162"/>
      <c r="AI61" s="162"/>
      <c r="AJ61" s="28"/>
      <c r="AK61" s="404">
        <f t="shared" si="6"/>
        <v>0</v>
      </c>
      <c r="AL61" s="397">
        <v>0</v>
      </c>
      <c r="AM61" s="405"/>
      <c r="AN61" s="405"/>
      <c r="AO61" s="398"/>
      <c r="AP61" s="164">
        <f t="shared" si="51"/>
        <v>0</v>
      </c>
      <c r="AQ61" s="28">
        <v>0</v>
      </c>
      <c r="AR61" s="28"/>
      <c r="AS61" s="404">
        <f t="shared" ref="AS61:AS86" si="64">AT61</f>
        <v>0</v>
      </c>
      <c r="AT61" s="397">
        <v>0</v>
      </c>
      <c r="AU61" s="397"/>
      <c r="AV61" s="397"/>
      <c r="AW61" s="165">
        <f t="shared" si="9"/>
        <v>0</v>
      </c>
      <c r="AX61" s="28">
        <v>0</v>
      </c>
      <c r="AY61" s="28">
        <v>0</v>
      </c>
      <c r="AZ61" s="28">
        <v>0</v>
      </c>
      <c r="BA61" s="405">
        <f t="shared" si="10"/>
        <v>0</v>
      </c>
      <c r="BB61" s="397">
        <v>0</v>
      </c>
      <c r="BC61" s="397">
        <f t="shared" si="63"/>
        <v>0</v>
      </c>
      <c r="BD61" s="397">
        <f t="shared" si="63"/>
        <v>0</v>
      </c>
      <c r="BE61" s="34">
        <f t="shared" si="55"/>
        <v>0</v>
      </c>
      <c r="BF61" s="28">
        <v>0</v>
      </c>
      <c r="BG61" s="28">
        <v>0</v>
      </c>
      <c r="BH61" s="28">
        <v>0</v>
      </c>
      <c r="BI61" s="409">
        <f t="shared" si="12"/>
        <v>0</v>
      </c>
      <c r="BJ61" s="397">
        <f t="shared" si="56"/>
        <v>0</v>
      </c>
      <c r="BK61" s="397"/>
      <c r="BL61" s="410"/>
      <c r="BM61" s="454">
        <v>0</v>
      </c>
      <c r="BN61" s="49">
        <f>J61+L61+AF61+AP61+AW61+BE61+BM61</f>
        <v>150</v>
      </c>
      <c r="BO61" s="414">
        <f>J61+Z61+AK61+AS61+BM61+BI61+BA61</f>
        <v>150</v>
      </c>
      <c r="BP61" s="36">
        <f t="shared" si="17"/>
        <v>0</v>
      </c>
      <c r="BQ61" s="62"/>
      <c r="BR61" s="555"/>
      <c r="BS61" s="63" t="s">
        <v>73</v>
      </c>
      <c r="BV61" s="70"/>
      <c r="BW61" s="70"/>
      <c r="BX61" s="70"/>
      <c r="CC61" s="70"/>
      <c r="CD61" s="70"/>
      <c r="CE61" s="70"/>
      <c r="CG61" s="70"/>
      <c r="CH61" s="70"/>
    </row>
    <row r="62" spans="1:86" s="37" customFormat="1" ht="39.950000000000003" customHeight="1" x14ac:dyDescent="0.2">
      <c r="A62" s="489">
        <v>1</v>
      </c>
      <c r="B62" s="177" t="s">
        <v>65</v>
      </c>
      <c r="C62" s="178"/>
      <c r="D62" s="173"/>
      <c r="E62" s="23">
        <v>7</v>
      </c>
      <c r="F62" s="556" t="s">
        <v>175</v>
      </c>
      <c r="G62" s="64">
        <v>4316001502</v>
      </c>
      <c r="H62" s="181" t="s">
        <v>66</v>
      </c>
      <c r="I62" s="181" t="s">
        <v>66</v>
      </c>
      <c r="J62" s="557">
        <f>698.29</f>
        <v>698.29</v>
      </c>
      <c r="K62" s="46"/>
      <c r="L62" s="301">
        <f t="shared" si="47"/>
        <v>6651.72</v>
      </c>
      <c r="M62" s="302">
        <f>6801.72-150</f>
        <v>6651.72</v>
      </c>
      <c r="N62" s="303">
        <v>0</v>
      </c>
      <c r="O62" s="336">
        <v>0</v>
      </c>
      <c r="P62" s="303">
        <v>0</v>
      </c>
      <c r="Q62" s="345">
        <v>3114</v>
      </c>
      <c r="R62" s="312">
        <v>6351</v>
      </c>
      <c r="S62" s="307">
        <f>6250000+401720</f>
        <v>6651720</v>
      </c>
      <c r="T62" s="27">
        <f t="shared" si="48"/>
        <v>-6651.72</v>
      </c>
      <c r="U62" s="28">
        <v>-6651.72</v>
      </c>
      <c r="V62" s="28">
        <v>0</v>
      </c>
      <c r="W62" s="163">
        <v>0</v>
      </c>
      <c r="X62" s="163">
        <v>0</v>
      </c>
      <c r="Y62" s="30">
        <f t="shared" si="59"/>
        <v>-6651720</v>
      </c>
      <c r="Z62" s="396">
        <f t="shared" si="46"/>
        <v>0</v>
      </c>
      <c r="AA62" s="397">
        <f t="shared" si="58"/>
        <v>0</v>
      </c>
      <c r="AB62" s="397">
        <f t="shared" si="58"/>
        <v>0</v>
      </c>
      <c r="AC62" s="397">
        <f t="shared" si="58"/>
        <v>0</v>
      </c>
      <c r="AD62" s="397">
        <f t="shared" si="60"/>
        <v>0</v>
      </c>
      <c r="AE62" s="398">
        <f t="shared" si="44"/>
        <v>0</v>
      </c>
      <c r="AF62" s="31">
        <f t="shared" si="21"/>
        <v>0</v>
      </c>
      <c r="AG62" s="162">
        <v>0</v>
      </c>
      <c r="AH62" s="162">
        <v>0</v>
      </c>
      <c r="AI62" s="162">
        <v>0</v>
      </c>
      <c r="AJ62" s="28">
        <v>0</v>
      </c>
      <c r="AK62" s="404">
        <f t="shared" si="6"/>
        <v>10000</v>
      </c>
      <c r="AL62" s="397">
        <v>10000</v>
      </c>
      <c r="AM62" s="405">
        <v>0</v>
      </c>
      <c r="AN62" s="405">
        <f t="shared" ref="AN62:AO62" si="65">AI62</f>
        <v>0</v>
      </c>
      <c r="AO62" s="398">
        <f t="shared" si="65"/>
        <v>0</v>
      </c>
      <c r="AP62" s="164">
        <f t="shared" si="51"/>
        <v>0</v>
      </c>
      <c r="AQ62" s="28">
        <v>0</v>
      </c>
      <c r="AR62" s="28">
        <v>0</v>
      </c>
      <c r="AS62" s="404">
        <f t="shared" si="64"/>
        <v>0</v>
      </c>
      <c r="AT62" s="397">
        <f>AQ62</f>
        <v>0</v>
      </c>
      <c r="AU62" s="397"/>
      <c r="AV62" s="397">
        <f t="shared" ref="AV62" si="66">AR62</f>
        <v>0</v>
      </c>
      <c r="AW62" s="165">
        <f t="shared" si="9"/>
        <v>0</v>
      </c>
      <c r="AX62" s="28">
        <v>0</v>
      </c>
      <c r="AY62" s="28">
        <v>0</v>
      </c>
      <c r="AZ62" s="28">
        <v>0</v>
      </c>
      <c r="BA62" s="405">
        <f t="shared" si="10"/>
        <v>0</v>
      </c>
      <c r="BB62" s="397">
        <f t="shared" si="63"/>
        <v>0</v>
      </c>
      <c r="BC62" s="397">
        <f t="shared" si="63"/>
        <v>0</v>
      </c>
      <c r="BD62" s="397">
        <f t="shared" si="63"/>
        <v>0</v>
      </c>
      <c r="BE62" s="34">
        <f t="shared" si="55"/>
        <v>0</v>
      </c>
      <c r="BF62" s="28">
        <v>0</v>
      </c>
      <c r="BG62" s="28">
        <v>0</v>
      </c>
      <c r="BH62" s="28">
        <v>0</v>
      </c>
      <c r="BI62" s="409">
        <f t="shared" si="12"/>
        <v>0</v>
      </c>
      <c r="BJ62" s="397">
        <f t="shared" si="56"/>
        <v>0</v>
      </c>
      <c r="BK62" s="397">
        <f t="shared" si="56"/>
        <v>0</v>
      </c>
      <c r="BL62" s="410">
        <f t="shared" si="56"/>
        <v>0</v>
      </c>
      <c r="BM62" s="454">
        <v>0</v>
      </c>
      <c r="BN62" s="49">
        <f>J62+L62+AF62+AP62+AW62+BE62+BM62</f>
        <v>7350.01</v>
      </c>
      <c r="BO62" s="414">
        <f t="shared" ref="BO62:BO70" si="67">J62+Z62+AK62+AS62+BM62+BI62+BA62</f>
        <v>10698.29</v>
      </c>
      <c r="BP62" s="36">
        <f t="shared" si="17"/>
        <v>3348.2800000000007</v>
      </c>
      <c r="BQ62" s="62" t="s">
        <v>96</v>
      </c>
      <c r="BR62" s="559">
        <v>2</v>
      </c>
      <c r="BS62" s="63" t="s">
        <v>73</v>
      </c>
      <c r="BV62" s="70"/>
      <c r="BW62" s="70"/>
      <c r="BX62" s="70"/>
      <c r="BZ62" s="70"/>
      <c r="CC62" s="70"/>
      <c r="CD62" s="70"/>
      <c r="CE62" s="70"/>
      <c r="CG62" s="70"/>
      <c r="CH62" s="70"/>
    </row>
    <row r="63" spans="1:86" s="37" customFormat="1" ht="39.950000000000003" customHeight="1" x14ac:dyDescent="0.2">
      <c r="A63" s="490"/>
      <c r="B63" s="177" t="s">
        <v>65</v>
      </c>
      <c r="C63" s="178"/>
      <c r="D63" s="173"/>
      <c r="E63" s="23">
        <v>7</v>
      </c>
      <c r="F63" s="492"/>
      <c r="G63" s="187">
        <v>4316000000</v>
      </c>
      <c r="H63" s="181" t="s">
        <v>66</v>
      </c>
      <c r="I63" s="181" t="s">
        <v>66</v>
      </c>
      <c r="J63" s="558"/>
      <c r="K63" s="46"/>
      <c r="L63" s="301">
        <f t="shared" si="47"/>
        <v>150</v>
      </c>
      <c r="M63" s="302">
        <v>150</v>
      </c>
      <c r="N63" s="303"/>
      <c r="O63" s="336"/>
      <c r="P63" s="303"/>
      <c r="Q63" s="345">
        <v>3114</v>
      </c>
      <c r="R63" s="312">
        <v>6121</v>
      </c>
      <c r="S63" s="307">
        <v>0</v>
      </c>
      <c r="T63" s="27">
        <f t="shared" si="48"/>
        <v>0</v>
      </c>
      <c r="U63" s="28">
        <v>0</v>
      </c>
      <c r="V63" s="28"/>
      <c r="W63" s="163"/>
      <c r="X63" s="163"/>
      <c r="Y63" s="30">
        <v>0</v>
      </c>
      <c r="Z63" s="396">
        <f t="shared" si="46"/>
        <v>150</v>
      </c>
      <c r="AA63" s="397">
        <f t="shared" si="58"/>
        <v>150</v>
      </c>
      <c r="AB63" s="397"/>
      <c r="AC63" s="397"/>
      <c r="AD63" s="397"/>
      <c r="AE63" s="398">
        <f t="shared" si="44"/>
        <v>0</v>
      </c>
      <c r="AF63" s="31">
        <f t="shared" si="21"/>
        <v>0</v>
      </c>
      <c r="AG63" s="162">
        <v>0</v>
      </c>
      <c r="AH63" s="162"/>
      <c r="AI63" s="162"/>
      <c r="AJ63" s="28"/>
      <c r="AK63" s="404">
        <f t="shared" si="6"/>
        <v>0</v>
      </c>
      <c r="AL63" s="397">
        <v>0</v>
      </c>
      <c r="AM63" s="405"/>
      <c r="AN63" s="405"/>
      <c r="AO63" s="398"/>
      <c r="AP63" s="164">
        <f t="shared" si="51"/>
        <v>0</v>
      </c>
      <c r="AQ63" s="28">
        <v>0</v>
      </c>
      <c r="AR63" s="28"/>
      <c r="AS63" s="404">
        <f t="shared" si="64"/>
        <v>0</v>
      </c>
      <c r="AT63" s="397">
        <f>AQ63</f>
        <v>0</v>
      </c>
      <c r="AU63" s="397"/>
      <c r="AV63" s="397"/>
      <c r="AW63" s="165">
        <f t="shared" si="9"/>
        <v>0</v>
      </c>
      <c r="AX63" s="28">
        <v>0</v>
      </c>
      <c r="AY63" s="28">
        <v>0</v>
      </c>
      <c r="AZ63" s="28">
        <v>0</v>
      </c>
      <c r="BA63" s="405">
        <f t="shared" si="10"/>
        <v>0</v>
      </c>
      <c r="BB63" s="397">
        <f t="shared" si="63"/>
        <v>0</v>
      </c>
      <c r="BC63" s="397">
        <f t="shared" si="63"/>
        <v>0</v>
      </c>
      <c r="BD63" s="397">
        <f t="shared" si="63"/>
        <v>0</v>
      </c>
      <c r="BE63" s="34">
        <f t="shared" si="55"/>
        <v>0</v>
      </c>
      <c r="BF63" s="28">
        <v>0</v>
      </c>
      <c r="BG63" s="28">
        <v>0</v>
      </c>
      <c r="BH63" s="28">
        <v>0</v>
      </c>
      <c r="BI63" s="409">
        <f t="shared" si="12"/>
        <v>0</v>
      </c>
      <c r="BJ63" s="397">
        <f t="shared" si="56"/>
        <v>0</v>
      </c>
      <c r="BK63" s="397">
        <f t="shared" si="56"/>
        <v>0</v>
      </c>
      <c r="BL63" s="410">
        <f t="shared" si="56"/>
        <v>0</v>
      </c>
      <c r="BM63" s="454">
        <v>0</v>
      </c>
      <c r="BN63" s="49">
        <f t="shared" ref="BN63" si="68">J63+L63+AF63+AP63+AW63+BE63+BM63</f>
        <v>150</v>
      </c>
      <c r="BO63" s="414">
        <f t="shared" si="67"/>
        <v>150</v>
      </c>
      <c r="BP63" s="36">
        <f t="shared" si="17"/>
        <v>0</v>
      </c>
      <c r="BQ63" s="62"/>
      <c r="BR63" s="555"/>
      <c r="BS63" s="63" t="s">
        <v>73</v>
      </c>
      <c r="BV63" s="70"/>
      <c r="BW63" s="70"/>
      <c r="BX63" s="70"/>
      <c r="CC63" s="70"/>
      <c r="CD63" s="70"/>
      <c r="CE63" s="70"/>
      <c r="CG63" s="70"/>
      <c r="CH63" s="70"/>
    </row>
    <row r="64" spans="1:86" s="37" customFormat="1" ht="39.950000000000003" customHeight="1" x14ac:dyDescent="0.2">
      <c r="A64" s="77">
        <v>1</v>
      </c>
      <c r="B64" s="177" t="s">
        <v>65</v>
      </c>
      <c r="C64" s="21" t="s">
        <v>69</v>
      </c>
      <c r="D64" s="22" t="s">
        <v>99</v>
      </c>
      <c r="E64" s="181">
        <v>7</v>
      </c>
      <c r="F64" s="188" t="s">
        <v>176</v>
      </c>
      <c r="G64" s="45">
        <v>4641001314</v>
      </c>
      <c r="H64" s="189" t="s">
        <v>66</v>
      </c>
      <c r="I64" s="189" t="s">
        <v>66</v>
      </c>
      <c r="J64" s="150">
        <v>0</v>
      </c>
      <c r="K64" s="140"/>
      <c r="L64" s="301">
        <f t="shared" si="47"/>
        <v>3000</v>
      </c>
      <c r="M64" s="302">
        <v>3000</v>
      </c>
      <c r="N64" s="303">
        <v>0</v>
      </c>
      <c r="O64" s="336">
        <v>0</v>
      </c>
      <c r="P64" s="303">
        <v>0</v>
      </c>
      <c r="Q64" s="331">
        <v>3127</v>
      </c>
      <c r="R64" s="312">
        <v>6351</v>
      </c>
      <c r="S64" s="307">
        <v>3000000</v>
      </c>
      <c r="T64" s="27">
        <f>U64+V64+W64</f>
        <v>-2000</v>
      </c>
      <c r="U64" s="28">
        <v>-2000</v>
      </c>
      <c r="V64" s="28">
        <v>0</v>
      </c>
      <c r="W64" s="163">
        <v>0</v>
      </c>
      <c r="X64" s="163">
        <v>0</v>
      </c>
      <c r="Y64" s="30">
        <f t="shared" ref="Y64" si="69">(U64+V64)*1000</f>
        <v>-2000000</v>
      </c>
      <c r="Z64" s="396">
        <f t="shared" si="46"/>
        <v>1000</v>
      </c>
      <c r="AA64" s="397">
        <f t="shared" si="58"/>
        <v>1000</v>
      </c>
      <c r="AB64" s="397">
        <f t="shared" si="58"/>
        <v>0</v>
      </c>
      <c r="AC64" s="397">
        <f t="shared" si="58"/>
        <v>0</v>
      </c>
      <c r="AD64" s="397">
        <f t="shared" ref="AD64:AD65" si="70">X64</f>
        <v>0</v>
      </c>
      <c r="AE64" s="398">
        <f t="shared" si="44"/>
        <v>1000000</v>
      </c>
      <c r="AF64" s="31">
        <f t="shared" si="21"/>
        <v>0</v>
      </c>
      <c r="AG64" s="28">
        <v>0</v>
      </c>
      <c r="AH64" s="28">
        <v>0</v>
      </c>
      <c r="AI64" s="28">
        <v>0</v>
      </c>
      <c r="AJ64" s="28">
        <v>0</v>
      </c>
      <c r="AK64" s="404">
        <f t="shared" si="6"/>
        <v>9000</v>
      </c>
      <c r="AL64" s="397">
        <v>9000</v>
      </c>
      <c r="AM64" s="397">
        <f t="shared" ref="AM64:AO65" si="71">AH64</f>
        <v>0</v>
      </c>
      <c r="AN64" s="397">
        <f t="shared" si="71"/>
        <v>0</v>
      </c>
      <c r="AO64" s="402">
        <f t="shared" si="71"/>
        <v>0</v>
      </c>
      <c r="AP64" s="164">
        <f t="shared" si="51"/>
        <v>0</v>
      </c>
      <c r="AQ64" s="28">
        <v>0</v>
      </c>
      <c r="AR64" s="28">
        <v>0</v>
      </c>
      <c r="AS64" s="404">
        <f t="shared" si="64"/>
        <v>0</v>
      </c>
      <c r="AT64" s="397">
        <f t="shared" ref="AT64" si="72">AQ64</f>
        <v>0</v>
      </c>
      <c r="AU64" s="397"/>
      <c r="AV64" s="397">
        <f t="shared" ref="AV64:AV66" si="73">AR64</f>
        <v>0</v>
      </c>
      <c r="AW64" s="165">
        <f t="shared" si="9"/>
        <v>0</v>
      </c>
      <c r="AX64" s="28">
        <v>0</v>
      </c>
      <c r="AY64" s="28">
        <v>0</v>
      </c>
      <c r="AZ64" s="28">
        <v>0</v>
      </c>
      <c r="BA64" s="405">
        <f t="shared" si="10"/>
        <v>0</v>
      </c>
      <c r="BB64" s="397">
        <f t="shared" si="63"/>
        <v>0</v>
      </c>
      <c r="BC64" s="397">
        <f t="shared" si="63"/>
        <v>0</v>
      </c>
      <c r="BD64" s="397">
        <f t="shared" si="63"/>
        <v>0</v>
      </c>
      <c r="BE64" s="34">
        <f t="shared" si="55"/>
        <v>0</v>
      </c>
      <c r="BF64" s="28">
        <v>0</v>
      </c>
      <c r="BG64" s="28">
        <v>0</v>
      </c>
      <c r="BH64" s="28">
        <v>0</v>
      </c>
      <c r="BI64" s="409">
        <f t="shared" si="12"/>
        <v>0</v>
      </c>
      <c r="BJ64" s="397">
        <f t="shared" si="56"/>
        <v>0</v>
      </c>
      <c r="BK64" s="397">
        <f t="shared" si="56"/>
        <v>0</v>
      </c>
      <c r="BL64" s="410">
        <f t="shared" si="56"/>
        <v>0</v>
      </c>
      <c r="BM64" s="454">
        <f t="shared" ref="BM64" si="74">BL64+BD64+AW64+AO64</f>
        <v>0</v>
      </c>
      <c r="BN64" s="49">
        <f>J64+L64+AF64+AP64+AW64+BE64+BM64</f>
        <v>3000</v>
      </c>
      <c r="BO64" s="414">
        <f t="shared" si="67"/>
        <v>10000</v>
      </c>
      <c r="BP64" s="36">
        <f t="shared" si="17"/>
        <v>7000</v>
      </c>
      <c r="BQ64" s="62" t="s">
        <v>96</v>
      </c>
      <c r="BR64" s="65">
        <v>2</v>
      </c>
      <c r="BS64" s="63" t="s">
        <v>73</v>
      </c>
      <c r="BV64" s="70"/>
      <c r="BW64" s="70"/>
      <c r="BX64" s="70"/>
      <c r="BZ64" s="70"/>
      <c r="CC64" s="70"/>
      <c r="CD64" s="70"/>
      <c r="CE64" s="70"/>
      <c r="CG64" s="70"/>
      <c r="CH64" s="70"/>
    </row>
    <row r="65" spans="1:86" s="37" customFormat="1" ht="39.950000000000003" customHeight="1" x14ac:dyDescent="0.2">
      <c r="A65" s="489">
        <v>1</v>
      </c>
      <c r="B65" s="177" t="s">
        <v>65</v>
      </c>
      <c r="C65" s="21" t="s">
        <v>69</v>
      </c>
      <c r="D65" s="22" t="s">
        <v>70</v>
      </c>
      <c r="E65" s="181">
        <v>7</v>
      </c>
      <c r="F65" s="560" t="s">
        <v>177</v>
      </c>
      <c r="G65" s="45">
        <v>4662001225</v>
      </c>
      <c r="H65" s="181" t="s">
        <v>66</v>
      </c>
      <c r="I65" s="181" t="s">
        <v>66</v>
      </c>
      <c r="J65" s="66">
        <v>0</v>
      </c>
      <c r="K65" s="190"/>
      <c r="L65" s="301">
        <f t="shared" si="47"/>
        <v>9900</v>
      </c>
      <c r="M65" s="302">
        <f>3350+6550</f>
        <v>9900</v>
      </c>
      <c r="N65" s="303">
        <v>0</v>
      </c>
      <c r="O65" s="336">
        <v>0</v>
      </c>
      <c r="P65" s="303">
        <v>0</v>
      </c>
      <c r="Q65" s="346">
        <v>3127</v>
      </c>
      <c r="R65" s="312">
        <v>6351</v>
      </c>
      <c r="S65" s="307">
        <v>9900000</v>
      </c>
      <c r="T65" s="27">
        <f t="shared" si="48"/>
        <v>0</v>
      </c>
      <c r="U65" s="28">
        <v>0</v>
      </c>
      <c r="V65" s="28">
        <v>0</v>
      </c>
      <c r="W65" s="163">
        <v>0</v>
      </c>
      <c r="X65" s="163">
        <v>0</v>
      </c>
      <c r="Y65" s="30">
        <f>(U65+V65)*1000</f>
        <v>0</v>
      </c>
      <c r="Z65" s="396">
        <f t="shared" si="46"/>
        <v>9900</v>
      </c>
      <c r="AA65" s="397">
        <f t="shared" si="58"/>
        <v>9900</v>
      </c>
      <c r="AB65" s="397">
        <f t="shared" si="58"/>
        <v>0</v>
      </c>
      <c r="AC65" s="397">
        <f t="shared" si="58"/>
        <v>0</v>
      </c>
      <c r="AD65" s="397">
        <f t="shared" si="70"/>
        <v>0</v>
      </c>
      <c r="AE65" s="398">
        <f t="shared" si="44"/>
        <v>9900000</v>
      </c>
      <c r="AF65" s="31">
        <f t="shared" si="21"/>
        <v>4000</v>
      </c>
      <c r="AG65" s="28">
        <v>4000</v>
      </c>
      <c r="AH65" s="67">
        <v>0</v>
      </c>
      <c r="AI65" s="67">
        <v>0</v>
      </c>
      <c r="AJ65" s="67">
        <v>0</v>
      </c>
      <c r="AK65" s="404">
        <f>AL65+AM65</f>
        <v>8400</v>
      </c>
      <c r="AL65" s="397">
        <v>8400</v>
      </c>
      <c r="AM65" s="397">
        <f t="shared" si="71"/>
        <v>0</v>
      </c>
      <c r="AN65" s="397">
        <f t="shared" si="71"/>
        <v>0</v>
      </c>
      <c r="AO65" s="402">
        <f t="shared" si="71"/>
        <v>0</v>
      </c>
      <c r="AP65" s="164">
        <f t="shared" si="51"/>
        <v>0</v>
      </c>
      <c r="AQ65" s="28">
        <v>0</v>
      </c>
      <c r="AR65" s="28">
        <v>0</v>
      </c>
      <c r="AS65" s="404">
        <f t="shared" si="64"/>
        <v>0</v>
      </c>
      <c r="AT65" s="397">
        <f>AQ65</f>
        <v>0</v>
      </c>
      <c r="AU65" s="397"/>
      <c r="AV65" s="397">
        <f t="shared" si="73"/>
        <v>0</v>
      </c>
      <c r="AW65" s="165">
        <f t="shared" si="9"/>
        <v>0</v>
      </c>
      <c r="AX65" s="28">
        <v>0</v>
      </c>
      <c r="AY65" s="28">
        <v>0</v>
      </c>
      <c r="AZ65" s="28">
        <v>0</v>
      </c>
      <c r="BA65" s="405">
        <f t="shared" si="10"/>
        <v>0</v>
      </c>
      <c r="BB65" s="397">
        <f t="shared" si="63"/>
        <v>0</v>
      </c>
      <c r="BC65" s="397">
        <f t="shared" si="63"/>
        <v>0</v>
      </c>
      <c r="BD65" s="397">
        <f t="shared" si="63"/>
        <v>0</v>
      </c>
      <c r="BE65" s="34">
        <f t="shared" si="55"/>
        <v>0</v>
      </c>
      <c r="BF65" s="28">
        <v>0</v>
      </c>
      <c r="BG65" s="28">
        <v>0</v>
      </c>
      <c r="BH65" s="28">
        <v>0</v>
      </c>
      <c r="BI65" s="409">
        <f t="shared" si="12"/>
        <v>0</v>
      </c>
      <c r="BJ65" s="397">
        <f t="shared" si="56"/>
        <v>0</v>
      </c>
      <c r="BK65" s="397">
        <f t="shared" si="56"/>
        <v>0</v>
      </c>
      <c r="BL65" s="410">
        <f t="shared" si="56"/>
        <v>0</v>
      </c>
      <c r="BM65" s="454">
        <v>1000</v>
      </c>
      <c r="BN65" s="49">
        <f t="shared" ref="BN65:BN74" si="75">J65+L65+AF65+AP65+AW65+BE65+BM65</f>
        <v>14900</v>
      </c>
      <c r="BO65" s="414">
        <f t="shared" si="67"/>
        <v>19300</v>
      </c>
      <c r="BP65" s="36">
        <f t="shared" si="17"/>
        <v>4400</v>
      </c>
      <c r="BQ65" s="62" t="s">
        <v>96</v>
      </c>
      <c r="BR65" s="562">
        <v>2</v>
      </c>
      <c r="BS65" s="63" t="s">
        <v>100</v>
      </c>
      <c r="BV65" s="70"/>
      <c r="BW65" s="70"/>
      <c r="BX65" s="70"/>
      <c r="BZ65" s="70"/>
      <c r="CC65" s="70"/>
      <c r="CD65" s="70"/>
      <c r="CE65" s="70"/>
      <c r="CG65" s="70"/>
      <c r="CH65" s="70"/>
    </row>
    <row r="66" spans="1:86" s="37" customFormat="1" ht="39.950000000000003" customHeight="1" x14ac:dyDescent="0.2">
      <c r="A66" s="490"/>
      <c r="B66" s="191" t="s">
        <v>65</v>
      </c>
      <c r="C66" s="21" t="s">
        <v>69</v>
      </c>
      <c r="D66" s="22" t="s">
        <v>70</v>
      </c>
      <c r="E66" s="192">
        <v>7</v>
      </c>
      <c r="F66" s="561"/>
      <c r="G66" s="45">
        <v>4662000000</v>
      </c>
      <c r="H66" s="192" t="s">
        <v>66</v>
      </c>
      <c r="I66" s="192" t="s">
        <v>66</v>
      </c>
      <c r="J66" s="193">
        <v>0</v>
      </c>
      <c r="K66" s="194"/>
      <c r="L66" s="301">
        <f t="shared" si="47"/>
        <v>150</v>
      </c>
      <c r="M66" s="302">
        <v>150</v>
      </c>
      <c r="N66" s="303"/>
      <c r="O66" s="336"/>
      <c r="P66" s="303"/>
      <c r="Q66" s="347">
        <v>3127</v>
      </c>
      <c r="R66" s="312">
        <v>6121</v>
      </c>
      <c r="S66" s="307">
        <v>0</v>
      </c>
      <c r="T66" s="27">
        <f t="shared" si="48"/>
        <v>0</v>
      </c>
      <c r="U66" s="28">
        <v>0</v>
      </c>
      <c r="V66" s="28"/>
      <c r="W66" s="163"/>
      <c r="X66" s="163"/>
      <c r="Y66" s="30">
        <f>(U66+V66)*1000</f>
        <v>0</v>
      </c>
      <c r="Z66" s="396">
        <f t="shared" si="46"/>
        <v>150</v>
      </c>
      <c r="AA66" s="397">
        <f t="shared" si="58"/>
        <v>150</v>
      </c>
      <c r="AB66" s="397"/>
      <c r="AC66" s="397"/>
      <c r="AD66" s="397"/>
      <c r="AE66" s="398">
        <f t="shared" si="44"/>
        <v>0</v>
      </c>
      <c r="AF66" s="31">
        <f t="shared" si="21"/>
        <v>0</v>
      </c>
      <c r="AG66" s="28">
        <v>0</v>
      </c>
      <c r="AH66" s="28"/>
      <c r="AI66" s="28"/>
      <c r="AJ66" s="28"/>
      <c r="AK66" s="404">
        <f t="shared" si="6"/>
        <v>0</v>
      </c>
      <c r="AL66" s="397">
        <v>0</v>
      </c>
      <c r="AM66" s="397"/>
      <c r="AN66" s="397"/>
      <c r="AO66" s="402"/>
      <c r="AP66" s="164">
        <f t="shared" si="51"/>
        <v>0</v>
      </c>
      <c r="AQ66" s="28">
        <v>0</v>
      </c>
      <c r="AR66" s="28"/>
      <c r="AS66" s="404">
        <f t="shared" si="64"/>
        <v>0</v>
      </c>
      <c r="AT66" s="397">
        <f>AQ66</f>
        <v>0</v>
      </c>
      <c r="AU66" s="397"/>
      <c r="AV66" s="397">
        <f t="shared" si="73"/>
        <v>0</v>
      </c>
      <c r="AW66" s="165">
        <f t="shared" si="9"/>
        <v>0</v>
      </c>
      <c r="AX66" s="28">
        <v>0</v>
      </c>
      <c r="AY66" s="28">
        <v>0</v>
      </c>
      <c r="AZ66" s="28">
        <v>0</v>
      </c>
      <c r="BA66" s="405">
        <f t="shared" si="10"/>
        <v>0</v>
      </c>
      <c r="BB66" s="397">
        <f t="shared" si="63"/>
        <v>0</v>
      </c>
      <c r="BC66" s="397">
        <f t="shared" si="63"/>
        <v>0</v>
      </c>
      <c r="BD66" s="397">
        <f t="shared" si="63"/>
        <v>0</v>
      </c>
      <c r="BE66" s="34">
        <f t="shared" si="55"/>
        <v>0</v>
      </c>
      <c r="BF66" s="28">
        <v>0</v>
      </c>
      <c r="BG66" s="28">
        <v>0</v>
      </c>
      <c r="BH66" s="28">
        <v>0</v>
      </c>
      <c r="BI66" s="409">
        <f t="shared" si="12"/>
        <v>0</v>
      </c>
      <c r="BJ66" s="397">
        <f t="shared" si="56"/>
        <v>0</v>
      </c>
      <c r="BK66" s="397">
        <f t="shared" si="56"/>
        <v>0</v>
      </c>
      <c r="BL66" s="410">
        <f t="shared" si="56"/>
        <v>0</v>
      </c>
      <c r="BM66" s="454">
        <v>0</v>
      </c>
      <c r="BN66" s="49">
        <f t="shared" si="75"/>
        <v>150</v>
      </c>
      <c r="BO66" s="414">
        <f t="shared" si="67"/>
        <v>150</v>
      </c>
      <c r="BP66" s="36">
        <f t="shared" si="17"/>
        <v>0</v>
      </c>
      <c r="BQ66" s="62"/>
      <c r="BR66" s="555"/>
      <c r="BS66" s="63" t="s">
        <v>100</v>
      </c>
      <c r="BV66" s="70"/>
      <c r="BW66" s="70"/>
      <c r="BX66" s="70"/>
      <c r="CC66" s="70"/>
      <c r="CD66" s="70"/>
      <c r="CE66" s="70"/>
      <c r="CG66" s="70"/>
      <c r="CH66" s="70"/>
    </row>
    <row r="67" spans="1:86" s="37" customFormat="1" ht="39.950000000000003" customHeight="1" x14ac:dyDescent="0.2">
      <c r="A67" s="489">
        <v>1</v>
      </c>
      <c r="B67" s="191" t="s">
        <v>65</v>
      </c>
      <c r="C67" s="23">
        <v>7</v>
      </c>
      <c r="D67" s="22"/>
      <c r="E67" s="23">
        <v>7</v>
      </c>
      <c r="F67" s="553" t="s">
        <v>178</v>
      </c>
      <c r="G67" s="195">
        <v>4588001211</v>
      </c>
      <c r="H67" s="196" t="s">
        <v>66</v>
      </c>
      <c r="I67" s="196" t="s">
        <v>66</v>
      </c>
      <c r="J67" s="56">
        <v>0</v>
      </c>
      <c r="K67" s="197"/>
      <c r="L67" s="301">
        <f t="shared" si="47"/>
        <v>850</v>
      </c>
      <c r="M67" s="302">
        <v>850</v>
      </c>
      <c r="N67" s="303"/>
      <c r="O67" s="336"/>
      <c r="P67" s="303"/>
      <c r="Q67" s="322">
        <v>3122</v>
      </c>
      <c r="R67" s="319">
        <v>6351</v>
      </c>
      <c r="S67" s="307">
        <v>850000</v>
      </c>
      <c r="T67" s="27">
        <f t="shared" si="48"/>
        <v>0</v>
      </c>
      <c r="U67" s="28">
        <v>0</v>
      </c>
      <c r="V67" s="28"/>
      <c r="W67" s="198"/>
      <c r="X67" s="163"/>
      <c r="Y67" s="53">
        <v>0</v>
      </c>
      <c r="Z67" s="396">
        <f t="shared" si="46"/>
        <v>850</v>
      </c>
      <c r="AA67" s="397">
        <f t="shared" si="58"/>
        <v>850</v>
      </c>
      <c r="AB67" s="399"/>
      <c r="AC67" s="397"/>
      <c r="AD67" s="397"/>
      <c r="AE67" s="398">
        <f t="shared" si="44"/>
        <v>850000</v>
      </c>
      <c r="AF67" s="31">
        <f t="shared" si="21"/>
        <v>25000</v>
      </c>
      <c r="AG67" s="28">
        <v>25000</v>
      </c>
      <c r="AH67" s="28"/>
      <c r="AI67" s="28"/>
      <c r="AJ67" s="28"/>
      <c r="AK67" s="404">
        <f t="shared" si="6"/>
        <v>10000</v>
      </c>
      <c r="AL67" s="397">
        <v>10000</v>
      </c>
      <c r="AM67" s="397"/>
      <c r="AN67" s="397"/>
      <c r="AO67" s="402"/>
      <c r="AP67" s="164">
        <f t="shared" si="51"/>
        <v>0</v>
      </c>
      <c r="AQ67" s="28">
        <v>0</v>
      </c>
      <c r="AR67" s="28"/>
      <c r="AS67" s="404">
        <f t="shared" si="64"/>
        <v>25000</v>
      </c>
      <c r="AT67" s="397">
        <f>15000+10000</f>
        <v>25000</v>
      </c>
      <c r="AU67" s="397"/>
      <c r="AV67" s="397"/>
      <c r="AW67" s="165">
        <f t="shared" si="9"/>
        <v>0</v>
      </c>
      <c r="AX67" s="28">
        <v>0</v>
      </c>
      <c r="AY67" s="28"/>
      <c r="AZ67" s="28"/>
      <c r="BA67" s="405">
        <f t="shared" si="10"/>
        <v>0</v>
      </c>
      <c r="BB67" s="397">
        <f t="shared" si="63"/>
        <v>0</v>
      </c>
      <c r="BC67" s="397"/>
      <c r="BD67" s="397"/>
      <c r="BE67" s="34">
        <f t="shared" si="55"/>
        <v>0</v>
      </c>
      <c r="BF67" s="28">
        <v>0</v>
      </c>
      <c r="BG67" s="28"/>
      <c r="BH67" s="28"/>
      <c r="BI67" s="409">
        <f t="shared" si="12"/>
        <v>0</v>
      </c>
      <c r="BJ67" s="397">
        <f t="shared" si="56"/>
        <v>0</v>
      </c>
      <c r="BK67" s="397"/>
      <c r="BL67" s="410"/>
      <c r="BM67" s="454">
        <f t="shared" ref="BM67:BM70" si="76">BL67+BD67+AW67+AO67</f>
        <v>0</v>
      </c>
      <c r="BN67" s="35">
        <f t="shared" si="75"/>
        <v>25850</v>
      </c>
      <c r="BO67" s="413">
        <f t="shared" si="67"/>
        <v>35850</v>
      </c>
      <c r="BP67" s="36">
        <f t="shared" si="17"/>
        <v>10000</v>
      </c>
      <c r="BQ67" s="62" t="s">
        <v>96</v>
      </c>
      <c r="BR67" s="554">
        <v>2</v>
      </c>
      <c r="BS67" s="63" t="s">
        <v>73</v>
      </c>
      <c r="BV67" s="70"/>
      <c r="BW67" s="70"/>
      <c r="BX67" s="70"/>
      <c r="BZ67" s="70"/>
      <c r="CC67" s="70"/>
      <c r="CD67" s="70"/>
      <c r="CE67" s="70"/>
      <c r="CG67" s="70"/>
      <c r="CH67" s="70"/>
    </row>
    <row r="68" spans="1:86" s="37" customFormat="1" ht="39.950000000000003" customHeight="1" x14ac:dyDescent="0.2">
      <c r="A68" s="490"/>
      <c r="B68" s="199" t="s">
        <v>65</v>
      </c>
      <c r="C68" s="23">
        <v>7</v>
      </c>
      <c r="D68" s="22"/>
      <c r="E68" s="23">
        <v>7</v>
      </c>
      <c r="F68" s="492"/>
      <c r="G68" s="195">
        <v>4588000000</v>
      </c>
      <c r="H68" s="196" t="s">
        <v>66</v>
      </c>
      <c r="I68" s="196" t="s">
        <v>66</v>
      </c>
      <c r="J68" s="56">
        <v>0</v>
      </c>
      <c r="K68" s="197"/>
      <c r="L68" s="301">
        <f t="shared" si="47"/>
        <v>150</v>
      </c>
      <c r="M68" s="302">
        <v>150</v>
      </c>
      <c r="N68" s="303"/>
      <c r="O68" s="336"/>
      <c r="P68" s="303"/>
      <c r="Q68" s="322">
        <v>3122</v>
      </c>
      <c r="R68" s="319">
        <v>6121</v>
      </c>
      <c r="S68" s="307">
        <v>0</v>
      </c>
      <c r="T68" s="27">
        <f t="shared" si="48"/>
        <v>0</v>
      </c>
      <c r="U68" s="28">
        <v>0</v>
      </c>
      <c r="V68" s="28"/>
      <c r="W68" s="198"/>
      <c r="X68" s="163"/>
      <c r="Y68" s="53">
        <v>0</v>
      </c>
      <c r="Z68" s="396">
        <f t="shared" si="46"/>
        <v>150</v>
      </c>
      <c r="AA68" s="397">
        <f t="shared" si="58"/>
        <v>150</v>
      </c>
      <c r="AB68" s="399"/>
      <c r="AC68" s="397"/>
      <c r="AD68" s="397"/>
      <c r="AE68" s="398">
        <f t="shared" si="44"/>
        <v>0</v>
      </c>
      <c r="AF68" s="31">
        <f t="shared" si="21"/>
        <v>0</v>
      </c>
      <c r="AG68" s="28">
        <v>0</v>
      </c>
      <c r="AH68" s="28"/>
      <c r="AI68" s="28"/>
      <c r="AJ68" s="28"/>
      <c r="AK68" s="404">
        <f t="shared" si="6"/>
        <v>0</v>
      </c>
      <c r="AL68" s="397">
        <v>0</v>
      </c>
      <c r="AM68" s="397"/>
      <c r="AN68" s="397"/>
      <c r="AO68" s="402"/>
      <c r="AP68" s="164">
        <f t="shared" si="51"/>
        <v>0</v>
      </c>
      <c r="AQ68" s="28">
        <v>0</v>
      </c>
      <c r="AR68" s="28"/>
      <c r="AS68" s="404">
        <f t="shared" si="64"/>
        <v>0</v>
      </c>
      <c r="AT68" s="397">
        <v>0</v>
      </c>
      <c r="AU68" s="397"/>
      <c r="AV68" s="397"/>
      <c r="AW68" s="165">
        <f t="shared" si="9"/>
        <v>0</v>
      </c>
      <c r="AX68" s="28">
        <v>0</v>
      </c>
      <c r="AY68" s="28"/>
      <c r="AZ68" s="28"/>
      <c r="BA68" s="405">
        <f t="shared" si="10"/>
        <v>0</v>
      </c>
      <c r="BB68" s="397">
        <f t="shared" si="63"/>
        <v>0</v>
      </c>
      <c r="BC68" s="397"/>
      <c r="BD68" s="397"/>
      <c r="BE68" s="34">
        <f t="shared" si="55"/>
        <v>0</v>
      </c>
      <c r="BF68" s="28">
        <v>0</v>
      </c>
      <c r="BG68" s="28"/>
      <c r="BH68" s="28"/>
      <c r="BI68" s="409">
        <f t="shared" si="12"/>
        <v>0</v>
      </c>
      <c r="BJ68" s="397">
        <f t="shared" si="56"/>
        <v>0</v>
      </c>
      <c r="BK68" s="397"/>
      <c r="BL68" s="410"/>
      <c r="BM68" s="454">
        <f t="shared" si="76"/>
        <v>0</v>
      </c>
      <c r="BN68" s="35">
        <f t="shared" si="75"/>
        <v>150</v>
      </c>
      <c r="BO68" s="413">
        <f t="shared" si="67"/>
        <v>150</v>
      </c>
      <c r="BP68" s="36">
        <f t="shared" si="17"/>
        <v>0</v>
      </c>
      <c r="BQ68" s="62"/>
      <c r="BR68" s="555"/>
      <c r="BS68" s="63" t="s">
        <v>73</v>
      </c>
      <c r="BV68" s="70"/>
      <c r="BW68" s="70"/>
      <c r="BX68" s="70"/>
      <c r="CC68" s="70"/>
      <c r="CD68" s="70"/>
      <c r="CE68" s="70"/>
      <c r="CG68" s="70"/>
      <c r="CH68" s="70"/>
    </row>
    <row r="69" spans="1:86" s="37" customFormat="1" ht="39.950000000000003" customHeight="1" x14ac:dyDescent="0.2">
      <c r="A69" s="489">
        <v>1</v>
      </c>
      <c r="B69" s="199" t="s">
        <v>65</v>
      </c>
      <c r="C69" s="23">
        <v>7</v>
      </c>
      <c r="D69" s="22"/>
      <c r="E69" s="23">
        <v>7</v>
      </c>
      <c r="F69" s="549" t="s">
        <v>179</v>
      </c>
      <c r="G69" s="200">
        <v>4644001220</v>
      </c>
      <c r="H69" s="201" t="s">
        <v>66</v>
      </c>
      <c r="I69" s="201" t="s">
        <v>66</v>
      </c>
      <c r="J69" s="66">
        <v>0</v>
      </c>
      <c r="K69" s="197"/>
      <c r="L69" s="301">
        <f t="shared" si="47"/>
        <v>14850</v>
      </c>
      <c r="M69" s="302">
        <v>14850</v>
      </c>
      <c r="N69" s="303"/>
      <c r="O69" s="336"/>
      <c r="P69" s="303"/>
      <c r="Q69" s="318">
        <v>3122</v>
      </c>
      <c r="R69" s="319">
        <v>6351</v>
      </c>
      <c r="S69" s="307">
        <v>14850000</v>
      </c>
      <c r="T69" s="27">
        <f t="shared" si="48"/>
        <v>-14850</v>
      </c>
      <c r="U69" s="28">
        <v>-14850</v>
      </c>
      <c r="V69" s="28"/>
      <c r="W69" s="198"/>
      <c r="X69" s="163"/>
      <c r="Y69" s="53">
        <v>-14850000</v>
      </c>
      <c r="Z69" s="396">
        <f t="shared" si="46"/>
        <v>0</v>
      </c>
      <c r="AA69" s="397">
        <f t="shared" si="58"/>
        <v>0</v>
      </c>
      <c r="AB69" s="399"/>
      <c r="AC69" s="397"/>
      <c r="AD69" s="397"/>
      <c r="AE69" s="398">
        <f t="shared" si="44"/>
        <v>0</v>
      </c>
      <c r="AF69" s="31">
        <f t="shared" si="21"/>
        <v>0</v>
      </c>
      <c r="AG69" s="28">
        <v>0</v>
      </c>
      <c r="AH69" s="28"/>
      <c r="AI69" s="28"/>
      <c r="AJ69" s="28"/>
      <c r="AK69" s="404">
        <f t="shared" si="6"/>
        <v>19850</v>
      </c>
      <c r="AL69" s="397">
        <f>14850+5000</f>
        <v>19850</v>
      </c>
      <c r="AM69" s="397"/>
      <c r="AN69" s="397"/>
      <c r="AO69" s="402"/>
      <c r="AP69" s="164">
        <f t="shared" si="51"/>
        <v>0</v>
      </c>
      <c r="AQ69" s="28">
        <v>0</v>
      </c>
      <c r="AR69" s="28"/>
      <c r="AS69" s="404">
        <f t="shared" si="64"/>
        <v>0</v>
      </c>
      <c r="AT69" s="397">
        <v>0</v>
      </c>
      <c r="AU69" s="397"/>
      <c r="AV69" s="397"/>
      <c r="AW69" s="165">
        <f t="shared" si="9"/>
        <v>0</v>
      </c>
      <c r="AX69" s="28">
        <v>0</v>
      </c>
      <c r="AY69" s="28"/>
      <c r="AZ69" s="28"/>
      <c r="BA69" s="405">
        <f t="shared" si="10"/>
        <v>0</v>
      </c>
      <c r="BB69" s="397">
        <f t="shared" si="63"/>
        <v>0</v>
      </c>
      <c r="BC69" s="397"/>
      <c r="BD69" s="397"/>
      <c r="BE69" s="34">
        <f t="shared" si="55"/>
        <v>0</v>
      </c>
      <c r="BF69" s="28">
        <v>0</v>
      </c>
      <c r="BG69" s="28"/>
      <c r="BH69" s="28"/>
      <c r="BI69" s="409">
        <f t="shared" si="12"/>
        <v>0</v>
      </c>
      <c r="BJ69" s="397">
        <f t="shared" si="56"/>
        <v>0</v>
      </c>
      <c r="BK69" s="397"/>
      <c r="BL69" s="410"/>
      <c r="BM69" s="454">
        <v>252.99</v>
      </c>
      <c r="BN69" s="35">
        <f t="shared" si="75"/>
        <v>15102.99</v>
      </c>
      <c r="BO69" s="413">
        <f t="shared" si="67"/>
        <v>20102.990000000002</v>
      </c>
      <c r="BP69" s="36">
        <f t="shared" si="17"/>
        <v>5000.0000000000018</v>
      </c>
      <c r="BQ69" s="62" t="s">
        <v>96</v>
      </c>
      <c r="BR69" s="554">
        <v>2</v>
      </c>
      <c r="BS69" s="63" t="s">
        <v>73</v>
      </c>
      <c r="BV69" s="70"/>
      <c r="BW69" s="70"/>
      <c r="BX69" s="70"/>
      <c r="BZ69" s="70"/>
      <c r="CC69" s="70"/>
      <c r="CD69" s="70"/>
      <c r="CE69" s="70"/>
      <c r="CG69" s="70"/>
      <c r="CH69" s="70"/>
    </row>
    <row r="70" spans="1:86" s="37" customFormat="1" ht="39.950000000000003" customHeight="1" x14ac:dyDescent="0.2">
      <c r="A70" s="490"/>
      <c r="B70" s="199" t="s">
        <v>65</v>
      </c>
      <c r="C70" s="23">
        <v>7</v>
      </c>
      <c r="D70" s="22"/>
      <c r="E70" s="23">
        <v>7</v>
      </c>
      <c r="F70" s="492"/>
      <c r="G70" s="195">
        <v>4644001220</v>
      </c>
      <c r="H70" s="196" t="s">
        <v>66</v>
      </c>
      <c r="I70" s="196" t="s">
        <v>66</v>
      </c>
      <c r="J70" s="56">
        <v>0</v>
      </c>
      <c r="K70" s="197"/>
      <c r="L70" s="301">
        <f t="shared" si="47"/>
        <v>150</v>
      </c>
      <c r="M70" s="302">
        <v>150</v>
      </c>
      <c r="N70" s="303"/>
      <c r="O70" s="336"/>
      <c r="P70" s="303"/>
      <c r="Q70" s="318">
        <v>3122</v>
      </c>
      <c r="R70" s="319">
        <v>6121</v>
      </c>
      <c r="S70" s="307">
        <v>0</v>
      </c>
      <c r="T70" s="27">
        <f t="shared" si="48"/>
        <v>0</v>
      </c>
      <c r="U70" s="28">
        <v>0</v>
      </c>
      <c r="V70" s="28"/>
      <c r="W70" s="198"/>
      <c r="X70" s="163"/>
      <c r="Y70" s="53">
        <v>0</v>
      </c>
      <c r="Z70" s="396">
        <f t="shared" si="46"/>
        <v>150</v>
      </c>
      <c r="AA70" s="397">
        <f t="shared" si="58"/>
        <v>150</v>
      </c>
      <c r="AB70" s="399"/>
      <c r="AC70" s="397"/>
      <c r="AD70" s="397"/>
      <c r="AE70" s="398">
        <f t="shared" si="44"/>
        <v>0</v>
      </c>
      <c r="AF70" s="31">
        <f t="shared" si="21"/>
        <v>0</v>
      </c>
      <c r="AG70" s="28">
        <v>0</v>
      </c>
      <c r="AH70" s="28"/>
      <c r="AI70" s="28"/>
      <c r="AJ70" s="28"/>
      <c r="AK70" s="404">
        <f t="shared" si="6"/>
        <v>0</v>
      </c>
      <c r="AL70" s="397">
        <v>0</v>
      </c>
      <c r="AM70" s="397"/>
      <c r="AN70" s="397"/>
      <c r="AO70" s="402"/>
      <c r="AP70" s="164">
        <f t="shared" si="51"/>
        <v>0</v>
      </c>
      <c r="AQ70" s="28">
        <v>0</v>
      </c>
      <c r="AR70" s="28"/>
      <c r="AS70" s="404">
        <f t="shared" si="64"/>
        <v>0</v>
      </c>
      <c r="AT70" s="397">
        <v>0</v>
      </c>
      <c r="AU70" s="397"/>
      <c r="AV70" s="397"/>
      <c r="AW70" s="165">
        <f t="shared" si="9"/>
        <v>0</v>
      </c>
      <c r="AX70" s="28">
        <v>0</v>
      </c>
      <c r="AY70" s="28"/>
      <c r="AZ70" s="28"/>
      <c r="BA70" s="405">
        <f t="shared" si="10"/>
        <v>0</v>
      </c>
      <c r="BB70" s="397">
        <f t="shared" si="63"/>
        <v>0</v>
      </c>
      <c r="BC70" s="397"/>
      <c r="BD70" s="397"/>
      <c r="BE70" s="34">
        <f t="shared" si="55"/>
        <v>0</v>
      </c>
      <c r="BF70" s="28">
        <v>0</v>
      </c>
      <c r="BG70" s="28"/>
      <c r="BH70" s="28"/>
      <c r="BI70" s="409">
        <f t="shared" si="12"/>
        <v>0</v>
      </c>
      <c r="BJ70" s="397">
        <f t="shared" si="56"/>
        <v>0</v>
      </c>
      <c r="BK70" s="397"/>
      <c r="BL70" s="410"/>
      <c r="BM70" s="454">
        <f t="shared" si="76"/>
        <v>0</v>
      </c>
      <c r="BN70" s="35">
        <f t="shared" si="75"/>
        <v>150</v>
      </c>
      <c r="BO70" s="413">
        <f t="shared" si="67"/>
        <v>150</v>
      </c>
      <c r="BP70" s="36">
        <f t="shared" si="17"/>
        <v>0</v>
      </c>
      <c r="BQ70" s="62"/>
      <c r="BR70" s="555"/>
      <c r="BS70" s="63" t="s">
        <v>73</v>
      </c>
      <c r="BV70" s="70"/>
      <c r="BW70" s="70"/>
      <c r="BX70" s="70"/>
      <c r="CC70" s="70"/>
      <c r="CD70" s="70"/>
      <c r="CE70" s="70"/>
      <c r="CG70" s="70"/>
      <c r="CH70" s="70"/>
    </row>
    <row r="71" spans="1:86" s="37" customFormat="1" ht="39.950000000000003" customHeight="1" x14ac:dyDescent="0.2">
      <c r="A71" s="489">
        <v>1</v>
      </c>
      <c r="B71" s="199" t="s">
        <v>65</v>
      </c>
      <c r="C71" s="23">
        <v>7</v>
      </c>
      <c r="D71" s="22"/>
      <c r="E71" s="23">
        <v>7</v>
      </c>
      <c r="F71" s="549" t="s">
        <v>180</v>
      </c>
      <c r="G71" s="200">
        <v>4399001348</v>
      </c>
      <c r="H71" s="201" t="s">
        <v>66</v>
      </c>
      <c r="I71" s="201" t="s">
        <v>66</v>
      </c>
      <c r="J71" s="550">
        <v>339.04</v>
      </c>
      <c r="K71" s="202"/>
      <c r="L71" s="301">
        <f t="shared" si="47"/>
        <v>14510.96</v>
      </c>
      <c r="M71" s="302">
        <f>14660.96-150</f>
        <v>14510.96</v>
      </c>
      <c r="N71" s="303"/>
      <c r="O71" s="336"/>
      <c r="P71" s="303"/>
      <c r="Q71" s="322">
        <v>3127</v>
      </c>
      <c r="R71" s="319">
        <v>6351</v>
      </c>
      <c r="S71" s="307">
        <v>14510958</v>
      </c>
      <c r="T71" s="27">
        <f t="shared" si="48"/>
        <v>-9000</v>
      </c>
      <c r="U71" s="28">
        <v>-9000</v>
      </c>
      <c r="V71" s="28"/>
      <c r="W71" s="198"/>
      <c r="X71" s="163"/>
      <c r="Y71" s="53">
        <v>-9000000</v>
      </c>
      <c r="Z71" s="396">
        <f t="shared" si="46"/>
        <v>5510.9599999999991</v>
      </c>
      <c r="AA71" s="397">
        <f t="shared" si="58"/>
        <v>5510.9599999999991</v>
      </c>
      <c r="AB71" s="399">
        <v>0</v>
      </c>
      <c r="AC71" s="397"/>
      <c r="AD71" s="397"/>
      <c r="AE71" s="398">
        <f t="shared" si="44"/>
        <v>5510958</v>
      </c>
      <c r="AF71" s="31">
        <f t="shared" si="21"/>
        <v>0</v>
      </c>
      <c r="AG71" s="28">
        <v>0</v>
      </c>
      <c r="AH71" s="28"/>
      <c r="AI71" s="28"/>
      <c r="AJ71" s="28"/>
      <c r="AK71" s="404">
        <f t="shared" ref="AK71:AK106" si="77">AL71+AM71</f>
        <v>18500</v>
      </c>
      <c r="AL71" s="397">
        <f>9000+6000+3500</f>
        <v>18500</v>
      </c>
      <c r="AM71" s="397"/>
      <c r="AN71" s="397"/>
      <c r="AO71" s="402"/>
      <c r="AP71" s="164">
        <f t="shared" si="51"/>
        <v>0</v>
      </c>
      <c r="AQ71" s="28">
        <v>0</v>
      </c>
      <c r="AR71" s="28"/>
      <c r="AS71" s="404">
        <f t="shared" si="64"/>
        <v>0</v>
      </c>
      <c r="AT71" s="397">
        <f t="shared" ref="AT71:AT72" si="78">AQ71</f>
        <v>0</v>
      </c>
      <c r="AU71" s="397"/>
      <c r="AV71" s="397"/>
      <c r="AW71" s="165">
        <f t="shared" ref="AW71:AW86" si="79">AX71</f>
        <v>0</v>
      </c>
      <c r="AX71" s="28">
        <v>0</v>
      </c>
      <c r="AY71" s="28"/>
      <c r="AZ71" s="28"/>
      <c r="BA71" s="405">
        <f t="shared" ref="BA71:BA86" si="80">BB71</f>
        <v>0</v>
      </c>
      <c r="BB71" s="397">
        <f t="shared" si="63"/>
        <v>0</v>
      </c>
      <c r="BC71" s="397"/>
      <c r="BD71" s="397"/>
      <c r="BE71" s="34">
        <f t="shared" si="55"/>
        <v>0</v>
      </c>
      <c r="BF71" s="28">
        <v>0</v>
      </c>
      <c r="BG71" s="28"/>
      <c r="BH71" s="28"/>
      <c r="BI71" s="409">
        <f t="shared" ref="BI71:BI86" si="81">BJ71</f>
        <v>0</v>
      </c>
      <c r="BJ71" s="397">
        <f t="shared" si="56"/>
        <v>0</v>
      </c>
      <c r="BK71" s="397"/>
      <c r="BL71" s="410"/>
      <c r="BM71" s="454">
        <v>500</v>
      </c>
      <c r="BN71" s="35">
        <f t="shared" si="75"/>
        <v>15350</v>
      </c>
      <c r="BO71" s="413">
        <f>J71+Z71+AK71+AS71+BM71+BI71+BA71</f>
        <v>24850</v>
      </c>
      <c r="BP71" s="36">
        <f t="shared" si="17"/>
        <v>9500</v>
      </c>
      <c r="BQ71" s="62" t="s">
        <v>96</v>
      </c>
      <c r="BR71" s="551">
        <v>2</v>
      </c>
      <c r="BS71" s="63" t="s">
        <v>100</v>
      </c>
      <c r="BV71" s="70"/>
      <c r="BW71" s="70"/>
      <c r="BX71" s="70"/>
      <c r="BZ71" s="70"/>
      <c r="CC71" s="70"/>
      <c r="CD71" s="70"/>
      <c r="CE71" s="70"/>
      <c r="CG71" s="70"/>
      <c r="CH71" s="70"/>
    </row>
    <row r="72" spans="1:86" s="37" customFormat="1" ht="39.950000000000003" customHeight="1" x14ac:dyDescent="0.2">
      <c r="A72" s="490"/>
      <c r="B72" s="203" t="s">
        <v>65</v>
      </c>
      <c r="C72" s="23"/>
      <c r="D72" s="22"/>
      <c r="E72" s="23">
        <v>7</v>
      </c>
      <c r="F72" s="492"/>
      <c r="G72" s="200">
        <v>4399000000</v>
      </c>
      <c r="H72" s="201" t="s">
        <v>66</v>
      </c>
      <c r="I72" s="201" t="s">
        <v>66</v>
      </c>
      <c r="J72" s="488"/>
      <c r="K72" s="202"/>
      <c r="L72" s="301">
        <f t="shared" si="47"/>
        <v>150</v>
      </c>
      <c r="M72" s="302">
        <v>150</v>
      </c>
      <c r="N72" s="303"/>
      <c r="O72" s="304"/>
      <c r="P72" s="303"/>
      <c r="Q72" s="322">
        <v>3127</v>
      </c>
      <c r="R72" s="319">
        <v>6121</v>
      </c>
      <c r="S72" s="307">
        <v>0</v>
      </c>
      <c r="T72" s="27">
        <f t="shared" si="48"/>
        <v>0</v>
      </c>
      <c r="U72" s="28">
        <v>0</v>
      </c>
      <c r="V72" s="28"/>
      <c r="W72" s="198"/>
      <c r="X72" s="29"/>
      <c r="Y72" s="53">
        <v>0</v>
      </c>
      <c r="Z72" s="396">
        <f t="shared" si="46"/>
        <v>150</v>
      </c>
      <c r="AA72" s="397">
        <f t="shared" si="58"/>
        <v>150</v>
      </c>
      <c r="AB72" s="399">
        <v>0</v>
      </c>
      <c r="AC72" s="397"/>
      <c r="AD72" s="397"/>
      <c r="AE72" s="398">
        <f t="shared" si="44"/>
        <v>0</v>
      </c>
      <c r="AF72" s="31">
        <f t="shared" si="21"/>
        <v>0</v>
      </c>
      <c r="AG72" s="28">
        <v>0</v>
      </c>
      <c r="AH72" s="28"/>
      <c r="AI72" s="28"/>
      <c r="AJ72" s="28"/>
      <c r="AK72" s="401">
        <f t="shared" si="77"/>
        <v>0</v>
      </c>
      <c r="AL72" s="397">
        <v>0</v>
      </c>
      <c r="AM72" s="397"/>
      <c r="AN72" s="397"/>
      <c r="AO72" s="402"/>
      <c r="AP72" s="164">
        <f t="shared" si="51"/>
        <v>0</v>
      </c>
      <c r="AQ72" s="28">
        <v>0</v>
      </c>
      <c r="AR72" s="28"/>
      <c r="AS72" s="401">
        <f t="shared" si="64"/>
        <v>0</v>
      </c>
      <c r="AT72" s="397">
        <f t="shared" si="78"/>
        <v>0</v>
      </c>
      <c r="AU72" s="397"/>
      <c r="AV72" s="397"/>
      <c r="AW72" s="33">
        <f t="shared" si="79"/>
        <v>0</v>
      </c>
      <c r="AX72" s="28">
        <v>0</v>
      </c>
      <c r="AY72" s="28"/>
      <c r="AZ72" s="28"/>
      <c r="BA72" s="403">
        <f t="shared" si="80"/>
        <v>0</v>
      </c>
      <c r="BB72" s="397">
        <f t="shared" si="63"/>
        <v>0</v>
      </c>
      <c r="BC72" s="397"/>
      <c r="BD72" s="397"/>
      <c r="BE72" s="34">
        <f t="shared" si="55"/>
        <v>0</v>
      </c>
      <c r="BF72" s="28">
        <v>0</v>
      </c>
      <c r="BG72" s="28"/>
      <c r="BH72" s="28"/>
      <c r="BI72" s="409">
        <f t="shared" si="81"/>
        <v>0</v>
      </c>
      <c r="BJ72" s="397">
        <f t="shared" ref="BJ72:BL86" si="82">BF72</f>
        <v>0</v>
      </c>
      <c r="BK72" s="397"/>
      <c r="BL72" s="410"/>
      <c r="BM72" s="454">
        <f>BL72+BD72+AW72+AO72</f>
        <v>0</v>
      </c>
      <c r="BN72" s="35">
        <f t="shared" si="75"/>
        <v>150</v>
      </c>
      <c r="BO72" s="413">
        <f>J72+Z72+AK72+AS72+BM72+BI72+BA72</f>
        <v>150</v>
      </c>
      <c r="BP72" s="36">
        <f t="shared" ref="BP72:BP123" si="83">BO72-BN72</f>
        <v>0</v>
      </c>
      <c r="BQ72" s="62"/>
      <c r="BR72" s="529"/>
      <c r="BS72" s="63" t="s">
        <v>100</v>
      </c>
      <c r="BV72" s="70"/>
      <c r="BW72" s="70"/>
      <c r="BX72" s="70"/>
      <c r="CC72" s="70"/>
      <c r="CD72" s="70"/>
      <c r="CE72" s="70"/>
      <c r="CG72" s="70"/>
      <c r="CH72" s="70"/>
    </row>
    <row r="73" spans="1:86" s="37" customFormat="1" ht="39.950000000000003" customHeight="1" x14ac:dyDescent="0.2">
      <c r="A73" s="489">
        <v>1</v>
      </c>
      <c r="B73" s="203" t="s">
        <v>65</v>
      </c>
      <c r="C73" s="21"/>
      <c r="D73" s="22"/>
      <c r="E73" s="23">
        <v>7</v>
      </c>
      <c r="F73" s="552" t="s">
        <v>181</v>
      </c>
      <c r="G73" s="204">
        <v>4376001103</v>
      </c>
      <c r="H73" s="201" t="s">
        <v>66</v>
      </c>
      <c r="I73" s="201" t="s">
        <v>66</v>
      </c>
      <c r="J73" s="550">
        <v>607.5</v>
      </c>
      <c r="K73" s="202"/>
      <c r="L73" s="301">
        <f t="shared" si="47"/>
        <v>19242.5</v>
      </c>
      <c r="M73" s="302">
        <f>19392.5-150</f>
        <v>19242.5</v>
      </c>
      <c r="N73" s="303">
        <v>0</v>
      </c>
      <c r="O73" s="304"/>
      <c r="P73" s="303">
        <v>0</v>
      </c>
      <c r="Q73" s="348">
        <v>3121</v>
      </c>
      <c r="R73" s="349">
        <v>6351</v>
      </c>
      <c r="S73" s="307">
        <v>19242498.399999999</v>
      </c>
      <c r="T73" s="27">
        <f>U73+V73+W73</f>
        <v>-17197.727999999999</v>
      </c>
      <c r="U73" s="28">
        <f>-17197.728</f>
        <v>-17197.727999999999</v>
      </c>
      <c r="V73" s="28">
        <v>0</v>
      </c>
      <c r="W73" s="198"/>
      <c r="X73" s="29">
        <v>0</v>
      </c>
      <c r="Y73" s="53">
        <v>-17197730</v>
      </c>
      <c r="Z73" s="396">
        <f t="shared" si="46"/>
        <v>2044.7720000000008</v>
      </c>
      <c r="AA73" s="397">
        <f t="shared" si="58"/>
        <v>2044.7720000000008</v>
      </c>
      <c r="AB73" s="397">
        <v>0</v>
      </c>
      <c r="AC73" s="397">
        <v>0</v>
      </c>
      <c r="AD73" s="397">
        <v>0</v>
      </c>
      <c r="AE73" s="398">
        <f t="shared" si="44"/>
        <v>2044768.3999999985</v>
      </c>
      <c r="AF73" s="31">
        <f t="shared" si="21"/>
        <v>11500</v>
      </c>
      <c r="AG73" s="28">
        <v>11500</v>
      </c>
      <c r="AH73" s="28">
        <v>0</v>
      </c>
      <c r="AI73" s="28">
        <v>0</v>
      </c>
      <c r="AJ73" s="28">
        <v>0</v>
      </c>
      <c r="AK73" s="401">
        <f t="shared" si="77"/>
        <v>24000</v>
      </c>
      <c r="AL73" s="397">
        <v>24000</v>
      </c>
      <c r="AM73" s="397">
        <v>0</v>
      </c>
      <c r="AN73" s="397">
        <v>0</v>
      </c>
      <c r="AO73" s="402">
        <v>0</v>
      </c>
      <c r="AP73" s="164">
        <f t="shared" si="51"/>
        <v>0</v>
      </c>
      <c r="AQ73" s="28">
        <v>0</v>
      </c>
      <c r="AR73" s="28">
        <v>0</v>
      </c>
      <c r="AS73" s="401">
        <f t="shared" si="64"/>
        <v>17000</v>
      </c>
      <c r="AT73" s="397">
        <f>11500+5500</f>
        <v>17000</v>
      </c>
      <c r="AU73" s="397"/>
      <c r="AV73" s="397">
        <f>AR73</f>
        <v>0</v>
      </c>
      <c r="AW73" s="33">
        <f t="shared" si="79"/>
        <v>0</v>
      </c>
      <c r="AX73" s="28">
        <v>0</v>
      </c>
      <c r="AY73" s="28">
        <v>0</v>
      </c>
      <c r="AZ73" s="28">
        <v>0</v>
      </c>
      <c r="BA73" s="403">
        <f t="shared" si="80"/>
        <v>0</v>
      </c>
      <c r="BB73" s="397">
        <f t="shared" si="63"/>
        <v>0</v>
      </c>
      <c r="BC73" s="397">
        <f t="shared" si="63"/>
        <v>0</v>
      </c>
      <c r="BD73" s="397">
        <f t="shared" si="63"/>
        <v>0</v>
      </c>
      <c r="BE73" s="34">
        <f t="shared" si="55"/>
        <v>0</v>
      </c>
      <c r="BF73" s="28">
        <v>0</v>
      </c>
      <c r="BG73" s="28">
        <v>0</v>
      </c>
      <c r="BH73" s="28">
        <v>0</v>
      </c>
      <c r="BI73" s="409">
        <f t="shared" si="81"/>
        <v>0</v>
      </c>
      <c r="BJ73" s="397">
        <f t="shared" si="82"/>
        <v>0</v>
      </c>
      <c r="BK73" s="397">
        <f t="shared" si="82"/>
        <v>0</v>
      </c>
      <c r="BL73" s="410">
        <f t="shared" si="82"/>
        <v>0</v>
      </c>
      <c r="BM73" s="454">
        <f>BL73+BD73+AW73+AO73</f>
        <v>0</v>
      </c>
      <c r="BN73" s="35">
        <f t="shared" si="75"/>
        <v>31350</v>
      </c>
      <c r="BO73" s="413">
        <f>J73+Z73+AK73+AS73+BM73+BI73+BA73</f>
        <v>43652.271999999997</v>
      </c>
      <c r="BP73" s="36">
        <f t="shared" si="83"/>
        <v>12302.271999999997</v>
      </c>
      <c r="BQ73" s="62" t="s">
        <v>96</v>
      </c>
      <c r="BR73" s="539">
        <v>2</v>
      </c>
      <c r="BS73" s="63" t="s">
        <v>73</v>
      </c>
      <c r="BV73" s="70"/>
      <c r="BW73" s="70"/>
      <c r="BX73" s="70"/>
      <c r="BZ73" s="70"/>
      <c r="CC73" s="70"/>
      <c r="CD73" s="70"/>
      <c r="CE73" s="70"/>
      <c r="CG73" s="70"/>
      <c r="CH73" s="70"/>
    </row>
    <row r="74" spans="1:86" s="37" customFormat="1" ht="39.950000000000003" customHeight="1" x14ac:dyDescent="0.2">
      <c r="A74" s="490"/>
      <c r="B74" s="205" t="s">
        <v>65</v>
      </c>
      <c r="C74" s="21"/>
      <c r="D74" s="22"/>
      <c r="E74" s="23">
        <v>7</v>
      </c>
      <c r="F74" s="492"/>
      <c r="G74" s="204">
        <v>4376000000</v>
      </c>
      <c r="H74" s="201" t="s">
        <v>66</v>
      </c>
      <c r="I74" s="201" t="s">
        <v>66</v>
      </c>
      <c r="J74" s="488"/>
      <c r="K74" s="202"/>
      <c r="L74" s="301">
        <f t="shared" si="47"/>
        <v>150</v>
      </c>
      <c r="M74" s="302">
        <f>150</f>
        <v>150</v>
      </c>
      <c r="N74" s="303"/>
      <c r="O74" s="304"/>
      <c r="P74" s="303"/>
      <c r="Q74" s="348">
        <v>3121</v>
      </c>
      <c r="R74" s="350">
        <v>6121</v>
      </c>
      <c r="S74" s="307">
        <v>0</v>
      </c>
      <c r="T74" s="27">
        <f t="shared" si="48"/>
        <v>0</v>
      </c>
      <c r="U74" s="28">
        <v>0</v>
      </c>
      <c r="V74" s="28">
        <v>0</v>
      </c>
      <c r="W74" s="29"/>
      <c r="X74" s="29">
        <v>0</v>
      </c>
      <c r="Y74" s="30">
        <v>0</v>
      </c>
      <c r="Z74" s="396">
        <f t="shared" si="46"/>
        <v>150</v>
      </c>
      <c r="AA74" s="397">
        <f t="shared" si="58"/>
        <v>150</v>
      </c>
      <c r="AB74" s="397">
        <v>0</v>
      </c>
      <c r="AC74" s="397">
        <v>0</v>
      </c>
      <c r="AD74" s="397">
        <v>0</v>
      </c>
      <c r="AE74" s="398">
        <f t="shared" si="44"/>
        <v>0</v>
      </c>
      <c r="AF74" s="31">
        <f t="shared" si="21"/>
        <v>0</v>
      </c>
      <c r="AG74" s="28">
        <v>0</v>
      </c>
      <c r="AH74" s="28"/>
      <c r="AI74" s="28"/>
      <c r="AJ74" s="28"/>
      <c r="AK74" s="401">
        <f t="shared" si="77"/>
        <v>0</v>
      </c>
      <c r="AL74" s="397">
        <v>0</v>
      </c>
      <c r="AM74" s="397"/>
      <c r="AN74" s="397"/>
      <c r="AO74" s="402"/>
      <c r="AP74" s="164">
        <f t="shared" si="51"/>
        <v>0</v>
      </c>
      <c r="AQ74" s="28">
        <v>0</v>
      </c>
      <c r="AR74" s="28"/>
      <c r="AS74" s="401">
        <f t="shared" si="64"/>
        <v>0</v>
      </c>
      <c r="AT74" s="397">
        <f t="shared" ref="AT74" si="84">AQ74</f>
        <v>0</v>
      </c>
      <c r="AU74" s="397"/>
      <c r="AV74" s="397"/>
      <c r="AW74" s="33">
        <f t="shared" si="79"/>
        <v>0</v>
      </c>
      <c r="AX74" s="28">
        <v>0</v>
      </c>
      <c r="AY74" s="28"/>
      <c r="AZ74" s="28"/>
      <c r="BA74" s="403">
        <f t="shared" si="80"/>
        <v>0</v>
      </c>
      <c r="BB74" s="397">
        <f t="shared" si="63"/>
        <v>0</v>
      </c>
      <c r="BC74" s="397">
        <f t="shared" si="63"/>
        <v>0</v>
      </c>
      <c r="BD74" s="397">
        <f t="shared" si="63"/>
        <v>0</v>
      </c>
      <c r="BE74" s="34">
        <f t="shared" si="55"/>
        <v>0</v>
      </c>
      <c r="BF74" s="28">
        <v>0</v>
      </c>
      <c r="BG74" s="28">
        <v>0</v>
      </c>
      <c r="BH74" s="28">
        <v>0</v>
      </c>
      <c r="BI74" s="409">
        <f t="shared" si="81"/>
        <v>0</v>
      </c>
      <c r="BJ74" s="397">
        <f t="shared" si="82"/>
        <v>0</v>
      </c>
      <c r="BK74" s="397">
        <f t="shared" si="82"/>
        <v>0</v>
      </c>
      <c r="BL74" s="410">
        <f t="shared" si="82"/>
        <v>0</v>
      </c>
      <c r="BM74" s="454">
        <f>BL74+BD74+AW74+AO74</f>
        <v>0</v>
      </c>
      <c r="BN74" s="35">
        <f t="shared" si="75"/>
        <v>150</v>
      </c>
      <c r="BO74" s="413">
        <f t="shared" ref="BO74:BO80" si="85">J74+Z74+AK74+AS74+BM74+BI74+BA74</f>
        <v>150</v>
      </c>
      <c r="BP74" s="36">
        <f t="shared" si="83"/>
        <v>0</v>
      </c>
      <c r="BQ74" s="62" t="s">
        <v>101</v>
      </c>
      <c r="BR74" s="529"/>
      <c r="BS74" s="63" t="s">
        <v>73</v>
      </c>
      <c r="BV74" s="70"/>
      <c r="BW74" s="70"/>
      <c r="BX74" s="70"/>
      <c r="CC74" s="70"/>
      <c r="CD74" s="70"/>
      <c r="CE74" s="70"/>
      <c r="CG74" s="70"/>
      <c r="CH74" s="70"/>
    </row>
    <row r="75" spans="1:86" s="37" customFormat="1" ht="39.950000000000003" customHeight="1" x14ac:dyDescent="0.2">
      <c r="A75" s="489">
        <v>1</v>
      </c>
      <c r="B75" s="205" t="s">
        <v>65</v>
      </c>
      <c r="C75" s="21"/>
      <c r="D75" s="22"/>
      <c r="E75" s="23">
        <v>7</v>
      </c>
      <c r="F75" s="536" t="s">
        <v>182</v>
      </c>
      <c r="G75" s="45">
        <v>4392001210</v>
      </c>
      <c r="H75" s="206" t="s">
        <v>66</v>
      </c>
      <c r="I75" s="206" t="s">
        <v>66</v>
      </c>
      <c r="J75" s="538">
        <v>2231.81</v>
      </c>
      <c r="K75" s="207"/>
      <c r="L75" s="301">
        <f t="shared" si="47"/>
        <v>8718.1899999999987</v>
      </c>
      <c r="M75" s="302">
        <f>6268.19-150+2600</f>
        <v>8718.1899999999987</v>
      </c>
      <c r="N75" s="303">
        <v>0</v>
      </c>
      <c r="O75" s="304">
        <v>0</v>
      </c>
      <c r="P75" s="303">
        <v>0</v>
      </c>
      <c r="Q75" s="351">
        <v>3127</v>
      </c>
      <c r="R75" s="352">
        <v>6351</v>
      </c>
      <c r="S75" s="307">
        <v>8718187.7200000007</v>
      </c>
      <c r="T75" s="27">
        <f t="shared" si="48"/>
        <v>0</v>
      </c>
      <c r="U75" s="28">
        <v>0</v>
      </c>
      <c r="V75" s="28">
        <v>0</v>
      </c>
      <c r="W75" s="29">
        <v>0</v>
      </c>
      <c r="X75" s="29">
        <v>0</v>
      </c>
      <c r="Y75" s="30">
        <f>(U75+V75)*1000</f>
        <v>0</v>
      </c>
      <c r="Z75" s="396">
        <f t="shared" si="46"/>
        <v>8718.1899999999987</v>
      </c>
      <c r="AA75" s="397">
        <f t="shared" ref="AA75:AC83" si="86">M75+U75</f>
        <v>8718.1899999999987</v>
      </c>
      <c r="AB75" s="397">
        <f t="shared" si="86"/>
        <v>0</v>
      </c>
      <c r="AC75" s="397">
        <f t="shared" si="86"/>
        <v>0</v>
      </c>
      <c r="AD75" s="397">
        <f t="shared" ref="AD75:AD83" si="87">X75</f>
        <v>0</v>
      </c>
      <c r="AE75" s="398">
        <f t="shared" si="44"/>
        <v>8718187.7200000007</v>
      </c>
      <c r="AF75" s="31">
        <f t="shared" si="21"/>
        <v>4000</v>
      </c>
      <c r="AG75" s="28">
        <v>4000</v>
      </c>
      <c r="AH75" s="28">
        <v>0</v>
      </c>
      <c r="AI75" s="28">
        <v>0</v>
      </c>
      <c r="AJ75" s="28">
        <v>0</v>
      </c>
      <c r="AK75" s="401">
        <f t="shared" si="77"/>
        <v>12000</v>
      </c>
      <c r="AL75" s="397">
        <v>12000</v>
      </c>
      <c r="AM75" s="397">
        <v>0</v>
      </c>
      <c r="AN75" s="397">
        <v>0</v>
      </c>
      <c r="AO75" s="402">
        <v>0</v>
      </c>
      <c r="AP75" s="164">
        <f t="shared" si="51"/>
        <v>0</v>
      </c>
      <c r="AQ75" s="28">
        <v>0</v>
      </c>
      <c r="AR75" s="28">
        <v>0</v>
      </c>
      <c r="AS75" s="401">
        <f t="shared" si="64"/>
        <v>9000</v>
      </c>
      <c r="AT75" s="397">
        <v>9000</v>
      </c>
      <c r="AU75" s="397"/>
      <c r="AV75" s="397">
        <f t="shared" ref="AV75" si="88">AR75</f>
        <v>0</v>
      </c>
      <c r="AW75" s="33">
        <f t="shared" si="79"/>
        <v>0</v>
      </c>
      <c r="AX75" s="28">
        <v>0</v>
      </c>
      <c r="AY75" s="28">
        <v>0</v>
      </c>
      <c r="AZ75" s="28">
        <v>0</v>
      </c>
      <c r="BA75" s="403">
        <f t="shared" si="80"/>
        <v>0</v>
      </c>
      <c r="BB75" s="397">
        <f t="shared" si="63"/>
        <v>0</v>
      </c>
      <c r="BC75" s="397">
        <f t="shared" si="63"/>
        <v>0</v>
      </c>
      <c r="BD75" s="397">
        <f t="shared" si="63"/>
        <v>0</v>
      </c>
      <c r="BE75" s="34">
        <f t="shared" si="55"/>
        <v>0</v>
      </c>
      <c r="BF75" s="28">
        <v>0</v>
      </c>
      <c r="BG75" s="28">
        <v>0</v>
      </c>
      <c r="BH75" s="28">
        <v>0</v>
      </c>
      <c r="BI75" s="409">
        <f t="shared" si="81"/>
        <v>0</v>
      </c>
      <c r="BJ75" s="397">
        <f t="shared" si="82"/>
        <v>0</v>
      </c>
      <c r="BK75" s="397">
        <f t="shared" si="82"/>
        <v>0</v>
      </c>
      <c r="BL75" s="410">
        <f t="shared" si="82"/>
        <v>0</v>
      </c>
      <c r="BM75" s="454">
        <f t="shared" ref="BM75" si="89">BL75+BD75+AW75+AO75</f>
        <v>0</v>
      </c>
      <c r="BN75" s="35">
        <f>J75+L75+AF75+AP75+AW75+BE75+BM75</f>
        <v>14949.999999999998</v>
      </c>
      <c r="BO75" s="413">
        <f t="shared" si="85"/>
        <v>31950</v>
      </c>
      <c r="BP75" s="36">
        <f t="shared" si="83"/>
        <v>17000</v>
      </c>
      <c r="BQ75" s="62" t="s">
        <v>102</v>
      </c>
      <c r="BR75" s="539">
        <v>2</v>
      </c>
      <c r="BS75" s="63" t="s">
        <v>100</v>
      </c>
      <c r="BV75" s="70"/>
      <c r="BW75" s="70"/>
      <c r="BX75" s="70"/>
      <c r="BZ75" s="70"/>
      <c r="CC75" s="70"/>
      <c r="CD75" s="70"/>
      <c r="CE75" s="70"/>
      <c r="CG75" s="70"/>
      <c r="CH75" s="70"/>
    </row>
    <row r="76" spans="1:86" s="37" customFormat="1" ht="39.950000000000003" customHeight="1" x14ac:dyDescent="0.2">
      <c r="A76" s="490"/>
      <c r="B76" s="205" t="s">
        <v>65</v>
      </c>
      <c r="C76" s="21"/>
      <c r="D76" s="22"/>
      <c r="E76" s="206">
        <v>7</v>
      </c>
      <c r="F76" s="537"/>
      <c r="G76" s="45">
        <v>4392000000</v>
      </c>
      <c r="H76" s="206" t="s">
        <v>66</v>
      </c>
      <c r="I76" s="206" t="s">
        <v>66</v>
      </c>
      <c r="J76" s="488"/>
      <c r="K76" s="207"/>
      <c r="L76" s="301">
        <f t="shared" si="47"/>
        <v>150</v>
      </c>
      <c r="M76" s="302">
        <v>150</v>
      </c>
      <c r="N76" s="303"/>
      <c r="O76" s="304"/>
      <c r="P76" s="303"/>
      <c r="Q76" s="351">
        <v>3127</v>
      </c>
      <c r="R76" s="352">
        <v>6121</v>
      </c>
      <c r="S76" s="307">
        <v>0</v>
      </c>
      <c r="T76" s="27">
        <f t="shared" si="48"/>
        <v>0</v>
      </c>
      <c r="U76" s="28">
        <v>0</v>
      </c>
      <c r="V76" s="28"/>
      <c r="W76" s="29"/>
      <c r="X76" s="29"/>
      <c r="Y76" s="30">
        <f>(U76+V76)*1000</f>
        <v>0</v>
      </c>
      <c r="Z76" s="396">
        <f t="shared" si="46"/>
        <v>150</v>
      </c>
      <c r="AA76" s="397">
        <f t="shared" si="86"/>
        <v>150</v>
      </c>
      <c r="AB76" s="397">
        <f t="shared" si="86"/>
        <v>0</v>
      </c>
      <c r="AC76" s="397">
        <f t="shared" si="86"/>
        <v>0</v>
      </c>
      <c r="AD76" s="397">
        <f t="shared" si="87"/>
        <v>0</v>
      </c>
      <c r="AE76" s="398">
        <f t="shared" si="44"/>
        <v>0</v>
      </c>
      <c r="AF76" s="31">
        <f t="shared" si="21"/>
        <v>0</v>
      </c>
      <c r="AG76" s="28">
        <v>0</v>
      </c>
      <c r="AH76" s="28"/>
      <c r="AI76" s="28"/>
      <c r="AJ76" s="28"/>
      <c r="AK76" s="401">
        <f t="shared" si="77"/>
        <v>0</v>
      </c>
      <c r="AL76" s="397">
        <v>0</v>
      </c>
      <c r="AM76" s="397"/>
      <c r="AN76" s="397"/>
      <c r="AO76" s="402"/>
      <c r="AP76" s="164">
        <f t="shared" si="51"/>
        <v>0</v>
      </c>
      <c r="AQ76" s="28">
        <v>0</v>
      </c>
      <c r="AR76" s="28"/>
      <c r="AS76" s="401">
        <f t="shared" si="64"/>
        <v>0</v>
      </c>
      <c r="AT76" s="397">
        <v>0</v>
      </c>
      <c r="AU76" s="397"/>
      <c r="AV76" s="397"/>
      <c r="AW76" s="33">
        <f t="shared" si="79"/>
        <v>0</v>
      </c>
      <c r="AX76" s="28">
        <v>0</v>
      </c>
      <c r="AY76" s="28"/>
      <c r="AZ76" s="28"/>
      <c r="BA76" s="403">
        <f t="shared" si="80"/>
        <v>0</v>
      </c>
      <c r="BB76" s="397">
        <f t="shared" ref="BB76:BD79" si="90">AX76</f>
        <v>0</v>
      </c>
      <c r="BC76" s="397"/>
      <c r="BD76" s="397"/>
      <c r="BE76" s="34">
        <f t="shared" si="55"/>
        <v>0</v>
      </c>
      <c r="BF76" s="28">
        <v>0</v>
      </c>
      <c r="BG76" s="28"/>
      <c r="BH76" s="28"/>
      <c r="BI76" s="409">
        <f t="shared" si="81"/>
        <v>0</v>
      </c>
      <c r="BJ76" s="397">
        <f t="shared" si="82"/>
        <v>0</v>
      </c>
      <c r="BK76" s="397"/>
      <c r="BL76" s="410"/>
      <c r="BM76" s="454">
        <v>0</v>
      </c>
      <c r="BN76" s="35">
        <f>J76+L76+AF76+AP76+AW76+BE76+BM76</f>
        <v>150</v>
      </c>
      <c r="BO76" s="413">
        <f t="shared" si="85"/>
        <v>150</v>
      </c>
      <c r="BP76" s="36">
        <f t="shared" si="83"/>
        <v>0</v>
      </c>
      <c r="BQ76" s="62" t="s">
        <v>57</v>
      </c>
      <c r="BR76" s="529"/>
      <c r="BS76" s="63" t="s">
        <v>100</v>
      </c>
      <c r="BV76" s="70"/>
      <c r="BW76" s="70"/>
      <c r="BX76" s="70"/>
      <c r="CC76" s="70"/>
      <c r="CD76" s="70"/>
      <c r="CE76" s="70"/>
      <c r="CG76" s="70"/>
      <c r="CH76" s="70"/>
    </row>
    <row r="77" spans="1:86" s="69" customFormat="1" ht="39.950000000000003" customHeight="1" x14ac:dyDescent="0.2">
      <c r="A77" s="540">
        <v>1</v>
      </c>
      <c r="B77" s="205" t="s">
        <v>65</v>
      </c>
      <c r="C77" s="21"/>
      <c r="D77" s="22"/>
      <c r="E77" s="82">
        <v>7</v>
      </c>
      <c r="F77" s="543" t="s">
        <v>217</v>
      </c>
      <c r="G77" s="45">
        <v>4082001514</v>
      </c>
      <c r="H77" s="429" t="s">
        <v>66</v>
      </c>
      <c r="I77" s="429" t="s">
        <v>66</v>
      </c>
      <c r="J77" s="538">
        <v>1165.3510000000001</v>
      </c>
      <c r="K77" s="207"/>
      <c r="L77" s="301">
        <f t="shared" si="47"/>
        <v>23924.65</v>
      </c>
      <c r="M77" s="302">
        <v>23924.65</v>
      </c>
      <c r="N77" s="303">
        <v>0</v>
      </c>
      <c r="O77" s="430">
        <v>0</v>
      </c>
      <c r="P77" s="303">
        <v>0</v>
      </c>
      <c r="Q77" s="431">
        <v>3114</v>
      </c>
      <c r="R77" s="432">
        <v>6351</v>
      </c>
      <c r="S77" s="307">
        <v>23924649</v>
      </c>
      <c r="T77" s="27">
        <f t="shared" si="48"/>
        <v>-23000</v>
      </c>
      <c r="U77" s="28">
        <v>-23000</v>
      </c>
      <c r="V77" s="28">
        <v>0</v>
      </c>
      <c r="W77" s="433">
        <v>0</v>
      </c>
      <c r="X77" s="433">
        <v>0</v>
      </c>
      <c r="Y77" s="30">
        <f>(U77+V77)*1000</f>
        <v>-23000000</v>
      </c>
      <c r="Z77" s="396">
        <f t="shared" si="46"/>
        <v>924.65000000000146</v>
      </c>
      <c r="AA77" s="397">
        <f t="shared" si="86"/>
        <v>924.65000000000146</v>
      </c>
      <c r="AB77" s="397">
        <f t="shared" si="86"/>
        <v>0</v>
      </c>
      <c r="AC77" s="397">
        <f t="shared" si="86"/>
        <v>0</v>
      </c>
      <c r="AD77" s="397">
        <f t="shared" si="87"/>
        <v>0</v>
      </c>
      <c r="AE77" s="398">
        <f t="shared" si="44"/>
        <v>924649</v>
      </c>
      <c r="AF77" s="31">
        <f t="shared" si="21"/>
        <v>0</v>
      </c>
      <c r="AG77" s="28">
        <v>0</v>
      </c>
      <c r="AH77" s="28">
        <v>0</v>
      </c>
      <c r="AI77" s="28">
        <v>0</v>
      </c>
      <c r="AJ77" s="28">
        <v>0</v>
      </c>
      <c r="AK77" s="401">
        <f t="shared" si="77"/>
        <v>28000</v>
      </c>
      <c r="AL77" s="397">
        <v>28000</v>
      </c>
      <c r="AM77" s="397">
        <f t="shared" ref="AM77:AO77" si="91">AH77</f>
        <v>0</v>
      </c>
      <c r="AN77" s="397">
        <f t="shared" si="91"/>
        <v>0</v>
      </c>
      <c r="AO77" s="402">
        <f t="shared" si="91"/>
        <v>0</v>
      </c>
      <c r="AP77" s="164">
        <f t="shared" si="51"/>
        <v>0</v>
      </c>
      <c r="AQ77" s="28">
        <v>0</v>
      </c>
      <c r="AR77" s="28">
        <v>0</v>
      </c>
      <c r="AS77" s="401">
        <f t="shared" si="64"/>
        <v>0</v>
      </c>
      <c r="AT77" s="397">
        <f>AQ77</f>
        <v>0</v>
      </c>
      <c r="AU77" s="397"/>
      <c r="AV77" s="397">
        <f t="shared" ref="AV77:AV79" si="92">AR77</f>
        <v>0</v>
      </c>
      <c r="AW77" s="33">
        <f t="shared" si="79"/>
        <v>0</v>
      </c>
      <c r="AX77" s="28">
        <v>0</v>
      </c>
      <c r="AY77" s="28">
        <v>0</v>
      </c>
      <c r="AZ77" s="28">
        <v>0</v>
      </c>
      <c r="BA77" s="403">
        <f t="shared" si="80"/>
        <v>0</v>
      </c>
      <c r="BB77" s="397">
        <f t="shared" si="90"/>
        <v>0</v>
      </c>
      <c r="BC77" s="397">
        <f t="shared" si="90"/>
        <v>0</v>
      </c>
      <c r="BD77" s="397">
        <f t="shared" si="90"/>
        <v>0</v>
      </c>
      <c r="BE77" s="34">
        <f t="shared" si="55"/>
        <v>0</v>
      </c>
      <c r="BF77" s="28">
        <v>0</v>
      </c>
      <c r="BG77" s="28">
        <v>0</v>
      </c>
      <c r="BH77" s="28">
        <v>0</v>
      </c>
      <c r="BI77" s="409">
        <f t="shared" si="81"/>
        <v>0</v>
      </c>
      <c r="BJ77" s="397">
        <f t="shared" si="82"/>
        <v>0</v>
      </c>
      <c r="BK77" s="397">
        <f t="shared" si="82"/>
        <v>0</v>
      </c>
      <c r="BL77" s="410">
        <f t="shared" si="82"/>
        <v>0</v>
      </c>
      <c r="BM77" s="454">
        <f>BL77+BD77+AW77+AO77</f>
        <v>0</v>
      </c>
      <c r="BN77" s="35">
        <f t="shared" ref="BN77:BN81" si="93">J77+L77+AF77+AP77+AW77+BE77+BM77</f>
        <v>25090.001</v>
      </c>
      <c r="BO77" s="413">
        <f t="shared" si="85"/>
        <v>30090.001</v>
      </c>
      <c r="BP77" s="36">
        <f t="shared" si="83"/>
        <v>5000</v>
      </c>
      <c r="BQ77" s="440" t="s">
        <v>103</v>
      </c>
      <c r="BR77" s="546">
        <v>2</v>
      </c>
      <c r="BS77" s="441" t="s">
        <v>74</v>
      </c>
      <c r="BT77" s="442"/>
      <c r="BV77" s="70"/>
      <c r="BW77" s="70"/>
      <c r="BX77" s="70"/>
      <c r="BZ77" s="427"/>
      <c r="CC77" s="70"/>
      <c r="CD77" s="70"/>
      <c r="CE77" s="70"/>
      <c r="CG77" s="70"/>
      <c r="CH77" s="70"/>
    </row>
    <row r="78" spans="1:86" s="69" customFormat="1" ht="39.950000000000003" customHeight="1" x14ac:dyDescent="0.2">
      <c r="A78" s="541"/>
      <c r="B78" s="205" t="s">
        <v>65</v>
      </c>
      <c r="C78" s="21"/>
      <c r="D78" s="22"/>
      <c r="E78" s="82">
        <v>7</v>
      </c>
      <c r="F78" s="544"/>
      <c r="G78" s="45">
        <v>4082000000</v>
      </c>
      <c r="H78" s="429" t="s">
        <v>66</v>
      </c>
      <c r="I78" s="429" t="s">
        <v>66</v>
      </c>
      <c r="J78" s="487"/>
      <c r="K78" s="207"/>
      <c r="L78" s="301">
        <f t="shared" si="47"/>
        <v>150</v>
      </c>
      <c r="M78" s="302">
        <v>150</v>
      </c>
      <c r="N78" s="303"/>
      <c r="O78" s="430"/>
      <c r="P78" s="303"/>
      <c r="Q78" s="434">
        <v>3114</v>
      </c>
      <c r="R78" s="435">
        <v>6121</v>
      </c>
      <c r="S78" s="307">
        <v>0</v>
      </c>
      <c r="T78" s="27">
        <f>U78+V78+W78</f>
        <v>0</v>
      </c>
      <c r="U78" s="28">
        <v>0</v>
      </c>
      <c r="V78" s="28"/>
      <c r="W78" s="433"/>
      <c r="X78" s="433"/>
      <c r="Y78" s="30">
        <v>0</v>
      </c>
      <c r="Z78" s="396">
        <f t="shared" si="46"/>
        <v>150</v>
      </c>
      <c r="AA78" s="397">
        <f t="shared" si="86"/>
        <v>150</v>
      </c>
      <c r="AB78" s="397">
        <f t="shared" si="86"/>
        <v>0</v>
      </c>
      <c r="AC78" s="397">
        <f t="shared" si="86"/>
        <v>0</v>
      </c>
      <c r="AD78" s="397">
        <f t="shared" si="87"/>
        <v>0</v>
      </c>
      <c r="AE78" s="398">
        <f t="shared" si="44"/>
        <v>0</v>
      </c>
      <c r="AF78" s="31">
        <f t="shared" ref="AF78:AF86" si="94">AG78+AH78+AI78</f>
        <v>0</v>
      </c>
      <c r="AG78" s="28">
        <v>0</v>
      </c>
      <c r="AH78" s="28"/>
      <c r="AI78" s="28"/>
      <c r="AJ78" s="28"/>
      <c r="AK78" s="401">
        <f t="shared" si="77"/>
        <v>0</v>
      </c>
      <c r="AL78" s="397">
        <v>0</v>
      </c>
      <c r="AM78" s="397"/>
      <c r="AN78" s="397"/>
      <c r="AO78" s="402"/>
      <c r="AP78" s="164">
        <f t="shared" si="51"/>
        <v>0</v>
      </c>
      <c r="AQ78" s="28">
        <v>0</v>
      </c>
      <c r="AR78" s="28"/>
      <c r="AS78" s="401">
        <f t="shared" si="64"/>
        <v>0</v>
      </c>
      <c r="AT78" s="397">
        <f t="shared" ref="AT78:AT79" si="95">AQ78</f>
        <v>0</v>
      </c>
      <c r="AU78" s="397"/>
      <c r="AV78" s="397">
        <f t="shared" si="92"/>
        <v>0</v>
      </c>
      <c r="AW78" s="33">
        <f t="shared" si="79"/>
        <v>0</v>
      </c>
      <c r="AX78" s="28">
        <v>0</v>
      </c>
      <c r="AY78" s="28">
        <v>0</v>
      </c>
      <c r="AZ78" s="28">
        <v>0</v>
      </c>
      <c r="BA78" s="403">
        <f t="shared" si="80"/>
        <v>0</v>
      </c>
      <c r="BB78" s="397">
        <f t="shared" si="90"/>
        <v>0</v>
      </c>
      <c r="BC78" s="397">
        <f t="shared" si="90"/>
        <v>0</v>
      </c>
      <c r="BD78" s="397">
        <f t="shared" si="90"/>
        <v>0</v>
      </c>
      <c r="BE78" s="34">
        <f t="shared" si="55"/>
        <v>0</v>
      </c>
      <c r="BF78" s="28">
        <v>0</v>
      </c>
      <c r="BG78" s="28">
        <v>0</v>
      </c>
      <c r="BH78" s="28">
        <v>0</v>
      </c>
      <c r="BI78" s="409">
        <f t="shared" si="81"/>
        <v>0</v>
      </c>
      <c r="BJ78" s="397">
        <f t="shared" si="82"/>
        <v>0</v>
      </c>
      <c r="BK78" s="397">
        <f t="shared" si="82"/>
        <v>0</v>
      </c>
      <c r="BL78" s="410">
        <f t="shared" si="82"/>
        <v>0</v>
      </c>
      <c r="BM78" s="454">
        <f t="shared" ref="BM78:BM79" si="96">BL78+BD78+AW78+AO78</f>
        <v>0</v>
      </c>
      <c r="BN78" s="35">
        <f t="shared" si="93"/>
        <v>150</v>
      </c>
      <c r="BO78" s="413">
        <f t="shared" si="85"/>
        <v>150</v>
      </c>
      <c r="BP78" s="36">
        <f t="shared" si="83"/>
        <v>0</v>
      </c>
      <c r="BQ78" s="440" t="s">
        <v>57</v>
      </c>
      <c r="BR78" s="547"/>
      <c r="BS78" s="441" t="s">
        <v>74</v>
      </c>
      <c r="BT78" s="442"/>
      <c r="BV78" s="70"/>
      <c r="BW78" s="70"/>
      <c r="BX78" s="70"/>
      <c r="CC78" s="70"/>
      <c r="CD78" s="70"/>
      <c r="CE78" s="70"/>
      <c r="CG78" s="70"/>
      <c r="CH78" s="70"/>
    </row>
    <row r="79" spans="1:86" s="69" customFormat="1" ht="39.950000000000003" customHeight="1" x14ac:dyDescent="0.2">
      <c r="A79" s="542"/>
      <c r="B79" s="428" t="s">
        <v>65</v>
      </c>
      <c r="C79" s="21"/>
      <c r="D79" s="22"/>
      <c r="E79" s="82">
        <v>7</v>
      </c>
      <c r="F79" s="545"/>
      <c r="G79" s="45">
        <v>4082000000</v>
      </c>
      <c r="H79" s="436" t="s">
        <v>66</v>
      </c>
      <c r="I79" s="436" t="s">
        <v>66</v>
      </c>
      <c r="J79" s="488"/>
      <c r="K79" s="437"/>
      <c r="L79" s="301">
        <f t="shared" si="47"/>
        <v>60</v>
      </c>
      <c r="M79" s="302">
        <v>60</v>
      </c>
      <c r="N79" s="303"/>
      <c r="O79" s="430"/>
      <c r="P79" s="303"/>
      <c r="Q79" s="438">
        <v>3114</v>
      </c>
      <c r="R79" s="439">
        <v>5042</v>
      </c>
      <c r="S79" s="307">
        <v>0</v>
      </c>
      <c r="T79" s="27">
        <f t="shared" si="48"/>
        <v>0</v>
      </c>
      <c r="U79" s="28">
        <v>0</v>
      </c>
      <c r="V79" s="28"/>
      <c r="W79" s="433"/>
      <c r="X79" s="433"/>
      <c r="Y79" s="30">
        <v>0</v>
      </c>
      <c r="Z79" s="396">
        <f t="shared" si="46"/>
        <v>60</v>
      </c>
      <c r="AA79" s="397">
        <f t="shared" si="86"/>
        <v>60</v>
      </c>
      <c r="AB79" s="397">
        <f t="shared" si="86"/>
        <v>0</v>
      </c>
      <c r="AC79" s="397">
        <f t="shared" si="86"/>
        <v>0</v>
      </c>
      <c r="AD79" s="397">
        <f t="shared" si="87"/>
        <v>0</v>
      </c>
      <c r="AE79" s="398">
        <f t="shared" si="44"/>
        <v>0</v>
      </c>
      <c r="AF79" s="31">
        <f t="shared" si="94"/>
        <v>0</v>
      </c>
      <c r="AG79" s="28">
        <v>0</v>
      </c>
      <c r="AH79" s="28"/>
      <c r="AI79" s="28"/>
      <c r="AJ79" s="28"/>
      <c r="AK79" s="401">
        <f t="shared" si="77"/>
        <v>0</v>
      </c>
      <c r="AL79" s="397">
        <v>0</v>
      </c>
      <c r="AM79" s="397"/>
      <c r="AN79" s="397"/>
      <c r="AO79" s="402"/>
      <c r="AP79" s="164">
        <f t="shared" si="51"/>
        <v>0</v>
      </c>
      <c r="AQ79" s="28">
        <v>0</v>
      </c>
      <c r="AR79" s="28"/>
      <c r="AS79" s="401">
        <f t="shared" si="64"/>
        <v>0</v>
      </c>
      <c r="AT79" s="397">
        <f t="shared" si="95"/>
        <v>0</v>
      </c>
      <c r="AU79" s="397"/>
      <c r="AV79" s="397">
        <f t="shared" si="92"/>
        <v>0</v>
      </c>
      <c r="AW79" s="33">
        <f t="shared" si="79"/>
        <v>0</v>
      </c>
      <c r="AX79" s="28">
        <v>0</v>
      </c>
      <c r="AY79" s="28">
        <v>0</v>
      </c>
      <c r="AZ79" s="28">
        <v>0</v>
      </c>
      <c r="BA79" s="403">
        <f t="shared" si="80"/>
        <v>0</v>
      </c>
      <c r="BB79" s="397">
        <f t="shared" si="90"/>
        <v>0</v>
      </c>
      <c r="BC79" s="397">
        <f t="shared" si="90"/>
        <v>0</v>
      </c>
      <c r="BD79" s="397">
        <f t="shared" si="90"/>
        <v>0</v>
      </c>
      <c r="BE79" s="34">
        <f t="shared" si="55"/>
        <v>0</v>
      </c>
      <c r="BF79" s="28">
        <v>0</v>
      </c>
      <c r="BG79" s="28">
        <v>0</v>
      </c>
      <c r="BH79" s="28">
        <v>0</v>
      </c>
      <c r="BI79" s="409">
        <f t="shared" si="81"/>
        <v>0</v>
      </c>
      <c r="BJ79" s="397">
        <f t="shared" si="82"/>
        <v>0</v>
      </c>
      <c r="BK79" s="397">
        <f t="shared" si="82"/>
        <v>0</v>
      </c>
      <c r="BL79" s="410">
        <f t="shared" si="82"/>
        <v>0</v>
      </c>
      <c r="BM79" s="454">
        <f t="shared" si="96"/>
        <v>0</v>
      </c>
      <c r="BN79" s="35">
        <f t="shared" si="93"/>
        <v>60</v>
      </c>
      <c r="BO79" s="413">
        <f t="shared" si="85"/>
        <v>60</v>
      </c>
      <c r="BP79" s="36">
        <f t="shared" si="83"/>
        <v>0</v>
      </c>
      <c r="BQ79" s="440" t="s">
        <v>57</v>
      </c>
      <c r="BR79" s="548"/>
      <c r="BS79" s="441" t="s">
        <v>74</v>
      </c>
      <c r="BT79" s="442"/>
      <c r="BV79" s="70"/>
      <c r="BW79" s="70"/>
      <c r="BX79" s="70"/>
      <c r="CC79" s="70"/>
      <c r="CD79" s="70"/>
      <c r="CE79" s="70"/>
      <c r="CG79" s="70"/>
      <c r="CH79" s="70"/>
    </row>
    <row r="80" spans="1:86" s="37" customFormat="1" ht="39.950000000000003" customHeight="1" x14ac:dyDescent="0.2">
      <c r="A80" s="489">
        <v>1</v>
      </c>
      <c r="B80" s="208" t="s">
        <v>65</v>
      </c>
      <c r="C80" s="21"/>
      <c r="D80" s="22"/>
      <c r="E80" s="23">
        <v>7</v>
      </c>
      <c r="F80" s="527" t="s">
        <v>183</v>
      </c>
      <c r="G80" s="209">
        <v>4519001405</v>
      </c>
      <c r="H80" s="210" t="s">
        <v>66</v>
      </c>
      <c r="I80" s="210" t="s">
        <v>66</v>
      </c>
      <c r="J80" s="211">
        <v>0</v>
      </c>
      <c r="K80" s="212"/>
      <c r="L80" s="301">
        <f t="shared" si="47"/>
        <v>16850</v>
      </c>
      <c r="M80" s="302">
        <v>16850</v>
      </c>
      <c r="N80" s="303">
        <v>0</v>
      </c>
      <c r="O80" s="304"/>
      <c r="P80" s="303">
        <v>0</v>
      </c>
      <c r="Q80" s="353">
        <v>3114</v>
      </c>
      <c r="R80" s="354">
        <v>6351</v>
      </c>
      <c r="S80" s="307">
        <v>16850000</v>
      </c>
      <c r="T80" s="27">
        <f t="shared" si="48"/>
        <v>-16168.77</v>
      </c>
      <c r="U80" s="28">
        <v>-16168.77</v>
      </c>
      <c r="V80" s="28">
        <v>0</v>
      </c>
      <c r="W80" s="29"/>
      <c r="X80" s="29">
        <v>0</v>
      </c>
      <c r="Y80" s="30">
        <f>(U80+V80)*1000</f>
        <v>-16168770</v>
      </c>
      <c r="Z80" s="396">
        <f t="shared" si="46"/>
        <v>681.22999999999956</v>
      </c>
      <c r="AA80" s="397">
        <f t="shared" si="86"/>
        <v>681.22999999999956</v>
      </c>
      <c r="AB80" s="397">
        <f t="shared" si="86"/>
        <v>0</v>
      </c>
      <c r="AC80" s="397">
        <f t="shared" si="86"/>
        <v>0</v>
      </c>
      <c r="AD80" s="397">
        <f t="shared" si="87"/>
        <v>0</v>
      </c>
      <c r="AE80" s="398">
        <f t="shared" si="44"/>
        <v>681230</v>
      </c>
      <c r="AF80" s="31">
        <f t="shared" si="94"/>
        <v>0</v>
      </c>
      <c r="AG80" s="28">
        <v>0</v>
      </c>
      <c r="AH80" s="28">
        <v>0</v>
      </c>
      <c r="AI80" s="28">
        <v>0</v>
      </c>
      <c r="AJ80" s="28">
        <v>0</v>
      </c>
      <c r="AK80" s="401">
        <f t="shared" si="77"/>
        <v>25000</v>
      </c>
      <c r="AL80" s="397">
        <v>25000</v>
      </c>
      <c r="AM80" s="397">
        <v>0</v>
      </c>
      <c r="AN80" s="397">
        <v>0</v>
      </c>
      <c r="AO80" s="402">
        <v>0</v>
      </c>
      <c r="AP80" s="164">
        <f t="shared" si="51"/>
        <v>0</v>
      </c>
      <c r="AQ80" s="28">
        <v>0</v>
      </c>
      <c r="AR80" s="28">
        <v>0</v>
      </c>
      <c r="AS80" s="401">
        <f t="shared" si="64"/>
        <v>0</v>
      </c>
      <c r="AT80" s="397">
        <v>0</v>
      </c>
      <c r="AU80" s="397"/>
      <c r="AV80" s="397">
        <v>0</v>
      </c>
      <c r="AW80" s="33">
        <f t="shared" si="79"/>
        <v>0</v>
      </c>
      <c r="AX80" s="28">
        <v>0</v>
      </c>
      <c r="AY80" s="28">
        <v>0</v>
      </c>
      <c r="AZ80" s="28">
        <v>0</v>
      </c>
      <c r="BA80" s="403">
        <f t="shared" si="80"/>
        <v>0</v>
      </c>
      <c r="BB80" s="397">
        <v>0</v>
      </c>
      <c r="BC80" s="397">
        <v>0</v>
      </c>
      <c r="BD80" s="397">
        <v>0</v>
      </c>
      <c r="BE80" s="34">
        <f t="shared" si="55"/>
        <v>0</v>
      </c>
      <c r="BF80" s="28">
        <v>0</v>
      </c>
      <c r="BG80" s="28">
        <v>0</v>
      </c>
      <c r="BH80" s="28">
        <v>0</v>
      </c>
      <c r="BI80" s="409">
        <f t="shared" si="81"/>
        <v>0</v>
      </c>
      <c r="BJ80" s="397">
        <f t="shared" si="82"/>
        <v>0</v>
      </c>
      <c r="BK80" s="397">
        <f t="shared" si="82"/>
        <v>0</v>
      </c>
      <c r="BL80" s="410">
        <f t="shared" si="82"/>
        <v>0</v>
      </c>
      <c r="BM80" s="454">
        <f>BL80+BD80+AW80+AO80</f>
        <v>0</v>
      </c>
      <c r="BN80" s="35">
        <f t="shared" si="93"/>
        <v>16850</v>
      </c>
      <c r="BO80" s="413">
        <f t="shared" si="85"/>
        <v>25681.23</v>
      </c>
      <c r="BP80" s="36">
        <f t="shared" si="83"/>
        <v>8831.23</v>
      </c>
      <c r="BQ80" s="62" t="s">
        <v>96</v>
      </c>
      <c r="BR80" s="528">
        <v>2</v>
      </c>
      <c r="BS80" s="63" t="s">
        <v>73</v>
      </c>
      <c r="BV80" s="70"/>
      <c r="BW80" s="70"/>
      <c r="BX80" s="70"/>
      <c r="BZ80" s="70"/>
      <c r="CC80" s="70"/>
      <c r="CD80" s="70"/>
      <c r="CE80" s="70"/>
      <c r="CG80" s="70"/>
      <c r="CH80" s="70"/>
    </row>
    <row r="81" spans="1:86" s="37" customFormat="1" ht="39.950000000000003" customHeight="1" x14ac:dyDescent="0.2">
      <c r="A81" s="490"/>
      <c r="B81" s="213" t="s">
        <v>65</v>
      </c>
      <c r="C81" s="21"/>
      <c r="D81" s="22"/>
      <c r="E81" s="23">
        <v>7</v>
      </c>
      <c r="F81" s="492"/>
      <c r="G81" s="214">
        <v>4519000000</v>
      </c>
      <c r="H81" s="215" t="s">
        <v>66</v>
      </c>
      <c r="I81" s="215" t="s">
        <v>66</v>
      </c>
      <c r="J81" s="216">
        <v>0</v>
      </c>
      <c r="K81" s="217"/>
      <c r="L81" s="301">
        <f t="shared" si="47"/>
        <v>150</v>
      </c>
      <c r="M81" s="302">
        <v>150</v>
      </c>
      <c r="N81" s="303"/>
      <c r="O81" s="304"/>
      <c r="P81" s="303"/>
      <c r="Q81" s="355">
        <v>3114</v>
      </c>
      <c r="R81" s="356">
        <v>6121</v>
      </c>
      <c r="S81" s="307">
        <v>0</v>
      </c>
      <c r="T81" s="27">
        <f t="shared" si="48"/>
        <v>0</v>
      </c>
      <c r="U81" s="28">
        <v>0</v>
      </c>
      <c r="V81" s="28"/>
      <c r="W81" s="29"/>
      <c r="X81" s="29"/>
      <c r="Y81" s="30">
        <v>0</v>
      </c>
      <c r="Z81" s="396">
        <f t="shared" si="46"/>
        <v>150</v>
      </c>
      <c r="AA81" s="397">
        <f t="shared" si="86"/>
        <v>150</v>
      </c>
      <c r="AB81" s="397">
        <f t="shared" si="86"/>
        <v>0</v>
      </c>
      <c r="AC81" s="397">
        <f t="shared" si="86"/>
        <v>0</v>
      </c>
      <c r="AD81" s="397">
        <f t="shared" si="87"/>
        <v>0</v>
      </c>
      <c r="AE81" s="398">
        <f t="shared" si="44"/>
        <v>0</v>
      </c>
      <c r="AF81" s="31">
        <f t="shared" si="94"/>
        <v>0</v>
      </c>
      <c r="AG81" s="28">
        <v>0</v>
      </c>
      <c r="AH81" s="28"/>
      <c r="AI81" s="28"/>
      <c r="AJ81" s="28"/>
      <c r="AK81" s="401">
        <f t="shared" si="77"/>
        <v>0</v>
      </c>
      <c r="AL81" s="397">
        <v>0</v>
      </c>
      <c r="AM81" s="397"/>
      <c r="AN81" s="397"/>
      <c r="AO81" s="402"/>
      <c r="AP81" s="164">
        <f t="shared" si="51"/>
        <v>0</v>
      </c>
      <c r="AQ81" s="28">
        <v>0</v>
      </c>
      <c r="AR81" s="28">
        <v>0</v>
      </c>
      <c r="AS81" s="401">
        <f t="shared" si="64"/>
        <v>0</v>
      </c>
      <c r="AT81" s="397">
        <v>0</v>
      </c>
      <c r="AU81" s="397"/>
      <c r="AV81" s="397">
        <v>0</v>
      </c>
      <c r="AW81" s="33">
        <f t="shared" si="79"/>
        <v>0</v>
      </c>
      <c r="AX81" s="28">
        <v>0</v>
      </c>
      <c r="AY81" s="28">
        <v>0</v>
      </c>
      <c r="AZ81" s="28">
        <v>0</v>
      </c>
      <c r="BA81" s="403">
        <f t="shared" si="80"/>
        <v>0</v>
      </c>
      <c r="BB81" s="397">
        <v>0</v>
      </c>
      <c r="BC81" s="397">
        <v>0</v>
      </c>
      <c r="BD81" s="397">
        <v>0</v>
      </c>
      <c r="BE81" s="34">
        <f t="shared" si="55"/>
        <v>0</v>
      </c>
      <c r="BF81" s="28">
        <v>0</v>
      </c>
      <c r="BG81" s="28">
        <v>0</v>
      </c>
      <c r="BH81" s="28">
        <v>0</v>
      </c>
      <c r="BI81" s="409">
        <f t="shared" si="81"/>
        <v>0</v>
      </c>
      <c r="BJ81" s="397">
        <f t="shared" si="82"/>
        <v>0</v>
      </c>
      <c r="BK81" s="397">
        <f t="shared" si="82"/>
        <v>0</v>
      </c>
      <c r="BL81" s="410">
        <f t="shared" si="82"/>
        <v>0</v>
      </c>
      <c r="BM81" s="454">
        <f>BL81+BD81+AW81+AO81</f>
        <v>0</v>
      </c>
      <c r="BN81" s="35">
        <f t="shared" si="93"/>
        <v>150</v>
      </c>
      <c r="BO81" s="413">
        <f>J81+Z81+AK81+AS81+BM81+BI81+BA81</f>
        <v>150</v>
      </c>
      <c r="BP81" s="36">
        <f t="shared" si="83"/>
        <v>0</v>
      </c>
      <c r="BQ81" s="62" t="s">
        <v>57</v>
      </c>
      <c r="BR81" s="529"/>
      <c r="BS81" s="63" t="s">
        <v>73</v>
      </c>
      <c r="BV81" s="70"/>
      <c r="BW81" s="70"/>
      <c r="BX81" s="70"/>
      <c r="CC81" s="70"/>
      <c r="CD81" s="70"/>
      <c r="CE81" s="70"/>
      <c r="CG81" s="70"/>
      <c r="CH81" s="70"/>
    </row>
    <row r="82" spans="1:86" s="37" customFormat="1" ht="39.950000000000003" customHeight="1" x14ac:dyDescent="0.2">
      <c r="A82" s="489">
        <v>1</v>
      </c>
      <c r="B82" s="218" t="s">
        <v>65</v>
      </c>
      <c r="C82" s="21"/>
      <c r="D82" s="22"/>
      <c r="E82" s="215">
        <v>7.13</v>
      </c>
      <c r="F82" s="530" t="s">
        <v>184</v>
      </c>
      <c r="G82" s="219">
        <v>4536000000</v>
      </c>
      <c r="H82" s="531">
        <v>290000</v>
      </c>
      <c r="I82" s="532" t="s">
        <v>104</v>
      </c>
      <c r="J82" s="533">
        <f>19443.65856+2082.74354+2013.583</f>
        <v>23539.985099999998</v>
      </c>
      <c r="K82" s="217"/>
      <c r="L82" s="301">
        <f t="shared" si="47"/>
        <v>25206.75</v>
      </c>
      <c r="M82" s="302">
        <v>25206.75</v>
      </c>
      <c r="N82" s="303"/>
      <c r="O82" s="304"/>
      <c r="P82" s="303"/>
      <c r="Q82" s="355" t="s">
        <v>105</v>
      </c>
      <c r="R82" s="356" t="s">
        <v>106</v>
      </c>
      <c r="S82" s="307">
        <v>4476060</v>
      </c>
      <c r="T82" s="27">
        <f t="shared" si="48"/>
        <v>0</v>
      </c>
      <c r="U82" s="28">
        <v>0</v>
      </c>
      <c r="V82" s="28"/>
      <c r="W82" s="29"/>
      <c r="X82" s="29"/>
      <c r="Y82" s="30">
        <f>(U82+V82)*1000</f>
        <v>0</v>
      </c>
      <c r="Z82" s="396">
        <f t="shared" si="46"/>
        <v>25206.75</v>
      </c>
      <c r="AA82" s="397">
        <f>M82+U82</f>
        <v>25206.75</v>
      </c>
      <c r="AB82" s="397">
        <f t="shared" si="86"/>
        <v>0</v>
      </c>
      <c r="AC82" s="397">
        <f t="shared" si="86"/>
        <v>0</v>
      </c>
      <c r="AD82" s="397">
        <f t="shared" si="87"/>
        <v>0</v>
      </c>
      <c r="AE82" s="398">
        <f>S82+Y82</f>
        <v>4476060</v>
      </c>
      <c r="AF82" s="31">
        <f>AG82+AH82+AI82</f>
        <v>55500</v>
      </c>
      <c r="AG82" s="28">
        <f>69500-14000</f>
        <v>55500</v>
      </c>
      <c r="AH82" s="28"/>
      <c r="AI82" s="28"/>
      <c r="AJ82" s="28"/>
      <c r="AK82" s="401">
        <f>AL82+AM82</f>
        <v>20000</v>
      </c>
      <c r="AL82" s="397">
        <v>20000</v>
      </c>
      <c r="AM82" s="397"/>
      <c r="AN82" s="397"/>
      <c r="AO82" s="402">
        <v>0</v>
      </c>
      <c r="AP82" s="164">
        <f t="shared" si="51"/>
        <v>0</v>
      </c>
      <c r="AQ82" s="28">
        <v>0</v>
      </c>
      <c r="AR82" s="28">
        <v>0</v>
      </c>
      <c r="AS82" s="401">
        <f t="shared" si="64"/>
        <v>95000</v>
      </c>
      <c r="AT82" s="397">
        <f>70000+25000</f>
        <v>95000</v>
      </c>
      <c r="AU82" s="397"/>
      <c r="AV82" s="397">
        <v>0</v>
      </c>
      <c r="AW82" s="33">
        <f t="shared" si="79"/>
        <v>0</v>
      </c>
      <c r="AX82" s="28">
        <v>0</v>
      </c>
      <c r="AY82" s="28"/>
      <c r="AZ82" s="28"/>
      <c r="BA82" s="403">
        <f t="shared" si="80"/>
        <v>65500</v>
      </c>
      <c r="BB82" s="397">
        <v>65500</v>
      </c>
      <c r="BC82" s="397"/>
      <c r="BD82" s="397"/>
      <c r="BE82" s="34">
        <f t="shared" si="55"/>
        <v>0</v>
      </c>
      <c r="BF82" s="28">
        <v>0</v>
      </c>
      <c r="BG82" s="28"/>
      <c r="BH82" s="28"/>
      <c r="BI82" s="409">
        <f t="shared" si="81"/>
        <v>0</v>
      </c>
      <c r="BJ82" s="397">
        <f t="shared" si="82"/>
        <v>0</v>
      </c>
      <c r="BK82" s="397"/>
      <c r="BL82" s="410"/>
      <c r="BM82" s="454">
        <f t="shared" ref="BM82:BM84" si="97">BL82+BD82+AW82+AO82</f>
        <v>0</v>
      </c>
      <c r="BN82" s="35">
        <f>J82+L82+AF82+AP82+AW82+BE82+BM82</f>
        <v>104246.73509999999</v>
      </c>
      <c r="BO82" s="413">
        <f>J82+Z82+AK82+AS82+BM82+BI82+BA82</f>
        <v>229246.73509999999</v>
      </c>
      <c r="BP82" s="36">
        <f t="shared" si="83"/>
        <v>125000</v>
      </c>
      <c r="BQ82" s="62" t="s">
        <v>107</v>
      </c>
      <c r="BR82" s="534">
        <v>2</v>
      </c>
      <c r="BS82" s="63" t="s">
        <v>108</v>
      </c>
      <c r="BV82" s="70"/>
      <c r="BW82" s="70"/>
      <c r="BX82" s="70"/>
      <c r="BZ82" s="70"/>
      <c r="CC82" s="70"/>
      <c r="CD82" s="70"/>
      <c r="CE82" s="70"/>
      <c r="CG82" s="70"/>
      <c r="CH82" s="70"/>
    </row>
    <row r="83" spans="1:86" s="37" customFormat="1" ht="39.950000000000003" customHeight="1" x14ac:dyDescent="0.2">
      <c r="A83" s="490"/>
      <c r="B83" s="220" t="s">
        <v>65</v>
      </c>
      <c r="C83" s="21"/>
      <c r="D83" s="22"/>
      <c r="E83" s="23">
        <v>7.13</v>
      </c>
      <c r="F83" s="492"/>
      <c r="G83" s="219">
        <v>4536000000</v>
      </c>
      <c r="H83" s="482"/>
      <c r="I83" s="485"/>
      <c r="J83" s="488"/>
      <c r="K83" s="217"/>
      <c r="L83" s="301">
        <f t="shared" si="47"/>
        <v>28566.85</v>
      </c>
      <c r="M83" s="302">
        <v>28566.85</v>
      </c>
      <c r="N83" s="303"/>
      <c r="O83" s="304"/>
      <c r="P83" s="303"/>
      <c r="Q83" s="355" t="s">
        <v>105</v>
      </c>
      <c r="R83" s="356" t="s">
        <v>109</v>
      </c>
      <c r="S83" s="307">
        <v>800000</v>
      </c>
      <c r="T83" s="27">
        <f t="shared" si="48"/>
        <v>0</v>
      </c>
      <c r="U83" s="28">
        <v>0</v>
      </c>
      <c r="V83" s="28"/>
      <c r="W83" s="29"/>
      <c r="X83" s="29"/>
      <c r="Y83" s="30">
        <f>(U83+V83)*1000</f>
        <v>0</v>
      </c>
      <c r="Z83" s="396">
        <f t="shared" si="46"/>
        <v>28566.85</v>
      </c>
      <c r="AA83" s="397">
        <f t="shared" si="86"/>
        <v>28566.85</v>
      </c>
      <c r="AB83" s="397">
        <f t="shared" si="86"/>
        <v>0</v>
      </c>
      <c r="AC83" s="397">
        <f t="shared" si="86"/>
        <v>0</v>
      </c>
      <c r="AD83" s="397">
        <f t="shared" si="87"/>
        <v>0</v>
      </c>
      <c r="AE83" s="398">
        <f t="shared" ref="AE83" si="98">S83+Y83</f>
        <v>800000</v>
      </c>
      <c r="AF83" s="31">
        <f t="shared" si="94"/>
        <v>25000</v>
      </c>
      <c r="AG83" s="28">
        <v>25000</v>
      </c>
      <c r="AH83" s="28"/>
      <c r="AI83" s="28"/>
      <c r="AJ83" s="28"/>
      <c r="AK83" s="401">
        <f t="shared" si="77"/>
        <v>0</v>
      </c>
      <c r="AL83" s="397">
        <v>0</v>
      </c>
      <c r="AM83" s="397"/>
      <c r="AN83" s="397"/>
      <c r="AO83" s="402"/>
      <c r="AP83" s="164">
        <f t="shared" si="51"/>
        <v>0</v>
      </c>
      <c r="AQ83" s="28">
        <v>0</v>
      </c>
      <c r="AR83" s="28">
        <v>0</v>
      </c>
      <c r="AS83" s="406">
        <f t="shared" si="64"/>
        <v>0</v>
      </c>
      <c r="AT83" s="397">
        <v>0</v>
      </c>
      <c r="AU83" s="397"/>
      <c r="AV83" s="397">
        <v>0</v>
      </c>
      <c r="AW83" s="221">
        <f t="shared" si="79"/>
        <v>0</v>
      </c>
      <c r="AX83" s="28">
        <v>0</v>
      </c>
      <c r="AY83" s="28"/>
      <c r="AZ83" s="28"/>
      <c r="BA83" s="407">
        <f t="shared" si="80"/>
        <v>0</v>
      </c>
      <c r="BB83" s="397">
        <v>0</v>
      </c>
      <c r="BC83" s="397"/>
      <c r="BD83" s="397"/>
      <c r="BE83" s="34">
        <f t="shared" si="55"/>
        <v>0</v>
      </c>
      <c r="BF83" s="28">
        <v>0</v>
      </c>
      <c r="BG83" s="28"/>
      <c r="BH83" s="28"/>
      <c r="BI83" s="409">
        <f t="shared" si="81"/>
        <v>0</v>
      </c>
      <c r="BJ83" s="397">
        <f t="shared" si="82"/>
        <v>0</v>
      </c>
      <c r="BK83" s="397"/>
      <c r="BL83" s="410"/>
      <c r="BM83" s="454">
        <f t="shared" si="97"/>
        <v>0</v>
      </c>
      <c r="BN83" s="35">
        <f>J83+L83+AF83+AP83+AW83+BE83+BM83</f>
        <v>53566.85</v>
      </c>
      <c r="BO83" s="413">
        <f>J83+Z83+AK83+AS83+BM83+BI83+BA83</f>
        <v>28566.85</v>
      </c>
      <c r="BP83" s="36">
        <f t="shared" si="83"/>
        <v>-25000</v>
      </c>
      <c r="BQ83" s="62" t="s">
        <v>57</v>
      </c>
      <c r="BR83" s="535"/>
      <c r="BS83" s="63" t="s">
        <v>108</v>
      </c>
      <c r="BV83" s="70"/>
      <c r="BW83" s="70"/>
      <c r="BX83" s="70"/>
      <c r="CC83" s="70"/>
      <c r="CD83" s="70"/>
      <c r="CE83" s="70"/>
      <c r="CG83" s="70"/>
      <c r="CH83" s="70"/>
    </row>
    <row r="84" spans="1:86" s="37" customFormat="1" ht="39.950000000000003" customHeight="1" x14ac:dyDescent="0.2">
      <c r="A84" s="77">
        <v>1</v>
      </c>
      <c r="B84" s="220" t="s">
        <v>65</v>
      </c>
      <c r="C84" s="21"/>
      <c r="D84" s="22"/>
      <c r="E84" s="23">
        <v>7</v>
      </c>
      <c r="F84" s="222" t="s">
        <v>185</v>
      </c>
      <c r="G84" s="219">
        <v>4630001514</v>
      </c>
      <c r="H84" s="223" t="s">
        <v>66</v>
      </c>
      <c r="I84" s="223" t="s">
        <v>66</v>
      </c>
      <c r="J84" s="216">
        <v>0</v>
      </c>
      <c r="K84" s="217"/>
      <c r="L84" s="301">
        <f>M84+N84+P84+O84</f>
        <v>6000</v>
      </c>
      <c r="M84" s="302">
        <v>6000</v>
      </c>
      <c r="N84" s="303"/>
      <c r="O84" s="357"/>
      <c r="P84" s="303"/>
      <c r="Q84" s="355">
        <v>3114</v>
      </c>
      <c r="R84" s="356">
        <v>6351</v>
      </c>
      <c r="S84" s="307">
        <v>6000000</v>
      </c>
      <c r="T84" s="27">
        <f t="shared" si="48"/>
        <v>-5165.1000000000004</v>
      </c>
      <c r="U84" s="28">
        <v>-5165.1000000000004</v>
      </c>
      <c r="V84" s="28"/>
      <c r="W84" s="224"/>
      <c r="X84" s="224"/>
      <c r="Y84" s="30">
        <v>-5165100</v>
      </c>
      <c r="Z84" s="396">
        <f t="shared" si="46"/>
        <v>834.89999999999964</v>
      </c>
      <c r="AA84" s="397">
        <f>M84+U84</f>
        <v>834.89999999999964</v>
      </c>
      <c r="AB84" s="397"/>
      <c r="AC84" s="397"/>
      <c r="AD84" s="397"/>
      <c r="AE84" s="398">
        <f>S84+Y84</f>
        <v>834900</v>
      </c>
      <c r="AF84" s="31">
        <f t="shared" si="94"/>
        <v>0</v>
      </c>
      <c r="AG84" s="28">
        <v>0</v>
      </c>
      <c r="AH84" s="28"/>
      <c r="AI84" s="28"/>
      <c r="AJ84" s="28"/>
      <c r="AK84" s="406">
        <f t="shared" si="77"/>
        <v>1166</v>
      </c>
      <c r="AL84" s="397">
        <f>5166+9000-13000</f>
        <v>1166</v>
      </c>
      <c r="AM84" s="397"/>
      <c r="AN84" s="397"/>
      <c r="AO84" s="402"/>
      <c r="AP84" s="164">
        <f>AQ84</f>
        <v>0</v>
      </c>
      <c r="AQ84" s="28">
        <v>0</v>
      </c>
      <c r="AR84" s="28"/>
      <c r="AS84" s="406">
        <f t="shared" si="64"/>
        <v>13000</v>
      </c>
      <c r="AT84" s="397">
        <v>13000</v>
      </c>
      <c r="AU84" s="397"/>
      <c r="AV84" s="397"/>
      <c r="AW84" s="221">
        <f t="shared" si="79"/>
        <v>0</v>
      </c>
      <c r="AX84" s="28">
        <v>0</v>
      </c>
      <c r="AY84" s="28"/>
      <c r="AZ84" s="28"/>
      <c r="BA84" s="407">
        <f t="shared" si="80"/>
        <v>11000</v>
      </c>
      <c r="BB84" s="397">
        <v>11000</v>
      </c>
      <c r="BC84" s="397"/>
      <c r="BD84" s="397"/>
      <c r="BE84" s="34">
        <f t="shared" si="55"/>
        <v>0</v>
      </c>
      <c r="BF84" s="28">
        <v>0</v>
      </c>
      <c r="BG84" s="28"/>
      <c r="BH84" s="28"/>
      <c r="BI84" s="409">
        <f t="shared" si="81"/>
        <v>0</v>
      </c>
      <c r="BJ84" s="397">
        <f t="shared" si="82"/>
        <v>0</v>
      </c>
      <c r="BK84" s="397"/>
      <c r="BL84" s="410"/>
      <c r="BM84" s="454">
        <f t="shared" si="97"/>
        <v>0</v>
      </c>
      <c r="BN84" s="35">
        <f t="shared" ref="BN84:BN123" si="99">J84+L84+AF84+AP84+AW84+BE84+BM84</f>
        <v>6000</v>
      </c>
      <c r="BO84" s="413">
        <f t="shared" ref="BO84:BO93" si="100">J84+Z84+AK84+AS84+BM84+BI84+BA84</f>
        <v>26000.9</v>
      </c>
      <c r="BP84" s="36">
        <f t="shared" si="83"/>
        <v>20000.900000000001</v>
      </c>
      <c r="BQ84" s="62" t="s">
        <v>96</v>
      </c>
      <c r="BR84" s="65">
        <v>2</v>
      </c>
      <c r="BS84" s="63" t="s">
        <v>71</v>
      </c>
      <c r="BV84" s="70"/>
      <c r="BW84" s="70"/>
      <c r="BX84" s="70"/>
      <c r="BZ84" s="70"/>
      <c r="CC84" s="70"/>
      <c r="CD84" s="70"/>
      <c r="CE84" s="70"/>
      <c r="CG84" s="70"/>
      <c r="CH84" s="70"/>
    </row>
    <row r="85" spans="1:86" s="37" customFormat="1" ht="39.950000000000003" customHeight="1" x14ac:dyDescent="0.2">
      <c r="A85" s="489">
        <v>1</v>
      </c>
      <c r="B85" s="220" t="s">
        <v>65</v>
      </c>
      <c r="C85" s="21"/>
      <c r="D85" s="22"/>
      <c r="E85" s="23">
        <v>7</v>
      </c>
      <c r="F85" s="520" t="s">
        <v>186</v>
      </c>
      <c r="G85" s="60">
        <v>4582001408</v>
      </c>
      <c r="H85" s="225" t="s">
        <v>66</v>
      </c>
      <c r="I85" s="226" t="s">
        <v>66</v>
      </c>
      <c r="J85" s="521">
        <v>0</v>
      </c>
      <c r="K85" s="227"/>
      <c r="L85" s="301">
        <f t="shared" ref="L85:L86" si="101">M85+N85+P85+O85</f>
        <v>2200</v>
      </c>
      <c r="M85" s="302">
        <v>2200</v>
      </c>
      <c r="N85" s="303"/>
      <c r="O85" s="357"/>
      <c r="P85" s="303"/>
      <c r="Q85" s="358">
        <v>3127</v>
      </c>
      <c r="R85" s="359">
        <v>6351</v>
      </c>
      <c r="S85" s="307">
        <v>2200000</v>
      </c>
      <c r="T85" s="27">
        <f t="shared" si="48"/>
        <v>-2200</v>
      </c>
      <c r="U85" s="28">
        <v>-2200</v>
      </c>
      <c r="V85" s="28"/>
      <c r="W85" s="224"/>
      <c r="X85" s="224"/>
      <c r="Y85" s="30">
        <v>-2200000</v>
      </c>
      <c r="Z85" s="396">
        <f t="shared" si="46"/>
        <v>0</v>
      </c>
      <c r="AA85" s="397">
        <v>0</v>
      </c>
      <c r="AB85" s="397"/>
      <c r="AC85" s="397"/>
      <c r="AD85" s="397"/>
      <c r="AE85" s="398">
        <v>0</v>
      </c>
      <c r="AF85" s="31">
        <f t="shared" si="94"/>
        <v>0</v>
      </c>
      <c r="AG85" s="28">
        <v>0</v>
      </c>
      <c r="AH85" s="28"/>
      <c r="AI85" s="28"/>
      <c r="AJ85" s="28"/>
      <c r="AK85" s="406">
        <f t="shared" si="77"/>
        <v>6850</v>
      </c>
      <c r="AL85" s="397">
        <v>6850</v>
      </c>
      <c r="AM85" s="397"/>
      <c r="AN85" s="397"/>
      <c r="AO85" s="402"/>
      <c r="AP85" s="164">
        <f t="shared" ref="AP85:AP86" si="102">AQ85</f>
        <v>0</v>
      </c>
      <c r="AQ85" s="28">
        <v>0</v>
      </c>
      <c r="AR85" s="28"/>
      <c r="AS85" s="406">
        <f t="shared" si="64"/>
        <v>7000</v>
      </c>
      <c r="AT85" s="397">
        <v>7000</v>
      </c>
      <c r="AU85" s="397"/>
      <c r="AV85" s="397"/>
      <c r="AW85" s="221">
        <f t="shared" si="79"/>
        <v>0</v>
      </c>
      <c r="AX85" s="28">
        <v>0</v>
      </c>
      <c r="AY85" s="28"/>
      <c r="AZ85" s="28"/>
      <c r="BA85" s="407">
        <f t="shared" si="80"/>
        <v>0</v>
      </c>
      <c r="BB85" s="397">
        <v>0</v>
      </c>
      <c r="BC85" s="397"/>
      <c r="BD85" s="397"/>
      <c r="BE85" s="34">
        <f t="shared" si="55"/>
        <v>0</v>
      </c>
      <c r="BF85" s="28">
        <v>0</v>
      </c>
      <c r="BG85" s="28"/>
      <c r="BH85" s="28"/>
      <c r="BI85" s="409">
        <f t="shared" si="81"/>
        <v>0</v>
      </c>
      <c r="BJ85" s="397">
        <f t="shared" si="82"/>
        <v>0</v>
      </c>
      <c r="BK85" s="397"/>
      <c r="BL85" s="410"/>
      <c r="BM85" s="454">
        <v>4170</v>
      </c>
      <c r="BN85" s="35">
        <f t="shared" si="99"/>
        <v>6370</v>
      </c>
      <c r="BO85" s="413">
        <f t="shared" si="100"/>
        <v>18020</v>
      </c>
      <c r="BP85" s="36">
        <f t="shared" si="83"/>
        <v>11650</v>
      </c>
      <c r="BQ85" s="62" t="s">
        <v>110</v>
      </c>
      <c r="BR85" s="65">
        <v>2</v>
      </c>
      <c r="BS85" s="63" t="s">
        <v>95</v>
      </c>
      <c r="BV85" s="70"/>
      <c r="BW85" s="70"/>
      <c r="BX85" s="70"/>
      <c r="BZ85" s="70"/>
      <c r="CC85" s="70"/>
      <c r="CD85" s="70"/>
      <c r="CE85" s="70"/>
      <c r="CG85" s="70"/>
      <c r="CH85" s="70"/>
    </row>
    <row r="86" spans="1:86" s="37" customFormat="1" ht="39.950000000000003" customHeight="1" x14ac:dyDescent="0.2">
      <c r="A86" s="490"/>
      <c r="B86" s="228" t="s">
        <v>65</v>
      </c>
      <c r="C86" s="228"/>
      <c r="D86" s="229"/>
      <c r="E86" s="23">
        <v>7</v>
      </c>
      <c r="F86" s="479"/>
      <c r="G86" s="60">
        <v>4582000000</v>
      </c>
      <c r="H86" s="230" t="s">
        <v>66</v>
      </c>
      <c r="I86" s="231" t="s">
        <v>66</v>
      </c>
      <c r="J86" s="522"/>
      <c r="K86" s="233"/>
      <c r="L86" s="301">
        <f t="shared" si="101"/>
        <v>0</v>
      </c>
      <c r="M86" s="302">
        <v>0</v>
      </c>
      <c r="N86" s="303"/>
      <c r="O86" s="357"/>
      <c r="P86" s="303"/>
      <c r="Q86" s="360">
        <v>3127</v>
      </c>
      <c r="R86" s="361">
        <v>6121</v>
      </c>
      <c r="S86" s="307">
        <v>0</v>
      </c>
      <c r="T86" s="27">
        <f t="shared" si="48"/>
        <v>150</v>
      </c>
      <c r="U86" s="28">
        <v>150</v>
      </c>
      <c r="V86" s="28"/>
      <c r="W86" s="224"/>
      <c r="X86" s="224"/>
      <c r="Y86" s="30">
        <v>0</v>
      </c>
      <c r="Z86" s="396">
        <f t="shared" si="46"/>
        <v>150</v>
      </c>
      <c r="AA86" s="397">
        <f t="shared" ref="AA86:AC107" si="103">M86+U86</f>
        <v>150</v>
      </c>
      <c r="AB86" s="397"/>
      <c r="AC86" s="397"/>
      <c r="AD86" s="397"/>
      <c r="AE86" s="398">
        <f t="shared" ref="AE86:AE93" si="104">S86+Y86</f>
        <v>0</v>
      </c>
      <c r="AF86" s="31">
        <f t="shared" si="94"/>
        <v>0</v>
      </c>
      <c r="AG86" s="232">
        <v>0</v>
      </c>
      <c r="AH86" s="232"/>
      <c r="AI86" s="232"/>
      <c r="AJ86" s="28"/>
      <c r="AK86" s="406">
        <f t="shared" si="77"/>
        <v>0</v>
      </c>
      <c r="AL86" s="397">
        <v>0</v>
      </c>
      <c r="AM86" s="407"/>
      <c r="AN86" s="407"/>
      <c r="AO86" s="398"/>
      <c r="AP86" s="164">
        <f t="shared" si="102"/>
        <v>0</v>
      </c>
      <c r="AQ86" s="28">
        <v>0</v>
      </c>
      <c r="AR86" s="28"/>
      <c r="AS86" s="406">
        <f t="shared" si="64"/>
        <v>0</v>
      </c>
      <c r="AT86" s="397">
        <v>0</v>
      </c>
      <c r="AU86" s="397"/>
      <c r="AV86" s="397"/>
      <c r="AW86" s="221">
        <f t="shared" si="79"/>
        <v>0</v>
      </c>
      <c r="AX86" s="28">
        <v>0</v>
      </c>
      <c r="AY86" s="28"/>
      <c r="AZ86" s="28"/>
      <c r="BA86" s="407">
        <f t="shared" si="80"/>
        <v>0</v>
      </c>
      <c r="BB86" s="397">
        <v>0</v>
      </c>
      <c r="BC86" s="397"/>
      <c r="BD86" s="397"/>
      <c r="BE86" s="34">
        <f t="shared" si="55"/>
        <v>0</v>
      </c>
      <c r="BF86" s="28">
        <v>0</v>
      </c>
      <c r="BG86" s="28"/>
      <c r="BH86" s="28"/>
      <c r="BI86" s="409">
        <f t="shared" si="81"/>
        <v>0</v>
      </c>
      <c r="BJ86" s="397">
        <f t="shared" si="82"/>
        <v>0</v>
      </c>
      <c r="BK86" s="397"/>
      <c r="BL86" s="410"/>
      <c r="BM86" s="454">
        <v>0</v>
      </c>
      <c r="BN86" s="35">
        <f t="shared" si="99"/>
        <v>0</v>
      </c>
      <c r="BO86" s="413">
        <f t="shared" si="100"/>
        <v>150</v>
      </c>
      <c r="BP86" s="36">
        <f t="shared" si="83"/>
        <v>150</v>
      </c>
      <c r="BQ86" s="234"/>
      <c r="BR86" s="65"/>
      <c r="BS86" s="63" t="s">
        <v>95</v>
      </c>
      <c r="BV86" s="70"/>
      <c r="BW86" s="70"/>
      <c r="BX86" s="70"/>
      <c r="CC86" s="70"/>
      <c r="CD86" s="70"/>
      <c r="CE86" s="70"/>
      <c r="CG86" s="70"/>
      <c r="CH86" s="70"/>
    </row>
    <row r="87" spans="1:86" s="37" customFormat="1" ht="39.950000000000003" customHeight="1" x14ac:dyDescent="0.2">
      <c r="A87" s="489">
        <v>1</v>
      </c>
      <c r="B87" s="228" t="s">
        <v>65</v>
      </c>
      <c r="C87" s="228"/>
      <c r="D87" s="229"/>
      <c r="E87" s="23">
        <v>7</v>
      </c>
      <c r="F87" s="523" t="s">
        <v>187</v>
      </c>
      <c r="G87" s="60">
        <v>4647001120</v>
      </c>
      <c r="H87" s="231" t="s">
        <v>66</v>
      </c>
      <c r="I87" s="231" t="s">
        <v>66</v>
      </c>
      <c r="J87" s="235">
        <v>0</v>
      </c>
      <c r="K87" s="233"/>
      <c r="L87" s="301">
        <f>M87+N87+P87+O87</f>
        <v>399.57</v>
      </c>
      <c r="M87" s="302">
        <f>500-M88</f>
        <v>399.57</v>
      </c>
      <c r="N87" s="303"/>
      <c r="O87" s="357"/>
      <c r="P87" s="303"/>
      <c r="Q87" s="360">
        <v>3121</v>
      </c>
      <c r="R87" s="361">
        <v>6351</v>
      </c>
      <c r="S87" s="307">
        <v>399570</v>
      </c>
      <c r="T87" s="27">
        <f>U87+V87+W87</f>
        <v>-98.28</v>
      </c>
      <c r="U87" s="28">
        <v>-98.28</v>
      </c>
      <c r="V87" s="28"/>
      <c r="W87" s="224"/>
      <c r="X87" s="224"/>
      <c r="Y87" s="30">
        <v>-98280</v>
      </c>
      <c r="Z87" s="396">
        <f>AA87+AB87</f>
        <v>301.28999999999996</v>
      </c>
      <c r="AA87" s="397">
        <f t="shared" si="103"/>
        <v>301.28999999999996</v>
      </c>
      <c r="AB87" s="397"/>
      <c r="AC87" s="397"/>
      <c r="AD87" s="397"/>
      <c r="AE87" s="398">
        <f t="shared" si="104"/>
        <v>301290</v>
      </c>
      <c r="AF87" s="31">
        <f>AG87+AH87+AI87</f>
        <v>4300</v>
      </c>
      <c r="AG87" s="232">
        <v>4300</v>
      </c>
      <c r="AH87" s="232"/>
      <c r="AI87" s="232"/>
      <c r="AJ87" s="28"/>
      <c r="AK87" s="406">
        <f t="shared" si="77"/>
        <v>9699</v>
      </c>
      <c r="AL87" s="397">
        <f>9600+99</f>
        <v>9699</v>
      </c>
      <c r="AM87" s="407"/>
      <c r="AN87" s="407"/>
      <c r="AO87" s="398"/>
      <c r="AP87" s="164">
        <f>AQ87</f>
        <v>3800</v>
      </c>
      <c r="AQ87" s="28">
        <v>3800</v>
      </c>
      <c r="AR87" s="28"/>
      <c r="AS87" s="406">
        <f>AT87</f>
        <v>4500</v>
      </c>
      <c r="AT87" s="397">
        <v>4500</v>
      </c>
      <c r="AU87" s="397"/>
      <c r="AV87" s="397"/>
      <c r="AW87" s="221">
        <f>AX87</f>
        <v>0</v>
      </c>
      <c r="AX87" s="28">
        <v>0</v>
      </c>
      <c r="AY87" s="28"/>
      <c r="AZ87" s="28"/>
      <c r="BA87" s="407">
        <f>BB87</f>
        <v>0</v>
      </c>
      <c r="BB87" s="397">
        <v>0</v>
      </c>
      <c r="BC87" s="397"/>
      <c r="BD87" s="397"/>
      <c r="BE87" s="34">
        <f>BF87</f>
        <v>0</v>
      </c>
      <c r="BF87" s="28">
        <v>0</v>
      </c>
      <c r="BG87" s="28"/>
      <c r="BH87" s="28"/>
      <c r="BI87" s="409">
        <f>BJ87</f>
        <v>0</v>
      </c>
      <c r="BJ87" s="397">
        <f>BF87</f>
        <v>0</v>
      </c>
      <c r="BK87" s="397"/>
      <c r="BL87" s="410"/>
      <c r="BM87" s="454">
        <v>0</v>
      </c>
      <c r="BN87" s="35">
        <f t="shared" si="99"/>
        <v>8499.57</v>
      </c>
      <c r="BO87" s="413">
        <f t="shared" si="100"/>
        <v>14500.29</v>
      </c>
      <c r="BP87" s="36">
        <f t="shared" si="83"/>
        <v>6000.7200000000012</v>
      </c>
      <c r="BQ87" s="525" t="s">
        <v>96</v>
      </c>
      <c r="BR87" s="65"/>
      <c r="BS87" s="515" t="s">
        <v>71</v>
      </c>
      <c r="BV87" s="70"/>
      <c r="BW87" s="70"/>
      <c r="BX87" s="70"/>
      <c r="BZ87" s="70"/>
      <c r="CC87" s="70"/>
      <c r="CD87" s="70"/>
      <c r="CE87" s="70"/>
      <c r="CG87" s="70"/>
      <c r="CH87" s="70"/>
    </row>
    <row r="88" spans="1:86" s="37" customFormat="1" ht="39.950000000000003" customHeight="1" x14ac:dyDescent="0.2">
      <c r="A88" s="490"/>
      <c r="B88" s="236" t="s">
        <v>65</v>
      </c>
      <c r="C88" s="236"/>
      <c r="D88" s="229"/>
      <c r="E88" s="23">
        <v>7</v>
      </c>
      <c r="F88" s="524"/>
      <c r="G88" s="60">
        <v>4647000000</v>
      </c>
      <c r="H88" s="231" t="s">
        <v>66</v>
      </c>
      <c r="I88" s="231" t="s">
        <v>66</v>
      </c>
      <c r="J88" s="235">
        <v>0</v>
      </c>
      <c r="K88" s="233"/>
      <c r="L88" s="301">
        <f>M88+N88+P88+O88</f>
        <v>100.43</v>
      </c>
      <c r="M88" s="302">
        <v>100.43</v>
      </c>
      <c r="N88" s="303"/>
      <c r="O88" s="357"/>
      <c r="P88" s="303"/>
      <c r="Q88" s="360">
        <v>3121</v>
      </c>
      <c r="R88" s="361">
        <v>6121</v>
      </c>
      <c r="S88" s="307">
        <v>0</v>
      </c>
      <c r="T88" s="27">
        <f>U88+V88+W88</f>
        <v>0</v>
      </c>
      <c r="U88" s="28">
        <v>0</v>
      </c>
      <c r="V88" s="28"/>
      <c r="W88" s="224"/>
      <c r="X88" s="224"/>
      <c r="Y88" s="30">
        <v>0</v>
      </c>
      <c r="Z88" s="396">
        <f>AA88+AB88</f>
        <v>100.43</v>
      </c>
      <c r="AA88" s="397">
        <f t="shared" si="103"/>
        <v>100.43</v>
      </c>
      <c r="AB88" s="397"/>
      <c r="AC88" s="397"/>
      <c r="AD88" s="397"/>
      <c r="AE88" s="398">
        <f t="shared" si="104"/>
        <v>0</v>
      </c>
      <c r="AF88" s="31">
        <f>AG88+AH88+AI88</f>
        <v>0</v>
      </c>
      <c r="AG88" s="232">
        <v>0</v>
      </c>
      <c r="AH88" s="232"/>
      <c r="AI88" s="232"/>
      <c r="AJ88" s="28"/>
      <c r="AK88" s="406">
        <f t="shared" si="77"/>
        <v>0</v>
      </c>
      <c r="AL88" s="397">
        <v>0</v>
      </c>
      <c r="AM88" s="407"/>
      <c r="AN88" s="407"/>
      <c r="AO88" s="398"/>
      <c r="AP88" s="164">
        <v>0</v>
      </c>
      <c r="AQ88" s="28">
        <v>0</v>
      </c>
      <c r="AR88" s="28"/>
      <c r="AS88" s="406">
        <f>AT88</f>
        <v>0</v>
      </c>
      <c r="AT88" s="397">
        <v>0</v>
      </c>
      <c r="AU88" s="397"/>
      <c r="AV88" s="397"/>
      <c r="AW88" s="221">
        <f>AX88</f>
        <v>0</v>
      </c>
      <c r="AX88" s="28">
        <v>0</v>
      </c>
      <c r="AY88" s="28"/>
      <c r="AZ88" s="28"/>
      <c r="BA88" s="407">
        <f>BB88</f>
        <v>0</v>
      </c>
      <c r="BB88" s="397">
        <v>0</v>
      </c>
      <c r="BC88" s="397"/>
      <c r="BD88" s="397"/>
      <c r="BE88" s="34">
        <f>BF88</f>
        <v>0</v>
      </c>
      <c r="BF88" s="28">
        <v>0</v>
      </c>
      <c r="BG88" s="28"/>
      <c r="BH88" s="28"/>
      <c r="BI88" s="409">
        <f>BJ88</f>
        <v>0</v>
      </c>
      <c r="BJ88" s="397">
        <f>BF88</f>
        <v>0</v>
      </c>
      <c r="BK88" s="397"/>
      <c r="BL88" s="410"/>
      <c r="BM88" s="454">
        <v>0</v>
      </c>
      <c r="BN88" s="35">
        <f t="shared" si="99"/>
        <v>100.43</v>
      </c>
      <c r="BO88" s="413">
        <f t="shared" si="100"/>
        <v>100.43</v>
      </c>
      <c r="BP88" s="36">
        <f t="shared" si="83"/>
        <v>0</v>
      </c>
      <c r="BQ88" s="526"/>
      <c r="BR88" s="65"/>
      <c r="BS88" s="515"/>
      <c r="BV88" s="70"/>
      <c r="BW88" s="70"/>
      <c r="BX88" s="70"/>
      <c r="CC88" s="70"/>
      <c r="CD88" s="70"/>
      <c r="CE88" s="70"/>
      <c r="CG88" s="70"/>
      <c r="CH88" s="70"/>
    </row>
    <row r="89" spans="1:86" s="37" customFormat="1" ht="39.950000000000003" customHeight="1" x14ac:dyDescent="0.2">
      <c r="A89" s="77">
        <v>1</v>
      </c>
      <c r="B89" s="236" t="s">
        <v>65</v>
      </c>
      <c r="C89" s="237" t="s">
        <v>98</v>
      </c>
      <c r="D89" s="238" t="s">
        <v>82</v>
      </c>
      <c r="E89" s="23">
        <v>7</v>
      </c>
      <c r="F89" s="239" t="s">
        <v>188</v>
      </c>
      <c r="G89" s="45">
        <v>4435001533</v>
      </c>
      <c r="H89" s="240" t="s">
        <v>66</v>
      </c>
      <c r="I89" s="240" t="s">
        <v>66</v>
      </c>
      <c r="J89" s="241">
        <v>592.9</v>
      </c>
      <c r="K89" s="46"/>
      <c r="L89" s="301">
        <f>M89+N89+P89+O89</f>
        <v>0</v>
      </c>
      <c r="M89" s="302">
        <v>0</v>
      </c>
      <c r="N89" s="303">
        <v>0</v>
      </c>
      <c r="O89" s="357">
        <v>0</v>
      </c>
      <c r="P89" s="303">
        <v>0</v>
      </c>
      <c r="Q89" s="362">
        <v>3114</v>
      </c>
      <c r="R89" s="312">
        <v>6351</v>
      </c>
      <c r="S89" s="307">
        <v>0</v>
      </c>
      <c r="T89" s="27">
        <f>U89+V89+W89</f>
        <v>0</v>
      </c>
      <c r="U89" s="28">
        <v>0</v>
      </c>
      <c r="V89" s="28">
        <v>0</v>
      </c>
      <c r="W89" s="224">
        <v>0</v>
      </c>
      <c r="X89" s="224">
        <v>0</v>
      </c>
      <c r="Y89" s="30">
        <f>(U89+V89)*1000</f>
        <v>0</v>
      </c>
      <c r="Z89" s="396">
        <f>AA89+AB89</f>
        <v>0</v>
      </c>
      <c r="AA89" s="397">
        <f t="shared" si="103"/>
        <v>0</v>
      </c>
      <c r="AB89" s="397">
        <f t="shared" si="103"/>
        <v>0</v>
      </c>
      <c r="AC89" s="397">
        <f t="shared" si="103"/>
        <v>0</v>
      </c>
      <c r="AD89" s="397">
        <f t="shared" ref="AD89:AD90" si="105">X89</f>
        <v>0</v>
      </c>
      <c r="AE89" s="398">
        <f t="shared" si="104"/>
        <v>0</v>
      </c>
      <c r="AF89" s="31">
        <f>AG89+AH89+AI89</f>
        <v>17500</v>
      </c>
      <c r="AG89" s="232">
        <v>17500</v>
      </c>
      <c r="AH89" s="232">
        <v>0</v>
      </c>
      <c r="AI89" s="232">
        <v>0</v>
      </c>
      <c r="AJ89" s="28">
        <v>0</v>
      </c>
      <c r="AK89" s="406">
        <f>AL89+AM89</f>
        <v>0</v>
      </c>
      <c r="AL89" s="397">
        <v>0</v>
      </c>
      <c r="AM89" s="407">
        <v>0</v>
      </c>
      <c r="AN89" s="407">
        <f t="shared" ref="AN89:AO90" si="106">AI89</f>
        <v>0</v>
      </c>
      <c r="AO89" s="398">
        <f t="shared" si="106"/>
        <v>0</v>
      </c>
      <c r="AP89" s="164">
        <f>AQ89</f>
        <v>0</v>
      </c>
      <c r="AQ89" s="28">
        <v>0</v>
      </c>
      <c r="AR89" s="28">
        <v>0</v>
      </c>
      <c r="AS89" s="406">
        <f>AT89</f>
        <v>0</v>
      </c>
      <c r="AT89" s="397">
        <f>AQ89</f>
        <v>0</v>
      </c>
      <c r="AU89" s="397"/>
      <c r="AV89" s="397">
        <f t="shared" ref="AV89:AV90" si="107">AR89</f>
        <v>0</v>
      </c>
      <c r="AW89" s="221">
        <f>AX89</f>
        <v>0</v>
      </c>
      <c r="AX89" s="28">
        <v>0</v>
      </c>
      <c r="AY89" s="28">
        <v>0</v>
      </c>
      <c r="AZ89" s="28">
        <v>0</v>
      </c>
      <c r="BA89" s="407">
        <f>BB89</f>
        <v>0</v>
      </c>
      <c r="BB89" s="397">
        <f t="shared" ref="BB89:BD90" si="108">AX89</f>
        <v>0</v>
      </c>
      <c r="BC89" s="397">
        <f t="shared" si="108"/>
        <v>0</v>
      </c>
      <c r="BD89" s="397">
        <f t="shared" si="108"/>
        <v>0</v>
      </c>
      <c r="BE89" s="34">
        <f>BF89</f>
        <v>0</v>
      </c>
      <c r="BF89" s="28">
        <v>0</v>
      </c>
      <c r="BG89" s="28">
        <v>0</v>
      </c>
      <c r="BH89" s="28">
        <v>0</v>
      </c>
      <c r="BI89" s="409">
        <f>BJ89</f>
        <v>0</v>
      </c>
      <c r="BJ89" s="397">
        <f>BF89</f>
        <v>0</v>
      </c>
      <c r="BK89" s="397">
        <f t="shared" ref="BK89:BL93" si="109">BG89</f>
        <v>0</v>
      </c>
      <c r="BL89" s="410">
        <f t="shared" si="109"/>
        <v>0</v>
      </c>
      <c r="BM89" s="454">
        <v>14.52</v>
      </c>
      <c r="BN89" s="49">
        <f t="shared" si="99"/>
        <v>18107.420000000002</v>
      </c>
      <c r="BO89" s="414">
        <f t="shared" si="100"/>
        <v>607.41999999999996</v>
      </c>
      <c r="BP89" s="36">
        <f t="shared" si="83"/>
        <v>-17500.000000000004</v>
      </c>
      <c r="BQ89" s="71" t="s">
        <v>111</v>
      </c>
      <c r="BR89" s="72">
        <v>3</v>
      </c>
      <c r="BS89" s="37" t="s">
        <v>112</v>
      </c>
      <c r="BV89" s="70"/>
      <c r="BW89" s="70"/>
      <c r="BX89" s="70"/>
      <c r="BZ89" s="70"/>
      <c r="CC89" s="70"/>
      <c r="CD89" s="70"/>
      <c r="CE89" s="70"/>
      <c r="CG89" s="70"/>
      <c r="CH89" s="70"/>
    </row>
    <row r="90" spans="1:86" s="37" customFormat="1" ht="40.5" customHeight="1" x14ac:dyDescent="0.2">
      <c r="A90" s="77">
        <v>1</v>
      </c>
      <c r="B90" s="236" t="s">
        <v>65</v>
      </c>
      <c r="C90" s="21" t="s">
        <v>69</v>
      </c>
      <c r="D90" s="22" t="s">
        <v>99</v>
      </c>
      <c r="E90" s="23">
        <v>7</v>
      </c>
      <c r="F90" s="73" t="s">
        <v>189</v>
      </c>
      <c r="G90" s="45">
        <v>4632001409</v>
      </c>
      <c r="H90" s="240" t="s">
        <v>66</v>
      </c>
      <c r="I90" s="240" t="s">
        <v>66</v>
      </c>
      <c r="J90" s="241">
        <v>0</v>
      </c>
      <c r="K90" s="46"/>
      <c r="L90" s="301">
        <f>M90+N90+P90+O90</f>
        <v>6500</v>
      </c>
      <c r="M90" s="302">
        <f>3500+3000</f>
        <v>6500</v>
      </c>
      <c r="N90" s="303">
        <v>0</v>
      </c>
      <c r="O90" s="357">
        <v>0</v>
      </c>
      <c r="P90" s="303">
        <v>0</v>
      </c>
      <c r="Q90" s="362">
        <v>3122</v>
      </c>
      <c r="R90" s="312">
        <v>6351</v>
      </c>
      <c r="S90" s="307">
        <v>6500000</v>
      </c>
      <c r="T90" s="27">
        <f>U90+V90+W90</f>
        <v>0</v>
      </c>
      <c r="U90" s="28">
        <v>0</v>
      </c>
      <c r="V90" s="28">
        <v>0</v>
      </c>
      <c r="W90" s="224">
        <v>0</v>
      </c>
      <c r="X90" s="224">
        <v>0</v>
      </c>
      <c r="Y90" s="30">
        <f t="shared" ref="Y90" si="110">(U90+V90)*1000</f>
        <v>0</v>
      </c>
      <c r="Z90" s="396">
        <f>AA90+AB90</f>
        <v>6500</v>
      </c>
      <c r="AA90" s="397">
        <f t="shared" si="103"/>
        <v>6500</v>
      </c>
      <c r="AB90" s="397">
        <v>0</v>
      </c>
      <c r="AC90" s="397">
        <f t="shared" si="103"/>
        <v>0</v>
      </c>
      <c r="AD90" s="397">
        <f t="shared" si="105"/>
        <v>0</v>
      </c>
      <c r="AE90" s="398">
        <f t="shared" si="104"/>
        <v>6500000</v>
      </c>
      <c r="AF90" s="31">
        <f>AG90+AH90+AI90</f>
        <v>3000</v>
      </c>
      <c r="AG90" s="232">
        <v>3000</v>
      </c>
      <c r="AH90" s="232">
        <v>0</v>
      </c>
      <c r="AI90" s="28">
        <v>0</v>
      </c>
      <c r="AJ90" s="28">
        <v>0</v>
      </c>
      <c r="AK90" s="406">
        <f>AL90+AM90</f>
        <v>0</v>
      </c>
      <c r="AL90" s="397">
        <v>0</v>
      </c>
      <c r="AM90" s="407">
        <v>0</v>
      </c>
      <c r="AN90" s="407">
        <f t="shared" si="106"/>
        <v>0</v>
      </c>
      <c r="AO90" s="398">
        <f t="shared" si="106"/>
        <v>0</v>
      </c>
      <c r="AP90" s="164">
        <f>AQ90</f>
        <v>0</v>
      </c>
      <c r="AQ90" s="28">
        <v>0</v>
      </c>
      <c r="AR90" s="28">
        <v>0</v>
      </c>
      <c r="AS90" s="406">
        <f>AT90</f>
        <v>0</v>
      </c>
      <c r="AT90" s="397">
        <f>AQ90</f>
        <v>0</v>
      </c>
      <c r="AU90" s="397"/>
      <c r="AV90" s="397">
        <f t="shared" si="107"/>
        <v>0</v>
      </c>
      <c r="AW90" s="221">
        <f>AX90</f>
        <v>0</v>
      </c>
      <c r="AX90" s="28">
        <v>0</v>
      </c>
      <c r="AY90" s="28">
        <v>0</v>
      </c>
      <c r="AZ90" s="28">
        <v>0</v>
      </c>
      <c r="BA90" s="407">
        <f>BB90</f>
        <v>0</v>
      </c>
      <c r="BB90" s="397">
        <f t="shared" si="108"/>
        <v>0</v>
      </c>
      <c r="BC90" s="397">
        <f t="shared" si="108"/>
        <v>0</v>
      </c>
      <c r="BD90" s="397">
        <f t="shared" si="108"/>
        <v>0</v>
      </c>
      <c r="BE90" s="34">
        <f>BF90</f>
        <v>0</v>
      </c>
      <c r="BF90" s="28">
        <v>0</v>
      </c>
      <c r="BG90" s="28">
        <v>0</v>
      </c>
      <c r="BH90" s="28">
        <v>0</v>
      </c>
      <c r="BI90" s="409">
        <f>BJ90</f>
        <v>0</v>
      </c>
      <c r="BJ90" s="397">
        <f>BF90</f>
        <v>0</v>
      </c>
      <c r="BK90" s="397">
        <f t="shared" si="109"/>
        <v>0</v>
      </c>
      <c r="BL90" s="410">
        <f t="shared" si="109"/>
        <v>0</v>
      </c>
      <c r="BM90" s="454">
        <v>500</v>
      </c>
      <c r="BN90" s="49">
        <f t="shared" si="99"/>
        <v>10000</v>
      </c>
      <c r="BO90" s="414">
        <f t="shared" si="100"/>
        <v>7000</v>
      </c>
      <c r="BP90" s="36">
        <f t="shared" si="83"/>
        <v>-3000</v>
      </c>
      <c r="BQ90" s="71" t="s">
        <v>113</v>
      </c>
      <c r="BR90" s="72">
        <v>3</v>
      </c>
      <c r="BS90" s="37" t="s">
        <v>73</v>
      </c>
      <c r="BV90" s="70"/>
      <c r="BW90" s="70"/>
      <c r="BX90" s="70"/>
      <c r="BZ90" s="70"/>
      <c r="CC90" s="70"/>
      <c r="CD90" s="70"/>
      <c r="CE90" s="70"/>
      <c r="CG90" s="70"/>
      <c r="CH90" s="70"/>
    </row>
    <row r="91" spans="1:86" s="37" customFormat="1" ht="44.25" customHeight="1" x14ac:dyDescent="0.2">
      <c r="A91" s="77">
        <v>1</v>
      </c>
      <c r="B91" s="236" t="s">
        <v>65</v>
      </c>
      <c r="C91" s="237" t="s">
        <v>81</v>
      </c>
      <c r="D91" s="238" t="s">
        <v>82</v>
      </c>
      <c r="E91" s="23">
        <v>7</v>
      </c>
      <c r="F91" s="242" t="s">
        <v>190</v>
      </c>
      <c r="G91" s="45">
        <v>4377001339</v>
      </c>
      <c r="H91" s="240" t="s">
        <v>66</v>
      </c>
      <c r="I91" s="240" t="s">
        <v>66</v>
      </c>
      <c r="J91" s="241">
        <v>2033.8</v>
      </c>
      <c r="K91" s="46"/>
      <c r="L91" s="301">
        <f>M91+N91+P91+O91</f>
        <v>0</v>
      </c>
      <c r="M91" s="302">
        <v>0</v>
      </c>
      <c r="N91" s="303">
        <v>0</v>
      </c>
      <c r="O91" s="357">
        <v>0</v>
      </c>
      <c r="P91" s="303">
        <v>0</v>
      </c>
      <c r="Q91" s="311">
        <v>3127</v>
      </c>
      <c r="R91" s="312">
        <v>6351</v>
      </c>
      <c r="S91" s="307">
        <f>5509251.08-5509251.08</f>
        <v>0</v>
      </c>
      <c r="T91" s="27">
        <f>U91+V91+W91</f>
        <v>0</v>
      </c>
      <c r="U91" s="28">
        <v>0</v>
      </c>
      <c r="V91" s="28">
        <v>0</v>
      </c>
      <c r="W91" s="224">
        <v>0</v>
      </c>
      <c r="X91" s="224">
        <v>0</v>
      </c>
      <c r="Y91" s="30">
        <f>(U91+V91)*1000</f>
        <v>0</v>
      </c>
      <c r="Z91" s="396">
        <f>AA91+AB91</f>
        <v>0</v>
      </c>
      <c r="AA91" s="397">
        <f>M91+U91</f>
        <v>0</v>
      </c>
      <c r="AB91" s="397">
        <f>N91+V91</f>
        <v>0</v>
      </c>
      <c r="AC91" s="397">
        <f>O91+W91</f>
        <v>0</v>
      </c>
      <c r="AD91" s="397">
        <f>X91</f>
        <v>0</v>
      </c>
      <c r="AE91" s="398">
        <f t="shared" si="104"/>
        <v>0</v>
      </c>
      <c r="AF91" s="31">
        <f>AG91+AH91+AI91</f>
        <v>15000</v>
      </c>
      <c r="AG91" s="243">
        <v>15000</v>
      </c>
      <c r="AH91" s="232">
        <v>0</v>
      </c>
      <c r="AI91" s="232">
        <v>0</v>
      </c>
      <c r="AJ91" s="28">
        <v>0</v>
      </c>
      <c r="AK91" s="406">
        <f>AL91+AM91</f>
        <v>0</v>
      </c>
      <c r="AL91" s="397">
        <v>0</v>
      </c>
      <c r="AM91" s="407">
        <v>0</v>
      </c>
      <c r="AN91" s="407">
        <f>AI91</f>
        <v>0</v>
      </c>
      <c r="AO91" s="398">
        <f>AJ91</f>
        <v>0</v>
      </c>
      <c r="AP91" s="164">
        <f>AQ91</f>
        <v>0</v>
      </c>
      <c r="AQ91" s="28">
        <v>0</v>
      </c>
      <c r="AR91" s="28">
        <v>0</v>
      </c>
      <c r="AS91" s="406">
        <f>AT91</f>
        <v>0</v>
      </c>
      <c r="AT91" s="397">
        <f>AQ91</f>
        <v>0</v>
      </c>
      <c r="AU91" s="397"/>
      <c r="AV91" s="397">
        <f>AR91</f>
        <v>0</v>
      </c>
      <c r="AW91" s="221">
        <f>AX91</f>
        <v>0</v>
      </c>
      <c r="AX91" s="28">
        <v>0</v>
      </c>
      <c r="AY91" s="28">
        <v>0</v>
      </c>
      <c r="AZ91" s="28">
        <v>0</v>
      </c>
      <c r="BA91" s="407">
        <f>BB91</f>
        <v>0</v>
      </c>
      <c r="BB91" s="397">
        <f>AX91</f>
        <v>0</v>
      </c>
      <c r="BC91" s="397">
        <f>AY91</f>
        <v>0</v>
      </c>
      <c r="BD91" s="397">
        <f>AZ91</f>
        <v>0</v>
      </c>
      <c r="BE91" s="34">
        <f>BF91</f>
        <v>0</v>
      </c>
      <c r="BF91" s="28">
        <v>0</v>
      </c>
      <c r="BG91" s="28">
        <v>0</v>
      </c>
      <c r="BH91" s="28">
        <v>0</v>
      </c>
      <c r="BI91" s="409">
        <f>BJ91</f>
        <v>0</v>
      </c>
      <c r="BJ91" s="397">
        <f>BF91</f>
        <v>0</v>
      </c>
      <c r="BK91" s="397">
        <f t="shared" si="109"/>
        <v>0</v>
      </c>
      <c r="BL91" s="410">
        <f t="shared" si="109"/>
        <v>0</v>
      </c>
      <c r="BM91" s="455">
        <v>0</v>
      </c>
      <c r="BN91" s="49">
        <f t="shared" si="99"/>
        <v>17033.8</v>
      </c>
      <c r="BO91" s="414">
        <f t="shared" si="100"/>
        <v>2033.8</v>
      </c>
      <c r="BP91" s="36">
        <f t="shared" si="83"/>
        <v>-15000</v>
      </c>
      <c r="BQ91" s="71" t="s">
        <v>114</v>
      </c>
      <c r="BR91" s="72">
        <v>3</v>
      </c>
      <c r="BS91" s="37" t="s">
        <v>74</v>
      </c>
      <c r="BV91" s="70"/>
      <c r="BW91" s="70"/>
      <c r="BX91" s="70"/>
      <c r="BZ91" s="70"/>
      <c r="CC91" s="70"/>
      <c r="CD91" s="70"/>
      <c r="CE91" s="70"/>
      <c r="CG91" s="70"/>
      <c r="CH91" s="70"/>
    </row>
    <row r="92" spans="1:86" s="37" customFormat="1" ht="39.950000000000003" customHeight="1" x14ac:dyDescent="0.2">
      <c r="A92" s="489">
        <v>1</v>
      </c>
      <c r="B92" s="236" t="s">
        <v>115</v>
      </c>
      <c r="C92" s="21"/>
      <c r="D92" s="22"/>
      <c r="E92" s="240">
        <v>7</v>
      </c>
      <c r="F92" s="516" t="s">
        <v>191</v>
      </c>
      <c r="G92" s="45">
        <v>5958105521</v>
      </c>
      <c r="H92" s="240" t="s">
        <v>66</v>
      </c>
      <c r="I92" s="240" t="s">
        <v>66</v>
      </c>
      <c r="J92" s="241">
        <v>0</v>
      </c>
      <c r="K92" s="244"/>
      <c r="L92" s="301">
        <f t="shared" ref="L92" si="111">M92+N92+P92+O92</f>
        <v>17150</v>
      </c>
      <c r="M92" s="302">
        <f>17150</f>
        <v>17150</v>
      </c>
      <c r="N92" s="303">
        <v>0</v>
      </c>
      <c r="O92" s="357">
        <v>0</v>
      </c>
      <c r="P92" s="363">
        <v>0</v>
      </c>
      <c r="Q92" s="318">
        <v>4357</v>
      </c>
      <c r="R92" s="350">
        <v>6351</v>
      </c>
      <c r="S92" s="307">
        <v>17150000</v>
      </c>
      <c r="T92" s="27">
        <f t="shared" ref="T92" si="112">U92+V92+W92</f>
        <v>-7000</v>
      </c>
      <c r="U92" s="28">
        <v>-7000</v>
      </c>
      <c r="V92" s="28">
        <v>0</v>
      </c>
      <c r="W92" s="224">
        <v>0</v>
      </c>
      <c r="X92" s="224">
        <v>0</v>
      </c>
      <c r="Y92" s="30">
        <f>(U92+V92)*1000</f>
        <v>-7000000</v>
      </c>
      <c r="Z92" s="396">
        <f t="shared" ref="Z92:Z93" si="113">AA92+AB92</f>
        <v>10150</v>
      </c>
      <c r="AA92" s="397">
        <f t="shared" si="103"/>
        <v>10150</v>
      </c>
      <c r="AB92" s="397">
        <f t="shared" si="103"/>
        <v>0</v>
      </c>
      <c r="AC92" s="397">
        <f>O92+W92</f>
        <v>0</v>
      </c>
      <c r="AD92" s="397">
        <f t="shared" ref="AD92" si="114">X92</f>
        <v>0</v>
      </c>
      <c r="AE92" s="398">
        <f t="shared" si="104"/>
        <v>10150000</v>
      </c>
      <c r="AF92" s="31">
        <f t="shared" ref="AF92:AF93" si="115">AG92+AH92+AI92</f>
        <v>0</v>
      </c>
      <c r="AG92" s="28">
        <v>0</v>
      </c>
      <c r="AH92" s="28">
        <v>0</v>
      </c>
      <c r="AI92" s="28">
        <v>0</v>
      </c>
      <c r="AJ92" s="28">
        <v>0</v>
      </c>
      <c r="AK92" s="406">
        <f t="shared" si="77"/>
        <v>12000</v>
      </c>
      <c r="AL92" s="397">
        <v>12000</v>
      </c>
      <c r="AM92" s="397">
        <f>AH92</f>
        <v>0</v>
      </c>
      <c r="AN92" s="397">
        <f>AI92</f>
        <v>0</v>
      </c>
      <c r="AO92" s="402">
        <v>0</v>
      </c>
      <c r="AP92" s="164">
        <f t="shared" ref="AP92:AP93" si="116">AQ92</f>
        <v>0</v>
      </c>
      <c r="AQ92" s="28">
        <v>0</v>
      </c>
      <c r="AR92" s="28">
        <v>0</v>
      </c>
      <c r="AS92" s="406">
        <f t="shared" ref="AS92:AS93" si="117">AT92</f>
        <v>0</v>
      </c>
      <c r="AT92" s="397">
        <f t="shared" ref="AT92:AT93" si="118">AQ92</f>
        <v>0</v>
      </c>
      <c r="AU92" s="397"/>
      <c r="AV92" s="397">
        <f>AR92</f>
        <v>0</v>
      </c>
      <c r="AW92" s="221">
        <f t="shared" ref="AW92:AW93" si="119">AX92</f>
        <v>0</v>
      </c>
      <c r="AX92" s="28">
        <v>0</v>
      </c>
      <c r="AY92" s="28">
        <v>0</v>
      </c>
      <c r="AZ92" s="28">
        <v>0</v>
      </c>
      <c r="BA92" s="407">
        <f t="shared" ref="BA92:BA93" si="120">BB92</f>
        <v>0</v>
      </c>
      <c r="BB92" s="397">
        <f t="shared" ref="BB92:BD93" si="121">AX92</f>
        <v>0</v>
      </c>
      <c r="BC92" s="397">
        <f t="shared" si="121"/>
        <v>0</v>
      </c>
      <c r="BD92" s="397">
        <f t="shared" si="121"/>
        <v>0</v>
      </c>
      <c r="BE92" s="34">
        <f t="shared" ref="BE92:BE93" si="122">BF92</f>
        <v>0</v>
      </c>
      <c r="BF92" s="28">
        <v>0</v>
      </c>
      <c r="BG92" s="28">
        <v>0</v>
      </c>
      <c r="BH92" s="28">
        <v>0</v>
      </c>
      <c r="BI92" s="409">
        <f t="shared" ref="BI92:BI93" si="123">BJ92</f>
        <v>0</v>
      </c>
      <c r="BJ92" s="397">
        <f t="shared" ref="BJ92:BJ93" si="124">BF92</f>
        <v>0</v>
      </c>
      <c r="BK92" s="397">
        <f t="shared" si="109"/>
        <v>0</v>
      </c>
      <c r="BL92" s="410">
        <f t="shared" si="109"/>
        <v>0</v>
      </c>
      <c r="BM92" s="454">
        <v>213.05</v>
      </c>
      <c r="BN92" s="35">
        <f t="shared" si="99"/>
        <v>17363.05</v>
      </c>
      <c r="BO92" s="413">
        <f t="shared" si="100"/>
        <v>22363.05</v>
      </c>
      <c r="BP92" s="36">
        <f t="shared" si="83"/>
        <v>5000</v>
      </c>
      <c r="BQ92" s="62" t="s">
        <v>102</v>
      </c>
      <c r="BR92" s="245">
        <v>2</v>
      </c>
      <c r="BS92" s="63" t="s">
        <v>67</v>
      </c>
      <c r="BV92" s="70"/>
      <c r="BW92" s="70"/>
      <c r="BX92" s="70"/>
      <c r="BZ92" s="70"/>
      <c r="CB92" s="74"/>
      <c r="CC92" s="70"/>
      <c r="CD92" s="70"/>
      <c r="CE92" s="70"/>
      <c r="CF92" s="70"/>
      <c r="CG92" s="70"/>
      <c r="CH92" s="70"/>
    </row>
    <row r="93" spans="1:86" s="37" customFormat="1" ht="39.950000000000003" customHeight="1" x14ac:dyDescent="0.2">
      <c r="A93" s="490"/>
      <c r="B93" s="236" t="s">
        <v>115</v>
      </c>
      <c r="C93" s="240">
        <v>7</v>
      </c>
      <c r="D93" s="222"/>
      <c r="E93" s="23">
        <v>7</v>
      </c>
      <c r="F93" s="479"/>
      <c r="G93" s="45">
        <v>5958100000</v>
      </c>
      <c r="H93" s="240" t="s">
        <v>66</v>
      </c>
      <c r="I93" s="240" t="s">
        <v>66</v>
      </c>
      <c r="J93" s="241">
        <v>0</v>
      </c>
      <c r="K93" s="244"/>
      <c r="L93" s="301">
        <f>M93+N93+P93+O93</f>
        <v>100.5</v>
      </c>
      <c r="M93" s="302">
        <v>100.5</v>
      </c>
      <c r="N93" s="303"/>
      <c r="O93" s="357"/>
      <c r="P93" s="363"/>
      <c r="Q93" s="364">
        <v>4357</v>
      </c>
      <c r="R93" s="350">
        <v>6121</v>
      </c>
      <c r="S93" s="307">
        <v>0</v>
      </c>
      <c r="T93" s="27">
        <f>U93+V93+W93</f>
        <v>0</v>
      </c>
      <c r="U93" s="28">
        <v>0</v>
      </c>
      <c r="V93" s="28"/>
      <c r="W93" s="224"/>
      <c r="X93" s="224"/>
      <c r="Y93" s="30">
        <v>0</v>
      </c>
      <c r="Z93" s="396">
        <f t="shared" si="113"/>
        <v>100.5</v>
      </c>
      <c r="AA93" s="397">
        <f t="shared" si="103"/>
        <v>100.5</v>
      </c>
      <c r="AB93" s="397"/>
      <c r="AC93" s="397"/>
      <c r="AD93" s="397"/>
      <c r="AE93" s="398">
        <f t="shared" si="104"/>
        <v>0</v>
      </c>
      <c r="AF93" s="31">
        <f t="shared" si="115"/>
        <v>0</v>
      </c>
      <c r="AG93" s="28">
        <v>0</v>
      </c>
      <c r="AH93" s="28"/>
      <c r="AI93" s="28"/>
      <c r="AJ93" s="28"/>
      <c r="AK93" s="406">
        <f t="shared" si="77"/>
        <v>0</v>
      </c>
      <c r="AL93" s="397">
        <v>0</v>
      </c>
      <c r="AM93" s="397"/>
      <c r="AN93" s="397"/>
      <c r="AO93" s="402"/>
      <c r="AP93" s="164">
        <f t="shared" si="116"/>
        <v>0</v>
      </c>
      <c r="AQ93" s="28">
        <v>0</v>
      </c>
      <c r="AR93" s="28"/>
      <c r="AS93" s="406">
        <f t="shared" si="117"/>
        <v>0</v>
      </c>
      <c r="AT93" s="397">
        <f t="shared" si="118"/>
        <v>0</v>
      </c>
      <c r="AU93" s="397"/>
      <c r="AV93" s="397">
        <f>AR93</f>
        <v>0</v>
      </c>
      <c r="AW93" s="221">
        <f t="shared" si="119"/>
        <v>0</v>
      </c>
      <c r="AX93" s="28">
        <v>0</v>
      </c>
      <c r="AY93" s="28">
        <v>0</v>
      </c>
      <c r="AZ93" s="28">
        <v>0</v>
      </c>
      <c r="BA93" s="407">
        <f t="shared" si="120"/>
        <v>0</v>
      </c>
      <c r="BB93" s="397">
        <f t="shared" si="121"/>
        <v>0</v>
      </c>
      <c r="BC93" s="397">
        <f t="shared" si="121"/>
        <v>0</v>
      </c>
      <c r="BD93" s="397">
        <f t="shared" si="121"/>
        <v>0</v>
      </c>
      <c r="BE93" s="34">
        <f t="shared" si="122"/>
        <v>0</v>
      </c>
      <c r="BF93" s="28">
        <v>0</v>
      </c>
      <c r="BG93" s="28">
        <v>0</v>
      </c>
      <c r="BH93" s="28">
        <v>0</v>
      </c>
      <c r="BI93" s="409">
        <f t="shared" si="123"/>
        <v>0</v>
      </c>
      <c r="BJ93" s="397">
        <f t="shared" si="124"/>
        <v>0</v>
      </c>
      <c r="BK93" s="397">
        <f t="shared" si="109"/>
        <v>0</v>
      </c>
      <c r="BL93" s="410">
        <f t="shared" si="109"/>
        <v>0</v>
      </c>
      <c r="BM93" s="454">
        <v>0</v>
      </c>
      <c r="BN93" s="35">
        <f t="shared" si="99"/>
        <v>100.5</v>
      </c>
      <c r="BO93" s="413">
        <f t="shared" si="100"/>
        <v>100.5</v>
      </c>
      <c r="BP93" s="36">
        <f t="shared" si="83"/>
        <v>0</v>
      </c>
      <c r="BQ93" s="62"/>
      <c r="BR93" s="245"/>
      <c r="BS93" s="63"/>
      <c r="BV93" s="70"/>
      <c r="BW93" s="70"/>
      <c r="BX93" s="70"/>
      <c r="CB93" s="74"/>
      <c r="CC93" s="70"/>
      <c r="CD93" s="70"/>
      <c r="CE93" s="70"/>
      <c r="CF93" s="70"/>
      <c r="CG93" s="70"/>
      <c r="CH93" s="70"/>
    </row>
    <row r="94" spans="1:86" s="37" customFormat="1" ht="39.950000000000003" customHeight="1" x14ac:dyDescent="0.2">
      <c r="A94" s="489">
        <v>1</v>
      </c>
      <c r="B94" s="236" t="s">
        <v>115</v>
      </c>
      <c r="C94" s="21"/>
      <c r="D94" s="22"/>
      <c r="E94" s="23">
        <v>7</v>
      </c>
      <c r="F94" s="517" t="s">
        <v>192</v>
      </c>
      <c r="G94" s="246">
        <v>44211000000</v>
      </c>
      <c r="H94" s="247" t="s">
        <v>66</v>
      </c>
      <c r="I94" s="247" t="s">
        <v>66</v>
      </c>
      <c r="J94" s="248"/>
      <c r="K94" s="244"/>
      <c r="L94" s="301">
        <f>M94+N94+P94+O94</f>
        <v>150</v>
      </c>
      <c r="M94" s="302">
        <v>150</v>
      </c>
      <c r="N94" s="303"/>
      <c r="O94" s="357"/>
      <c r="P94" s="303"/>
      <c r="Q94" s="364">
        <v>4357</v>
      </c>
      <c r="R94" s="365">
        <v>6121</v>
      </c>
      <c r="S94" s="307">
        <v>0</v>
      </c>
      <c r="T94" s="27">
        <f>U94+V94+W94</f>
        <v>0</v>
      </c>
      <c r="U94" s="28">
        <v>0</v>
      </c>
      <c r="V94" s="28"/>
      <c r="W94" s="224"/>
      <c r="X94" s="224"/>
      <c r="Y94" s="30">
        <v>0</v>
      </c>
      <c r="Z94" s="396">
        <f>AA94+AB94</f>
        <v>150</v>
      </c>
      <c r="AA94" s="397">
        <f>M94+U94</f>
        <v>150</v>
      </c>
      <c r="AB94" s="397"/>
      <c r="AC94" s="397"/>
      <c r="AD94" s="397"/>
      <c r="AE94" s="398">
        <f>S94+Y94</f>
        <v>0</v>
      </c>
      <c r="AF94" s="31">
        <f>AG94+AH94+AI94</f>
        <v>0</v>
      </c>
      <c r="AG94" s="28">
        <v>0</v>
      </c>
      <c r="AH94" s="28"/>
      <c r="AI94" s="28"/>
      <c r="AJ94" s="28"/>
      <c r="AK94" s="406">
        <f t="shared" si="77"/>
        <v>0</v>
      </c>
      <c r="AL94" s="397">
        <v>0</v>
      </c>
      <c r="AM94" s="397"/>
      <c r="AN94" s="397"/>
      <c r="AO94" s="402"/>
      <c r="AP94" s="164">
        <f>AQ94</f>
        <v>0</v>
      </c>
      <c r="AQ94" s="28">
        <v>0</v>
      </c>
      <c r="AR94" s="28"/>
      <c r="AS94" s="406">
        <f>AT94</f>
        <v>0</v>
      </c>
      <c r="AT94" s="397">
        <v>0</v>
      </c>
      <c r="AU94" s="397"/>
      <c r="AV94" s="397"/>
      <c r="AW94" s="221">
        <f>AX94</f>
        <v>0</v>
      </c>
      <c r="AX94" s="28">
        <v>0</v>
      </c>
      <c r="AY94" s="28"/>
      <c r="AZ94" s="28"/>
      <c r="BA94" s="407">
        <f>BB94</f>
        <v>0</v>
      </c>
      <c r="BB94" s="397">
        <v>0</v>
      </c>
      <c r="BC94" s="397"/>
      <c r="BD94" s="397"/>
      <c r="BE94" s="34">
        <f>BF94</f>
        <v>0</v>
      </c>
      <c r="BF94" s="28">
        <v>0</v>
      </c>
      <c r="BG94" s="28"/>
      <c r="BH94" s="28"/>
      <c r="BI94" s="409">
        <f>BJ94</f>
        <v>0</v>
      </c>
      <c r="BJ94" s="397">
        <f>BF94</f>
        <v>0</v>
      </c>
      <c r="BK94" s="397"/>
      <c r="BL94" s="410"/>
      <c r="BM94" s="454">
        <v>0</v>
      </c>
      <c r="BN94" s="35">
        <f t="shared" si="99"/>
        <v>150</v>
      </c>
      <c r="BO94" s="413">
        <f>J94+Z94+AK94+AS94+BM94+BI94+BA94</f>
        <v>150</v>
      </c>
      <c r="BP94" s="36">
        <f t="shared" si="83"/>
        <v>0</v>
      </c>
      <c r="BQ94" s="38" t="s">
        <v>57</v>
      </c>
      <c r="BR94" s="519">
        <v>1</v>
      </c>
      <c r="BS94" s="37" t="s">
        <v>116</v>
      </c>
      <c r="BV94" s="70"/>
      <c r="BW94" s="70"/>
      <c r="BX94" s="70"/>
      <c r="BZ94" s="70"/>
      <c r="CC94" s="70"/>
      <c r="CD94" s="70"/>
      <c r="CE94" s="70"/>
      <c r="CG94" s="70"/>
      <c r="CH94" s="70"/>
    </row>
    <row r="95" spans="1:86" s="37" customFormat="1" ht="39.950000000000003" customHeight="1" x14ac:dyDescent="0.2">
      <c r="A95" s="490"/>
      <c r="B95" s="249" t="s">
        <v>115</v>
      </c>
      <c r="C95" s="21"/>
      <c r="D95" s="22"/>
      <c r="E95" s="23">
        <v>7</v>
      </c>
      <c r="F95" s="518"/>
      <c r="G95" s="246">
        <v>44211005506</v>
      </c>
      <c r="H95" s="247" t="s">
        <v>66</v>
      </c>
      <c r="I95" s="247" t="s">
        <v>66</v>
      </c>
      <c r="J95" s="241">
        <v>0</v>
      </c>
      <c r="K95" s="244"/>
      <c r="L95" s="301">
        <f>M95+N95+P95+O95</f>
        <v>19350</v>
      </c>
      <c r="M95" s="302">
        <v>19350</v>
      </c>
      <c r="N95" s="303"/>
      <c r="O95" s="357"/>
      <c r="P95" s="303"/>
      <c r="Q95" s="364">
        <v>4357</v>
      </c>
      <c r="R95" s="365">
        <v>6351</v>
      </c>
      <c r="S95" s="307">
        <v>19350000</v>
      </c>
      <c r="T95" s="27">
        <f>U95+V95+W95</f>
        <v>-19350</v>
      </c>
      <c r="U95" s="28">
        <v>-19350</v>
      </c>
      <c r="V95" s="28"/>
      <c r="W95" s="224"/>
      <c r="X95" s="224"/>
      <c r="Y95" s="30">
        <v>-19350000</v>
      </c>
      <c r="Z95" s="396">
        <f>AA95+AB95</f>
        <v>0</v>
      </c>
      <c r="AA95" s="397">
        <f>M95+U95</f>
        <v>0</v>
      </c>
      <c r="AB95" s="397"/>
      <c r="AC95" s="397"/>
      <c r="AD95" s="397"/>
      <c r="AE95" s="398">
        <f>S95+Y95</f>
        <v>0</v>
      </c>
      <c r="AF95" s="31">
        <f>AG95+AH95+AI95</f>
        <v>0</v>
      </c>
      <c r="AG95" s="28">
        <v>0</v>
      </c>
      <c r="AH95" s="28"/>
      <c r="AI95" s="28"/>
      <c r="AJ95" s="28"/>
      <c r="AK95" s="406">
        <f t="shared" si="77"/>
        <v>19350</v>
      </c>
      <c r="AL95" s="397">
        <v>19350</v>
      </c>
      <c r="AM95" s="397"/>
      <c r="AN95" s="397"/>
      <c r="AO95" s="402"/>
      <c r="AP95" s="164">
        <f>AQ95</f>
        <v>0</v>
      </c>
      <c r="AQ95" s="28">
        <v>0</v>
      </c>
      <c r="AR95" s="28"/>
      <c r="AS95" s="406">
        <f>AT95</f>
        <v>0</v>
      </c>
      <c r="AT95" s="397">
        <v>0</v>
      </c>
      <c r="AU95" s="397"/>
      <c r="AV95" s="397"/>
      <c r="AW95" s="221">
        <f>AX95</f>
        <v>0</v>
      </c>
      <c r="AX95" s="28">
        <v>0</v>
      </c>
      <c r="AY95" s="28"/>
      <c r="AZ95" s="28"/>
      <c r="BA95" s="407">
        <f>BB95</f>
        <v>0</v>
      </c>
      <c r="BB95" s="397">
        <v>0</v>
      </c>
      <c r="BC95" s="397"/>
      <c r="BD95" s="397"/>
      <c r="BE95" s="34">
        <f>BF95</f>
        <v>0</v>
      </c>
      <c r="BF95" s="28">
        <v>0</v>
      </c>
      <c r="BG95" s="28"/>
      <c r="BH95" s="28"/>
      <c r="BI95" s="409">
        <f>BJ95</f>
        <v>0</v>
      </c>
      <c r="BJ95" s="397">
        <f>BF95</f>
        <v>0</v>
      </c>
      <c r="BK95" s="397"/>
      <c r="BL95" s="410"/>
      <c r="BM95" s="454">
        <v>605.02</v>
      </c>
      <c r="BN95" s="35">
        <f t="shared" si="99"/>
        <v>19955.02</v>
      </c>
      <c r="BO95" s="413">
        <f>J95+Z95+AK95+AS95+BM95+BI95+BA95</f>
        <v>19955.02</v>
      </c>
      <c r="BP95" s="36">
        <f t="shared" si="83"/>
        <v>0</v>
      </c>
      <c r="BQ95" s="38" t="s">
        <v>57</v>
      </c>
      <c r="BR95" s="498"/>
      <c r="BS95" s="37" t="s">
        <v>116</v>
      </c>
      <c r="BV95" s="70"/>
      <c r="BW95" s="70"/>
      <c r="BX95" s="70"/>
      <c r="CC95" s="70"/>
      <c r="CD95" s="70"/>
      <c r="CE95" s="70"/>
      <c r="CG95" s="70"/>
      <c r="CH95" s="70"/>
    </row>
    <row r="96" spans="1:86" s="37" customFormat="1" ht="39.950000000000003" customHeight="1" x14ac:dyDescent="0.2">
      <c r="A96" s="77">
        <v>1</v>
      </c>
      <c r="B96" s="249" t="s">
        <v>115</v>
      </c>
      <c r="C96" s="21"/>
      <c r="D96" s="22"/>
      <c r="E96" s="23">
        <v>7</v>
      </c>
      <c r="F96" s="250" t="s">
        <v>193</v>
      </c>
      <c r="G96" s="246">
        <v>4424000000</v>
      </c>
      <c r="H96" s="251">
        <v>64000</v>
      </c>
      <c r="I96" s="252" t="s">
        <v>88</v>
      </c>
      <c r="J96" s="253">
        <v>0</v>
      </c>
      <c r="K96" s="254"/>
      <c r="L96" s="301">
        <f>M96+N96+P96+O96</f>
        <v>2100.4299999999998</v>
      </c>
      <c r="M96" s="302">
        <v>2100.4299999999998</v>
      </c>
      <c r="N96" s="303"/>
      <c r="O96" s="357"/>
      <c r="P96" s="303"/>
      <c r="Q96" s="366">
        <v>4312</v>
      </c>
      <c r="R96" s="367">
        <v>6121</v>
      </c>
      <c r="S96" s="307">
        <v>0</v>
      </c>
      <c r="T96" s="27">
        <f>U96+V96+W96</f>
        <v>-1600</v>
      </c>
      <c r="U96" s="28">
        <v>-1600</v>
      </c>
      <c r="V96" s="28"/>
      <c r="W96" s="224"/>
      <c r="X96" s="224"/>
      <c r="Y96" s="30">
        <v>0</v>
      </c>
      <c r="Z96" s="396">
        <f>AA96+AB96</f>
        <v>500.42999999999984</v>
      </c>
      <c r="AA96" s="397">
        <f>M96+U96</f>
        <v>500.42999999999984</v>
      </c>
      <c r="AB96" s="397"/>
      <c r="AC96" s="397"/>
      <c r="AD96" s="397"/>
      <c r="AE96" s="398">
        <f>S96+Y96</f>
        <v>0</v>
      </c>
      <c r="AF96" s="31">
        <f>AG96+AH96+AI96</f>
        <v>21000</v>
      </c>
      <c r="AG96" s="28">
        <v>21000</v>
      </c>
      <c r="AH96" s="28"/>
      <c r="AI96" s="28"/>
      <c r="AJ96" s="28"/>
      <c r="AK96" s="406">
        <f>AL96+AM96</f>
        <v>5000</v>
      </c>
      <c r="AL96" s="397">
        <v>5000</v>
      </c>
      <c r="AM96" s="397"/>
      <c r="AN96" s="397"/>
      <c r="AO96" s="402"/>
      <c r="AP96" s="164">
        <f>AQ96</f>
        <v>39899.57</v>
      </c>
      <c r="AQ96" s="28">
        <v>39899.57</v>
      </c>
      <c r="AR96" s="28"/>
      <c r="AS96" s="406">
        <f>AT96</f>
        <v>39899.57</v>
      </c>
      <c r="AT96" s="397">
        <v>39899.57</v>
      </c>
      <c r="AU96" s="397"/>
      <c r="AV96" s="397"/>
      <c r="AW96" s="221">
        <f>AX96</f>
        <v>0</v>
      </c>
      <c r="AX96" s="28">
        <v>0</v>
      </c>
      <c r="AY96" s="28"/>
      <c r="AZ96" s="28"/>
      <c r="BA96" s="407">
        <f>BB96</f>
        <v>17600</v>
      </c>
      <c r="BB96" s="397">
        <v>17600</v>
      </c>
      <c r="BC96" s="397"/>
      <c r="BD96" s="397"/>
      <c r="BE96" s="34">
        <f>BF96</f>
        <v>0</v>
      </c>
      <c r="BF96" s="28">
        <v>0</v>
      </c>
      <c r="BG96" s="28"/>
      <c r="BH96" s="28"/>
      <c r="BI96" s="409">
        <f>BJ96</f>
        <v>0</v>
      </c>
      <c r="BJ96" s="397">
        <f>BF96</f>
        <v>0</v>
      </c>
      <c r="BK96" s="397"/>
      <c r="BL96" s="410"/>
      <c r="BM96" s="454">
        <v>217</v>
      </c>
      <c r="BN96" s="35">
        <f>J96+L96+AF96+AP96+AW96+BE96+BM96</f>
        <v>63217</v>
      </c>
      <c r="BO96" s="413">
        <f>J96+Z96+AK96+AS96+BM96+BI96+BA96</f>
        <v>63217</v>
      </c>
      <c r="BP96" s="36">
        <f t="shared" si="83"/>
        <v>0</v>
      </c>
      <c r="BQ96" s="38" t="s">
        <v>57</v>
      </c>
      <c r="BR96" s="41">
        <v>1</v>
      </c>
      <c r="BS96" s="37" t="s">
        <v>93</v>
      </c>
      <c r="BV96" s="70"/>
      <c r="BW96" s="70"/>
      <c r="BX96" s="70"/>
      <c r="BZ96" s="70"/>
      <c r="CC96" s="70"/>
      <c r="CD96" s="70"/>
      <c r="CE96" s="70"/>
      <c r="CG96" s="70"/>
      <c r="CH96" s="70"/>
    </row>
    <row r="97" spans="1:86" s="69" customFormat="1" ht="39.950000000000003" customHeight="1" x14ac:dyDescent="0.2">
      <c r="A97" s="506">
        <v>1</v>
      </c>
      <c r="B97" s="249" t="s">
        <v>117</v>
      </c>
      <c r="C97" s="21"/>
      <c r="D97" s="22"/>
      <c r="E97" s="82">
        <v>7</v>
      </c>
      <c r="F97" s="508" t="s">
        <v>216</v>
      </c>
      <c r="G97" s="443">
        <v>4419000000</v>
      </c>
      <c r="H97" s="510">
        <v>55000</v>
      </c>
      <c r="I97" s="511" t="s">
        <v>83</v>
      </c>
      <c r="J97" s="241">
        <v>0</v>
      </c>
      <c r="K97" s="244"/>
      <c r="L97" s="301">
        <f t="shared" ref="L97:L123" si="125">M97+N97+P97+O97</f>
        <v>500</v>
      </c>
      <c r="M97" s="302">
        <v>500</v>
      </c>
      <c r="N97" s="303"/>
      <c r="O97" s="450"/>
      <c r="P97" s="303"/>
      <c r="Q97" s="451">
        <v>3322</v>
      </c>
      <c r="R97" s="452">
        <v>5169</v>
      </c>
      <c r="S97" s="307">
        <v>0</v>
      </c>
      <c r="T97" s="27">
        <f t="shared" ref="T97:T123" si="126">U97+V97+W97</f>
        <v>-350</v>
      </c>
      <c r="U97" s="28">
        <v>-350</v>
      </c>
      <c r="V97" s="28"/>
      <c r="W97" s="453"/>
      <c r="X97" s="453"/>
      <c r="Y97" s="30">
        <v>0</v>
      </c>
      <c r="Z97" s="396">
        <f t="shared" ref="Z97:Z122" si="127">AA97+AB97</f>
        <v>150</v>
      </c>
      <c r="AA97" s="397">
        <f t="shared" ref="AA97:AC101" si="128">M97+U97</f>
        <v>150</v>
      </c>
      <c r="AB97" s="397">
        <f t="shared" si="128"/>
        <v>0</v>
      </c>
      <c r="AC97" s="397">
        <f t="shared" si="128"/>
        <v>0</v>
      </c>
      <c r="AD97" s="397">
        <f>X97</f>
        <v>0</v>
      </c>
      <c r="AE97" s="398">
        <v>0</v>
      </c>
      <c r="AF97" s="31">
        <f>AG97+AH97+AI97</f>
        <v>4000</v>
      </c>
      <c r="AG97" s="28">
        <v>4000</v>
      </c>
      <c r="AH97" s="28"/>
      <c r="AI97" s="28"/>
      <c r="AJ97" s="28"/>
      <c r="AK97" s="406">
        <f t="shared" si="77"/>
        <v>4850</v>
      </c>
      <c r="AL97" s="397">
        <v>4850</v>
      </c>
      <c r="AM97" s="397"/>
      <c r="AN97" s="397"/>
      <c r="AO97" s="402">
        <v>0</v>
      </c>
      <c r="AP97" s="164">
        <f t="shared" ref="AP97:AP122" si="129">AQ97</f>
        <v>0</v>
      </c>
      <c r="AQ97" s="28">
        <v>0</v>
      </c>
      <c r="AR97" s="28">
        <v>0</v>
      </c>
      <c r="AS97" s="406">
        <f t="shared" ref="AS97:AS123" si="130">AT97</f>
        <v>0</v>
      </c>
      <c r="AT97" s="397">
        <v>0</v>
      </c>
      <c r="AU97" s="397"/>
      <c r="AV97" s="397">
        <v>0</v>
      </c>
      <c r="AW97" s="221">
        <f t="shared" ref="AW97:AW123" si="131">AX97</f>
        <v>0</v>
      </c>
      <c r="AX97" s="28">
        <v>0</v>
      </c>
      <c r="AY97" s="28">
        <v>0</v>
      </c>
      <c r="AZ97" s="28">
        <v>0</v>
      </c>
      <c r="BA97" s="407">
        <f t="shared" ref="BA97:BA123" si="132">BB97</f>
        <v>0</v>
      </c>
      <c r="BB97" s="397">
        <v>0</v>
      </c>
      <c r="BC97" s="397">
        <v>0</v>
      </c>
      <c r="BD97" s="397">
        <v>0</v>
      </c>
      <c r="BE97" s="34">
        <f t="shared" ref="BE97:BE123" si="133">BF97</f>
        <v>0</v>
      </c>
      <c r="BF97" s="28">
        <v>0</v>
      </c>
      <c r="BG97" s="28">
        <v>0</v>
      </c>
      <c r="BH97" s="28">
        <v>0</v>
      </c>
      <c r="BI97" s="409">
        <f t="shared" ref="BI97:BI123" si="134">BJ97</f>
        <v>0</v>
      </c>
      <c r="BJ97" s="397">
        <f t="shared" ref="BJ97:BL103" si="135">BF97</f>
        <v>0</v>
      </c>
      <c r="BK97" s="397">
        <f t="shared" si="135"/>
        <v>0</v>
      </c>
      <c r="BL97" s="410">
        <f t="shared" si="135"/>
        <v>0</v>
      </c>
      <c r="BM97" s="454">
        <f>BL97+BD97+AW97+AO97</f>
        <v>0</v>
      </c>
      <c r="BN97" s="35">
        <f>J97+L97+AF97+AP97+AW97+BE97+BM97</f>
        <v>4500</v>
      </c>
      <c r="BO97" s="413">
        <f t="shared" ref="BO97:BO122" si="136">J97+Z97+AK97+AS97+BM97+BI97+BA97</f>
        <v>5000</v>
      </c>
      <c r="BP97" s="36">
        <f t="shared" si="83"/>
        <v>500</v>
      </c>
      <c r="BQ97" s="512" t="s">
        <v>118</v>
      </c>
      <c r="BR97" s="513">
        <v>2</v>
      </c>
      <c r="BS97" s="68" t="s">
        <v>87</v>
      </c>
      <c r="BV97" s="427"/>
      <c r="BW97" s="427"/>
      <c r="BX97" s="427"/>
      <c r="BZ97" s="427"/>
      <c r="CC97" s="427"/>
      <c r="CD97" s="427"/>
      <c r="CE97" s="427"/>
      <c r="CG97" s="427"/>
      <c r="CH97" s="427"/>
    </row>
    <row r="98" spans="1:86" s="69" customFormat="1" ht="39.950000000000003" customHeight="1" x14ac:dyDescent="0.2">
      <c r="A98" s="507"/>
      <c r="B98" s="249" t="s">
        <v>117</v>
      </c>
      <c r="C98" s="21"/>
      <c r="D98" s="22"/>
      <c r="E98" s="82">
        <v>7</v>
      </c>
      <c r="F98" s="509"/>
      <c r="G98" s="443">
        <v>4419000000</v>
      </c>
      <c r="H98" s="482"/>
      <c r="I98" s="485"/>
      <c r="J98" s="241">
        <v>0</v>
      </c>
      <c r="K98" s="244"/>
      <c r="L98" s="301">
        <f t="shared" si="125"/>
        <v>500</v>
      </c>
      <c r="M98" s="302">
        <v>500</v>
      </c>
      <c r="N98" s="303"/>
      <c r="O98" s="430"/>
      <c r="P98" s="303"/>
      <c r="Q98" s="451">
        <v>3322</v>
      </c>
      <c r="R98" s="452">
        <v>5171</v>
      </c>
      <c r="S98" s="307">
        <v>0</v>
      </c>
      <c r="T98" s="27">
        <f t="shared" si="126"/>
        <v>-500</v>
      </c>
      <c r="U98" s="28">
        <v>-500</v>
      </c>
      <c r="V98" s="28"/>
      <c r="W98" s="433"/>
      <c r="X98" s="433"/>
      <c r="Y98" s="30">
        <v>0</v>
      </c>
      <c r="Z98" s="396">
        <f t="shared" si="127"/>
        <v>0</v>
      </c>
      <c r="AA98" s="397">
        <f t="shared" si="128"/>
        <v>0</v>
      </c>
      <c r="AB98" s="397">
        <f t="shared" si="128"/>
        <v>0</v>
      </c>
      <c r="AC98" s="397">
        <f t="shared" si="128"/>
        <v>0</v>
      </c>
      <c r="AD98" s="397">
        <f>X98</f>
        <v>0</v>
      </c>
      <c r="AE98" s="398">
        <v>0</v>
      </c>
      <c r="AF98" s="31">
        <f t="shared" ref="AF98:AF123" si="137">AG98+AH98+AI98</f>
        <v>30000</v>
      </c>
      <c r="AG98" s="28">
        <v>30000</v>
      </c>
      <c r="AH98" s="28"/>
      <c r="AI98" s="28"/>
      <c r="AJ98" s="28"/>
      <c r="AK98" s="401">
        <f t="shared" si="77"/>
        <v>30000</v>
      </c>
      <c r="AL98" s="397">
        <v>30000</v>
      </c>
      <c r="AM98" s="397"/>
      <c r="AN98" s="397"/>
      <c r="AO98" s="402"/>
      <c r="AP98" s="164">
        <f t="shared" si="129"/>
        <v>0</v>
      </c>
      <c r="AQ98" s="28">
        <v>0</v>
      </c>
      <c r="AR98" s="28">
        <v>0</v>
      </c>
      <c r="AS98" s="401">
        <f t="shared" si="130"/>
        <v>20000</v>
      </c>
      <c r="AT98" s="397">
        <f>15000+5000</f>
        <v>20000</v>
      </c>
      <c r="AU98" s="397"/>
      <c r="AV98" s="397">
        <v>0</v>
      </c>
      <c r="AW98" s="33">
        <f t="shared" si="131"/>
        <v>0</v>
      </c>
      <c r="AX98" s="28">
        <v>0</v>
      </c>
      <c r="AY98" s="28">
        <v>0</v>
      </c>
      <c r="AZ98" s="28">
        <v>0</v>
      </c>
      <c r="BA98" s="403">
        <f t="shared" si="132"/>
        <v>0</v>
      </c>
      <c r="BB98" s="397">
        <v>0</v>
      </c>
      <c r="BC98" s="397">
        <v>0</v>
      </c>
      <c r="BD98" s="397">
        <v>0</v>
      </c>
      <c r="BE98" s="34">
        <f t="shared" si="133"/>
        <v>0</v>
      </c>
      <c r="BF98" s="28">
        <v>0</v>
      </c>
      <c r="BG98" s="28">
        <v>0</v>
      </c>
      <c r="BH98" s="28">
        <v>0</v>
      </c>
      <c r="BI98" s="409">
        <f t="shared" si="134"/>
        <v>0</v>
      </c>
      <c r="BJ98" s="397">
        <f t="shared" si="135"/>
        <v>0</v>
      </c>
      <c r="BK98" s="397">
        <f t="shared" si="135"/>
        <v>0</v>
      </c>
      <c r="BL98" s="410">
        <f t="shared" si="135"/>
        <v>0</v>
      </c>
      <c r="BM98" s="454">
        <f>BL98+BD98+AW98+AO98</f>
        <v>0</v>
      </c>
      <c r="BN98" s="35">
        <f t="shared" ref="BN98:BN101" si="138">J98+L98+AF98+AP98+AW98+BE98+BM98</f>
        <v>30500</v>
      </c>
      <c r="BO98" s="413">
        <f t="shared" si="136"/>
        <v>50000</v>
      </c>
      <c r="BP98" s="36">
        <f t="shared" si="83"/>
        <v>19500</v>
      </c>
      <c r="BQ98" s="512"/>
      <c r="BR98" s="514"/>
      <c r="BS98" s="68" t="s">
        <v>87</v>
      </c>
      <c r="BV98" s="427"/>
      <c r="BW98" s="427"/>
      <c r="BX98" s="427"/>
      <c r="CC98" s="427"/>
      <c r="CD98" s="427"/>
      <c r="CE98" s="427"/>
      <c r="CG98" s="427"/>
      <c r="CH98" s="427"/>
    </row>
    <row r="99" spans="1:86" s="37" customFormat="1" ht="39.950000000000003" customHeight="1" x14ac:dyDescent="0.2">
      <c r="A99" s="489">
        <v>1</v>
      </c>
      <c r="B99" s="249" t="s">
        <v>117</v>
      </c>
      <c r="C99" s="21"/>
      <c r="D99" s="22"/>
      <c r="E99" s="255">
        <v>7</v>
      </c>
      <c r="F99" s="499" t="s">
        <v>194</v>
      </c>
      <c r="G99" s="256">
        <v>4350004005</v>
      </c>
      <c r="H99" s="257" t="s">
        <v>66</v>
      </c>
      <c r="I99" s="257" t="s">
        <v>66</v>
      </c>
      <c r="J99" s="258">
        <v>0</v>
      </c>
      <c r="K99" s="259"/>
      <c r="L99" s="301">
        <f>M99+N99+P99+O99</f>
        <v>13350</v>
      </c>
      <c r="M99" s="302">
        <v>13350</v>
      </c>
      <c r="N99" s="303">
        <v>0</v>
      </c>
      <c r="O99" s="304">
        <v>0</v>
      </c>
      <c r="P99" s="303">
        <v>0</v>
      </c>
      <c r="Q99" s="368">
        <v>3322</v>
      </c>
      <c r="R99" s="350">
        <v>5331</v>
      </c>
      <c r="S99" s="307">
        <v>13350000</v>
      </c>
      <c r="T99" s="27">
        <f>U99+V99+W99</f>
        <v>-13350</v>
      </c>
      <c r="U99" s="28">
        <v>-13350</v>
      </c>
      <c r="V99" s="28">
        <v>0</v>
      </c>
      <c r="W99" s="29">
        <v>0</v>
      </c>
      <c r="X99" s="29">
        <v>0</v>
      </c>
      <c r="Y99" s="30">
        <f>(U99+V99)*1000</f>
        <v>-13350000</v>
      </c>
      <c r="Z99" s="396">
        <f>AA99+AB99</f>
        <v>0</v>
      </c>
      <c r="AA99" s="397">
        <f t="shared" si="128"/>
        <v>0</v>
      </c>
      <c r="AB99" s="397">
        <f t="shared" si="128"/>
        <v>0</v>
      </c>
      <c r="AC99" s="397">
        <f t="shared" si="128"/>
        <v>0</v>
      </c>
      <c r="AD99" s="397">
        <f t="shared" ref="AD99" si="139">X99</f>
        <v>0</v>
      </c>
      <c r="AE99" s="398">
        <f>S99+Y99</f>
        <v>0</v>
      </c>
      <c r="AF99" s="31">
        <f t="shared" si="137"/>
        <v>0</v>
      </c>
      <c r="AG99" s="28">
        <v>0</v>
      </c>
      <c r="AH99" s="28">
        <v>0</v>
      </c>
      <c r="AI99" s="28">
        <v>0</v>
      </c>
      <c r="AJ99" s="28">
        <v>0</v>
      </c>
      <c r="AK99" s="401">
        <f t="shared" si="77"/>
        <v>13350</v>
      </c>
      <c r="AL99" s="397">
        <v>13350</v>
      </c>
      <c r="AM99" s="397">
        <f t="shared" ref="AM99:AO99" si="140">AH99</f>
        <v>0</v>
      </c>
      <c r="AN99" s="397">
        <f t="shared" si="140"/>
        <v>0</v>
      </c>
      <c r="AO99" s="402">
        <f t="shared" si="140"/>
        <v>0</v>
      </c>
      <c r="AP99" s="164">
        <f>AQ99</f>
        <v>0</v>
      </c>
      <c r="AQ99" s="28">
        <v>0</v>
      </c>
      <c r="AR99" s="28">
        <v>0</v>
      </c>
      <c r="AS99" s="401">
        <f>AT99</f>
        <v>0</v>
      </c>
      <c r="AT99" s="397">
        <f t="shared" ref="AT99:AT100" si="141">AQ99</f>
        <v>0</v>
      </c>
      <c r="AU99" s="397"/>
      <c r="AV99" s="397">
        <f t="shared" ref="AV99:AV101" si="142">AR99</f>
        <v>0</v>
      </c>
      <c r="AW99" s="33">
        <f>AX99</f>
        <v>0</v>
      </c>
      <c r="AX99" s="28">
        <v>0</v>
      </c>
      <c r="AY99" s="28">
        <v>0</v>
      </c>
      <c r="AZ99" s="28">
        <v>0</v>
      </c>
      <c r="BA99" s="403">
        <f>BB99</f>
        <v>0</v>
      </c>
      <c r="BB99" s="397">
        <f t="shared" ref="BB99:BD103" si="143">AX99</f>
        <v>0</v>
      </c>
      <c r="BC99" s="397">
        <f t="shared" si="143"/>
        <v>0</v>
      </c>
      <c r="BD99" s="397">
        <f t="shared" si="143"/>
        <v>0</v>
      </c>
      <c r="BE99" s="34">
        <f>BF99</f>
        <v>0</v>
      </c>
      <c r="BF99" s="28">
        <v>0</v>
      </c>
      <c r="BG99" s="28">
        <v>0</v>
      </c>
      <c r="BH99" s="28">
        <v>0</v>
      </c>
      <c r="BI99" s="409">
        <f>BJ99</f>
        <v>0</v>
      </c>
      <c r="BJ99" s="397">
        <f t="shared" si="135"/>
        <v>0</v>
      </c>
      <c r="BK99" s="397">
        <f t="shared" si="135"/>
        <v>0</v>
      </c>
      <c r="BL99" s="410">
        <f t="shared" si="135"/>
        <v>0</v>
      </c>
      <c r="BM99" s="454">
        <v>1076</v>
      </c>
      <c r="BN99" s="49">
        <f t="shared" si="138"/>
        <v>14426</v>
      </c>
      <c r="BO99" s="414">
        <f t="shared" si="136"/>
        <v>14426</v>
      </c>
      <c r="BP99" s="36">
        <f t="shared" si="83"/>
        <v>0</v>
      </c>
      <c r="BQ99" s="38" t="s">
        <v>57</v>
      </c>
      <c r="BR99" s="500">
        <v>1</v>
      </c>
      <c r="BS99" s="37" t="s">
        <v>67</v>
      </c>
      <c r="BV99" s="70"/>
      <c r="BW99" s="70"/>
      <c r="BX99" s="70"/>
      <c r="BZ99" s="70"/>
      <c r="CC99" s="70"/>
      <c r="CD99" s="70"/>
      <c r="CE99" s="70"/>
      <c r="CG99" s="70"/>
      <c r="CH99" s="70"/>
    </row>
    <row r="100" spans="1:86" s="37" customFormat="1" ht="39.950000000000003" customHeight="1" x14ac:dyDescent="0.2">
      <c r="A100" s="490"/>
      <c r="B100" s="260" t="s">
        <v>117</v>
      </c>
      <c r="C100" s="21"/>
      <c r="D100" s="22"/>
      <c r="E100" s="257">
        <v>7</v>
      </c>
      <c r="F100" s="492"/>
      <c r="G100" s="256">
        <v>4350000000</v>
      </c>
      <c r="H100" s="257" t="s">
        <v>66</v>
      </c>
      <c r="I100" s="257" t="s">
        <v>66</v>
      </c>
      <c r="J100" s="258">
        <v>0</v>
      </c>
      <c r="K100" s="259"/>
      <c r="L100" s="301">
        <f t="shared" ref="L100:L106" si="144">M100+N100+P100+O100</f>
        <v>150</v>
      </c>
      <c r="M100" s="302">
        <v>150</v>
      </c>
      <c r="N100" s="303"/>
      <c r="O100" s="304"/>
      <c r="P100" s="363"/>
      <c r="Q100" s="368">
        <v>3322</v>
      </c>
      <c r="R100" s="350">
        <v>6121</v>
      </c>
      <c r="S100" s="307">
        <v>0</v>
      </c>
      <c r="T100" s="27">
        <f>U100+V100+W100</f>
        <v>0</v>
      </c>
      <c r="U100" s="28">
        <v>0</v>
      </c>
      <c r="V100" s="28"/>
      <c r="W100" s="29"/>
      <c r="X100" s="29"/>
      <c r="Y100" s="30">
        <v>0</v>
      </c>
      <c r="Z100" s="396">
        <f t="shared" ref="Z100:Z106" si="145">AA100+AB100</f>
        <v>150</v>
      </c>
      <c r="AA100" s="397">
        <f t="shared" si="128"/>
        <v>150</v>
      </c>
      <c r="AB100" s="397"/>
      <c r="AC100" s="397"/>
      <c r="AD100" s="397"/>
      <c r="AE100" s="398">
        <f>S100+Y100</f>
        <v>0</v>
      </c>
      <c r="AF100" s="31">
        <f t="shared" si="137"/>
        <v>0</v>
      </c>
      <c r="AG100" s="28">
        <v>0</v>
      </c>
      <c r="AH100" s="28"/>
      <c r="AI100" s="28"/>
      <c r="AJ100" s="28"/>
      <c r="AK100" s="401">
        <f t="shared" si="77"/>
        <v>0</v>
      </c>
      <c r="AL100" s="397">
        <v>0</v>
      </c>
      <c r="AM100" s="397"/>
      <c r="AN100" s="397"/>
      <c r="AO100" s="402"/>
      <c r="AP100" s="164">
        <f>AQ100</f>
        <v>0</v>
      </c>
      <c r="AQ100" s="28">
        <v>0</v>
      </c>
      <c r="AR100" s="28">
        <v>0</v>
      </c>
      <c r="AS100" s="401">
        <f>AT100</f>
        <v>0</v>
      </c>
      <c r="AT100" s="397">
        <f t="shared" si="141"/>
        <v>0</v>
      </c>
      <c r="AU100" s="397"/>
      <c r="AV100" s="397">
        <f t="shared" si="142"/>
        <v>0</v>
      </c>
      <c r="AW100" s="33">
        <f>AX100</f>
        <v>0</v>
      </c>
      <c r="AX100" s="28">
        <v>0</v>
      </c>
      <c r="AY100" s="28">
        <v>0</v>
      </c>
      <c r="AZ100" s="28">
        <v>0</v>
      </c>
      <c r="BA100" s="403">
        <f>BB100</f>
        <v>0</v>
      </c>
      <c r="BB100" s="397">
        <f t="shared" si="143"/>
        <v>0</v>
      </c>
      <c r="BC100" s="397">
        <f t="shared" si="143"/>
        <v>0</v>
      </c>
      <c r="BD100" s="397">
        <f t="shared" si="143"/>
        <v>0</v>
      </c>
      <c r="BE100" s="34">
        <f>BF100</f>
        <v>0</v>
      </c>
      <c r="BF100" s="28">
        <v>0</v>
      </c>
      <c r="BG100" s="28">
        <v>0</v>
      </c>
      <c r="BH100" s="28">
        <v>0</v>
      </c>
      <c r="BI100" s="409">
        <f>BJ100</f>
        <v>0</v>
      </c>
      <c r="BJ100" s="397">
        <f t="shared" si="135"/>
        <v>0</v>
      </c>
      <c r="BK100" s="397">
        <f t="shared" si="135"/>
        <v>0</v>
      </c>
      <c r="BL100" s="410">
        <f t="shared" si="135"/>
        <v>0</v>
      </c>
      <c r="BM100" s="454">
        <v>0</v>
      </c>
      <c r="BN100" s="49">
        <f t="shared" si="138"/>
        <v>150</v>
      </c>
      <c r="BO100" s="414">
        <f t="shared" si="136"/>
        <v>150</v>
      </c>
      <c r="BP100" s="36">
        <f t="shared" si="83"/>
        <v>0</v>
      </c>
      <c r="BQ100" s="38" t="s">
        <v>57</v>
      </c>
      <c r="BR100" s="467"/>
      <c r="BS100" s="37" t="s">
        <v>67</v>
      </c>
      <c r="BV100" s="70"/>
      <c r="BW100" s="70"/>
      <c r="BX100" s="70"/>
      <c r="CC100" s="70"/>
      <c r="CD100" s="70"/>
      <c r="CE100" s="70"/>
      <c r="CG100" s="70"/>
      <c r="CH100" s="70"/>
    </row>
    <row r="101" spans="1:86" s="37" customFormat="1" ht="39.950000000000003" customHeight="1" x14ac:dyDescent="0.2">
      <c r="A101" s="77">
        <v>1</v>
      </c>
      <c r="B101" s="260" t="s">
        <v>117</v>
      </c>
      <c r="C101" s="21"/>
      <c r="D101" s="22"/>
      <c r="E101" s="257">
        <v>17</v>
      </c>
      <c r="F101" s="75" t="s">
        <v>195</v>
      </c>
      <c r="G101" s="60">
        <v>4415000000</v>
      </c>
      <c r="H101" s="257" t="s">
        <v>66</v>
      </c>
      <c r="I101" s="257" t="s">
        <v>66</v>
      </c>
      <c r="J101" s="258">
        <v>1325</v>
      </c>
      <c r="K101" s="259"/>
      <c r="L101" s="301">
        <f t="shared" si="144"/>
        <v>4175</v>
      </c>
      <c r="M101" s="302">
        <v>4175</v>
      </c>
      <c r="N101" s="303"/>
      <c r="O101" s="304"/>
      <c r="P101" s="363"/>
      <c r="Q101" s="369">
        <v>3315</v>
      </c>
      <c r="R101" s="370">
        <v>6129</v>
      </c>
      <c r="S101" s="307">
        <v>0</v>
      </c>
      <c r="T101" s="27">
        <f t="shared" ref="T101:T106" si="146">U101+V101+W101</f>
        <v>-4175</v>
      </c>
      <c r="U101" s="28">
        <v>-4175</v>
      </c>
      <c r="V101" s="28"/>
      <c r="W101" s="29"/>
      <c r="X101" s="29"/>
      <c r="Y101" s="30">
        <v>0</v>
      </c>
      <c r="Z101" s="396">
        <f t="shared" si="145"/>
        <v>0</v>
      </c>
      <c r="AA101" s="397">
        <f t="shared" si="128"/>
        <v>0</v>
      </c>
      <c r="AB101" s="397"/>
      <c r="AC101" s="397"/>
      <c r="AD101" s="397"/>
      <c r="AE101" s="398">
        <f t="shared" ref="AE101:AE123" si="147">S101+Y101</f>
        <v>0</v>
      </c>
      <c r="AF101" s="31">
        <f t="shared" si="137"/>
        <v>10000</v>
      </c>
      <c r="AG101" s="28">
        <v>10000</v>
      </c>
      <c r="AH101" s="28"/>
      <c r="AI101" s="28"/>
      <c r="AJ101" s="28"/>
      <c r="AK101" s="401">
        <f t="shared" si="77"/>
        <v>4175</v>
      </c>
      <c r="AL101" s="397">
        <v>4175</v>
      </c>
      <c r="AM101" s="397"/>
      <c r="AN101" s="397"/>
      <c r="AO101" s="402"/>
      <c r="AP101" s="164">
        <f t="shared" ref="AP101:AP106" si="148">AQ101</f>
        <v>0</v>
      </c>
      <c r="AQ101" s="28">
        <v>0</v>
      </c>
      <c r="AR101" s="28">
        <v>0</v>
      </c>
      <c r="AS101" s="401">
        <f t="shared" ref="AS101:AS117" si="149">AT101</f>
        <v>10000</v>
      </c>
      <c r="AT101" s="397">
        <v>10000</v>
      </c>
      <c r="AU101" s="397"/>
      <c r="AV101" s="397">
        <f t="shared" si="142"/>
        <v>0</v>
      </c>
      <c r="AW101" s="33">
        <f t="shared" ref="AW101:AW106" si="150">AX101</f>
        <v>0</v>
      </c>
      <c r="AX101" s="28">
        <v>0</v>
      </c>
      <c r="AY101" s="28">
        <v>0</v>
      </c>
      <c r="AZ101" s="28">
        <v>0</v>
      </c>
      <c r="BA101" s="403">
        <f t="shared" ref="BA101:BA106" si="151">BB101</f>
        <v>0</v>
      </c>
      <c r="BB101" s="397">
        <f t="shared" si="143"/>
        <v>0</v>
      </c>
      <c r="BC101" s="397">
        <f t="shared" si="143"/>
        <v>0</v>
      </c>
      <c r="BD101" s="397">
        <f t="shared" si="143"/>
        <v>0</v>
      </c>
      <c r="BE101" s="34">
        <f t="shared" ref="BE101:BE106" si="152">BF101</f>
        <v>0</v>
      </c>
      <c r="BF101" s="28">
        <v>0</v>
      </c>
      <c r="BG101" s="28">
        <v>0</v>
      </c>
      <c r="BH101" s="28">
        <v>0</v>
      </c>
      <c r="BI101" s="409">
        <f t="shared" ref="BI101:BI106" si="153">BJ101</f>
        <v>0</v>
      </c>
      <c r="BJ101" s="397">
        <f t="shared" si="135"/>
        <v>0</v>
      </c>
      <c r="BK101" s="397">
        <f t="shared" si="135"/>
        <v>0</v>
      </c>
      <c r="BL101" s="410">
        <f t="shared" si="135"/>
        <v>0</v>
      </c>
      <c r="BM101" s="454">
        <v>0</v>
      </c>
      <c r="BN101" s="49">
        <f t="shared" si="138"/>
        <v>15500</v>
      </c>
      <c r="BO101" s="414">
        <f t="shared" si="136"/>
        <v>15500</v>
      </c>
      <c r="BP101" s="36">
        <f t="shared" si="83"/>
        <v>0</v>
      </c>
      <c r="BQ101" s="38" t="s">
        <v>57</v>
      </c>
      <c r="BR101" s="42"/>
      <c r="BS101" s="37" t="s">
        <v>119</v>
      </c>
      <c r="BV101" s="70"/>
      <c r="BW101" s="70"/>
      <c r="BX101" s="70"/>
      <c r="BZ101" s="70"/>
      <c r="CC101" s="70"/>
      <c r="CD101" s="70"/>
      <c r="CE101" s="70"/>
      <c r="CG101" s="70"/>
      <c r="CH101" s="70"/>
    </row>
    <row r="102" spans="1:86" s="37" customFormat="1" ht="39.950000000000003" customHeight="1" x14ac:dyDescent="0.2">
      <c r="A102" s="489">
        <v>1</v>
      </c>
      <c r="B102" s="260" t="s">
        <v>117</v>
      </c>
      <c r="C102" s="21" t="s">
        <v>69</v>
      </c>
      <c r="D102" s="22" t="s">
        <v>70</v>
      </c>
      <c r="E102" s="257">
        <v>7</v>
      </c>
      <c r="F102" s="501" t="s">
        <v>219</v>
      </c>
      <c r="G102" s="45">
        <v>4468004006</v>
      </c>
      <c r="H102" s="257" t="s">
        <v>66</v>
      </c>
      <c r="I102" s="257" t="s">
        <v>66</v>
      </c>
      <c r="J102" s="503">
        <v>1014.17</v>
      </c>
      <c r="K102" s="259"/>
      <c r="L102" s="301">
        <f t="shared" si="144"/>
        <v>17001</v>
      </c>
      <c r="M102" s="302">
        <f>28985.83-150-11834.83</f>
        <v>17001</v>
      </c>
      <c r="N102" s="303">
        <v>0</v>
      </c>
      <c r="O102" s="304">
        <v>0</v>
      </c>
      <c r="P102" s="303">
        <v>0</v>
      </c>
      <c r="Q102" s="371">
        <v>3322</v>
      </c>
      <c r="R102" s="312">
        <v>6351</v>
      </c>
      <c r="S102" s="307">
        <f>28835730-11834830</f>
        <v>17000900</v>
      </c>
      <c r="T102" s="27">
        <f t="shared" si="146"/>
        <v>-14000</v>
      </c>
      <c r="U102" s="28">
        <v>-14000</v>
      </c>
      <c r="V102" s="28">
        <v>0</v>
      </c>
      <c r="W102" s="29">
        <v>0</v>
      </c>
      <c r="X102" s="29">
        <v>0</v>
      </c>
      <c r="Y102" s="30">
        <f t="shared" ref="Y102" si="154">(U102+V102)*1000</f>
        <v>-14000000</v>
      </c>
      <c r="Z102" s="396">
        <f t="shared" si="145"/>
        <v>3001</v>
      </c>
      <c r="AA102" s="397">
        <f>M102+U102</f>
        <v>3001</v>
      </c>
      <c r="AB102" s="397">
        <f>N102+V102</f>
        <v>0</v>
      </c>
      <c r="AC102" s="397">
        <f>O102+W102</f>
        <v>0</v>
      </c>
      <c r="AD102" s="397">
        <f t="shared" ref="AD102" si="155">X102</f>
        <v>0</v>
      </c>
      <c r="AE102" s="398">
        <f t="shared" si="147"/>
        <v>3000900</v>
      </c>
      <c r="AF102" s="31">
        <f t="shared" si="137"/>
        <v>0</v>
      </c>
      <c r="AG102" s="28">
        <v>0</v>
      </c>
      <c r="AH102" s="28">
        <v>0</v>
      </c>
      <c r="AI102" s="28">
        <v>0</v>
      </c>
      <c r="AJ102" s="28">
        <v>0</v>
      </c>
      <c r="AK102" s="401">
        <f t="shared" si="77"/>
        <v>14000</v>
      </c>
      <c r="AL102" s="397">
        <v>14000</v>
      </c>
      <c r="AM102" s="397">
        <f t="shared" ref="AM102:AO102" si="156">AH102</f>
        <v>0</v>
      </c>
      <c r="AN102" s="397">
        <f t="shared" si="156"/>
        <v>0</v>
      </c>
      <c r="AO102" s="402">
        <f t="shared" si="156"/>
        <v>0</v>
      </c>
      <c r="AP102" s="164">
        <f t="shared" si="148"/>
        <v>0</v>
      </c>
      <c r="AQ102" s="28">
        <v>0</v>
      </c>
      <c r="AR102" s="28">
        <v>0</v>
      </c>
      <c r="AS102" s="401">
        <f t="shared" si="149"/>
        <v>0</v>
      </c>
      <c r="AT102" s="397">
        <f>AQ102</f>
        <v>0</v>
      </c>
      <c r="AU102" s="397"/>
      <c r="AV102" s="397">
        <f>AR102</f>
        <v>0</v>
      </c>
      <c r="AW102" s="33">
        <f t="shared" si="150"/>
        <v>0</v>
      </c>
      <c r="AX102" s="28">
        <v>0</v>
      </c>
      <c r="AY102" s="28">
        <v>0</v>
      </c>
      <c r="AZ102" s="28">
        <v>0</v>
      </c>
      <c r="BA102" s="403">
        <f t="shared" si="151"/>
        <v>0</v>
      </c>
      <c r="BB102" s="397">
        <f t="shared" si="143"/>
        <v>0</v>
      </c>
      <c r="BC102" s="397">
        <f t="shared" si="143"/>
        <v>0</v>
      </c>
      <c r="BD102" s="397">
        <f t="shared" si="143"/>
        <v>0</v>
      </c>
      <c r="BE102" s="34">
        <f t="shared" si="152"/>
        <v>0</v>
      </c>
      <c r="BF102" s="28">
        <v>0</v>
      </c>
      <c r="BG102" s="28">
        <v>0</v>
      </c>
      <c r="BH102" s="28">
        <v>0</v>
      </c>
      <c r="BI102" s="409">
        <f t="shared" si="153"/>
        <v>0</v>
      </c>
      <c r="BJ102" s="397">
        <f t="shared" si="135"/>
        <v>0</v>
      </c>
      <c r="BK102" s="397">
        <f t="shared" si="135"/>
        <v>0</v>
      </c>
      <c r="BL102" s="410">
        <f t="shared" si="135"/>
        <v>0</v>
      </c>
      <c r="BM102" s="454">
        <v>200</v>
      </c>
      <c r="BN102" s="49">
        <f>J102+L102+AF102+AP102+AW102+BE102+BM102</f>
        <v>18215.169999999998</v>
      </c>
      <c r="BO102" s="414">
        <f t="shared" si="136"/>
        <v>18215.169999999998</v>
      </c>
      <c r="BP102" s="36">
        <f t="shared" si="83"/>
        <v>0</v>
      </c>
      <c r="BQ102" s="38" t="s">
        <v>57</v>
      </c>
      <c r="BR102" s="504">
        <v>1</v>
      </c>
      <c r="BS102" s="37" t="s">
        <v>100</v>
      </c>
      <c r="BV102" s="70"/>
      <c r="BW102" s="70"/>
      <c r="BX102" s="70"/>
      <c r="BZ102" s="70"/>
      <c r="CC102" s="70"/>
      <c r="CD102" s="70"/>
      <c r="CE102" s="70"/>
      <c r="CG102" s="70"/>
      <c r="CH102" s="70"/>
    </row>
    <row r="103" spans="1:86" s="37" customFormat="1" ht="39.950000000000003" customHeight="1" x14ac:dyDescent="0.2">
      <c r="A103" s="490"/>
      <c r="B103" s="260" t="s">
        <v>117</v>
      </c>
      <c r="C103" s="21" t="s">
        <v>69</v>
      </c>
      <c r="D103" s="22" t="s">
        <v>70</v>
      </c>
      <c r="E103" s="257">
        <v>7</v>
      </c>
      <c r="F103" s="502"/>
      <c r="G103" s="45">
        <v>4468000000</v>
      </c>
      <c r="H103" s="257" t="s">
        <v>66</v>
      </c>
      <c r="I103" s="257" t="s">
        <v>66</v>
      </c>
      <c r="J103" s="488"/>
      <c r="K103" s="259"/>
      <c r="L103" s="301">
        <f t="shared" si="144"/>
        <v>150</v>
      </c>
      <c r="M103" s="302">
        <v>150</v>
      </c>
      <c r="N103" s="303"/>
      <c r="O103" s="304"/>
      <c r="P103" s="303"/>
      <c r="Q103" s="371">
        <v>3322</v>
      </c>
      <c r="R103" s="312">
        <v>6121</v>
      </c>
      <c r="S103" s="307">
        <v>0</v>
      </c>
      <c r="T103" s="27">
        <f t="shared" si="146"/>
        <v>0</v>
      </c>
      <c r="U103" s="28">
        <v>0</v>
      </c>
      <c r="V103" s="28"/>
      <c r="W103" s="29"/>
      <c r="X103" s="29"/>
      <c r="Y103" s="30">
        <v>0</v>
      </c>
      <c r="Z103" s="396">
        <f t="shared" si="145"/>
        <v>150</v>
      </c>
      <c r="AA103" s="397">
        <f>M103+U103</f>
        <v>150</v>
      </c>
      <c r="AB103" s="397"/>
      <c r="AC103" s="397"/>
      <c r="AD103" s="397"/>
      <c r="AE103" s="398">
        <f t="shared" si="147"/>
        <v>0</v>
      </c>
      <c r="AF103" s="31">
        <f t="shared" si="137"/>
        <v>0</v>
      </c>
      <c r="AG103" s="48">
        <v>0</v>
      </c>
      <c r="AH103" s="48"/>
      <c r="AI103" s="48"/>
      <c r="AJ103" s="28"/>
      <c r="AK103" s="401">
        <f t="shared" si="77"/>
        <v>0</v>
      </c>
      <c r="AL103" s="397">
        <v>0</v>
      </c>
      <c r="AM103" s="403"/>
      <c r="AN103" s="403"/>
      <c r="AO103" s="398"/>
      <c r="AP103" s="164">
        <f t="shared" si="148"/>
        <v>0</v>
      </c>
      <c r="AQ103" s="28">
        <v>0</v>
      </c>
      <c r="AR103" s="28">
        <v>0</v>
      </c>
      <c r="AS103" s="401">
        <f t="shared" si="149"/>
        <v>0</v>
      </c>
      <c r="AT103" s="397">
        <f>AQ103</f>
        <v>0</v>
      </c>
      <c r="AU103" s="397"/>
      <c r="AV103" s="397">
        <f>AR103</f>
        <v>0</v>
      </c>
      <c r="AW103" s="33">
        <f t="shared" si="150"/>
        <v>0</v>
      </c>
      <c r="AX103" s="28">
        <v>0</v>
      </c>
      <c r="AY103" s="28">
        <v>0</v>
      </c>
      <c r="AZ103" s="28">
        <v>0</v>
      </c>
      <c r="BA103" s="403">
        <f t="shared" si="151"/>
        <v>0</v>
      </c>
      <c r="BB103" s="397">
        <f t="shared" si="143"/>
        <v>0</v>
      </c>
      <c r="BC103" s="397">
        <f t="shared" si="143"/>
        <v>0</v>
      </c>
      <c r="BD103" s="397">
        <f t="shared" si="143"/>
        <v>0</v>
      </c>
      <c r="BE103" s="34">
        <f t="shared" si="152"/>
        <v>0</v>
      </c>
      <c r="BF103" s="28">
        <v>0</v>
      </c>
      <c r="BG103" s="28">
        <v>0</v>
      </c>
      <c r="BH103" s="28">
        <v>0</v>
      </c>
      <c r="BI103" s="409">
        <f t="shared" si="153"/>
        <v>0</v>
      </c>
      <c r="BJ103" s="397">
        <f t="shared" si="135"/>
        <v>0</v>
      </c>
      <c r="BK103" s="397">
        <f t="shared" si="135"/>
        <v>0</v>
      </c>
      <c r="BL103" s="410">
        <f t="shared" si="135"/>
        <v>0</v>
      </c>
      <c r="BM103" s="454">
        <f t="shared" ref="BM103" si="157">BL103+BD103+AW103+AO103</f>
        <v>0</v>
      </c>
      <c r="BN103" s="49">
        <f t="shared" ref="BN103" si="158">J103+L103+AF103+AP103+AW103+BE103+BM103</f>
        <v>150</v>
      </c>
      <c r="BO103" s="414">
        <f t="shared" si="136"/>
        <v>150</v>
      </c>
      <c r="BP103" s="36">
        <f t="shared" si="83"/>
        <v>0</v>
      </c>
      <c r="BQ103" s="38" t="s">
        <v>57</v>
      </c>
      <c r="BR103" s="505"/>
      <c r="BS103" s="37" t="s">
        <v>100</v>
      </c>
      <c r="BV103" s="70"/>
      <c r="BW103" s="70"/>
      <c r="BX103" s="70"/>
      <c r="CC103" s="70"/>
      <c r="CD103" s="70"/>
      <c r="CE103" s="70"/>
      <c r="CG103" s="70"/>
      <c r="CH103" s="70"/>
    </row>
    <row r="104" spans="1:86" s="37" customFormat="1" ht="39.950000000000003" customHeight="1" x14ac:dyDescent="0.2">
      <c r="A104" s="77">
        <v>1</v>
      </c>
      <c r="B104" s="261" t="s">
        <v>117</v>
      </c>
      <c r="C104" s="21"/>
      <c r="D104" s="22"/>
      <c r="E104" s="23">
        <v>7</v>
      </c>
      <c r="F104" s="43" t="s">
        <v>196</v>
      </c>
      <c r="G104" s="262">
        <v>4347000000</v>
      </c>
      <c r="H104" s="263">
        <v>177000</v>
      </c>
      <c r="I104" s="264" t="s">
        <v>88</v>
      </c>
      <c r="J104" s="265">
        <v>1070.8499999999999</v>
      </c>
      <c r="K104" s="266"/>
      <c r="L104" s="301">
        <f t="shared" si="144"/>
        <v>6100</v>
      </c>
      <c r="M104" s="372">
        <v>6100</v>
      </c>
      <c r="N104" s="373"/>
      <c r="O104" s="304"/>
      <c r="P104" s="373"/>
      <c r="Q104" s="374">
        <v>3322</v>
      </c>
      <c r="R104" s="375">
        <v>5169</v>
      </c>
      <c r="S104" s="307">
        <v>0</v>
      </c>
      <c r="T104" s="27">
        <f t="shared" si="146"/>
        <v>-5350</v>
      </c>
      <c r="U104" s="28">
        <v>-5350</v>
      </c>
      <c r="V104" s="28"/>
      <c r="W104" s="29"/>
      <c r="X104" s="29"/>
      <c r="Y104" s="30">
        <v>0</v>
      </c>
      <c r="Z104" s="396">
        <f t="shared" si="145"/>
        <v>750</v>
      </c>
      <c r="AA104" s="397">
        <f>M104+U104</f>
        <v>750</v>
      </c>
      <c r="AB104" s="397"/>
      <c r="AC104" s="397"/>
      <c r="AD104" s="397"/>
      <c r="AE104" s="398">
        <f t="shared" si="147"/>
        <v>0</v>
      </c>
      <c r="AF104" s="31">
        <f t="shared" si="137"/>
        <v>35000</v>
      </c>
      <c r="AG104" s="28">
        <v>35000</v>
      </c>
      <c r="AH104" s="28"/>
      <c r="AI104" s="28"/>
      <c r="AJ104" s="28"/>
      <c r="AK104" s="401">
        <f t="shared" si="77"/>
        <v>12000</v>
      </c>
      <c r="AL104" s="397">
        <v>12000</v>
      </c>
      <c r="AM104" s="397"/>
      <c r="AN104" s="397"/>
      <c r="AO104" s="402"/>
      <c r="AP104" s="164">
        <f t="shared" si="148"/>
        <v>133900</v>
      </c>
      <c r="AQ104" s="28">
        <v>133900</v>
      </c>
      <c r="AR104" s="28"/>
      <c r="AS104" s="401">
        <f t="shared" si="149"/>
        <v>62250</v>
      </c>
      <c r="AT104" s="397">
        <v>62250</v>
      </c>
      <c r="AU104" s="397"/>
      <c r="AV104" s="397"/>
      <c r="AW104" s="33">
        <f t="shared" si="150"/>
        <v>0</v>
      </c>
      <c r="AX104" s="28">
        <v>0</v>
      </c>
      <c r="AY104" s="28"/>
      <c r="AZ104" s="28"/>
      <c r="BA104" s="403">
        <f t="shared" si="151"/>
        <v>100000</v>
      </c>
      <c r="BB104" s="397">
        <v>100000</v>
      </c>
      <c r="BC104" s="397"/>
      <c r="BD104" s="397"/>
      <c r="BE104" s="34">
        <f t="shared" si="152"/>
        <v>0</v>
      </c>
      <c r="BF104" s="28">
        <v>0</v>
      </c>
      <c r="BG104" s="28"/>
      <c r="BH104" s="28"/>
      <c r="BI104" s="409">
        <f t="shared" si="153"/>
        <v>0</v>
      </c>
      <c r="BJ104" s="397">
        <f>BF104</f>
        <v>0</v>
      </c>
      <c r="BK104" s="397"/>
      <c r="BL104" s="410"/>
      <c r="BM104" s="454">
        <v>1.7</v>
      </c>
      <c r="BN104" s="35">
        <f>J104+L104+AF104+AP104+AW104+BE104+BM104</f>
        <v>176072.55000000002</v>
      </c>
      <c r="BO104" s="413">
        <f t="shared" si="136"/>
        <v>176072.55</v>
      </c>
      <c r="BP104" s="36">
        <f t="shared" si="83"/>
        <v>0</v>
      </c>
      <c r="BQ104" s="38" t="s">
        <v>57</v>
      </c>
      <c r="BR104" s="41">
        <v>1</v>
      </c>
      <c r="BS104" s="37" t="s">
        <v>120</v>
      </c>
      <c r="BV104" s="70"/>
      <c r="BW104" s="70"/>
      <c r="BX104" s="70"/>
      <c r="BZ104" s="70"/>
      <c r="CC104" s="70"/>
      <c r="CD104" s="70"/>
      <c r="CE104" s="70"/>
      <c r="CG104" s="70"/>
      <c r="CH104" s="70"/>
    </row>
    <row r="105" spans="1:86" s="37" customFormat="1" ht="39.950000000000003" customHeight="1" x14ac:dyDescent="0.2">
      <c r="A105" s="77">
        <v>1</v>
      </c>
      <c r="B105" s="261" t="s">
        <v>117</v>
      </c>
      <c r="C105" s="21"/>
      <c r="D105" s="22"/>
      <c r="E105" s="23">
        <v>7</v>
      </c>
      <c r="F105" s="43" t="s">
        <v>197</v>
      </c>
      <c r="G105" s="262">
        <v>4472000000</v>
      </c>
      <c r="H105" s="263">
        <v>31150</v>
      </c>
      <c r="I105" s="264" t="s">
        <v>121</v>
      </c>
      <c r="J105" s="265">
        <v>0</v>
      </c>
      <c r="K105" s="266"/>
      <c r="L105" s="301">
        <f t="shared" si="144"/>
        <v>150</v>
      </c>
      <c r="M105" s="372">
        <v>150</v>
      </c>
      <c r="N105" s="373"/>
      <c r="O105" s="304"/>
      <c r="P105" s="373"/>
      <c r="Q105" s="374">
        <v>3315</v>
      </c>
      <c r="R105" s="375">
        <v>6121</v>
      </c>
      <c r="S105" s="307">
        <v>0</v>
      </c>
      <c r="T105" s="27">
        <f t="shared" si="146"/>
        <v>0</v>
      </c>
      <c r="U105" s="28">
        <v>0</v>
      </c>
      <c r="V105" s="28"/>
      <c r="W105" s="29"/>
      <c r="X105" s="29"/>
      <c r="Y105" s="30">
        <v>0</v>
      </c>
      <c r="Z105" s="396">
        <f t="shared" si="145"/>
        <v>150</v>
      </c>
      <c r="AA105" s="397">
        <f>M105+U105</f>
        <v>150</v>
      </c>
      <c r="AB105" s="397"/>
      <c r="AC105" s="397"/>
      <c r="AD105" s="397"/>
      <c r="AE105" s="398">
        <f t="shared" si="147"/>
        <v>0</v>
      </c>
      <c r="AF105" s="31">
        <f t="shared" si="137"/>
        <v>20000</v>
      </c>
      <c r="AG105" s="28">
        <v>20000</v>
      </c>
      <c r="AH105" s="28"/>
      <c r="AI105" s="28"/>
      <c r="AJ105" s="28"/>
      <c r="AK105" s="401">
        <f t="shared" si="77"/>
        <v>10000</v>
      </c>
      <c r="AL105" s="397">
        <v>10000</v>
      </c>
      <c r="AM105" s="397"/>
      <c r="AN105" s="397"/>
      <c r="AO105" s="402"/>
      <c r="AP105" s="164">
        <f t="shared" si="148"/>
        <v>11000</v>
      </c>
      <c r="AQ105" s="28">
        <v>11000</v>
      </c>
      <c r="AR105" s="28"/>
      <c r="AS105" s="401">
        <f t="shared" si="149"/>
        <v>21000</v>
      </c>
      <c r="AT105" s="397">
        <v>21000</v>
      </c>
      <c r="AU105" s="397"/>
      <c r="AV105" s="397"/>
      <c r="AW105" s="33">
        <f t="shared" si="150"/>
        <v>0</v>
      </c>
      <c r="AX105" s="28">
        <v>0</v>
      </c>
      <c r="AY105" s="28"/>
      <c r="AZ105" s="28"/>
      <c r="BA105" s="403">
        <f t="shared" si="151"/>
        <v>0</v>
      </c>
      <c r="BB105" s="397">
        <v>0</v>
      </c>
      <c r="BC105" s="397"/>
      <c r="BD105" s="397"/>
      <c r="BE105" s="34">
        <f t="shared" si="152"/>
        <v>0</v>
      </c>
      <c r="BF105" s="28">
        <v>0</v>
      </c>
      <c r="BG105" s="28"/>
      <c r="BH105" s="28"/>
      <c r="BI105" s="409">
        <f t="shared" si="153"/>
        <v>0</v>
      </c>
      <c r="BJ105" s="397">
        <f>BF105</f>
        <v>0</v>
      </c>
      <c r="BK105" s="397"/>
      <c r="BL105" s="410"/>
      <c r="BM105" s="454">
        <v>589000</v>
      </c>
      <c r="BN105" s="35">
        <f>J105+L105+AF105+AP105+AW105+BE105+BM105</f>
        <v>620150</v>
      </c>
      <c r="BO105" s="413">
        <f t="shared" si="136"/>
        <v>620150</v>
      </c>
      <c r="BP105" s="36">
        <f t="shared" si="83"/>
        <v>0</v>
      </c>
      <c r="BQ105" s="38" t="s">
        <v>57</v>
      </c>
      <c r="BR105" s="41">
        <v>1</v>
      </c>
      <c r="BS105" s="37" t="s">
        <v>122</v>
      </c>
      <c r="BV105" s="70"/>
      <c r="BW105" s="70"/>
      <c r="BX105" s="70"/>
      <c r="BZ105" s="70"/>
      <c r="CC105" s="70"/>
      <c r="CD105" s="70"/>
      <c r="CE105" s="70"/>
      <c r="CG105" s="70"/>
      <c r="CH105" s="70"/>
    </row>
    <row r="106" spans="1:86" s="37" customFormat="1" ht="39.950000000000003" customHeight="1" x14ac:dyDescent="0.2">
      <c r="A106" s="77">
        <v>1</v>
      </c>
      <c r="B106" s="261" t="s">
        <v>117</v>
      </c>
      <c r="C106" s="21"/>
      <c r="D106" s="22"/>
      <c r="E106" s="23">
        <v>7</v>
      </c>
      <c r="F106" s="43" t="s">
        <v>198</v>
      </c>
      <c r="G106" s="60">
        <v>4416000000</v>
      </c>
      <c r="H106" s="24">
        <v>30000</v>
      </c>
      <c r="I106" s="25" t="s">
        <v>83</v>
      </c>
      <c r="J106" s="265">
        <v>0</v>
      </c>
      <c r="K106" s="266"/>
      <c r="L106" s="301">
        <f t="shared" si="144"/>
        <v>2000</v>
      </c>
      <c r="M106" s="302">
        <v>2000</v>
      </c>
      <c r="N106" s="303"/>
      <c r="O106" s="304"/>
      <c r="P106" s="303"/>
      <c r="Q106" s="376">
        <v>3322</v>
      </c>
      <c r="R106" s="377">
        <v>5169</v>
      </c>
      <c r="S106" s="307">
        <v>0</v>
      </c>
      <c r="T106" s="27">
        <f t="shared" si="146"/>
        <v>-850</v>
      </c>
      <c r="U106" s="28">
        <v>-850</v>
      </c>
      <c r="V106" s="28"/>
      <c r="W106" s="29"/>
      <c r="X106" s="29"/>
      <c r="Y106" s="30">
        <v>0</v>
      </c>
      <c r="Z106" s="396">
        <f t="shared" si="145"/>
        <v>1150</v>
      </c>
      <c r="AA106" s="397">
        <f>M106+U106</f>
        <v>1150</v>
      </c>
      <c r="AB106" s="397"/>
      <c r="AC106" s="397"/>
      <c r="AD106" s="397"/>
      <c r="AE106" s="398">
        <f t="shared" si="147"/>
        <v>0</v>
      </c>
      <c r="AF106" s="31">
        <f t="shared" si="137"/>
        <v>4000</v>
      </c>
      <c r="AG106" s="28">
        <v>4000</v>
      </c>
      <c r="AH106" s="28"/>
      <c r="AI106" s="28"/>
      <c r="AJ106" s="28"/>
      <c r="AK106" s="401">
        <f t="shared" si="77"/>
        <v>4850</v>
      </c>
      <c r="AL106" s="397">
        <v>4850</v>
      </c>
      <c r="AM106" s="397"/>
      <c r="AN106" s="397"/>
      <c r="AO106" s="402"/>
      <c r="AP106" s="164">
        <f t="shared" si="148"/>
        <v>23500</v>
      </c>
      <c r="AQ106" s="28">
        <v>23500</v>
      </c>
      <c r="AR106" s="28"/>
      <c r="AS106" s="401">
        <f t="shared" si="149"/>
        <v>23500</v>
      </c>
      <c r="AT106" s="397">
        <v>23500</v>
      </c>
      <c r="AU106" s="397"/>
      <c r="AV106" s="397"/>
      <c r="AW106" s="33">
        <f t="shared" si="150"/>
        <v>0</v>
      </c>
      <c r="AX106" s="28">
        <v>0</v>
      </c>
      <c r="AY106" s="28"/>
      <c r="AZ106" s="28"/>
      <c r="BA106" s="403">
        <f t="shared" si="151"/>
        <v>0</v>
      </c>
      <c r="BB106" s="397">
        <v>0</v>
      </c>
      <c r="BC106" s="397"/>
      <c r="BD106" s="397"/>
      <c r="BE106" s="34">
        <f t="shared" si="152"/>
        <v>0</v>
      </c>
      <c r="BF106" s="28">
        <v>0</v>
      </c>
      <c r="BG106" s="28"/>
      <c r="BH106" s="28"/>
      <c r="BI106" s="409">
        <f t="shared" si="153"/>
        <v>0</v>
      </c>
      <c r="BJ106" s="397">
        <f>BF106</f>
        <v>0</v>
      </c>
      <c r="BK106" s="397"/>
      <c r="BL106" s="410"/>
      <c r="BM106" s="454">
        <v>227</v>
      </c>
      <c r="BN106" s="35">
        <f>J106+L106+AF106+AP106+AW106+BE106+BM106</f>
        <v>29727</v>
      </c>
      <c r="BO106" s="413">
        <f t="shared" si="136"/>
        <v>29727</v>
      </c>
      <c r="BP106" s="36">
        <f t="shared" si="83"/>
        <v>0</v>
      </c>
      <c r="BQ106" s="38" t="s">
        <v>57</v>
      </c>
      <c r="BR106" s="41">
        <v>1</v>
      </c>
      <c r="BS106" s="37" t="s">
        <v>123</v>
      </c>
      <c r="BV106" s="70"/>
      <c r="BW106" s="70"/>
      <c r="BX106" s="70"/>
      <c r="BZ106" s="70"/>
      <c r="CC106" s="70"/>
      <c r="CD106" s="70"/>
      <c r="CE106" s="70"/>
      <c r="CG106" s="70"/>
      <c r="CH106" s="70"/>
    </row>
    <row r="107" spans="1:86" s="37" customFormat="1" ht="39.950000000000003" customHeight="1" x14ac:dyDescent="0.2">
      <c r="A107" s="77">
        <v>1</v>
      </c>
      <c r="B107" s="267" t="s">
        <v>124</v>
      </c>
      <c r="C107" s="268" t="s">
        <v>81</v>
      </c>
      <c r="D107" s="173" t="s">
        <v>82</v>
      </c>
      <c r="E107" s="23">
        <v>7</v>
      </c>
      <c r="F107" s="269" t="s">
        <v>199</v>
      </c>
      <c r="G107" s="45">
        <v>4408105003</v>
      </c>
      <c r="H107" s="270" t="s">
        <v>66</v>
      </c>
      <c r="I107" s="270" t="s">
        <v>66</v>
      </c>
      <c r="J107" s="271">
        <v>2000</v>
      </c>
      <c r="K107" s="46"/>
      <c r="L107" s="301">
        <f t="shared" si="125"/>
        <v>30000</v>
      </c>
      <c r="M107" s="302">
        <v>30000</v>
      </c>
      <c r="N107" s="303">
        <v>0</v>
      </c>
      <c r="O107" s="304">
        <v>0</v>
      </c>
      <c r="P107" s="303">
        <v>0</v>
      </c>
      <c r="Q107" s="378">
        <v>3522</v>
      </c>
      <c r="R107" s="312">
        <v>6351</v>
      </c>
      <c r="S107" s="307">
        <v>30000000</v>
      </c>
      <c r="T107" s="27">
        <f t="shared" si="126"/>
        <v>-28000</v>
      </c>
      <c r="U107" s="28">
        <v>-28000</v>
      </c>
      <c r="V107" s="28">
        <v>0</v>
      </c>
      <c r="W107" s="29">
        <v>0</v>
      </c>
      <c r="X107" s="29">
        <v>0</v>
      </c>
      <c r="Y107" s="30">
        <f t="shared" ref="Y107" si="159">(U107+V107)*1000</f>
        <v>-28000000</v>
      </c>
      <c r="Z107" s="396">
        <f t="shared" si="127"/>
        <v>2000</v>
      </c>
      <c r="AA107" s="397">
        <f t="shared" si="103"/>
        <v>2000</v>
      </c>
      <c r="AB107" s="397">
        <f>N107+V107</f>
        <v>0</v>
      </c>
      <c r="AC107" s="397">
        <f>O107+W107</f>
        <v>0</v>
      </c>
      <c r="AD107" s="397">
        <f t="shared" ref="AD107" si="160">X107</f>
        <v>0</v>
      </c>
      <c r="AE107" s="398">
        <f t="shared" si="147"/>
        <v>2000000</v>
      </c>
      <c r="AF107" s="31">
        <f t="shared" si="137"/>
        <v>35000</v>
      </c>
      <c r="AG107" s="48">
        <v>35000</v>
      </c>
      <c r="AH107" s="48">
        <v>0</v>
      </c>
      <c r="AI107" s="48">
        <v>0</v>
      </c>
      <c r="AJ107" s="28">
        <v>0</v>
      </c>
      <c r="AK107" s="401">
        <f>AL107+AM107</f>
        <v>53000</v>
      </c>
      <c r="AL107" s="397">
        <v>53000</v>
      </c>
      <c r="AM107" s="403">
        <v>0</v>
      </c>
      <c r="AN107" s="403">
        <f>AI107</f>
        <v>0</v>
      </c>
      <c r="AO107" s="398">
        <f>AJ107</f>
        <v>0</v>
      </c>
      <c r="AP107" s="164">
        <f t="shared" si="129"/>
        <v>0</v>
      </c>
      <c r="AQ107" s="28">
        <v>0</v>
      </c>
      <c r="AR107" s="28">
        <v>0</v>
      </c>
      <c r="AS107" s="401">
        <f t="shared" si="149"/>
        <v>10000</v>
      </c>
      <c r="AT107" s="397">
        <v>10000</v>
      </c>
      <c r="AU107" s="397"/>
      <c r="AV107" s="397">
        <f>AR107</f>
        <v>0</v>
      </c>
      <c r="AW107" s="33">
        <f t="shared" si="131"/>
        <v>0</v>
      </c>
      <c r="AX107" s="28">
        <v>0</v>
      </c>
      <c r="AY107" s="28">
        <v>0</v>
      </c>
      <c r="AZ107" s="28">
        <v>0</v>
      </c>
      <c r="BA107" s="403">
        <f t="shared" si="132"/>
        <v>0</v>
      </c>
      <c r="BB107" s="397">
        <f>AX107</f>
        <v>0</v>
      </c>
      <c r="BC107" s="397">
        <f>AY107</f>
        <v>0</v>
      </c>
      <c r="BD107" s="397">
        <f>AZ107</f>
        <v>0</v>
      </c>
      <c r="BE107" s="34">
        <f t="shared" si="133"/>
        <v>0</v>
      </c>
      <c r="BF107" s="28">
        <v>0</v>
      </c>
      <c r="BG107" s="28">
        <v>0</v>
      </c>
      <c r="BH107" s="28">
        <v>0</v>
      </c>
      <c r="BI107" s="409">
        <f t="shared" si="134"/>
        <v>0</v>
      </c>
      <c r="BJ107" s="397">
        <f>BF107</f>
        <v>0</v>
      </c>
      <c r="BK107" s="397">
        <f>BG107</f>
        <v>0</v>
      </c>
      <c r="BL107" s="410">
        <f>BH107</f>
        <v>0</v>
      </c>
      <c r="BM107" s="454">
        <f>20000+1288.65</f>
        <v>21288.65</v>
      </c>
      <c r="BN107" s="35">
        <f>J107+L107+AF107+AP107+AW107+BE107+BM107-20000</f>
        <v>68288.649999999994</v>
      </c>
      <c r="BO107" s="414">
        <f t="shared" si="136"/>
        <v>88288.65</v>
      </c>
      <c r="BP107" s="36">
        <f t="shared" si="83"/>
        <v>20000</v>
      </c>
      <c r="BQ107" s="62" t="s">
        <v>125</v>
      </c>
      <c r="BR107" s="65">
        <v>2</v>
      </c>
      <c r="BS107" s="63" t="s">
        <v>126</v>
      </c>
      <c r="BV107" s="70"/>
      <c r="BW107" s="70"/>
      <c r="BX107" s="70"/>
      <c r="BZ107" s="70"/>
      <c r="CC107" s="70"/>
      <c r="CD107" s="70"/>
      <c r="CE107" s="70"/>
      <c r="CG107" s="70"/>
      <c r="CH107" s="70"/>
    </row>
    <row r="108" spans="1:86" s="37" customFormat="1" ht="39.950000000000003" customHeight="1" x14ac:dyDescent="0.2">
      <c r="A108" s="77">
        <v>1</v>
      </c>
      <c r="B108" s="261" t="s">
        <v>124</v>
      </c>
      <c r="C108" s="272"/>
      <c r="D108" s="173"/>
      <c r="E108" s="23">
        <v>7</v>
      </c>
      <c r="F108" s="273" t="s">
        <v>200</v>
      </c>
      <c r="G108" s="45">
        <v>4683105004</v>
      </c>
      <c r="H108" s="274" t="s">
        <v>66</v>
      </c>
      <c r="I108" s="274" t="s">
        <v>66</v>
      </c>
      <c r="J108" s="275">
        <v>0</v>
      </c>
      <c r="K108" s="227"/>
      <c r="L108" s="301">
        <f>M108+N108+P108+O108</f>
        <v>20000</v>
      </c>
      <c r="M108" s="302">
        <v>20000</v>
      </c>
      <c r="N108" s="303"/>
      <c r="O108" s="304"/>
      <c r="P108" s="303"/>
      <c r="Q108" s="379">
        <v>3522</v>
      </c>
      <c r="R108" s="312">
        <v>6351</v>
      </c>
      <c r="S108" s="307">
        <v>20000000</v>
      </c>
      <c r="T108" s="27">
        <f>U108+V108+W108</f>
        <v>-18000</v>
      </c>
      <c r="U108" s="28">
        <v>-18000</v>
      </c>
      <c r="V108" s="28"/>
      <c r="W108" s="29"/>
      <c r="X108" s="29"/>
      <c r="Y108" s="30">
        <v>-18000000</v>
      </c>
      <c r="Z108" s="396">
        <f t="shared" si="127"/>
        <v>2000</v>
      </c>
      <c r="AA108" s="397">
        <f>M108+U108</f>
        <v>2000</v>
      </c>
      <c r="AB108" s="397"/>
      <c r="AC108" s="397"/>
      <c r="AD108" s="397"/>
      <c r="AE108" s="398">
        <f>S108+Y108</f>
        <v>2000000</v>
      </c>
      <c r="AF108" s="31">
        <f>AG108+AH108+AI108</f>
        <v>0</v>
      </c>
      <c r="AG108" s="48">
        <v>0</v>
      </c>
      <c r="AH108" s="48"/>
      <c r="AI108" s="48"/>
      <c r="AJ108" s="28"/>
      <c r="AK108" s="401">
        <f>AL108+AM108</f>
        <v>18000</v>
      </c>
      <c r="AL108" s="397">
        <v>18000</v>
      </c>
      <c r="AM108" s="403"/>
      <c r="AN108" s="403"/>
      <c r="AO108" s="398"/>
      <c r="AP108" s="164">
        <f>AQ108</f>
        <v>0</v>
      </c>
      <c r="AQ108" s="28">
        <v>0</v>
      </c>
      <c r="AR108" s="28"/>
      <c r="AS108" s="401">
        <f t="shared" si="149"/>
        <v>0</v>
      </c>
      <c r="AT108" s="397">
        <f>AQ108</f>
        <v>0</v>
      </c>
      <c r="AU108" s="397"/>
      <c r="AV108" s="397"/>
      <c r="AW108" s="33">
        <f>AX108</f>
        <v>0</v>
      </c>
      <c r="AX108" s="28">
        <v>0</v>
      </c>
      <c r="AY108" s="28"/>
      <c r="AZ108" s="28"/>
      <c r="BA108" s="403">
        <f>BB108</f>
        <v>0</v>
      </c>
      <c r="BB108" s="397">
        <f>AX108</f>
        <v>0</v>
      </c>
      <c r="BC108" s="397"/>
      <c r="BD108" s="397"/>
      <c r="BE108" s="34">
        <f t="shared" si="133"/>
        <v>0</v>
      </c>
      <c r="BF108" s="28">
        <v>0</v>
      </c>
      <c r="BG108" s="28"/>
      <c r="BH108" s="28"/>
      <c r="BI108" s="409">
        <f>BJ108</f>
        <v>0</v>
      </c>
      <c r="BJ108" s="397">
        <f t="shared" ref="BJ108:BJ113" si="161">BF108</f>
        <v>0</v>
      </c>
      <c r="BK108" s="397"/>
      <c r="BL108" s="410"/>
      <c r="BM108" s="454">
        <v>0</v>
      </c>
      <c r="BN108" s="49">
        <f>J108+L108+AF108+AP108+AW108+BE108+BM108</f>
        <v>20000</v>
      </c>
      <c r="BO108" s="414">
        <f t="shared" si="136"/>
        <v>20000</v>
      </c>
      <c r="BP108" s="36">
        <f t="shared" si="83"/>
        <v>0</v>
      </c>
      <c r="BQ108" s="38" t="s">
        <v>57</v>
      </c>
      <c r="BR108" s="41">
        <v>1</v>
      </c>
      <c r="BS108" s="37" t="s">
        <v>74</v>
      </c>
      <c r="BV108" s="70"/>
      <c r="BW108" s="70"/>
      <c r="BX108" s="70"/>
      <c r="BZ108" s="70"/>
      <c r="CC108" s="70"/>
      <c r="CD108" s="70"/>
      <c r="CE108" s="70"/>
      <c r="CG108" s="70"/>
      <c r="CH108" s="70"/>
    </row>
    <row r="109" spans="1:86" s="37" customFormat="1" ht="39.950000000000003" customHeight="1" x14ac:dyDescent="0.2">
      <c r="A109" s="77">
        <v>1</v>
      </c>
      <c r="B109" s="276" t="s">
        <v>124</v>
      </c>
      <c r="C109" s="277"/>
      <c r="D109" s="173"/>
      <c r="E109" s="23">
        <v>7</v>
      </c>
      <c r="F109" s="78" t="s">
        <v>201</v>
      </c>
      <c r="G109" s="45">
        <v>4682105004</v>
      </c>
      <c r="H109" s="274" t="s">
        <v>66</v>
      </c>
      <c r="I109" s="274" t="s">
        <v>66</v>
      </c>
      <c r="J109" s="275">
        <v>0</v>
      </c>
      <c r="K109" s="227"/>
      <c r="L109" s="301">
        <f>M109+N109+P109+O109</f>
        <v>5500</v>
      </c>
      <c r="M109" s="302">
        <v>5500</v>
      </c>
      <c r="N109" s="303"/>
      <c r="O109" s="304"/>
      <c r="P109" s="303"/>
      <c r="Q109" s="379">
        <v>3522</v>
      </c>
      <c r="R109" s="312">
        <v>6351</v>
      </c>
      <c r="S109" s="307">
        <v>5500000</v>
      </c>
      <c r="T109" s="27">
        <f>U109+V109+W109</f>
        <v>-4500</v>
      </c>
      <c r="U109" s="28">
        <v>-4500</v>
      </c>
      <c r="V109" s="28"/>
      <c r="W109" s="29"/>
      <c r="X109" s="29"/>
      <c r="Y109" s="30">
        <v>-4500000</v>
      </c>
      <c r="Z109" s="396">
        <f t="shared" si="127"/>
        <v>1000</v>
      </c>
      <c r="AA109" s="397">
        <f>M109+U109</f>
        <v>1000</v>
      </c>
      <c r="AB109" s="397"/>
      <c r="AC109" s="397"/>
      <c r="AD109" s="397"/>
      <c r="AE109" s="398">
        <f>S109+Y109</f>
        <v>1000000</v>
      </c>
      <c r="AF109" s="31">
        <f>AG109+AH109+AI109</f>
        <v>0</v>
      </c>
      <c r="AG109" s="48">
        <v>0</v>
      </c>
      <c r="AH109" s="48"/>
      <c r="AI109" s="48"/>
      <c r="AJ109" s="28"/>
      <c r="AK109" s="401">
        <f>AL109+AM109</f>
        <v>4500</v>
      </c>
      <c r="AL109" s="397">
        <v>4500</v>
      </c>
      <c r="AM109" s="403"/>
      <c r="AN109" s="403"/>
      <c r="AO109" s="398"/>
      <c r="AP109" s="164">
        <f>AQ109</f>
        <v>0</v>
      </c>
      <c r="AQ109" s="28">
        <v>0</v>
      </c>
      <c r="AR109" s="28"/>
      <c r="AS109" s="401">
        <f t="shared" si="149"/>
        <v>0</v>
      </c>
      <c r="AT109" s="397">
        <f>AQ109</f>
        <v>0</v>
      </c>
      <c r="AU109" s="397"/>
      <c r="AV109" s="397"/>
      <c r="AW109" s="33">
        <f>AX109</f>
        <v>0</v>
      </c>
      <c r="AX109" s="28">
        <v>0</v>
      </c>
      <c r="AY109" s="28"/>
      <c r="AZ109" s="28"/>
      <c r="BA109" s="403">
        <f>BB109</f>
        <v>0</v>
      </c>
      <c r="BB109" s="397">
        <f>AX109</f>
        <v>0</v>
      </c>
      <c r="BC109" s="397"/>
      <c r="BD109" s="397"/>
      <c r="BE109" s="34">
        <f t="shared" si="133"/>
        <v>0</v>
      </c>
      <c r="BF109" s="28">
        <v>0</v>
      </c>
      <c r="BG109" s="28"/>
      <c r="BH109" s="28"/>
      <c r="BI109" s="409">
        <f>BJ109</f>
        <v>0</v>
      </c>
      <c r="BJ109" s="397">
        <f t="shared" si="161"/>
        <v>0</v>
      </c>
      <c r="BK109" s="397"/>
      <c r="BL109" s="410"/>
      <c r="BM109" s="454">
        <v>0</v>
      </c>
      <c r="BN109" s="49">
        <f>J109+L109+AF109+AP109+AW109+BE109+BM109</f>
        <v>5500</v>
      </c>
      <c r="BO109" s="414">
        <f t="shared" si="136"/>
        <v>5500</v>
      </c>
      <c r="BP109" s="36">
        <f t="shared" si="83"/>
        <v>0</v>
      </c>
      <c r="BQ109" s="38" t="s">
        <v>57</v>
      </c>
      <c r="BR109" s="41">
        <v>1</v>
      </c>
      <c r="BS109" s="37" t="s">
        <v>74</v>
      </c>
      <c r="BV109" s="70"/>
      <c r="BW109" s="70"/>
      <c r="BX109" s="70"/>
      <c r="BZ109" s="70"/>
      <c r="CC109" s="70"/>
      <c r="CD109" s="70"/>
      <c r="CE109" s="70"/>
      <c r="CG109" s="70"/>
      <c r="CH109" s="70"/>
    </row>
    <row r="110" spans="1:86" s="37" customFormat="1" ht="39.950000000000003" customHeight="1" x14ac:dyDescent="0.2">
      <c r="A110" s="77">
        <v>1</v>
      </c>
      <c r="B110" s="220" t="s">
        <v>124</v>
      </c>
      <c r="C110" s="21"/>
      <c r="D110" s="22"/>
      <c r="E110" s="23">
        <v>7</v>
      </c>
      <c r="F110" s="278" t="s">
        <v>202</v>
      </c>
      <c r="G110" s="219">
        <v>4675105000</v>
      </c>
      <c r="H110" s="201" t="s">
        <v>66</v>
      </c>
      <c r="I110" s="201" t="s">
        <v>66</v>
      </c>
      <c r="J110" s="216">
        <v>0</v>
      </c>
      <c r="K110" s="217"/>
      <c r="L110" s="301">
        <f>M110+N110+P110+O110</f>
        <v>80000</v>
      </c>
      <c r="M110" s="302">
        <v>80000</v>
      </c>
      <c r="N110" s="303">
        <v>0</v>
      </c>
      <c r="O110" s="304">
        <v>0</v>
      </c>
      <c r="P110" s="303">
        <v>0</v>
      </c>
      <c r="Q110" s="346">
        <v>3522</v>
      </c>
      <c r="R110" s="380">
        <v>6351</v>
      </c>
      <c r="S110" s="307">
        <v>80000000</v>
      </c>
      <c r="T110" s="27">
        <f>U110+V110+W110</f>
        <v>-40000</v>
      </c>
      <c r="U110" s="28">
        <f>(-40000)</f>
        <v>-40000</v>
      </c>
      <c r="V110" s="28">
        <v>0</v>
      </c>
      <c r="W110" s="29">
        <v>0</v>
      </c>
      <c r="X110" s="29">
        <v>0</v>
      </c>
      <c r="Y110" s="30">
        <f t="shared" ref="Y110" si="162">(U110+V110)*1000</f>
        <v>-40000000</v>
      </c>
      <c r="Z110" s="396">
        <f t="shared" si="127"/>
        <v>40000</v>
      </c>
      <c r="AA110" s="397">
        <f>M110+U110</f>
        <v>40000</v>
      </c>
      <c r="AB110" s="397">
        <f>N110+V110</f>
        <v>0</v>
      </c>
      <c r="AC110" s="397">
        <f>O110+W110</f>
        <v>0</v>
      </c>
      <c r="AD110" s="397">
        <f t="shared" ref="AD110" si="163">X110</f>
        <v>0</v>
      </c>
      <c r="AE110" s="398">
        <f>S110+Y110</f>
        <v>40000000</v>
      </c>
      <c r="AF110" s="31">
        <f>AG110+AH110+AI110</f>
        <v>0</v>
      </c>
      <c r="AG110" s="28">
        <v>0</v>
      </c>
      <c r="AH110" s="28">
        <v>0</v>
      </c>
      <c r="AI110" s="28">
        <v>0</v>
      </c>
      <c r="AJ110" s="28">
        <v>0</v>
      </c>
      <c r="AK110" s="401">
        <f>AL110+AM110</f>
        <v>40000</v>
      </c>
      <c r="AL110" s="397">
        <v>40000</v>
      </c>
      <c r="AM110" s="397">
        <v>0</v>
      </c>
      <c r="AN110" s="397">
        <v>0</v>
      </c>
      <c r="AO110" s="402">
        <v>0</v>
      </c>
      <c r="AP110" s="164">
        <f>AQ110</f>
        <v>0</v>
      </c>
      <c r="AQ110" s="28">
        <v>0</v>
      </c>
      <c r="AR110" s="28">
        <v>0</v>
      </c>
      <c r="AS110" s="401">
        <f t="shared" si="149"/>
        <v>0</v>
      </c>
      <c r="AT110" s="397">
        <f>AQ110</f>
        <v>0</v>
      </c>
      <c r="AU110" s="397"/>
      <c r="AV110" s="397">
        <f t="shared" ref="AV110" si="164">AR110</f>
        <v>0</v>
      </c>
      <c r="AW110" s="33">
        <f>AX110</f>
        <v>0</v>
      </c>
      <c r="AX110" s="28">
        <v>0</v>
      </c>
      <c r="AY110" s="28">
        <v>0</v>
      </c>
      <c r="AZ110" s="28">
        <v>0</v>
      </c>
      <c r="BA110" s="403">
        <f>BB110</f>
        <v>0</v>
      </c>
      <c r="BB110" s="397">
        <f>AX110</f>
        <v>0</v>
      </c>
      <c r="BC110" s="397">
        <f>AY110</f>
        <v>0</v>
      </c>
      <c r="BD110" s="397">
        <f>AZ110</f>
        <v>0</v>
      </c>
      <c r="BE110" s="34">
        <f t="shared" si="133"/>
        <v>0</v>
      </c>
      <c r="BF110" s="28">
        <v>0</v>
      </c>
      <c r="BG110" s="28">
        <v>0</v>
      </c>
      <c r="BH110" s="28">
        <v>0</v>
      </c>
      <c r="BI110" s="409">
        <f>BJ110</f>
        <v>0</v>
      </c>
      <c r="BJ110" s="397">
        <f t="shared" si="161"/>
        <v>0</v>
      </c>
      <c r="BK110" s="397">
        <f>BG110</f>
        <v>0</v>
      </c>
      <c r="BL110" s="410">
        <f>BH110</f>
        <v>0</v>
      </c>
      <c r="BM110" s="454">
        <v>2092</v>
      </c>
      <c r="BN110" s="49">
        <f>J110+L110+AF110+AP110+AW110+BE110+BM110</f>
        <v>82092</v>
      </c>
      <c r="BO110" s="414">
        <f t="shared" si="136"/>
        <v>82092</v>
      </c>
      <c r="BP110" s="36">
        <f t="shared" si="83"/>
        <v>0</v>
      </c>
      <c r="BQ110" s="38" t="s">
        <v>57</v>
      </c>
      <c r="BR110" s="41">
        <v>1</v>
      </c>
      <c r="BS110" s="37" t="s">
        <v>72</v>
      </c>
      <c r="BV110" s="70"/>
      <c r="BW110" s="70"/>
      <c r="BX110" s="70"/>
      <c r="BZ110" s="70"/>
      <c r="CC110" s="70"/>
      <c r="CD110" s="70"/>
      <c r="CE110" s="70"/>
      <c r="CG110" s="70"/>
      <c r="CH110" s="70"/>
    </row>
    <row r="111" spans="1:86" s="37" customFormat="1" ht="39.950000000000003" customHeight="1" x14ac:dyDescent="0.2">
      <c r="A111" s="77">
        <v>1</v>
      </c>
      <c r="B111" s="220" t="s">
        <v>124</v>
      </c>
      <c r="C111" s="21"/>
      <c r="D111" s="22"/>
      <c r="E111" s="23">
        <v>7</v>
      </c>
      <c r="F111" s="279" t="s">
        <v>203</v>
      </c>
      <c r="G111" s="280">
        <v>4688005018</v>
      </c>
      <c r="H111" s="192" t="s">
        <v>66</v>
      </c>
      <c r="I111" s="192" t="s">
        <v>66</v>
      </c>
      <c r="J111" s="275">
        <v>0</v>
      </c>
      <c r="K111" s="227"/>
      <c r="L111" s="301">
        <f>M111+N111+P111+O111</f>
        <v>2500</v>
      </c>
      <c r="M111" s="302">
        <v>2500</v>
      </c>
      <c r="N111" s="303">
        <v>0</v>
      </c>
      <c r="O111" s="304">
        <v>0</v>
      </c>
      <c r="P111" s="303">
        <v>0</v>
      </c>
      <c r="Q111" s="346">
        <v>3533</v>
      </c>
      <c r="R111" s="319">
        <v>6351</v>
      </c>
      <c r="S111" s="307">
        <v>2500000</v>
      </c>
      <c r="T111" s="27">
        <f>U111+V111+W111</f>
        <v>-2500</v>
      </c>
      <c r="U111" s="28">
        <v>-2500</v>
      </c>
      <c r="V111" s="28">
        <v>0</v>
      </c>
      <c r="W111" s="29">
        <v>0</v>
      </c>
      <c r="X111" s="29">
        <v>0</v>
      </c>
      <c r="Y111" s="30">
        <f>(U111+V111)*1000</f>
        <v>-2500000</v>
      </c>
      <c r="Z111" s="396">
        <f t="shared" si="127"/>
        <v>0</v>
      </c>
      <c r="AA111" s="397">
        <f>M111+U111</f>
        <v>0</v>
      </c>
      <c r="AB111" s="397">
        <f>N111+V111</f>
        <v>0</v>
      </c>
      <c r="AC111" s="397">
        <f>O111+W111</f>
        <v>0</v>
      </c>
      <c r="AD111" s="397">
        <f>X111</f>
        <v>0</v>
      </c>
      <c r="AE111" s="398">
        <f>S111+Y111</f>
        <v>0</v>
      </c>
      <c r="AF111" s="31">
        <f>AG111+AH111+AI111</f>
        <v>0</v>
      </c>
      <c r="AG111" s="28">
        <v>0</v>
      </c>
      <c r="AH111" s="28">
        <v>0</v>
      </c>
      <c r="AI111" s="28">
        <v>0</v>
      </c>
      <c r="AJ111" s="28">
        <v>0</v>
      </c>
      <c r="AK111" s="401">
        <f>AL111+AM111</f>
        <v>2500</v>
      </c>
      <c r="AL111" s="397">
        <v>2500</v>
      </c>
      <c r="AM111" s="397">
        <v>0</v>
      </c>
      <c r="AN111" s="397">
        <v>0</v>
      </c>
      <c r="AO111" s="402">
        <v>0</v>
      </c>
      <c r="AP111" s="164">
        <f>AQ111</f>
        <v>0</v>
      </c>
      <c r="AQ111" s="28">
        <v>0</v>
      </c>
      <c r="AR111" s="28">
        <v>0</v>
      </c>
      <c r="AS111" s="401">
        <f t="shared" si="149"/>
        <v>0</v>
      </c>
      <c r="AT111" s="397">
        <f>AQ111</f>
        <v>0</v>
      </c>
      <c r="AU111" s="397"/>
      <c r="AV111" s="397">
        <f>AR111</f>
        <v>0</v>
      </c>
      <c r="AW111" s="33">
        <f>AX111</f>
        <v>0</v>
      </c>
      <c r="AX111" s="28">
        <v>0</v>
      </c>
      <c r="AY111" s="28">
        <v>0</v>
      </c>
      <c r="AZ111" s="28">
        <v>0</v>
      </c>
      <c r="BA111" s="403">
        <f>BB111</f>
        <v>0</v>
      </c>
      <c r="BB111" s="397">
        <f>AX111</f>
        <v>0</v>
      </c>
      <c r="BC111" s="397">
        <f>AY111</f>
        <v>0</v>
      </c>
      <c r="BD111" s="397">
        <f>AZ111</f>
        <v>0</v>
      </c>
      <c r="BE111" s="34">
        <f t="shared" si="133"/>
        <v>0</v>
      </c>
      <c r="BF111" s="28">
        <v>0</v>
      </c>
      <c r="BG111" s="28">
        <v>0</v>
      </c>
      <c r="BH111" s="28">
        <v>0</v>
      </c>
      <c r="BI111" s="409">
        <f>BJ111</f>
        <v>0</v>
      </c>
      <c r="BJ111" s="397">
        <f t="shared" si="161"/>
        <v>0</v>
      </c>
      <c r="BK111" s="397">
        <f>BG111</f>
        <v>0</v>
      </c>
      <c r="BL111" s="410">
        <f>BH111</f>
        <v>0</v>
      </c>
      <c r="BM111" s="454">
        <v>100</v>
      </c>
      <c r="BN111" s="35">
        <f>J111+L111+AF111+AP111+AW111+BE111+BM111</f>
        <v>2600</v>
      </c>
      <c r="BO111" s="413">
        <f t="shared" si="136"/>
        <v>2600</v>
      </c>
      <c r="BP111" s="36">
        <f t="shared" si="83"/>
        <v>0</v>
      </c>
      <c r="BQ111" s="38" t="s">
        <v>57</v>
      </c>
      <c r="BR111" s="281">
        <v>1</v>
      </c>
      <c r="BS111" s="37" t="s">
        <v>67</v>
      </c>
      <c r="BV111" s="70"/>
      <c r="BW111" s="70"/>
      <c r="BX111" s="70"/>
      <c r="BZ111" s="70"/>
      <c r="CC111" s="70"/>
      <c r="CD111" s="70"/>
      <c r="CE111" s="70"/>
      <c r="CG111" s="70"/>
      <c r="CH111" s="70"/>
    </row>
    <row r="112" spans="1:86" s="37" customFormat="1" ht="39.950000000000003" customHeight="1" x14ac:dyDescent="0.2">
      <c r="A112" s="77">
        <v>1</v>
      </c>
      <c r="B112" s="191" t="s">
        <v>124</v>
      </c>
      <c r="C112" s="21"/>
      <c r="D112" s="22"/>
      <c r="E112" s="23">
        <v>7</v>
      </c>
      <c r="F112" s="43" t="s">
        <v>204</v>
      </c>
      <c r="G112" s="246">
        <v>4238105008</v>
      </c>
      <c r="H112" s="226" t="s">
        <v>66</v>
      </c>
      <c r="I112" s="226" t="s">
        <v>66</v>
      </c>
      <c r="J112" s="275">
        <v>0</v>
      </c>
      <c r="K112" s="227"/>
      <c r="L112" s="301">
        <f t="shared" ref="L112:L117" si="165">M112+N112+P112+O112</f>
        <v>2500</v>
      </c>
      <c r="M112" s="302">
        <v>2500</v>
      </c>
      <c r="N112" s="303"/>
      <c r="O112" s="304"/>
      <c r="P112" s="303"/>
      <c r="Q112" s="358">
        <v>3522</v>
      </c>
      <c r="R112" s="359">
        <v>6351</v>
      </c>
      <c r="S112" s="307">
        <v>2500000</v>
      </c>
      <c r="T112" s="27">
        <f t="shared" ref="T112:T116" si="166">U112+V112+W112</f>
        <v>-2500</v>
      </c>
      <c r="U112" s="28">
        <v>-2500</v>
      </c>
      <c r="V112" s="28"/>
      <c r="W112" s="29"/>
      <c r="X112" s="29"/>
      <c r="Y112" s="30">
        <v>-2500000</v>
      </c>
      <c r="Z112" s="396">
        <f t="shared" si="127"/>
        <v>0</v>
      </c>
      <c r="AA112" s="397">
        <f t="shared" ref="AA112:AA123" si="167">M112+U112</f>
        <v>0</v>
      </c>
      <c r="AB112" s="397"/>
      <c r="AC112" s="397"/>
      <c r="AD112" s="397"/>
      <c r="AE112" s="398">
        <f t="shared" ref="AE112:AE117" si="168">S112+Y112</f>
        <v>0</v>
      </c>
      <c r="AF112" s="31">
        <f t="shared" ref="AF112:AF117" si="169">AG112+AH112+AI112</f>
        <v>0</v>
      </c>
      <c r="AG112" s="28">
        <v>0</v>
      </c>
      <c r="AH112" s="28"/>
      <c r="AI112" s="28"/>
      <c r="AJ112" s="28"/>
      <c r="AK112" s="401">
        <f t="shared" ref="AK112:AK123" si="170">AL112+AM112</f>
        <v>2500</v>
      </c>
      <c r="AL112" s="397">
        <v>2500</v>
      </c>
      <c r="AM112" s="397"/>
      <c r="AN112" s="397"/>
      <c r="AO112" s="402"/>
      <c r="AP112" s="164">
        <f t="shared" ref="AP112:AP117" si="171">AQ112</f>
        <v>0</v>
      </c>
      <c r="AQ112" s="28">
        <v>0</v>
      </c>
      <c r="AR112" s="28"/>
      <c r="AS112" s="401">
        <f t="shared" si="149"/>
        <v>0</v>
      </c>
      <c r="AT112" s="397">
        <v>0</v>
      </c>
      <c r="AU112" s="397"/>
      <c r="AV112" s="397"/>
      <c r="AW112" s="33">
        <f t="shared" ref="AW112:AW117" si="172">AX112</f>
        <v>0</v>
      </c>
      <c r="AX112" s="28">
        <v>0</v>
      </c>
      <c r="AY112" s="28"/>
      <c r="AZ112" s="28"/>
      <c r="BA112" s="403">
        <f t="shared" ref="BA112:BA117" si="173">BB112</f>
        <v>0</v>
      </c>
      <c r="BB112" s="397">
        <v>0</v>
      </c>
      <c r="BC112" s="397"/>
      <c r="BD112" s="397"/>
      <c r="BE112" s="34">
        <f t="shared" si="133"/>
        <v>0</v>
      </c>
      <c r="BF112" s="28">
        <v>0</v>
      </c>
      <c r="BG112" s="28"/>
      <c r="BH112" s="28"/>
      <c r="BI112" s="409">
        <f t="shared" ref="BI112:BI117" si="174">BJ112</f>
        <v>0</v>
      </c>
      <c r="BJ112" s="397">
        <f t="shared" si="161"/>
        <v>0</v>
      </c>
      <c r="BK112" s="397"/>
      <c r="BL112" s="410"/>
      <c r="BM112" s="454">
        <v>100095</v>
      </c>
      <c r="BN112" s="35">
        <f t="shared" ref="BN112:BN117" si="175">J112+L112+AF112+AP112+AW112+BE112+BM112</f>
        <v>102595</v>
      </c>
      <c r="BO112" s="413">
        <f t="shared" si="136"/>
        <v>102595</v>
      </c>
      <c r="BP112" s="36">
        <f t="shared" si="83"/>
        <v>0</v>
      </c>
      <c r="BQ112" s="38" t="s">
        <v>57</v>
      </c>
      <c r="BR112" s="41">
        <v>1</v>
      </c>
      <c r="BS112" s="37" t="s">
        <v>97</v>
      </c>
      <c r="BV112" s="70"/>
      <c r="BW112" s="70"/>
      <c r="BX112" s="70"/>
      <c r="BZ112" s="70"/>
      <c r="CC112" s="70"/>
      <c r="CD112" s="70"/>
      <c r="CE112" s="70"/>
      <c r="CG112" s="70"/>
      <c r="CH112" s="70"/>
    </row>
    <row r="113" spans="1:86" s="37" customFormat="1" ht="39.950000000000003" customHeight="1" x14ac:dyDescent="0.2">
      <c r="A113" s="77">
        <v>1</v>
      </c>
      <c r="B113" s="191" t="s">
        <v>124</v>
      </c>
      <c r="C113" s="21"/>
      <c r="D113" s="22"/>
      <c r="E113" s="23">
        <v>7</v>
      </c>
      <c r="F113" s="43" t="s">
        <v>205</v>
      </c>
      <c r="G113" s="280">
        <v>4677105014</v>
      </c>
      <c r="H113" s="282" t="s">
        <v>66</v>
      </c>
      <c r="I113" s="282" t="s">
        <v>66</v>
      </c>
      <c r="J113" s="283">
        <v>0</v>
      </c>
      <c r="K113" s="190"/>
      <c r="L113" s="301">
        <f t="shared" si="165"/>
        <v>23000</v>
      </c>
      <c r="M113" s="302">
        <v>23000</v>
      </c>
      <c r="N113" s="303"/>
      <c r="O113" s="304"/>
      <c r="P113" s="303"/>
      <c r="Q113" s="381">
        <v>3522</v>
      </c>
      <c r="R113" s="382">
        <v>6351</v>
      </c>
      <c r="S113" s="307">
        <v>23000000</v>
      </c>
      <c r="T113" s="27">
        <f t="shared" si="166"/>
        <v>-10000</v>
      </c>
      <c r="U113" s="28">
        <v>-10000</v>
      </c>
      <c r="V113" s="28"/>
      <c r="W113" s="29"/>
      <c r="X113" s="29"/>
      <c r="Y113" s="30">
        <v>-10000000</v>
      </c>
      <c r="Z113" s="396">
        <f t="shared" si="127"/>
        <v>13000</v>
      </c>
      <c r="AA113" s="397">
        <f t="shared" si="167"/>
        <v>13000</v>
      </c>
      <c r="AB113" s="397"/>
      <c r="AC113" s="397"/>
      <c r="AD113" s="397"/>
      <c r="AE113" s="398">
        <f t="shared" si="168"/>
        <v>13000000</v>
      </c>
      <c r="AF113" s="31">
        <f t="shared" si="169"/>
        <v>0</v>
      </c>
      <c r="AG113" s="28">
        <v>0</v>
      </c>
      <c r="AH113" s="28"/>
      <c r="AI113" s="28"/>
      <c r="AJ113" s="28"/>
      <c r="AK113" s="401">
        <f t="shared" si="170"/>
        <v>10000</v>
      </c>
      <c r="AL113" s="397">
        <v>10000</v>
      </c>
      <c r="AM113" s="397"/>
      <c r="AN113" s="397"/>
      <c r="AO113" s="402"/>
      <c r="AP113" s="164">
        <f t="shared" si="171"/>
        <v>0</v>
      </c>
      <c r="AQ113" s="28">
        <v>0</v>
      </c>
      <c r="AR113" s="28"/>
      <c r="AS113" s="401">
        <f t="shared" si="149"/>
        <v>0</v>
      </c>
      <c r="AT113" s="397">
        <v>0</v>
      </c>
      <c r="AU113" s="397"/>
      <c r="AV113" s="397"/>
      <c r="AW113" s="33">
        <f t="shared" si="172"/>
        <v>0</v>
      </c>
      <c r="AX113" s="28">
        <v>0</v>
      </c>
      <c r="AY113" s="28"/>
      <c r="AZ113" s="28"/>
      <c r="BA113" s="403">
        <f t="shared" si="173"/>
        <v>0</v>
      </c>
      <c r="BB113" s="397">
        <v>0</v>
      </c>
      <c r="BC113" s="397"/>
      <c r="BD113" s="397"/>
      <c r="BE113" s="34">
        <f t="shared" si="133"/>
        <v>0</v>
      </c>
      <c r="BF113" s="28">
        <v>0</v>
      </c>
      <c r="BG113" s="28"/>
      <c r="BH113" s="28"/>
      <c r="BI113" s="409">
        <f t="shared" si="174"/>
        <v>0</v>
      </c>
      <c r="BJ113" s="397">
        <f t="shared" si="161"/>
        <v>0</v>
      </c>
      <c r="BK113" s="397"/>
      <c r="BL113" s="410"/>
      <c r="BM113" s="454">
        <v>197600</v>
      </c>
      <c r="BN113" s="35">
        <f t="shared" si="175"/>
        <v>220600</v>
      </c>
      <c r="BO113" s="413">
        <f t="shared" si="136"/>
        <v>220600</v>
      </c>
      <c r="BP113" s="36">
        <f t="shared" si="83"/>
        <v>0</v>
      </c>
      <c r="BQ113" s="38" t="s">
        <v>57</v>
      </c>
      <c r="BR113" s="41">
        <v>1</v>
      </c>
      <c r="BS113" s="37" t="s">
        <v>95</v>
      </c>
      <c r="BV113" s="70"/>
      <c r="BW113" s="70"/>
      <c r="BX113" s="70"/>
      <c r="BZ113" s="70"/>
      <c r="CC113" s="70"/>
      <c r="CD113" s="70"/>
      <c r="CE113" s="70"/>
      <c r="CG113" s="70"/>
      <c r="CH113" s="70"/>
    </row>
    <row r="114" spans="1:86" s="37" customFormat="1" ht="39.950000000000003" customHeight="1" x14ac:dyDescent="0.2">
      <c r="A114" s="77">
        <v>1</v>
      </c>
      <c r="B114" s="260" t="s">
        <v>124</v>
      </c>
      <c r="C114" s="260"/>
      <c r="D114" s="167"/>
      <c r="E114" s="23">
        <v>7</v>
      </c>
      <c r="F114" s="43" t="s">
        <v>206</v>
      </c>
      <c r="G114" s="60">
        <v>4349105008</v>
      </c>
      <c r="H114" s="284" t="s">
        <v>66</v>
      </c>
      <c r="I114" s="284" t="s">
        <v>66</v>
      </c>
      <c r="J114" s="28">
        <v>37750.73259</v>
      </c>
      <c r="K114" s="266"/>
      <c r="L114" s="301">
        <f t="shared" si="165"/>
        <v>88499.27</v>
      </c>
      <c r="M114" s="302">
        <v>88499.27</v>
      </c>
      <c r="N114" s="303"/>
      <c r="O114" s="304"/>
      <c r="P114" s="303"/>
      <c r="Q114" s="383">
        <v>3522</v>
      </c>
      <c r="R114" s="384">
        <v>6351</v>
      </c>
      <c r="S114" s="307">
        <v>88499267.409999996</v>
      </c>
      <c r="T114" s="27">
        <f t="shared" si="166"/>
        <v>-15000</v>
      </c>
      <c r="U114" s="28">
        <v>-15000</v>
      </c>
      <c r="V114" s="28"/>
      <c r="W114" s="29"/>
      <c r="X114" s="29"/>
      <c r="Y114" s="30">
        <v>-15000000</v>
      </c>
      <c r="Z114" s="396">
        <f t="shared" si="127"/>
        <v>73499.27</v>
      </c>
      <c r="AA114" s="397">
        <f t="shared" si="167"/>
        <v>73499.27</v>
      </c>
      <c r="AB114" s="397"/>
      <c r="AC114" s="397"/>
      <c r="AD114" s="397"/>
      <c r="AE114" s="398">
        <f t="shared" si="168"/>
        <v>73499267.409999996</v>
      </c>
      <c r="AF114" s="31">
        <f t="shared" si="169"/>
        <v>0</v>
      </c>
      <c r="AG114" s="48">
        <v>0</v>
      </c>
      <c r="AH114" s="48"/>
      <c r="AI114" s="48"/>
      <c r="AJ114" s="28"/>
      <c r="AK114" s="401">
        <f t="shared" si="170"/>
        <v>15000</v>
      </c>
      <c r="AL114" s="397">
        <v>15000</v>
      </c>
      <c r="AM114" s="403"/>
      <c r="AN114" s="403"/>
      <c r="AO114" s="398"/>
      <c r="AP114" s="164">
        <f t="shared" si="171"/>
        <v>0</v>
      </c>
      <c r="AQ114" s="28">
        <v>0</v>
      </c>
      <c r="AR114" s="28"/>
      <c r="AS114" s="401">
        <f t="shared" si="149"/>
        <v>0</v>
      </c>
      <c r="AT114" s="397">
        <v>0</v>
      </c>
      <c r="AU114" s="397"/>
      <c r="AV114" s="397"/>
      <c r="AW114" s="33">
        <f t="shared" si="172"/>
        <v>0</v>
      </c>
      <c r="AX114" s="28">
        <v>0</v>
      </c>
      <c r="AY114" s="28"/>
      <c r="AZ114" s="28"/>
      <c r="BA114" s="403">
        <f t="shared" si="173"/>
        <v>0</v>
      </c>
      <c r="BB114" s="397">
        <v>0</v>
      </c>
      <c r="BC114" s="397"/>
      <c r="BD114" s="397"/>
      <c r="BE114" s="34">
        <f t="shared" si="133"/>
        <v>0</v>
      </c>
      <c r="BF114" s="28">
        <v>0</v>
      </c>
      <c r="BG114" s="28"/>
      <c r="BH114" s="28"/>
      <c r="BI114" s="409">
        <f t="shared" si="174"/>
        <v>0</v>
      </c>
      <c r="BJ114" s="397">
        <v>0</v>
      </c>
      <c r="BK114" s="397"/>
      <c r="BL114" s="410"/>
      <c r="BM114" s="455">
        <v>3811.2</v>
      </c>
      <c r="BN114" s="35">
        <f t="shared" si="175"/>
        <v>130061.20259</v>
      </c>
      <c r="BO114" s="413">
        <f t="shared" si="136"/>
        <v>130061.20259</v>
      </c>
      <c r="BP114" s="36">
        <f t="shared" si="83"/>
        <v>0</v>
      </c>
      <c r="BQ114" s="38" t="s">
        <v>57</v>
      </c>
      <c r="BR114" s="39"/>
      <c r="BS114" s="37" t="s">
        <v>67</v>
      </c>
      <c r="BV114" s="70"/>
      <c r="BW114" s="70"/>
      <c r="BX114" s="70"/>
      <c r="BZ114" s="70"/>
      <c r="CC114" s="70"/>
      <c r="CD114" s="70"/>
      <c r="CE114" s="70"/>
      <c r="CG114" s="70"/>
      <c r="CH114" s="70"/>
    </row>
    <row r="115" spans="1:86" s="37" customFormat="1" ht="39.950000000000003" customHeight="1" x14ac:dyDescent="0.2">
      <c r="A115" s="77">
        <v>1</v>
      </c>
      <c r="B115" s="285" t="s">
        <v>124</v>
      </c>
      <c r="C115" s="21"/>
      <c r="D115" s="22"/>
      <c r="E115" s="23">
        <v>7</v>
      </c>
      <c r="F115" s="43" t="s">
        <v>207</v>
      </c>
      <c r="G115" s="60">
        <v>4215105008</v>
      </c>
      <c r="H115" s="286" t="s">
        <v>66</v>
      </c>
      <c r="I115" s="286" t="s">
        <v>66</v>
      </c>
      <c r="J115" s="287">
        <v>2389.145</v>
      </c>
      <c r="K115" s="288"/>
      <c r="L115" s="301">
        <f t="shared" si="165"/>
        <v>41110.86</v>
      </c>
      <c r="M115" s="302">
        <v>41110.86</v>
      </c>
      <c r="N115" s="303"/>
      <c r="O115" s="304"/>
      <c r="P115" s="303"/>
      <c r="Q115" s="385">
        <v>3522</v>
      </c>
      <c r="R115" s="386">
        <v>6351</v>
      </c>
      <c r="S115" s="307">
        <v>41110860</v>
      </c>
      <c r="T115" s="27">
        <f t="shared" si="166"/>
        <v>-10000</v>
      </c>
      <c r="U115" s="28">
        <v>-10000</v>
      </c>
      <c r="V115" s="28"/>
      <c r="W115" s="29"/>
      <c r="X115" s="29"/>
      <c r="Y115" s="30">
        <v>-10000000</v>
      </c>
      <c r="Z115" s="396">
        <f t="shared" si="127"/>
        <v>31110.86</v>
      </c>
      <c r="AA115" s="397">
        <f t="shared" si="167"/>
        <v>31110.86</v>
      </c>
      <c r="AB115" s="397"/>
      <c r="AC115" s="397"/>
      <c r="AD115" s="397"/>
      <c r="AE115" s="398">
        <f t="shared" si="168"/>
        <v>31110860</v>
      </c>
      <c r="AF115" s="31">
        <f t="shared" si="169"/>
        <v>45500</v>
      </c>
      <c r="AG115" s="28">
        <v>45500</v>
      </c>
      <c r="AH115" s="28"/>
      <c r="AI115" s="28"/>
      <c r="AJ115" s="28"/>
      <c r="AK115" s="401">
        <f t="shared" si="170"/>
        <v>55500</v>
      </c>
      <c r="AL115" s="397">
        <v>55500</v>
      </c>
      <c r="AM115" s="397"/>
      <c r="AN115" s="397"/>
      <c r="AO115" s="402"/>
      <c r="AP115" s="164">
        <f t="shared" si="171"/>
        <v>45500</v>
      </c>
      <c r="AQ115" s="28">
        <v>45500</v>
      </c>
      <c r="AR115" s="28"/>
      <c r="AS115" s="401">
        <f t="shared" si="149"/>
        <v>45500</v>
      </c>
      <c r="AT115" s="397">
        <v>45500</v>
      </c>
      <c r="AU115" s="397"/>
      <c r="AV115" s="397"/>
      <c r="AW115" s="33">
        <f t="shared" si="172"/>
        <v>0</v>
      </c>
      <c r="AX115" s="28">
        <v>0</v>
      </c>
      <c r="AY115" s="28"/>
      <c r="AZ115" s="28"/>
      <c r="BA115" s="403">
        <f t="shared" si="173"/>
        <v>0</v>
      </c>
      <c r="BB115" s="397">
        <v>0</v>
      </c>
      <c r="BC115" s="397"/>
      <c r="BD115" s="397"/>
      <c r="BE115" s="34">
        <v>0</v>
      </c>
      <c r="BF115" s="28">
        <v>0</v>
      </c>
      <c r="BG115" s="28"/>
      <c r="BH115" s="28"/>
      <c r="BI115" s="409">
        <f t="shared" si="174"/>
        <v>0</v>
      </c>
      <c r="BJ115" s="397">
        <v>0</v>
      </c>
      <c r="BK115" s="397"/>
      <c r="BL115" s="410"/>
      <c r="BM115" s="455">
        <v>0</v>
      </c>
      <c r="BN115" s="35">
        <f t="shared" si="175"/>
        <v>134500.005</v>
      </c>
      <c r="BO115" s="413">
        <f t="shared" si="136"/>
        <v>134500.005</v>
      </c>
      <c r="BP115" s="36">
        <f t="shared" si="83"/>
        <v>0</v>
      </c>
      <c r="BQ115" s="38" t="s">
        <v>57</v>
      </c>
      <c r="BR115" s="41"/>
      <c r="BS115" s="55" t="s">
        <v>68</v>
      </c>
      <c r="BV115" s="70"/>
      <c r="BW115" s="70"/>
      <c r="BX115" s="70"/>
      <c r="BZ115" s="70"/>
      <c r="CC115" s="70"/>
      <c r="CD115" s="70"/>
      <c r="CE115" s="70"/>
      <c r="CG115" s="70"/>
      <c r="CH115" s="70"/>
    </row>
    <row r="116" spans="1:86" s="37" customFormat="1" ht="39.950000000000003" customHeight="1" x14ac:dyDescent="0.2">
      <c r="A116" s="489">
        <v>1</v>
      </c>
      <c r="B116" s="285" t="s">
        <v>124</v>
      </c>
      <c r="C116" s="21"/>
      <c r="D116" s="22"/>
      <c r="E116" s="23">
        <v>7</v>
      </c>
      <c r="F116" s="491" t="s">
        <v>208</v>
      </c>
      <c r="G116" s="289">
        <v>4298000000</v>
      </c>
      <c r="H116" s="493">
        <v>50000</v>
      </c>
      <c r="I116" s="494" t="s">
        <v>127</v>
      </c>
      <c r="J116" s="496">
        <v>15956.64</v>
      </c>
      <c r="K116" s="290"/>
      <c r="L116" s="301">
        <f t="shared" si="165"/>
        <v>18851</v>
      </c>
      <c r="M116" s="302">
        <v>18851</v>
      </c>
      <c r="N116" s="303"/>
      <c r="O116" s="304"/>
      <c r="P116" s="303"/>
      <c r="Q116" s="387">
        <v>3526</v>
      </c>
      <c r="R116" s="388">
        <v>6121</v>
      </c>
      <c r="S116" s="307">
        <v>0</v>
      </c>
      <c r="T116" s="27">
        <f t="shared" si="166"/>
        <v>-18500</v>
      </c>
      <c r="U116" s="28">
        <v>-18500</v>
      </c>
      <c r="V116" s="28"/>
      <c r="W116" s="29"/>
      <c r="X116" s="29"/>
      <c r="Y116" s="30">
        <v>0</v>
      </c>
      <c r="Z116" s="396">
        <f t="shared" si="127"/>
        <v>351</v>
      </c>
      <c r="AA116" s="397">
        <f t="shared" si="167"/>
        <v>351</v>
      </c>
      <c r="AB116" s="397"/>
      <c r="AC116" s="397"/>
      <c r="AD116" s="397"/>
      <c r="AE116" s="398">
        <f t="shared" si="168"/>
        <v>0</v>
      </c>
      <c r="AF116" s="31">
        <f t="shared" si="169"/>
        <v>0</v>
      </c>
      <c r="AG116" s="28">
        <v>0</v>
      </c>
      <c r="AH116" s="28"/>
      <c r="AI116" s="28"/>
      <c r="AJ116" s="28"/>
      <c r="AK116" s="401">
        <f t="shared" si="170"/>
        <v>18500</v>
      </c>
      <c r="AL116" s="397">
        <v>18500</v>
      </c>
      <c r="AM116" s="397"/>
      <c r="AN116" s="397"/>
      <c r="AO116" s="402"/>
      <c r="AP116" s="164">
        <f t="shared" si="171"/>
        <v>0</v>
      </c>
      <c r="AQ116" s="28">
        <v>0</v>
      </c>
      <c r="AR116" s="28"/>
      <c r="AS116" s="401">
        <f t="shared" si="149"/>
        <v>0</v>
      </c>
      <c r="AT116" s="397">
        <v>0</v>
      </c>
      <c r="AU116" s="397"/>
      <c r="AV116" s="397"/>
      <c r="AW116" s="33">
        <f t="shared" si="172"/>
        <v>0</v>
      </c>
      <c r="AX116" s="28">
        <v>0</v>
      </c>
      <c r="AY116" s="28"/>
      <c r="AZ116" s="28"/>
      <c r="BA116" s="403">
        <f t="shared" si="173"/>
        <v>0</v>
      </c>
      <c r="BB116" s="397">
        <v>0</v>
      </c>
      <c r="BC116" s="397"/>
      <c r="BD116" s="397"/>
      <c r="BE116" s="34">
        <f>BF116</f>
        <v>0</v>
      </c>
      <c r="BF116" s="28">
        <v>0</v>
      </c>
      <c r="BG116" s="28"/>
      <c r="BH116" s="28"/>
      <c r="BI116" s="409">
        <f t="shared" si="174"/>
        <v>0</v>
      </c>
      <c r="BJ116" s="397">
        <f t="shared" ref="BJ116:BJ122" si="176">BF116</f>
        <v>0</v>
      </c>
      <c r="BK116" s="397"/>
      <c r="BL116" s="410"/>
      <c r="BM116" s="454">
        <f>1600000+1006.72</f>
        <v>1601006.72</v>
      </c>
      <c r="BN116" s="35">
        <f t="shared" si="175"/>
        <v>1635814.3599999999</v>
      </c>
      <c r="BO116" s="413">
        <f t="shared" si="136"/>
        <v>1635814.3599999999</v>
      </c>
      <c r="BP116" s="36">
        <f t="shared" si="83"/>
        <v>0</v>
      </c>
      <c r="BQ116" s="38" t="s">
        <v>57</v>
      </c>
      <c r="BR116" s="465">
        <v>1</v>
      </c>
      <c r="BS116" s="37" t="s">
        <v>128</v>
      </c>
      <c r="BV116" s="70"/>
      <c r="BW116" s="70"/>
      <c r="BX116" s="70"/>
      <c r="BZ116" s="70"/>
      <c r="CC116" s="70"/>
      <c r="CD116" s="70"/>
      <c r="CE116" s="70"/>
      <c r="CG116" s="70"/>
      <c r="CH116" s="70"/>
    </row>
    <row r="117" spans="1:86" s="37" customFormat="1" ht="39.950000000000003" customHeight="1" x14ac:dyDescent="0.2">
      <c r="A117" s="490"/>
      <c r="B117" s="291" t="s">
        <v>124</v>
      </c>
      <c r="C117" s="21"/>
      <c r="D117" s="22"/>
      <c r="E117" s="23">
        <v>7</v>
      </c>
      <c r="F117" s="492"/>
      <c r="G117" s="292">
        <v>4298005006</v>
      </c>
      <c r="H117" s="482"/>
      <c r="I117" s="495"/>
      <c r="J117" s="497"/>
      <c r="K117" s="290"/>
      <c r="L117" s="301">
        <f t="shared" si="165"/>
        <v>14192.37</v>
      </c>
      <c r="M117" s="302">
        <v>14192.37</v>
      </c>
      <c r="N117" s="303"/>
      <c r="O117" s="357"/>
      <c r="P117" s="303"/>
      <c r="Q117" s="387">
        <v>3526</v>
      </c>
      <c r="R117" s="388">
        <v>6351</v>
      </c>
      <c r="S117" s="307">
        <v>14192367.5</v>
      </c>
      <c r="T117" s="27">
        <f>U117+V117+W117</f>
        <v>0</v>
      </c>
      <c r="U117" s="28">
        <v>0</v>
      </c>
      <c r="V117" s="28"/>
      <c r="W117" s="224"/>
      <c r="X117" s="224"/>
      <c r="Y117" s="30">
        <v>0</v>
      </c>
      <c r="Z117" s="396">
        <f t="shared" si="127"/>
        <v>14192.37</v>
      </c>
      <c r="AA117" s="397">
        <f t="shared" si="167"/>
        <v>14192.37</v>
      </c>
      <c r="AB117" s="397"/>
      <c r="AC117" s="397"/>
      <c r="AD117" s="397"/>
      <c r="AE117" s="398">
        <f t="shared" si="168"/>
        <v>14192367.5</v>
      </c>
      <c r="AF117" s="31">
        <f t="shared" si="169"/>
        <v>0</v>
      </c>
      <c r="AG117" s="28">
        <v>0</v>
      </c>
      <c r="AH117" s="28"/>
      <c r="AI117" s="28"/>
      <c r="AJ117" s="28"/>
      <c r="AK117" s="406">
        <f t="shared" si="170"/>
        <v>0</v>
      </c>
      <c r="AL117" s="397">
        <v>0</v>
      </c>
      <c r="AM117" s="397"/>
      <c r="AN117" s="397"/>
      <c r="AO117" s="402"/>
      <c r="AP117" s="164">
        <f t="shared" si="171"/>
        <v>0</v>
      </c>
      <c r="AQ117" s="28">
        <v>0</v>
      </c>
      <c r="AR117" s="28"/>
      <c r="AS117" s="406">
        <f t="shared" si="149"/>
        <v>0</v>
      </c>
      <c r="AT117" s="397">
        <v>0</v>
      </c>
      <c r="AU117" s="397"/>
      <c r="AV117" s="397"/>
      <c r="AW117" s="221">
        <f t="shared" si="172"/>
        <v>0</v>
      </c>
      <c r="AX117" s="28">
        <v>0</v>
      </c>
      <c r="AY117" s="28"/>
      <c r="AZ117" s="28"/>
      <c r="BA117" s="407">
        <f t="shared" si="173"/>
        <v>0</v>
      </c>
      <c r="BB117" s="397">
        <v>0</v>
      </c>
      <c r="BC117" s="397"/>
      <c r="BD117" s="397"/>
      <c r="BE117" s="34">
        <f>BF117</f>
        <v>0</v>
      </c>
      <c r="BF117" s="28">
        <v>0</v>
      </c>
      <c r="BG117" s="28"/>
      <c r="BH117" s="28"/>
      <c r="BI117" s="409">
        <f t="shared" si="174"/>
        <v>0</v>
      </c>
      <c r="BJ117" s="397">
        <f t="shared" si="176"/>
        <v>0</v>
      </c>
      <c r="BK117" s="397"/>
      <c r="BL117" s="410"/>
      <c r="BM117" s="454">
        <v>0</v>
      </c>
      <c r="BN117" s="35">
        <f t="shared" si="175"/>
        <v>14192.37</v>
      </c>
      <c r="BO117" s="413">
        <f t="shared" si="136"/>
        <v>14192.37</v>
      </c>
      <c r="BP117" s="36">
        <f t="shared" si="83"/>
        <v>0</v>
      </c>
      <c r="BQ117" s="38" t="s">
        <v>57</v>
      </c>
      <c r="BR117" s="498"/>
      <c r="BS117" s="37" t="s">
        <v>128</v>
      </c>
      <c r="BV117" s="70"/>
      <c r="BW117" s="70"/>
      <c r="BX117" s="70"/>
      <c r="CC117" s="70"/>
      <c r="CD117" s="70"/>
      <c r="CE117" s="70"/>
      <c r="CG117" s="70"/>
      <c r="CH117" s="70"/>
    </row>
    <row r="118" spans="1:86" s="37" customFormat="1" ht="39.950000000000003" customHeight="1" x14ac:dyDescent="0.2">
      <c r="A118" s="471">
        <v>2</v>
      </c>
      <c r="B118" s="474" t="s">
        <v>65</v>
      </c>
      <c r="C118" s="21"/>
      <c r="D118" s="22"/>
      <c r="E118" s="23">
        <v>7</v>
      </c>
      <c r="F118" s="477" t="s">
        <v>209</v>
      </c>
      <c r="G118" s="293">
        <v>5867000000</v>
      </c>
      <c r="H118" s="480">
        <v>190000</v>
      </c>
      <c r="I118" s="483" t="s">
        <v>80</v>
      </c>
      <c r="J118" s="486">
        <v>54950.7598</v>
      </c>
      <c r="K118" s="294"/>
      <c r="L118" s="301">
        <f t="shared" si="125"/>
        <v>41240.000199999995</v>
      </c>
      <c r="M118" s="302">
        <f>61476.4402-M121-M119-M120</f>
        <v>41240.000199999995</v>
      </c>
      <c r="N118" s="303"/>
      <c r="O118" s="357"/>
      <c r="P118" s="303"/>
      <c r="Q118" s="389">
        <v>3127</v>
      </c>
      <c r="R118" s="390">
        <v>6121</v>
      </c>
      <c r="S118" s="307">
        <v>0</v>
      </c>
      <c r="T118" s="27">
        <f t="shared" si="126"/>
        <v>20000</v>
      </c>
      <c r="U118" s="28">
        <v>20000</v>
      </c>
      <c r="V118" s="28"/>
      <c r="W118" s="224"/>
      <c r="X118" s="224"/>
      <c r="Y118" s="30">
        <v>0</v>
      </c>
      <c r="Z118" s="396">
        <f t="shared" si="127"/>
        <v>61240.000199999995</v>
      </c>
      <c r="AA118" s="397">
        <f t="shared" si="167"/>
        <v>61240.000199999995</v>
      </c>
      <c r="AB118" s="397">
        <f>N118+V118</f>
        <v>0</v>
      </c>
      <c r="AC118" s="397">
        <f>O118+W118</f>
        <v>0</v>
      </c>
      <c r="AD118" s="397">
        <f>X118</f>
        <v>0</v>
      </c>
      <c r="AE118" s="398">
        <f t="shared" si="147"/>
        <v>0</v>
      </c>
      <c r="AF118" s="31">
        <f t="shared" si="137"/>
        <v>37653</v>
      </c>
      <c r="AG118" s="28">
        <v>37653</v>
      </c>
      <c r="AH118" s="28"/>
      <c r="AI118" s="28"/>
      <c r="AJ118" s="28"/>
      <c r="AK118" s="406">
        <f t="shared" si="170"/>
        <v>17653</v>
      </c>
      <c r="AL118" s="397">
        <f>37653-20000</f>
        <v>17653</v>
      </c>
      <c r="AM118" s="397"/>
      <c r="AN118" s="397"/>
      <c r="AO118" s="402">
        <v>0</v>
      </c>
      <c r="AP118" s="164">
        <f t="shared" si="129"/>
        <v>0</v>
      </c>
      <c r="AQ118" s="28">
        <v>0</v>
      </c>
      <c r="AR118" s="28">
        <v>0</v>
      </c>
      <c r="AS118" s="406">
        <f t="shared" si="130"/>
        <v>0</v>
      </c>
      <c r="AT118" s="397">
        <v>0</v>
      </c>
      <c r="AU118" s="397"/>
      <c r="AV118" s="397"/>
      <c r="AW118" s="221">
        <f t="shared" si="131"/>
        <v>0</v>
      </c>
      <c r="AX118" s="28">
        <v>0</v>
      </c>
      <c r="AY118" s="28"/>
      <c r="AZ118" s="28"/>
      <c r="BA118" s="407">
        <f t="shared" si="132"/>
        <v>0</v>
      </c>
      <c r="BB118" s="397">
        <v>0</v>
      </c>
      <c r="BC118" s="397"/>
      <c r="BD118" s="397"/>
      <c r="BE118" s="34">
        <f t="shared" si="133"/>
        <v>0</v>
      </c>
      <c r="BF118" s="28">
        <v>0</v>
      </c>
      <c r="BG118" s="28"/>
      <c r="BH118" s="28"/>
      <c r="BI118" s="409">
        <f t="shared" si="134"/>
        <v>0</v>
      </c>
      <c r="BJ118" s="397">
        <f t="shared" si="176"/>
        <v>0</v>
      </c>
      <c r="BK118" s="397"/>
      <c r="BL118" s="410"/>
      <c r="BM118" s="454">
        <f>BL118+BD118+AW118+AO118</f>
        <v>0</v>
      </c>
      <c r="BN118" s="35">
        <f>J118+L118+AF118+AP118+AW118+BE118+BM118</f>
        <v>133843.76</v>
      </c>
      <c r="BO118" s="413">
        <f>J118+Z118+AK118+AS118+BM118+BI118+BA118</f>
        <v>133843.76</v>
      </c>
      <c r="BP118" s="36">
        <f t="shared" si="83"/>
        <v>0</v>
      </c>
      <c r="BQ118" s="462" t="s">
        <v>129</v>
      </c>
      <c r="BR118" s="465">
        <v>1</v>
      </c>
      <c r="BS118" s="37" t="s">
        <v>87</v>
      </c>
      <c r="BV118" s="70"/>
      <c r="BW118" s="70"/>
      <c r="BX118" s="70"/>
      <c r="BZ118" s="70"/>
      <c r="CC118" s="70"/>
      <c r="CD118" s="70"/>
      <c r="CE118" s="70"/>
      <c r="CG118" s="70"/>
      <c r="CH118" s="70"/>
    </row>
    <row r="119" spans="1:86" s="37" customFormat="1" ht="39.950000000000003" customHeight="1" x14ac:dyDescent="0.2">
      <c r="A119" s="472"/>
      <c r="B119" s="475"/>
      <c r="C119" s="21"/>
      <c r="D119" s="22"/>
      <c r="E119" s="23">
        <v>7</v>
      </c>
      <c r="F119" s="478"/>
      <c r="G119" s="295">
        <v>5867400000</v>
      </c>
      <c r="H119" s="481"/>
      <c r="I119" s="484"/>
      <c r="J119" s="487"/>
      <c r="K119" s="266"/>
      <c r="L119" s="301">
        <f t="shared" si="125"/>
        <v>16676.439999999999</v>
      </c>
      <c r="M119" s="302">
        <v>16676.439999999999</v>
      </c>
      <c r="N119" s="303"/>
      <c r="O119" s="357"/>
      <c r="P119" s="303"/>
      <c r="Q119" s="376">
        <v>3127</v>
      </c>
      <c r="R119" s="388">
        <v>6121</v>
      </c>
      <c r="S119" s="307">
        <v>0</v>
      </c>
      <c r="T119" s="27">
        <f t="shared" si="126"/>
        <v>0</v>
      </c>
      <c r="U119" s="28">
        <v>0</v>
      </c>
      <c r="V119" s="28"/>
      <c r="W119" s="224"/>
      <c r="X119" s="224"/>
      <c r="Y119" s="30">
        <v>0</v>
      </c>
      <c r="Z119" s="396">
        <f t="shared" si="127"/>
        <v>16676.439999999999</v>
      </c>
      <c r="AA119" s="397">
        <f t="shared" si="167"/>
        <v>16676.439999999999</v>
      </c>
      <c r="AB119" s="397"/>
      <c r="AC119" s="397"/>
      <c r="AD119" s="397"/>
      <c r="AE119" s="398">
        <f t="shared" si="147"/>
        <v>0</v>
      </c>
      <c r="AF119" s="31">
        <f t="shared" si="137"/>
        <v>0</v>
      </c>
      <c r="AG119" s="28">
        <v>0</v>
      </c>
      <c r="AH119" s="28"/>
      <c r="AI119" s="28"/>
      <c r="AJ119" s="28"/>
      <c r="AK119" s="406">
        <f t="shared" si="170"/>
        <v>0</v>
      </c>
      <c r="AL119" s="397">
        <v>0</v>
      </c>
      <c r="AM119" s="397"/>
      <c r="AN119" s="397"/>
      <c r="AO119" s="402">
        <v>0</v>
      </c>
      <c r="AP119" s="164">
        <f t="shared" si="129"/>
        <v>0</v>
      </c>
      <c r="AQ119" s="28">
        <v>0</v>
      </c>
      <c r="AR119" s="28">
        <v>0</v>
      </c>
      <c r="AS119" s="406">
        <f t="shared" si="130"/>
        <v>0</v>
      </c>
      <c r="AT119" s="397">
        <v>0</v>
      </c>
      <c r="AU119" s="397"/>
      <c r="AV119" s="397"/>
      <c r="AW119" s="221">
        <f t="shared" si="131"/>
        <v>0</v>
      </c>
      <c r="AX119" s="28">
        <v>0</v>
      </c>
      <c r="AY119" s="28"/>
      <c r="AZ119" s="28"/>
      <c r="BA119" s="407">
        <f t="shared" si="132"/>
        <v>0</v>
      </c>
      <c r="BB119" s="397">
        <v>0</v>
      </c>
      <c r="BC119" s="397"/>
      <c r="BD119" s="397"/>
      <c r="BE119" s="34">
        <f t="shared" si="133"/>
        <v>0</v>
      </c>
      <c r="BF119" s="28">
        <v>0</v>
      </c>
      <c r="BG119" s="28"/>
      <c r="BH119" s="28"/>
      <c r="BI119" s="409">
        <f t="shared" si="134"/>
        <v>0</v>
      </c>
      <c r="BJ119" s="397">
        <f t="shared" si="176"/>
        <v>0</v>
      </c>
      <c r="BK119" s="397"/>
      <c r="BL119" s="410"/>
      <c r="BM119" s="454">
        <f>BL119+BD119+AW119+AO119</f>
        <v>0</v>
      </c>
      <c r="BN119" s="35">
        <f>J119+L119+AF119+AP119+AW119+BE119+BM119</f>
        <v>16676.439999999999</v>
      </c>
      <c r="BO119" s="413">
        <f>J119+Z119+AK119+AS119+BM119+BI119+BA119</f>
        <v>16676.439999999999</v>
      </c>
      <c r="BP119" s="36">
        <f t="shared" si="83"/>
        <v>0</v>
      </c>
      <c r="BQ119" s="463"/>
      <c r="BR119" s="466"/>
      <c r="BS119" s="37" t="s">
        <v>87</v>
      </c>
      <c r="BV119" s="70"/>
      <c r="BW119" s="70"/>
      <c r="BX119" s="70"/>
      <c r="CC119" s="70"/>
      <c r="CD119" s="70"/>
      <c r="CE119" s="70"/>
      <c r="CG119" s="70"/>
      <c r="CH119" s="70"/>
    </row>
    <row r="120" spans="1:86" s="37" customFormat="1" ht="39.950000000000003" customHeight="1" x14ac:dyDescent="0.2">
      <c r="A120" s="472"/>
      <c r="B120" s="475"/>
      <c r="C120" s="21"/>
      <c r="D120" s="22"/>
      <c r="E120" s="23">
        <v>7</v>
      </c>
      <c r="F120" s="478"/>
      <c r="G120" s="295">
        <v>5867400000</v>
      </c>
      <c r="H120" s="481"/>
      <c r="I120" s="484"/>
      <c r="J120" s="487"/>
      <c r="K120" s="266"/>
      <c r="L120" s="301">
        <f t="shared" si="125"/>
        <v>3200</v>
      </c>
      <c r="M120" s="302">
        <v>3200</v>
      </c>
      <c r="N120" s="303"/>
      <c r="O120" s="357"/>
      <c r="P120" s="303"/>
      <c r="Q120" s="376">
        <v>3127</v>
      </c>
      <c r="R120" s="388">
        <v>6122</v>
      </c>
      <c r="S120" s="307">
        <v>0</v>
      </c>
      <c r="T120" s="27">
        <f t="shared" si="126"/>
        <v>0</v>
      </c>
      <c r="U120" s="28">
        <v>0</v>
      </c>
      <c r="V120" s="28"/>
      <c r="W120" s="224"/>
      <c r="X120" s="224"/>
      <c r="Y120" s="30">
        <v>0</v>
      </c>
      <c r="Z120" s="396">
        <f t="shared" si="127"/>
        <v>3200</v>
      </c>
      <c r="AA120" s="397">
        <f t="shared" si="167"/>
        <v>3200</v>
      </c>
      <c r="AB120" s="397"/>
      <c r="AC120" s="397"/>
      <c r="AD120" s="397"/>
      <c r="AE120" s="398">
        <f t="shared" si="147"/>
        <v>0</v>
      </c>
      <c r="AF120" s="31">
        <f t="shared" si="137"/>
        <v>0</v>
      </c>
      <c r="AG120" s="28">
        <v>0</v>
      </c>
      <c r="AH120" s="28"/>
      <c r="AI120" s="28"/>
      <c r="AJ120" s="28"/>
      <c r="AK120" s="406">
        <f t="shared" si="170"/>
        <v>0</v>
      </c>
      <c r="AL120" s="397">
        <v>0</v>
      </c>
      <c r="AM120" s="397"/>
      <c r="AN120" s="397"/>
      <c r="AO120" s="402">
        <v>0</v>
      </c>
      <c r="AP120" s="164">
        <f t="shared" si="129"/>
        <v>0</v>
      </c>
      <c r="AQ120" s="28">
        <v>0</v>
      </c>
      <c r="AR120" s="28">
        <v>0</v>
      </c>
      <c r="AS120" s="406">
        <f t="shared" si="130"/>
        <v>0</v>
      </c>
      <c r="AT120" s="397">
        <v>0</v>
      </c>
      <c r="AU120" s="397"/>
      <c r="AV120" s="397"/>
      <c r="AW120" s="221">
        <f t="shared" si="131"/>
        <v>0</v>
      </c>
      <c r="AX120" s="28">
        <v>0</v>
      </c>
      <c r="AY120" s="28"/>
      <c r="AZ120" s="28"/>
      <c r="BA120" s="407">
        <f t="shared" si="132"/>
        <v>0</v>
      </c>
      <c r="BB120" s="397">
        <v>0</v>
      </c>
      <c r="BC120" s="397"/>
      <c r="BD120" s="397"/>
      <c r="BE120" s="34">
        <f t="shared" si="133"/>
        <v>0</v>
      </c>
      <c r="BF120" s="28">
        <v>0</v>
      </c>
      <c r="BG120" s="28"/>
      <c r="BH120" s="28"/>
      <c r="BI120" s="409">
        <f t="shared" si="134"/>
        <v>0</v>
      </c>
      <c r="BJ120" s="397">
        <f t="shared" si="176"/>
        <v>0</v>
      </c>
      <c r="BK120" s="397"/>
      <c r="BL120" s="410"/>
      <c r="BM120" s="454">
        <f>BL120+BD120+AW120+AO120</f>
        <v>0</v>
      </c>
      <c r="BN120" s="35">
        <f>J120+L120+AF120+AP120+AW120+BE120+BM120</f>
        <v>3200</v>
      </c>
      <c r="BO120" s="413">
        <f t="shared" si="136"/>
        <v>3200</v>
      </c>
      <c r="BP120" s="36">
        <f t="shared" si="83"/>
        <v>0</v>
      </c>
      <c r="BQ120" s="463"/>
      <c r="BR120" s="466"/>
      <c r="BS120" s="37" t="s">
        <v>87</v>
      </c>
      <c r="BV120" s="70"/>
      <c r="BW120" s="70"/>
      <c r="BX120" s="70"/>
      <c r="CC120" s="70"/>
      <c r="CD120" s="70"/>
      <c r="CE120" s="70"/>
      <c r="CG120" s="70"/>
      <c r="CH120" s="70"/>
    </row>
    <row r="121" spans="1:86" s="37" customFormat="1" ht="39.950000000000003" customHeight="1" x14ac:dyDescent="0.2">
      <c r="A121" s="472"/>
      <c r="B121" s="475"/>
      <c r="C121" s="21"/>
      <c r="D121" s="22"/>
      <c r="E121" s="23">
        <v>7</v>
      </c>
      <c r="F121" s="478"/>
      <c r="G121" s="293">
        <v>5867000000</v>
      </c>
      <c r="H121" s="481"/>
      <c r="I121" s="484"/>
      <c r="J121" s="487"/>
      <c r="K121" s="266"/>
      <c r="L121" s="301">
        <f t="shared" si="125"/>
        <v>360</v>
      </c>
      <c r="M121" s="302">
        <v>360</v>
      </c>
      <c r="N121" s="303"/>
      <c r="O121" s="357"/>
      <c r="P121" s="303"/>
      <c r="Q121" s="376">
        <v>3127</v>
      </c>
      <c r="R121" s="388" t="s">
        <v>106</v>
      </c>
      <c r="S121" s="307">
        <v>0</v>
      </c>
      <c r="T121" s="27">
        <f t="shared" si="126"/>
        <v>0</v>
      </c>
      <c r="U121" s="28">
        <v>0</v>
      </c>
      <c r="V121" s="28"/>
      <c r="W121" s="224"/>
      <c r="X121" s="224"/>
      <c r="Y121" s="30">
        <v>0</v>
      </c>
      <c r="Z121" s="396">
        <f t="shared" si="127"/>
        <v>360</v>
      </c>
      <c r="AA121" s="397">
        <f t="shared" si="167"/>
        <v>360</v>
      </c>
      <c r="AB121" s="397"/>
      <c r="AC121" s="397"/>
      <c r="AD121" s="397"/>
      <c r="AE121" s="398">
        <f t="shared" si="147"/>
        <v>0</v>
      </c>
      <c r="AF121" s="31">
        <f t="shared" si="137"/>
        <v>0</v>
      </c>
      <c r="AG121" s="28">
        <v>0</v>
      </c>
      <c r="AH121" s="28"/>
      <c r="AI121" s="28"/>
      <c r="AJ121" s="28"/>
      <c r="AK121" s="406">
        <f t="shared" si="170"/>
        <v>0</v>
      </c>
      <c r="AL121" s="397">
        <v>0</v>
      </c>
      <c r="AM121" s="397"/>
      <c r="AN121" s="397"/>
      <c r="AO121" s="402">
        <v>0</v>
      </c>
      <c r="AP121" s="164">
        <f t="shared" si="129"/>
        <v>0</v>
      </c>
      <c r="AQ121" s="28">
        <v>0</v>
      </c>
      <c r="AR121" s="28">
        <v>0</v>
      </c>
      <c r="AS121" s="406">
        <f t="shared" si="130"/>
        <v>0</v>
      </c>
      <c r="AT121" s="397">
        <v>0</v>
      </c>
      <c r="AU121" s="397"/>
      <c r="AV121" s="397"/>
      <c r="AW121" s="221">
        <f t="shared" si="131"/>
        <v>0</v>
      </c>
      <c r="AX121" s="28">
        <v>0</v>
      </c>
      <c r="AY121" s="28"/>
      <c r="AZ121" s="28"/>
      <c r="BA121" s="407">
        <f t="shared" si="132"/>
        <v>0</v>
      </c>
      <c r="BB121" s="397">
        <v>0</v>
      </c>
      <c r="BC121" s="397"/>
      <c r="BD121" s="397"/>
      <c r="BE121" s="34">
        <f t="shared" si="133"/>
        <v>0</v>
      </c>
      <c r="BF121" s="28">
        <v>0</v>
      </c>
      <c r="BG121" s="28"/>
      <c r="BH121" s="28"/>
      <c r="BI121" s="409">
        <f t="shared" si="134"/>
        <v>0</v>
      </c>
      <c r="BJ121" s="397">
        <f t="shared" si="176"/>
        <v>0</v>
      </c>
      <c r="BK121" s="397"/>
      <c r="BL121" s="410"/>
      <c r="BM121" s="454">
        <f>BL121+BD121+AW121+AO121</f>
        <v>0</v>
      </c>
      <c r="BN121" s="35">
        <f>J121+L121+AF121+AP121+AW121+BE121+BM121</f>
        <v>360</v>
      </c>
      <c r="BO121" s="413">
        <f t="shared" si="136"/>
        <v>360</v>
      </c>
      <c r="BP121" s="36">
        <f t="shared" si="83"/>
        <v>0</v>
      </c>
      <c r="BQ121" s="463"/>
      <c r="BR121" s="466"/>
      <c r="BS121" s="37" t="s">
        <v>87</v>
      </c>
      <c r="BV121" s="70"/>
      <c r="BW121" s="70"/>
      <c r="BX121" s="70"/>
      <c r="CC121" s="70"/>
      <c r="CD121" s="70"/>
      <c r="CE121" s="70"/>
      <c r="CG121" s="70"/>
      <c r="CH121" s="70"/>
    </row>
    <row r="122" spans="1:86" s="37" customFormat="1" ht="39.950000000000003" customHeight="1" x14ac:dyDescent="0.2">
      <c r="A122" s="473"/>
      <c r="B122" s="476"/>
      <c r="C122" s="21"/>
      <c r="D122" s="22"/>
      <c r="E122" s="82">
        <v>13</v>
      </c>
      <c r="F122" s="479"/>
      <c r="G122" s="293">
        <v>5867000000</v>
      </c>
      <c r="H122" s="482"/>
      <c r="I122" s="485"/>
      <c r="J122" s="488"/>
      <c r="K122" s="266"/>
      <c r="L122" s="301">
        <f t="shared" si="125"/>
        <v>9964.9500000000007</v>
      </c>
      <c r="M122" s="302">
        <v>9964.9500000000007</v>
      </c>
      <c r="N122" s="303"/>
      <c r="O122" s="304"/>
      <c r="P122" s="303"/>
      <c r="Q122" s="376">
        <v>3127</v>
      </c>
      <c r="R122" s="388" t="s">
        <v>130</v>
      </c>
      <c r="S122" s="307">
        <v>9964950</v>
      </c>
      <c r="T122" s="27">
        <f t="shared" si="126"/>
        <v>0</v>
      </c>
      <c r="U122" s="28">
        <v>0</v>
      </c>
      <c r="V122" s="28"/>
      <c r="W122" s="29"/>
      <c r="X122" s="29"/>
      <c r="Y122" s="30">
        <v>0</v>
      </c>
      <c r="Z122" s="396">
        <f t="shared" si="127"/>
        <v>9964.9500000000007</v>
      </c>
      <c r="AA122" s="397">
        <f t="shared" si="167"/>
        <v>9964.9500000000007</v>
      </c>
      <c r="AB122" s="397"/>
      <c r="AC122" s="397"/>
      <c r="AD122" s="397"/>
      <c r="AE122" s="398">
        <f t="shared" si="147"/>
        <v>9964950</v>
      </c>
      <c r="AF122" s="31">
        <f t="shared" si="137"/>
        <v>0</v>
      </c>
      <c r="AG122" s="28">
        <v>0</v>
      </c>
      <c r="AH122" s="28"/>
      <c r="AI122" s="28"/>
      <c r="AJ122" s="28"/>
      <c r="AK122" s="401">
        <f t="shared" si="170"/>
        <v>0</v>
      </c>
      <c r="AL122" s="397">
        <v>0</v>
      </c>
      <c r="AM122" s="397"/>
      <c r="AN122" s="397"/>
      <c r="AO122" s="402">
        <v>0</v>
      </c>
      <c r="AP122" s="164">
        <f t="shared" si="129"/>
        <v>0</v>
      </c>
      <c r="AQ122" s="28">
        <v>0</v>
      </c>
      <c r="AR122" s="28">
        <v>0</v>
      </c>
      <c r="AS122" s="401">
        <f t="shared" si="130"/>
        <v>0</v>
      </c>
      <c r="AT122" s="397">
        <v>0</v>
      </c>
      <c r="AU122" s="397"/>
      <c r="AV122" s="397"/>
      <c r="AW122" s="33">
        <f t="shared" si="131"/>
        <v>0</v>
      </c>
      <c r="AX122" s="28">
        <v>0</v>
      </c>
      <c r="AY122" s="28"/>
      <c r="AZ122" s="28"/>
      <c r="BA122" s="403">
        <f t="shared" si="132"/>
        <v>0</v>
      </c>
      <c r="BB122" s="397">
        <v>0</v>
      </c>
      <c r="BC122" s="397"/>
      <c r="BD122" s="397"/>
      <c r="BE122" s="34">
        <f t="shared" si="133"/>
        <v>0</v>
      </c>
      <c r="BF122" s="28">
        <v>0</v>
      </c>
      <c r="BG122" s="28"/>
      <c r="BH122" s="28"/>
      <c r="BI122" s="409">
        <f t="shared" si="134"/>
        <v>0</v>
      </c>
      <c r="BJ122" s="397">
        <f t="shared" si="176"/>
        <v>0</v>
      </c>
      <c r="BK122" s="397"/>
      <c r="BL122" s="410"/>
      <c r="BM122" s="454">
        <f>BL122+BD122+AW122+AO122</f>
        <v>0</v>
      </c>
      <c r="BN122" s="35">
        <f>J122+L122+AF122+AP122+AW122+BE122+BM122</f>
        <v>9964.9500000000007</v>
      </c>
      <c r="BO122" s="413">
        <f t="shared" si="136"/>
        <v>9964.9500000000007</v>
      </c>
      <c r="BP122" s="36">
        <f t="shared" si="83"/>
        <v>0</v>
      </c>
      <c r="BQ122" s="464"/>
      <c r="BR122" s="467"/>
      <c r="BS122" s="37" t="s">
        <v>87</v>
      </c>
      <c r="BV122" s="70"/>
      <c r="BW122" s="70"/>
      <c r="BX122" s="70"/>
      <c r="CC122" s="70"/>
      <c r="CD122" s="70"/>
      <c r="CE122" s="70"/>
      <c r="CG122" s="70"/>
      <c r="CH122" s="70"/>
    </row>
    <row r="123" spans="1:86" s="37" customFormat="1" ht="39.950000000000003" customHeight="1" thickBot="1" x14ac:dyDescent="0.25">
      <c r="A123" s="80">
        <v>3</v>
      </c>
      <c r="B123" s="291" t="s">
        <v>115</v>
      </c>
      <c r="C123" s="21"/>
      <c r="D123" s="22"/>
      <c r="E123" s="23">
        <v>7</v>
      </c>
      <c r="F123" s="296" t="s">
        <v>210</v>
      </c>
      <c r="G123" s="60">
        <v>4155000000</v>
      </c>
      <c r="H123" s="297" t="s">
        <v>66</v>
      </c>
      <c r="I123" s="25" t="s">
        <v>66</v>
      </c>
      <c r="J123" s="298">
        <v>0</v>
      </c>
      <c r="K123" s="294"/>
      <c r="L123" s="301">
        <f t="shared" si="125"/>
        <v>115</v>
      </c>
      <c r="M123" s="302">
        <v>115</v>
      </c>
      <c r="N123" s="303"/>
      <c r="O123" s="304"/>
      <c r="P123" s="303"/>
      <c r="Q123" s="389">
        <v>4357</v>
      </c>
      <c r="R123" s="390">
        <v>6121</v>
      </c>
      <c r="S123" s="307">
        <v>0</v>
      </c>
      <c r="T123" s="27">
        <f t="shared" si="126"/>
        <v>-115</v>
      </c>
      <c r="U123" s="28">
        <v>-115</v>
      </c>
      <c r="V123" s="28"/>
      <c r="W123" s="29"/>
      <c r="X123" s="29"/>
      <c r="Y123" s="30">
        <v>0</v>
      </c>
      <c r="Z123" s="396">
        <f>AA123+AB123</f>
        <v>0</v>
      </c>
      <c r="AA123" s="397">
        <f t="shared" si="167"/>
        <v>0</v>
      </c>
      <c r="AB123" s="397"/>
      <c r="AC123" s="397"/>
      <c r="AD123" s="397"/>
      <c r="AE123" s="398">
        <f t="shared" si="147"/>
        <v>0</v>
      </c>
      <c r="AF123" s="31">
        <f t="shared" si="137"/>
        <v>3385</v>
      </c>
      <c r="AG123" s="28">
        <v>3385</v>
      </c>
      <c r="AH123" s="28"/>
      <c r="AI123" s="28"/>
      <c r="AJ123" s="28"/>
      <c r="AK123" s="401">
        <f t="shared" si="170"/>
        <v>0</v>
      </c>
      <c r="AL123" s="397">
        <f>3385-3385</f>
        <v>0</v>
      </c>
      <c r="AM123" s="397"/>
      <c r="AN123" s="397"/>
      <c r="AO123" s="402"/>
      <c r="AP123" s="164">
        <f>AQ123</f>
        <v>30000</v>
      </c>
      <c r="AQ123" s="28">
        <v>30000</v>
      </c>
      <c r="AR123" s="28"/>
      <c r="AS123" s="401">
        <f t="shared" si="130"/>
        <v>0</v>
      </c>
      <c r="AT123" s="397">
        <f>5000-5000</f>
        <v>0</v>
      </c>
      <c r="AU123" s="397"/>
      <c r="AV123" s="397"/>
      <c r="AW123" s="33">
        <f t="shared" si="131"/>
        <v>30000</v>
      </c>
      <c r="AX123" s="28">
        <v>30000</v>
      </c>
      <c r="AY123" s="28"/>
      <c r="AZ123" s="28"/>
      <c r="BA123" s="403">
        <f t="shared" si="132"/>
        <v>0</v>
      </c>
      <c r="BB123" s="397">
        <f>30000-30000</f>
        <v>0</v>
      </c>
      <c r="BC123" s="397"/>
      <c r="BD123" s="397"/>
      <c r="BE123" s="34">
        <f t="shared" si="133"/>
        <v>0</v>
      </c>
      <c r="BF123" s="28">
        <v>0</v>
      </c>
      <c r="BG123" s="28"/>
      <c r="BH123" s="28"/>
      <c r="BI123" s="409">
        <f t="shared" si="134"/>
        <v>0</v>
      </c>
      <c r="BJ123" s="397">
        <f>25000-25000</f>
        <v>0</v>
      </c>
      <c r="BK123" s="397"/>
      <c r="BL123" s="410"/>
      <c r="BM123" s="456">
        <v>261.36</v>
      </c>
      <c r="BN123" s="35">
        <f t="shared" si="99"/>
        <v>63761.36</v>
      </c>
      <c r="BO123" s="414">
        <f>J123+Z123+AK123+AS123+BM123+BI123+BA123</f>
        <v>261.36</v>
      </c>
      <c r="BP123" s="36">
        <f t="shared" si="83"/>
        <v>-63500</v>
      </c>
      <c r="BQ123" s="85" t="s">
        <v>131</v>
      </c>
      <c r="BR123" s="72">
        <v>3</v>
      </c>
      <c r="BS123" s="37" t="s">
        <v>64</v>
      </c>
      <c r="BV123" s="70"/>
      <c r="BW123" s="70"/>
      <c r="BX123" s="70"/>
      <c r="BZ123" s="70"/>
      <c r="CC123" s="70"/>
      <c r="CD123" s="70"/>
      <c r="CE123" s="70"/>
      <c r="CG123" s="70"/>
      <c r="CH123" s="70"/>
    </row>
    <row r="124" spans="1:86" s="87" customFormat="1" ht="50.25" customHeight="1" thickBot="1" x14ac:dyDescent="0.3">
      <c r="A124" s="468" t="s">
        <v>132</v>
      </c>
      <c r="B124" s="469"/>
      <c r="C124" s="469"/>
      <c r="D124" s="469"/>
      <c r="E124" s="469"/>
      <c r="F124" s="415"/>
      <c r="G124" s="415"/>
      <c r="H124" s="415"/>
      <c r="I124" s="415"/>
      <c r="J124" s="415"/>
      <c r="K124" s="415"/>
      <c r="L124" s="391">
        <f>SUM(L7:L123)</f>
        <v>1086977.36543</v>
      </c>
      <c r="M124" s="391">
        <f>SUM(M14:M123)</f>
        <v>998503.96542999998</v>
      </c>
      <c r="N124" s="391">
        <f>SUM(N14:N68)</f>
        <v>0</v>
      </c>
      <c r="O124" s="391">
        <f>SUM(O14:O68)</f>
        <v>0</v>
      </c>
      <c r="P124" s="391">
        <f>SUM(P14:P68)</f>
        <v>0</v>
      </c>
      <c r="Q124" s="392" t="s">
        <v>66</v>
      </c>
      <c r="R124" s="392" t="s">
        <v>66</v>
      </c>
      <c r="S124" s="391">
        <f t="shared" ref="S124:BO124" si="177">SUM(S7:S123)</f>
        <v>698518683.02999997</v>
      </c>
      <c r="T124" s="391">
        <f t="shared" si="177"/>
        <v>-510728.78800000006</v>
      </c>
      <c r="U124" s="391">
        <f t="shared" si="177"/>
        <v>-510728.78800000006</v>
      </c>
      <c r="V124" s="391">
        <f t="shared" si="177"/>
        <v>0</v>
      </c>
      <c r="W124" s="391">
        <f t="shared" si="177"/>
        <v>0</v>
      </c>
      <c r="X124" s="391">
        <f t="shared" si="177"/>
        <v>0</v>
      </c>
      <c r="Y124" s="391">
        <f t="shared" si="177"/>
        <v>-407398790</v>
      </c>
      <c r="Z124" s="391">
        <f t="shared" si="177"/>
        <v>576248.57742999983</v>
      </c>
      <c r="AA124" s="391">
        <f t="shared" si="177"/>
        <v>576248.57742999983</v>
      </c>
      <c r="AB124" s="391">
        <f t="shared" si="177"/>
        <v>0</v>
      </c>
      <c r="AC124" s="391">
        <f t="shared" si="177"/>
        <v>0</v>
      </c>
      <c r="AD124" s="391">
        <f t="shared" si="177"/>
        <v>0</v>
      </c>
      <c r="AE124" s="391">
        <f t="shared" si="177"/>
        <v>291119893.02999997</v>
      </c>
      <c r="AF124" s="391">
        <f t="shared" si="177"/>
        <v>2195423</v>
      </c>
      <c r="AG124" s="391">
        <f t="shared" si="177"/>
        <v>2195423</v>
      </c>
      <c r="AH124" s="391">
        <f t="shared" si="177"/>
        <v>0</v>
      </c>
      <c r="AI124" s="391">
        <f t="shared" si="177"/>
        <v>0</v>
      </c>
      <c r="AJ124" s="391">
        <f t="shared" si="177"/>
        <v>0</v>
      </c>
      <c r="AK124" s="391">
        <f t="shared" si="177"/>
        <v>1621117.6400000001</v>
      </c>
      <c r="AL124" s="391">
        <f t="shared" si="177"/>
        <v>1621117.6400000001</v>
      </c>
      <c r="AM124" s="391">
        <f t="shared" si="177"/>
        <v>0</v>
      </c>
      <c r="AN124" s="391">
        <f t="shared" si="177"/>
        <v>0</v>
      </c>
      <c r="AO124" s="391">
        <f t="shared" si="177"/>
        <v>0</v>
      </c>
      <c r="AP124" s="391">
        <f t="shared" si="177"/>
        <v>1872939.57</v>
      </c>
      <c r="AQ124" s="391">
        <f t="shared" si="177"/>
        <v>1872939.57</v>
      </c>
      <c r="AR124" s="391">
        <f t="shared" si="177"/>
        <v>0</v>
      </c>
      <c r="AS124" s="391">
        <f t="shared" si="177"/>
        <v>2808718.1199999996</v>
      </c>
      <c r="AT124" s="391">
        <f t="shared" si="177"/>
        <v>2808718.1199999996</v>
      </c>
      <c r="AU124" s="391">
        <f t="shared" si="177"/>
        <v>0</v>
      </c>
      <c r="AV124" s="391">
        <f t="shared" si="177"/>
        <v>0</v>
      </c>
      <c r="AW124" s="391">
        <f t="shared" si="177"/>
        <v>1645400</v>
      </c>
      <c r="AX124" s="391">
        <f t="shared" si="177"/>
        <v>1645400</v>
      </c>
      <c r="AY124" s="391">
        <f t="shared" si="177"/>
        <v>0</v>
      </c>
      <c r="AZ124" s="391">
        <f t="shared" si="177"/>
        <v>0</v>
      </c>
      <c r="BA124" s="391">
        <f t="shared" si="177"/>
        <v>2037439</v>
      </c>
      <c r="BB124" s="391">
        <f t="shared" si="177"/>
        <v>2037439</v>
      </c>
      <c r="BC124" s="391">
        <f t="shared" si="177"/>
        <v>0</v>
      </c>
      <c r="BD124" s="391">
        <f t="shared" si="177"/>
        <v>0</v>
      </c>
      <c r="BE124" s="391">
        <f t="shared" si="177"/>
        <v>0</v>
      </c>
      <c r="BF124" s="391">
        <f t="shared" si="177"/>
        <v>0</v>
      </c>
      <c r="BG124" s="391">
        <f t="shared" si="177"/>
        <v>0</v>
      </c>
      <c r="BH124" s="391">
        <f t="shared" si="177"/>
        <v>0</v>
      </c>
      <c r="BI124" s="391">
        <f t="shared" si="177"/>
        <v>0</v>
      </c>
      <c r="BJ124" s="391">
        <f t="shared" si="177"/>
        <v>0</v>
      </c>
      <c r="BK124" s="391">
        <f t="shared" si="177"/>
        <v>0</v>
      </c>
      <c r="BL124" s="391">
        <f t="shared" si="177"/>
        <v>0</v>
      </c>
      <c r="BM124" s="457">
        <f t="shared" si="177"/>
        <v>3047745.6</v>
      </c>
      <c r="BN124" s="391">
        <f t="shared" si="177"/>
        <v>10043704.120979995</v>
      </c>
      <c r="BO124" s="391">
        <f t="shared" si="177"/>
        <v>10309137.522979995</v>
      </c>
      <c r="BP124" s="86"/>
      <c r="BV124" s="86"/>
      <c r="BW124" s="86"/>
      <c r="BZ124" s="86"/>
      <c r="CB124" s="86"/>
      <c r="CC124" s="86"/>
      <c r="CD124" s="86"/>
      <c r="CE124" s="86"/>
      <c r="CG124" s="86"/>
    </row>
    <row r="125" spans="1:86" s="95" customFormat="1" ht="44.25" customHeight="1" thickBot="1" x14ac:dyDescent="0.3">
      <c r="A125" s="416" t="s">
        <v>133</v>
      </c>
      <c r="B125" s="416"/>
      <c r="C125" s="416"/>
      <c r="D125" s="417"/>
      <c r="E125" s="417"/>
      <c r="F125" s="417"/>
      <c r="G125" s="417"/>
      <c r="H125" s="417"/>
      <c r="I125" s="417"/>
      <c r="J125" s="418"/>
      <c r="K125" s="417"/>
      <c r="L125" s="419" t="s">
        <v>134</v>
      </c>
      <c r="M125" s="420"/>
      <c r="N125" s="420"/>
      <c r="O125" s="420"/>
      <c r="P125" s="420"/>
      <c r="Q125" s="420"/>
      <c r="R125" s="420"/>
      <c r="S125" s="420"/>
      <c r="T125" s="421">
        <f>SUM(T7:T123)</f>
        <v>-510728.78800000006</v>
      </c>
      <c r="U125"/>
      <c r="V125"/>
      <c r="W125"/>
      <c r="X125"/>
      <c r="Y125" s="88"/>
      <c r="Z125" s="446">
        <f>Z124-L124</f>
        <v>-510728.78800000018</v>
      </c>
      <c r="AA125" s="90" t="s">
        <v>135</v>
      </c>
      <c r="AB125" s="91"/>
      <c r="AC125" s="91"/>
      <c r="AD125" s="91"/>
      <c r="AE125" s="92">
        <f>L124-Z124</f>
        <v>510728.78800000018</v>
      </c>
      <c r="AF125" s="446">
        <f>AK124-AF124</f>
        <v>-574305.35999999987</v>
      </c>
      <c r="AG125" s="447">
        <v>-2650</v>
      </c>
      <c r="AH125"/>
      <c r="AI125"/>
      <c r="AJ125"/>
      <c r="AK125" s="94"/>
      <c r="AL125" s="94"/>
      <c r="AM125" s="89"/>
      <c r="AN125"/>
      <c r="AO125"/>
      <c r="AP125" s="446">
        <f>AS124-AP124</f>
        <v>935778.54999999958</v>
      </c>
      <c r="AQ125" s="448"/>
      <c r="AR125" s="446"/>
      <c r="AS125" s="444"/>
      <c r="AT125" s="444"/>
      <c r="AU125" s="444"/>
      <c r="AV125" s="444"/>
      <c r="AW125" s="446">
        <f>BA124-AW124</f>
        <v>392039</v>
      </c>
      <c r="AX125" s="446"/>
      <c r="AY125" s="444"/>
      <c r="AZ125" s="446"/>
      <c r="BA125" s="444"/>
      <c r="BB125" s="444"/>
      <c r="BC125" s="444"/>
      <c r="BD125" s="444"/>
      <c r="BE125" s="446">
        <f>BI124-BE124</f>
        <v>0</v>
      </c>
      <c r="BF125" s="446"/>
      <c r="BG125" s="446"/>
      <c r="BH125" s="444"/>
      <c r="BI125" s="444"/>
      <c r="BJ125" s="444"/>
      <c r="BK125" s="444"/>
      <c r="BL125" s="444"/>
      <c r="BM125" s="449"/>
      <c r="BN125" s="446"/>
      <c r="BO125" s="446"/>
      <c r="BP125" s="446">
        <f>SUM(BP7:BP124)</f>
        <v>265433.402</v>
      </c>
      <c r="BQ125" s="444"/>
      <c r="BR125"/>
      <c r="BT125"/>
      <c r="BU125"/>
      <c r="BV125" s="89"/>
      <c r="BW125"/>
      <c r="BX125"/>
      <c r="BY125"/>
      <c r="BZ125" s="89"/>
      <c r="CA125"/>
      <c r="CB125"/>
      <c r="CC125"/>
      <c r="CD125"/>
      <c r="CE125"/>
      <c r="CF125"/>
      <c r="CG125" s="103"/>
    </row>
    <row r="126" spans="1:86" s="95" customFormat="1" ht="45" customHeight="1" thickBot="1" x14ac:dyDescent="0.3">
      <c r="A126" s="458" t="s">
        <v>136</v>
      </c>
      <c r="B126" s="459"/>
      <c r="C126" s="459"/>
      <c r="D126" s="459"/>
      <c r="E126" s="459"/>
      <c r="F126" s="459"/>
      <c r="G126" s="459"/>
      <c r="H126" s="459"/>
      <c r="I126" s="459"/>
      <c r="J126" s="459"/>
      <c r="K126" s="422"/>
      <c r="L126" s="422"/>
      <c r="M126" s="422"/>
      <c r="N126" s="422"/>
      <c r="O126" s="422"/>
      <c r="P126" s="422"/>
      <c r="Q126" s="422"/>
      <c r="R126" s="422"/>
      <c r="S126" s="423"/>
      <c r="T126" s="424">
        <f>SUM(T7:T123)-T127-T128</f>
        <v>-530613.78800000006</v>
      </c>
      <c r="V126"/>
      <c r="W126"/>
      <c r="X126"/>
      <c r="Y126" s="470" t="s">
        <v>137</v>
      </c>
      <c r="Z126" s="470"/>
      <c r="AA126" s="96" t="s">
        <v>211</v>
      </c>
      <c r="AB126" s="97"/>
      <c r="AC126" s="97"/>
      <c r="AD126" s="97"/>
      <c r="AE126" s="98">
        <f>S124-AE124</f>
        <v>407398790</v>
      </c>
      <c r="AF126" s="97"/>
      <c r="AG126" s="93"/>
      <c r="AH126" s="94"/>
      <c r="AI126" s="94"/>
      <c r="AJ126" s="94"/>
      <c r="AK126" s="99" t="s">
        <v>212</v>
      </c>
      <c r="AL126" s="100">
        <f>AF124-AL124</f>
        <v>574305.35999999987</v>
      </c>
      <c r="AM126" s="100"/>
      <c r="AN126" s="99"/>
      <c r="AO126" s="99"/>
      <c r="AP126" s="99"/>
      <c r="AQ126" s="97"/>
      <c r="AR126" s="97"/>
      <c r="AS126" s="97" t="s">
        <v>138</v>
      </c>
      <c r="AT126" s="101">
        <f>AT124-AQ124</f>
        <v>935778.54999999958</v>
      </c>
      <c r="AU126" s="97"/>
      <c r="AV126" s="97"/>
      <c r="AW126" s="97"/>
      <c r="AX126" s="97"/>
      <c r="AY126" s="97"/>
      <c r="AZ126" s="97"/>
      <c r="BA126" s="97" t="s">
        <v>139</v>
      </c>
      <c r="BB126" s="97">
        <f>BB124-AX124</f>
        <v>392039</v>
      </c>
      <c r="BC126" s="97"/>
      <c r="BD126" s="97"/>
      <c r="BE126" s="97"/>
      <c r="BF126" s="97"/>
      <c r="BG126" s="97"/>
      <c r="BH126" s="97"/>
      <c r="BI126" s="97" t="s">
        <v>140</v>
      </c>
      <c r="BJ126" s="97">
        <f>BJ124-BF124</f>
        <v>0</v>
      </c>
      <c r="BK126" s="97"/>
      <c r="BL126" s="97"/>
      <c r="BM126" s="97"/>
      <c r="BN126" s="101" t="s">
        <v>141</v>
      </c>
      <c r="BO126" s="101" t="s">
        <v>214</v>
      </c>
      <c r="BP126" s="446">
        <f>Z125+AF125+AP125+AW125</f>
        <v>242783.40199999954</v>
      </c>
      <c r="BQ126" s="445"/>
      <c r="BV126" s="89"/>
      <c r="BZ126" s="89"/>
      <c r="CA126"/>
    </row>
    <row r="127" spans="1:86" s="95" customFormat="1" ht="37.5" customHeight="1" thickBot="1" x14ac:dyDescent="0.3">
      <c r="A127" s="458" t="s">
        <v>213</v>
      </c>
      <c r="B127" s="459"/>
      <c r="C127" s="459"/>
      <c r="D127" s="459"/>
      <c r="E127" s="459"/>
      <c r="F127" s="459"/>
      <c r="G127" s="459"/>
      <c r="H127" s="459"/>
      <c r="I127" s="459"/>
      <c r="J127" s="459"/>
      <c r="K127" s="422"/>
      <c r="L127" s="422"/>
      <c r="M127" s="422"/>
      <c r="N127" s="422"/>
      <c r="O127" s="422"/>
      <c r="P127" s="422"/>
      <c r="Q127" s="422"/>
      <c r="R127" s="422"/>
      <c r="S127" s="423"/>
      <c r="T127" s="425">
        <f>T118</f>
        <v>20000</v>
      </c>
      <c r="U127"/>
      <c r="V127"/>
      <c r="W127"/>
      <c r="X127"/>
      <c r="Y127" s="102"/>
      <c r="AA127"/>
      <c r="AB127"/>
      <c r="AC127"/>
      <c r="AD127"/>
      <c r="AE127" s="89"/>
      <c r="AF127"/>
      <c r="AG127" s="94"/>
      <c r="AH127" s="94"/>
      <c r="AI127" s="94"/>
      <c r="AJ127" s="94"/>
      <c r="AK127" s="94"/>
      <c r="AL127" s="93"/>
      <c r="AM127" s="93"/>
      <c r="AN127" s="94"/>
      <c r="AO127" s="94"/>
      <c r="AP127" s="94"/>
      <c r="AQ127"/>
      <c r="AR127"/>
      <c r="AS127"/>
      <c r="AT127" s="89"/>
      <c r="AU127"/>
      <c r="AV127"/>
      <c r="AW127"/>
      <c r="AX127"/>
      <c r="AY127"/>
      <c r="AZ127"/>
      <c r="BA127"/>
      <c r="BB127" s="89"/>
      <c r="BC127"/>
      <c r="BD127"/>
      <c r="BE127"/>
      <c r="BF127"/>
      <c r="BG127"/>
      <c r="BH127"/>
      <c r="BI127"/>
      <c r="BJ127"/>
      <c r="BK127"/>
      <c r="BL127"/>
      <c r="BM127"/>
      <c r="BN127" s="89"/>
      <c r="BO127" s="89"/>
      <c r="BP127" s="89"/>
      <c r="BQ127" s="89"/>
      <c r="BV127" s="89"/>
    </row>
    <row r="128" spans="1:86" s="95" customFormat="1" ht="37.5" customHeight="1" thickBot="1" x14ac:dyDescent="0.3">
      <c r="A128" s="458" t="s">
        <v>142</v>
      </c>
      <c r="B128" s="459"/>
      <c r="C128" s="459"/>
      <c r="D128" s="459"/>
      <c r="E128" s="459"/>
      <c r="F128" s="459"/>
      <c r="G128" s="459"/>
      <c r="H128" s="459"/>
      <c r="I128" s="459"/>
      <c r="J128" s="459"/>
      <c r="K128" s="426"/>
      <c r="L128" s="422"/>
      <c r="M128" s="422"/>
      <c r="N128" s="422"/>
      <c r="O128" s="422"/>
      <c r="P128" s="422"/>
      <c r="Q128" s="422"/>
      <c r="R128" s="422"/>
      <c r="S128" s="423"/>
      <c r="T128" s="424">
        <f>T123</f>
        <v>-115</v>
      </c>
      <c r="U128"/>
      <c r="V128"/>
      <c r="W128"/>
      <c r="X128"/>
      <c r="Y128" s="102"/>
      <c r="AA128"/>
      <c r="AB128"/>
      <c r="AC128"/>
      <c r="AD128"/>
      <c r="AE128" s="89"/>
      <c r="AF128"/>
      <c r="AG128" s="94"/>
      <c r="AH128" s="94"/>
      <c r="AI128" s="94"/>
      <c r="AJ128" s="94"/>
      <c r="AK128" s="94"/>
      <c r="AL128" s="93"/>
      <c r="AM128" s="93"/>
      <c r="AN128" s="94"/>
      <c r="AO128" s="94"/>
      <c r="AP128" s="94"/>
      <c r="AQ128"/>
      <c r="AR128"/>
      <c r="AS128"/>
      <c r="AT128" s="89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 s="89"/>
      <c r="BO128" s="89"/>
      <c r="BP128" s="89"/>
      <c r="BV128" s="103"/>
    </row>
    <row r="129" spans="12:74" ht="19.5" customHeight="1" x14ac:dyDescent="0.25">
      <c r="X129" s="87"/>
      <c r="BO129" s="104"/>
    </row>
    <row r="130" spans="12:74" hidden="1" x14ac:dyDescent="0.25">
      <c r="Y130" s="89"/>
      <c r="AX130" s="95"/>
      <c r="BO130" s="104"/>
    </row>
    <row r="131" spans="12:74" hidden="1" x14ac:dyDescent="0.25">
      <c r="U131" s="89"/>
      <c r="V131" s="89"/>
      <c r="AX131" s="95"/>
      <c r="BP131" s="89"/>
    </row>
    <row r="132" spans="12:74" x14ac:dyDescent="0.25">
      <c r="AX132" s="95"/>
      <c r="BV132" s="89"/>
    </row>
    <row r="133" spans="12:74" x14ac:dyDescent="0.25">
      <c r="L133" s="444"/>
      <c r="M133" s="444"/>
      <c r="N133" s="444"/>
      <c r="O133" s="444"/>
      <c r="P133" s="444"/>
      <c r="Q133" s="444"/>
      <c r="R133" s="444"/>
      <c r="S133" s="444"/>
      <c r="T133" s="444"/>
      <c r="U133" s="444"/>
      <c r="V133" s="444"/>
      <c r="W133" s="444"/>
      <c r="X133" s="444"/>
      <c r="Y133" s="444"/>
      <c r="Z133" s="444"/>
      <c r="AA133" s="444"/>
      <c r="AB133" s="444"/>
      <c r="AC133" s="444"/>
      <c r="AD133" s="444"/>
      <c r="AE133" s="444"/>
      <c r="AF133" s="444"/>
      <c r="AG133" s="444"/>
      <c r="AH133" s="444"/>
      <c r="AI133" s="444"/>
      <c r="AJ133" s="444"/>
      <c r="AK133" s="444"/>
      <c r="AL133" s="444"/>
      <c r="AM133" s="444"/>
      <c r="AN133" s="444"/>
      <c r="AO133" s="444"/>
      <c r="AP133" s="444"/>
      <c r="AQ133" s="444"/>
      <c r="AR133" s="444"/>
      <c r="AS133" s="444"/>
      <c r="AT133" s="444"/>
      <c r="AU133" s="444"/>
      <c r="AV133" s="444"/>
      <c r="AW133" s="444"/>
      <c r="AX133" s="445"/>
      <c r="AY133" s="444"/>
      <c r="AZ133" s="444"/>
      <c r="BA133" s="444"/>
      <c r="BB133" s="444"/>
      <c r="BC133" s="444"/>
      <c r="BD133" s="444"/>
      <c r="BE133" s="444"/>
      <c r="BF133" s="444"/>
      <c r="BG133" s="444"/>
      <c r="BH133" s="444"/>
      <c r="BI133" s="444"/>
      <c r="BJ133" s="444"/>
      <c r="BK133" s="444"/>
      <c r="BL133" s="444"/>
      <c r="BM133" s="444"/>
      <c r="BN133" s="444"/>
      <c r="BO133" s="444"/>
      <c r="BP133" s="444"/>
    </row>
    <row r="134" spans="12:74" x14ac:dyDescent="0.25">
      <c r="L134" s="444"/>
      <c r="M134" s="444"/>
      <c r="N134" s="444"/>
      <c r="O134" s="444"/>
      <c r="P134" s="444"/>
      <c r="Q134" s="444"/>
      <c r="R134" s="444"/>
      <c r="S134" s="444"/>
      <c r="T134" s="444"/>
      <c r="U134" s="444"/>
      <c r="V134" s="444"/>
      <c r="W134" s="444"/>
      <c r="X134" s="444"/>
      <c r="Y134" s="444"/>
      <c r="Z134" s="444"/>
      <c r="AA134" s="444"/>
      <c r="AB134" s="444"/>
      <c r="AC134" s="444"/>
      <c r="AD134" s="444"/>
      <c r="AE134" s="444"/>
      <c r="AF134" s="444"/>
      <c r="AG134" s="444"/>
      <c r="AH134" s="444"/>
      <c r="AI134" s="444"/>
      <c r="AJ134" s="444"/>
      <c r="AK134" s="444"/>
      <c r="AL134" s="444"/>
      <c r="AM134" s="444"/>
      <c r="AN134" s="444"/>
      <c r="AO134" s="444"/>
      <c r="AP134" s="444"/>
      <c r="AQ134" s="444"/>
      <c r="AR134" s="444"/>
      <c r="AS134" s="444"/>
      <c r="AT134" s="444"/>
      <c r="AU134" s="444"/>
      <c r="AV134" s="444"/>
      <c r="AW134" s="444"/>
      <c r="AX134" s="444"/>
      <c r="AY134" s="444"/>
      <c r="AZ134" s="444"/>
      <c r="BA134" s="444"/>
      <c r="BB134" s="444"/>
      <c r="BC134" s="444"/>
      <c r="BD134" s="444"/>
      <c r="BE134" s="444"/>
      <c r="BF134" s="444"/>
      <c r="BG134" s="444"/>
      <c r="BH134" s="444"/>
      <c r="BI134" s="444"/>
      <c r="BJ134" s="444"/>
      <c r="BK134" s="444"/>
      <c r="BL134" s="444"/>
      <c r="BM134" s="444"/>
      <c r="BN134" s="444"/>
      <c r="BO134" s="444"/>
      <c r="BP134" s="444"/>
    </row>
    <row r="135" spans="12:74" x14ac:dyDescent="0.25">
      <c r="L135" s="446">
        <f>L123+L122+L121+L120+L119+L118+L117+L116+L115+L114+L113+L112+L111+L110+L109+L108+L107+L106+L105+L104+L103+L102+L101+L100+L99+L98+L97+L96+L95+L94+L93+L92+L91+L90+L89+L88+L87+L86+L85+L84+L83+L82+L81+L80+L79+L78+L77+L76+L75+L74+L73+L72+L71+L70+L69+L68+L67+L66+L65+L64+L63+L62+L61+L60+L59+L58+L57+L56+L55+L54+L53+L52+L51+L50+L49+L48+L47+L46+L45+L44+L43+L42+L41+L40+L39+L38+L37+L36+L35+L34+L33+L32+L31+L30+L29+L28+L27+L26+L25+L24+L23+L22+L21+L20+L19+L18+L17+L16+L15+L14+L13+L12+L11+L10+L9+L8+L7</f>
        <v>1086977.3654299998</v>
      </c>
      <c r="M135" s="446">
        <f t="shared" ref="M135:BO135" si="178">M123+M122+M121+M120+M119+M118+M117+M116+M115+M114+M113+M112+M111+M110+M109+M108+M107+M106+M105+M104+M103+M102+M101+M100+M99+M98+M97+M96+M95+M94+M93+M92+M91+M90+M89+M88+M87+M86+M85+M84+M83+M82+M81+M80+M79+M78+M77+M76+M75+M74+M73+M72+M71+M70+M69+M68+M67+M66+M65+M64+M63+M62+M61+M60+M59+M58+M57+M56+M55+M54+M53+M52+M51+M50+M49+M48+M47+M46+M45+M44+M43+M42+M41+M40+M39+M38+M37+M36+M35+M34+M33+M32+M31+M30+M29+M28+M27+M26+M25+M24+M23+M22+M21+M20+M19+M18+M17+M16+M15+M14+M13+M12+M11+M10+M9+M8+M7</f>
        <v>1086977.3654299998</v>
      </c>
      <c r="N135" s="446">
        <f t="shared" si="178"/>
        <v>0</v>
      </c>
      <c r="O135" s="446">
        <f t="shared" si="178"/>
        <v>0</v>
      </c>
      <c r="P135" s="446">
        <f t="shared" si="178"/>
        <v>0</v>
      </c>
      <c r="Q135" s="446" t="e">
        <f t="shared" si="178"/>
        <v>#VALUE!</v>
      </c>
      <c r="R135" s="446" t="e">
        <f t="shared" si="178"/>
        <v>#VALUE!</v>
      </c>
      <c r="S135" s="446"/>
      <c r="T135" s="446"/>
      <c r="U135" s="446"/>
      <c r="V135" s="446"/>
      <c r="W135" s="446"/>
      <c r="X135" s="446"/>
      <c r="Y135" s="446"/>
      <c r="Z135" s="446">
        <f t="shared" si="178"/>
        <v>576248.57743000006</v>
      </c>
      <c r="AA135" s="446">
        <f t="shared" si="178"/>
        <v>576248.57743000006</v>
      </c>
      <c r="AB135" s="446">
        <f t="shared" si="178"/>
        <v>0</v>
      </c>
      <c r="AC135" s="446">
        <f t="shared" si="178"/>
        <v>0</v>
      </c>
      <c r="AD135" s="446">
        <f t="shared" si="178"/>
        <v>0</v>
      </c>
      <c r="AE135" s="446"/>
      <c r="AF135" s="446">
        <f t="shared" si="178"/>
        <v>2195423</v>
      </c>
      <c r="AG135" s="446">
        <f t="shared" si="178"/>
        <v>2195423</v>
      </c>
      <c r="AH135" s="446">
        <f t="shared" si="178"/>
        <v>0</v>
      </c>
      <c r="AI135" s="446">
        <f t="shared" si="178"/>
        <v>0</v>
      </c>
      <c r="AJ135" s="446">
        <f t="shared" si="178"/>
        <v>0</v>
      </c>
      <c r="AK135" s="446">
        <f t="shared" si="178"/>
        <v>1621117.64</v>
      </c>
      <c r="AL135" s="446">
        <f t="shared" si="178"/>
        <v>1621117.64</v>
      </c>
      <c r="AM135" s="446">
        <f t="shared" si="178"/>
        <v>0</v>
      </c>
      <c r="AN135" s="446">
        <f t="shared" si="178"/>
        <v>0</v>
      </c>
      <c r="AO135" s="446">
        <f t="shared" si="178"/>
        <v>0</v>
      </c>
      <c r="AP135" s="446">
        <f t="shared" si="178"/>
        <v>1872939.57</v>
      </c>
      <c r="AQ135" s="446">
        <f t="shared" si="178"/>
        <v>1872939.57</v>
      </c>
      <c r="AR135" s="446">
        <f t="shared" si="178"/>
        <v>0</v>
      </c>
      <c r="AS135" s="446">
        <f t="shared" si="178"/>
        <v>2808718.12</v>
      </c>
      <c r="AT135" s="446">
        <f t="shared" si="178"/>
        <v>2808718.12</v>
      </c>
      <c r="AU135" s="446">
        <f t="shared" si="178"/>
        <v>0</v>
      </c>
      <c r="AV135" s="446">
        <f t="shared" si="178"/>
        <v>0</v>
      </c>
      <c r="AW135" s="446">
        <f t="shared" si="178"/>
        <v>1645400</v>
      </c>
      <c r="AX135" s="446">
        <f t="shared" si="178"/>
        <v>1645400</v>
      </c>
      <c r="AY135" s="446">
        <f t="shared" si="178"/>
        <v>0</v>
      </c>
      <c r="AZ135" s="446">
        <f t="shared" si="178"/>
        <v>0</v>
      </c>
      <c r="BA135" s="446">
        <f t="shared" si="178"/>
        <v>2037439</v>
      </c>
      <c r="BB135" s="446">
        <f t="shared" si="178"/>
        <v>2037439</v>
      </c>
      <c r="BC135" s="446">
        <f t="shared" si="178"/>
        <v>0</v>
      </c>
      <c r="BD135" s="446">
        <f t="shared" si="178"/>
        <v>0</v>
      </c>
      <c r="BE135" s="446">
        <f t="shared" si="178"/>
        <v>0</v>
      </c>
      <c r="BF135" s="446">
        <f t="shared" si="178"/>
        <v>0</v>
      </c>
      <c r="BG135" s="446">
        <f t="shared" si="178"/>
        <v>0</v>
      </c>
      <c r="BH135" s="446">
        <f t="shared" si="178"/>
        <v>0</v>
      </c>
      <c r="BI135" s="446">
        <f t="shared" si="178"/>
        <v>0</v>
      </c>
      <c r="BJ135" s="446">
        <f t="shared" si="178"/>
        <v>0</v>
      </c>
      <c r="BK135" s="446">
        <f t="shared" si="178"/>
        <v>0</v>
      </c>
      <c r="BL135" s="446">
        <f t="shared" si="178"/>
        <v>0</v>
      </c>
      <c r="BM135" s="446">
        <f t="shared" si="178"/>
        <v>3047745.6</v>
      </c>
      <c r="BN135" s="446">
        <f t="shared" si="178"/>
        <v>10043704.120979998</v>
      </c>
      <c r="BO135" s="446">
        <f t="shared" si="178"/>
        <v>10309137.522979999</v>
      </c>
      <c r="BP135" s="444"/>
    </row>
    <row r="136" spans="12:74" x14ac:dyDescent="0.25">
      <c r="L136" s="444"/>
      <c r="M136" s="444"/>
      <c r="N136" s="444"/>
      <c r="O136" s="444"/>
      <c r="P136" s="444"/>
      <c r="Q136" s="444"/>
      <c r="R136" s="444"/>
      <c r="S136" s="444"/>
      <c r="T136" s="444"/>
      <c r="U136" s="444"/>
      <c r="V136" s="444"/>
      <c r="W136" s="444"/>
      <c r="X136" s="444"/>
      <c r="Y136" s="444"/>
      <c r="Z136" s="446">
        <f>Z135-L135</f>
        <v>-510728.78799999971</v>
      </c>
      <c r="AA136" s="444"/>
      <c r="AB136" s="444"/>
      <c r="AC136" s="444"/>
      <c r="AD136" s="444"/>
      <c r="AE136" s="444"/>
      <c r="AF136" s="444"/>
      <c r="AG136" s="444"/>
      <c r="AH136" s="444"/>
      <c r="AI136" s="444"/>
      <c r="AJ136" s="444"/>
      <c r="AK136" s="446">
        <f>AK135-AF135</f>
        <v>-574305.3600000001</v>
      </c>
      <c r="AL136" s="444"/>
      <c r="AM136" s="444"/>
      <c r="AN136" s="444"/>
      <c r="AO136" s="444"/>
      <c r="AP136" s="444"/>
      <c r="AQ136" s="444"/>
      <c r="AR136" s="444"/>
      <c r="AS136" s="446">
        <f>AS135-AP135</f>
        <v>935778.55</v>
      </c>
      <c r="AT136" s="444"/>
      <c r="AU136" s="444"/>
      <c r="AV136" s="444"/>
      <c r="AW136" s="444"/>
      <c r="AX136" s="444"/>
      <c r="AY136" s="444"/>
      <c r="AZ136" s="444"/>
      <c r="BA136" s="446">
        <f>BA135-AW135</f>
        <v>392039</v>
      </c>
      <c r="BB136" s="444"/>
      <c r="BC136" s="444"/>
      <c r="BD136" s="444"/>
      <c r="BE136" s="444"/>
      <c r="BF136" s="444"/>
      <c r="BG136" s="444"/>
      <c r="BH136" s="444"/>
      <c r="BI136" s="446">
        <f>BI135-BE135</f>
        <v>0</v>
      </c>
      <c r="BJ136" s="444"/>
      <c r="BK136" s="444"/>
      <c r="BL136" s="444"/>
      <c r="BM136" s="444"/>
      <c r="BN136" s="444"/>
      <c r="BO136" s="444"/>
      <c r="BP136" s="446">
        <f>SUM(Z136:BO136)</f>
        <v>242783.40200000023</v>
      </c>
    </row>
    <row r="137" spans="12:74" x14ac:dyDescent="0.25">
      <c r="L137" s="444"/>
      <c r="M137" s="444"/>
      <c r="N137" s="444"/>
      <c r="O137" s="444"/>
      <c r="P137" s="444"/>
      <c r="Q137" s="444"/>
      <c r="R137" s="444"/>
      <c r="S137" s="444"/>
      <c r="T137" s="444"/>
      <c r="U137" s="444"/>
      <c r="V137" s="444"/>
      <c r="W137" s="444"/>
      <c r="X137" s="444"/>
      <c r="Y137" s="444"/>
      <c r="Z137" s="444"/>
      <c r="AA137" s="444"/>
      <c r="AB137" s="444"/>
      <c r="AC137" s="444"/>
      <c r="AD137" s="444"/>
      <c r="AE137" s="444"/>
      <c r="AF137" s="444"/>
      <c r="AG137" s="444"/>
      <c r="AH137" s="444"/>
      <c r="AI137" s="444"/>
      <c r="AJ137" s="444"/>
      <c r="AK137" s="444"/>
      <c r="AL137" s="444"/>
      <c r="AM137" s="444"/>
      <c r="AN137" s="444"/>
      <c r="AO137" s="444"/>
      <c r="AP137" s="444"/>
      <c r="AQ137" s="444"/>
      <c r="AR137" s="444"/>
      <c r="AS137" s="444"/>
      <c r="AT137" s="444"/>
      <c r="AU137" s="444"/>
      <c r="AV137" s="444"/>
      <c r="AW137" s="444"/>
      <c r="AX137" s="444"/>
      <c r="AY137" s="444"/>
      <c r="AZ137" s="444"/>
      <c r="BA137" s="444"/>
      <c r="BB137" s="444"/>
      <c r="BC137" s="444"/>
      <c r="BD137" s="444"/>
      <c r="BE137" s="444"/>
      <c r="BF137" s="444"/>
      <c r="BG137" s="444"/>
      <c r="BH137" s="444"/>
      <c r="BI137" s="444"/>
      <c r="BJ137" s="444"/>
      <c r="BK137" s="444"/>
      <c r="BL137" s="444"/>
      <c r="BM137" s="444"/>
      <c r="BN137" s="444"/>
      <c r="BO137" s="444"/>
      <c r="BP137" s="444"/>
    </row>
  </sheetData>
  <mergeCells count="210">
    <mergeCell ref="A1:BO1"/>
    <mergeCell ref="A3:A6"/>
    <mergeCell ref="B3:B6"/>
    <mergeCell ref="C3:C6"/>
    <mergeCell ref="E3:E6"/>
    <mergeCell ref="F3:F6"/>
    <mergeCell ref="G3:G6"/>
    <mergeCell ref="H3:H6"/>
    <mergeCell ref="I3:I6"/>
    <mergeCell ref="J3:J6"/>
    <mergeCell ref="AW4:AY4"/>
    <mergeCell ref="BA4:BD4"/>
    <mergeCell ref="BE4:BG4"/>
    <mergeCell ref="BI4:BL4"/>
    <mergeCell ref="L3:AD3"/>
    <mergeCell ref="AF3:BL3"/>
    <mergeCell ref="BM3:BM6"/>
    <mergeCell ref="BN3:BN6"/>
    <mergeCell ref="BO3:BO6"/>
    <mergeCell ref="L4:S4"/>
    <mergeCell ref="T4:Y4"/>
    <mergeCell ref="Z4:AE4"/>
    <mergeCell ref="AF4:AJ4"/>
    <mergeCell ref="AK4:AO4"/>
    <mergeCell ref="AG5:AJ5"/>
    <mergeCell ref="L5:L6"/>
    <mergeCell ref="M5:P5"/>
    <mergeCell ref="Q5:Q6"/>
    <mergeCell ref="R5:R6"/>
    <mergeCell ref="S5:S6"/>
    <mergeCell ref="T5:T6"/>
    <mergeCell ref="AP4:AR4"/>
    <mergeCell ref="AS4:AV4"/>
    <mergeCell ref="BI5:BI6"/>
    <mergeCell ref="BJ5:BL5"/>
    <mergeCell ref="A8:A9"/>
    <mergeCell ref="F8:F9"/>
    <mergeCell ref="H8:H9"/>
    <mergeCell ref="I8:I9"/>
    <mergeCell ref="J8:J9"/>
    <mergeCell ref="AW5:AW6"/>
    <mergeCell ref="AX5:AZ5"/>
    <mergeCell ref="BA5:BA6"/>
    <mergeCell ref="BB5:BD5"/>
    <mergeCell ref="BE5:BE6"/>
    <mergeCell ref="BF5:BH5"/>
    <mergeCell ref="AK5:AK6"/>
    <mergeCell ref="AL5:AO5"/>
    <mergeCell ref="AP5:AP6"/>
    <mergeCell ref="AQ5:AR5"/>
    <mergeCell ref="AS5:AS6"/>
    <mergeCell ref="AT5:AV5"/>
    <mergeCell ref="U5:X5"/>
    <mergeCell ref="Y5:Y6"/>
    <mergeCell ref="Z5:Z6"/>
    <mergeCell ref="AA5:AD5"/>
    <mergeCell ref="AF5:AF6"/>
    <mergeCell ref="BS11:BS13"/>
    <mergeCell ref="A14:A15"/>
    <mergeCell ref="F14:F15"/>
    <mergeCell ref="BR14:BR15"/>
    <mergeCell ref="A17:A18"/>
    <mergeCell ref="F17:F18"/>
    <mergeCell ref="J17:J18"/>
    <mergeCell ref="BR17:BR18"/>
    <mergeCell ref="BR8:BR9"/>
    <mergeCell ref="A11:A13"/>
    <mergeCell ref="F11:F13"/>
    <mergeCell ref="H11:H13"/>
    <mergeCell ref="I11:I13"/>
    <mergeCell ref="BR11:BR13"/>
    <mergeCell ref="A26:A27"/>
    <mergeCell ref="F26:F27"/>
    <mergeCell ref="J26:J27"/>
    <mergeCell ref="BR26:BR27"/>
    <mergeCell ref="A28:A29"/>
    <mergeCell ref="F28:F29"/>
    <mergeCell ref="BR28:BR29"/>
    <mergeCell ref="A22:A23"/>
    <mergeCell ref="F22:F23"/>
    <mergeCell ref="J22:J23"/>
    <mergeCell ref="BR22:BR23"/>
    <mergeCell ref="A24:A25"/>
    <mergeCell ref="F24:F25"/>
    <mergeCell ref="J24:J25"/>
    <mergeCell ref="BR24:BR25"/>
    <mergeCell ref="A35:A37"/>
    <mergeCell ref="F35:F37"/>
    <mergeCell ref="H35:H37"/>
    <mergeCell ref="I35:I37"/>
    <mergeCell ref="J35:J37"/>
    <mergeCell ref="BR35:BR37"/>
    <mergeCell ref="A30:A31"/>
    <mergeCell ref="F30:F31"/>
    <mergeCell ref="BR30:BR31"/>
    <mergeCell ref="A32:A33"/>
    <mergeCell ref="F32:F33"/>
    <mergeCell ref="BR32:BR33"/>
    <mergeCell ref="A49:A50"/>
    <mergeCell ref="F49:F50"/>
    <mergeCell ref="BR49:BR50"/>
    <mergeCell ref="A52:A53"/>
    <mergeCell ref="F52:F53"/>
    <mergeCell ref="J52:J53"/>
    <mergeCell ref="BR52:BR53"/>
    <mergeCell ref="A40:A41"/>
    <mergeCell ref="F40:F41"/>
    <mergeCell ref="H40:H41"/>
    <mergeCell ref="I40:I41"/>
    <mergeCell ref="J40:J41"/>
    <mergeCell ref="BR40:BR41"/>
    <mergeCell ref="A58:A59"/>
    <mergeCell ref="F58:F59"/>
    <mergeCell ref="J58:J59"/>
    <mergeCell ref="BR58:BR59"/>
    <mergeCell ref="A60:A61"/>
    <mergeCell ref="F60:F61"/>
    <mergeCell ref="J60:J61"/>
    <mergeCell ref="BR60:BR61"/>
    <mergeCell ref="A54:A55"/>
    <mergeCell ref="F54:F55"/>
    <mergeCell ref="J54:J55"/>
    <mergeCell ref="BR54:BR55"/>
    <mergeCell ref="A56:A57"/>
    <mergeCell ref="F56:F57"/>
    <mergeCell ref="J56:J57"/>
    <mergeCell ref="BR56:BR57"/>
    <mergeCell ref="A67:A68"/>
    <mergeCell ref="F67:F68"/>
    <mergeCell ref="BR67:BR68"/>
    <mergeCell ref="A69:A70"/>
    <mergeCell ref="F69:F70"/>
    <mergeCell ref="BR69:BR70"/>
    <mergeCell ref="A62:A63"/>
    <mergeCell ref="F62:F63"/>
    <mergeCell ref="J62:J63"/>
    <mergeCell ref="BR62:BR63"/>
    <mergeCell ref="A65:A66"/>
    <mergeCell ref="F65:F66"/>
    <mergeCell ref="BR65:BR66"/>
    <mergeCell ref="A75:A76"/>
    <mergeCell ref="F75:F76"/>
    <mergeCell ref="J75:J76"/>
    <mergeCell ref="BR75:BR76"/>
    <mergeCell ref="A77:A79"/>
    <mergeCell ref="F77:F79"/>
    <mergeCell ref="J77:J79"/>
    <mergeCell ref="BR77:BR79"/>
    <mergeCell ref="A71:A72"/>
    <mergeCell ref="F71:F72"/>
    <mergeCell ref="J71:J72"/>
    <mergeCell ref="BR71:BR72"/>
    <mergeCell ref="A73:A74"/>
    <mergeCell ref="F73:F74"/>
    <mergeCell ref="J73:J74"/>
    <mergeCell ref="BR73:BR74"/>
    <mergeCell ref="A80:A81"/>
    <mergeCell ref="F80:F81"/>
    <mergeCell ref="BR80:BR81"/>
    <mergeCell ref="A82:A83"/>
    <mergeCell ref="F82:F83"/>
    <mergeCell ref="H82:H83"/>
    <mergeCell ref="I82:I83"/>
    <mergeCell ref="J82:J83"/>
    <mergeCell ref="BR82:BR83"/>
    <mergeCell ref="BS87:BS88"/>
    <mergeCell ref="A92:A93"/>
    <mergeCell ref="F92:F93"/>
    <mergeCell ref="A94:A95"/>
    <mergeCell ref="F94:F95"/>
    <mergeCell ref="BR94:BR95"/>
    <mergeCell ref="A85:A86"/>
    <mergeCell ref="F85:F86"/>
    <mergeCell ref="J85:J86"/>
    <mergeCell ref="A87:A88"/>
    <mergeCell ref="F87:F88"/>
    <mergeCell ref="BQ87:BQ88"/>
    <mergeCell ref="F102:F103"/>
    <mergeCell ref="J102:J103"/>
    <mergeCell ref="BR102:BR103"/>
    <mergeCell ref="A97:A98"/>
    <mergeCell ref="F97:F98"/>
    <mergeCell ref="H97:H98"/>
    <mergeCell ref="I97:I98"/>
    <mergeCell ref="BQ97:BQ98"/>
    <mergeCell ref="BR97:BR98"/>
    <mergeCell ref="A128:J128"/>
    <mergeCell ref="AE5:AE6"/>
    <mergeCell ref="BQ118:BQ122"/>
    <mergeCell ref="BR118:BR122"/>
    <mergeCell ref="A124:E124"/>
    <mergeCell ref="A126:J126"/>
    <mergeCell ref="Y126:Z126"/>
    <mergeCell ref="A127:J127"/>
    <mergeCell ref="A118:A122"/>
    <mergeCell ref="B118:B122"/>
    <mergeCell ref="F118:F122"/>
    <mergeCell ref="H118:H122"/>
    <mergeCell ref="I118:I122"/>
    <mergeCell ref="J118:J122"/>
    <mergeCell ref="A116:A117"/>
    <mergeCell ref="F116:F117"/>
    <mergeCell ref="H116:H117"/>
    <mergeCell ref="I116:I117"/>
    <mergeCell ref="J116:J117"/>
    <mergeCell ref="BR116:BR117"/>
    <mergeCell ref="A99:A100"/>
    <mergeCell ref="F99:F100"/>
    <mergeCell ref="BR99:BR100"/>
    <mergeCell ref="A102:A103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fd01bd-11bc-441a-9bd4-07c699ce4e53" xsi:nil="true"/>
    <lcf76f155ced4ddcb4097134ff3c332f xmlns="a6b573eb-d43f-4213-aa9f-907c5105b0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B366695F00544AE8A4BE4650FFEDD" ma:contentTypeVersion="14" ma:contentTypeDescription="Create a new document." ma:contentTypeScope="" ma:versionID="c64912392f440925b370e0192a6bb1fd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310d3caec0d5c894118e2cb68d9184a5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d855fe2-df4a-4b6a-b3e6-5db23925198b}" ma:internalName="TaxCatchAll" ma:showField="CatchAllData" ma:web="04fd01bd-11bc-441a-9bd4-07c699ce4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0A084-FA0A-4D96-B82A-31C91E4200A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04fd01bd-11bc-441a-9bd4-07c699ce4e53"/>
    <ds:schemaRef ds:uri="a6b573eb-d43f-4213-aa9f-907c5105b0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3AF516-3799-4F5F-8D66-6FA7734449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31AC0-0CF9-4840-B27E-9C124FFBF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1 Financování RMKrevize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Kubíková Renata</cp:lastModifiedBy>
  <dcterms:created xsi:type="dcterms:W3CDTF">2025-08-15T06:22:51Z</dcterms:created>
  <dcterms:modified xsi:type="dcterms:W3CDTF">2025-09-03T07:03:23Z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0x010100F5EB366695F00544AE8A4BE4650FFEDD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2025-09-02T08:23:52Z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b710321e-98f3-41a1-9a4d-1bee6855f70f</vt:lpwstr>
  </property>
  <property fmtid="{D5CDD505-2E9C-101B-9397-08002B2CF9AE}" pid="10" name="MSIP_Label_215ad6d0-798b-44f9-b3fd-112ad6275fb4_ContentBits">
    <vt:lpwstr>2</vt:lpwstr>
  </property>
</Properties>
</file>