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skraj-my.sharepoint.com/personal/tomas_metelka_msk_cz/Documents/_N_FINANCE/ROZPOČET 2026/11 - MAT do ZK/2MAT do ZK-k odevzdání/"/>
    </mc:Choice>
  </mc:AlternateContent>
  <xr:revisionPtr revIDLastSave="37" documentId="8_{87895721-0A92-4BE2-85FD-EA9E112DC46B}" xr6:coauthVersionLast="47" xr6:coauthVersionMax="47" xr10:uidLastSave="{E5C4BEA7-C288-4D84-A386-0C8B1BF2C443}"/>
  <bookViews>
    <workbookView xWindow="-120" yWindow="-120" windowWidth="29040" windowHeight="15720" tabRatio="730" xr2:uid="{54F4A12B-D903-4848-90E6-597CCB8B3524}"/>
  </bookViews>
  <sheets>
    <sheet name="seznam" sheetId="3" r:id="rId1"/>
    <sheet name="Tab. 1 " sheetId="46" r:id="rId2"/>
    <sheet name="Tab. 1 VÝDAJE" sheetId="47" r:id="rId3"/>
    <sheet name="Tab. 2 " sheetId="49" r:id="rId4"/>
    <sheet name="Tab. 3" sheetId="78" r:id="rId5"/>
    <sheet name="Tab. 4" sheetId="83" r:id="rId6"/>
    <sheet name="Tab. 5" sheetId="82" r:id="rId7"/>
    <sheet name="Tab. 6 " sheetId="79" r:id="rId8"/>
    <sheet name="Tab. 7" sheetId="80" r:id="rId9"/>
    <sheet name="Tab. 8" sheetId="81" r:id="rId10"/>
  </sheets>
  <externalReferences>
    <externalReference r:id="rId11"/>
    <externalReference r:id="rId12"/>
    <externalReference r:id="rId13"/>
  </externalReferences>
  <definedNames>
    <definedName name="_xlnm._FilterDatabase" localSheetId="3" hidden="1">'Tab. 2 '!$A$3:$B$48</definedName>
    <definedName name="_xlnm._FilterDatabase" localSheetId="4" hidden="1">'Tab. 3'!$A$2:$H$67</definedName>
    <definedName name="_xlnm._FilterDatabase" localSheetId="5" hidden="1">'Tab. 4'!$A$4:$N$96</definedName>
    <definedName name="_xlnm._FilterDatabase" localSheetId="7" hidden="1">'Tab. 6 '!$A$2:$J$41</definedName>
    <definedName name="DF_GRID_1" localSheetId="1">#REF!</definedName>
    <definedName name="DF_GRID_1" localSheetId="2">#REF!</definedName>
    <definedName name="DF_GRID_1" localSheetId="3">#REF!</definedName>
    <definedName name="DF_GRID_1" localSheetId="4">#REF!</definedName>
    <definedName name="DF_GRID_1" localSheetId="5">#REF!</definedName>
    <definedName name="DF_GRID_1" localSheetId="7">#REF!</definedName>
    <definedName name="DF_GRID_1" localSheetId="8">#REF!</definedName>
    <definedName name="DF_GRID_1" localSheetId="9">#REF!</definedName>
    <definedName name="DF_GRID_1">#REF!</definedName>
    <definedName name="DF_GRID_2" localSheetId="4">#REF!</definedName>
    <definedName name="DF_GRID_2" localSheetId="5">#REF!</definedName>
    <definedName name="DF_GRID_2" localSheetId="7">#REF!</definedName>
    <definedName name="DF_GRID_2" localSheetId="8">#REF!</definedName>
    <definedName name="DF_GRID_2" localSheetId="9">#REF!</definedName>
    <definedName name="DF_GRID_2">#REF!</definedName>
    <definedName name="DF_GRID_3" localSheetId="4">#REF!</definedName>
    <definedName name="DF_GRID_3" localSheetId="5">#REF!</definedName>
    <definedName name="DF_GRID_3" localSheetId="7">#REF!</definedName>
    <definedName name="DF_GRID_3" localSheetId="8">#REF!</definedName>
    <definedName name="DF_GRID_3" localSheetId="9">#REF!</definedName>
    <definedName name="DF_GRID_3">#REF!</definedName>
    <definedName name="j" localSheetId="4">#REF!</definedName>
    <definedName name="j" localSheetId="5">#REF!</definedName>
    <definedName name="j" localSheetId="7">#REF!</definedName>
    <definedName name="j">#REF!</definedName>
    <definedName name="kurz" localSheetId="1">[1]rozhodnutí!$N$31</definedName>
    <definedName name="kurz" localSheetId="2">[1]rozhodnutí!$N$31</definedName>
    <definedName name="kurz" localSheetId="3">[1]rozhodnutí!$N$31</definedName>
    <definedName name="kurz" localSheetId="4">[2]rozhodnutí!$N$31</definedName>
    <definedName name="kurz" localSheetId="5">[3]rozhodnutí!$N$31</definedName>
    <definedName name="kurz" localSheetId="7">[2]rozhodnutí!$N$31</definedName>
    <definedName name="kurz" localSheetId="8">[2]rozhodnutí!$N$31</definedName>
    <definedName name="kurz" localSheetId="9">[2]rozhodnutí!$N$31</definedName>
    <definedName name="kurz">[1]rozhodnutí!$N$31</definedName>
    <definedName name="kurz2" localSheetId="4">#REF!</definedName>
    <definedName name="kurz2" localSheetId="5">#REF!</definedName>
    <definedName name="kurz2" localSheetId="7">#REF!</definedName>
    <definedName name="kurz2">#REF!</definedName>
    <definedName name="_xlnm.Print_Titles" localSheetId="1">'Tab. 1 '!$5:$5</definedName>
    <definedName name="_xlnm.Print_Titles" localSheetId="2">'Tab. 1 VÝDAJE'!$2:$3</definedName>
    <definedName name="_xlnm.Print_Titles" localSheetId="3">'Tab. 2 '!$3:$4</definedName>
    <definedName name="_xlnm.Print_Titles" localSheetId="4">'Tab. 3'!$3:$5</definedName>
    <definedName name="_xlnm.Print_Titles" localSheetId="5">'Tab. 4'!$3:$5</definedName>
    <definedName name="_xlnm.Print_Titles" localSheetId="6">'Tab. 5'!$3:$5</definedName>
    <definedName name="_xlnm.Print_Titles" localSheetId="7">'Tab. 6 '!$3:$5</definedName>
    <definedName name="_xlnm.Print_Area" localSheetId="1">'Tab. 1 '!$A$1:$H$61</definedName>
    <definedName name="_xlnm.Print_Area" localSheetId="3">'Tab. 2 '!$A$1:$F$70</definedName>
    <definedName name="_xlnm.Print_Area" localSheetId="4">'Tab. 3'!$A$1:$H$69</definedName>
    <definedName name="_xlnm.Print_Area" localSheetId="5">'Tab. 4'!$A$1:$M$100</definedName>
    <definedName name="_xlnm.Print_Area" localSheetId="7">'Tab. 6 '!$A$1:$J$45</definedName>
    <definedName name="_xlnm.Print_Area" localSheetId="8">'Tab. 7'!$A$1:$J$60</definedName>
    <definedName name="_xlnm.Print_Area" localSheetId="9">'Tab. 8'!$A$1:$G$30</definedName>
    <definedName name="SAPBEXhrIndnt" hidden="1">"Wide"</definedName>
    <definedName name="SAPsysID" hidden="1">"708C5W7SBKP804JT78WJ0JNKI"</definedName>
    <definedName name="SAPwbID" hidden="1">"ARS"</definedName>
    <definedName name="Z_011A6C4B_2327_4720_A085_B414162D3D4F_.wvu.PrintTitles" localSheetId="3" hidden="1">'Tab. 2 '!$3:$3</definedName>
    <definedName name="Z_101071BA_2FA5_4A0F_9E83_07DE84746187_.wvu.PrintArea" localSheetId="1" hidden="1">'Tab. 1 '!$A$1:$H$58</definedName>
    <definedName name="Z_101071BA_2FA5_4A0F_9E83_07DE84746187_.wvu.PrintTitles" localSheetId="1" hidden="1">'Tab. 1 '!$5:$5</definedName>
    <definedName name="Z_101071BA_2FA5_4A0F_9E83_07DE84746187_.wvu.PrintTitles" localSheetId="2" hidden="1">'Tab. 1 VÝDAJE'!$2:$3</definedName>
    <definedName name="Z_101071BA_2FA5_4A0F_9E83_07DE84746187_.wvu.Rows" localSheetId="1" hidden="1">'Tab. 1 '!$25:$25</definedName>
    <definedName name="Z_101071BA_2FA5_4A0F_9E83_07DE84746187_.wvu.Rows" localSheetId="2" hidden="1">'Tab. 1 VÝDAJE'!#REF!</definedName>
    <definedName name="Z_49829188_FED5_46AD_A01B_AD023612A570_.wvu.Cols" localSheetId="1" hidden="1">'Tab. 1 '!#REF!</definedName>
    <definedName name="Z_49829188_FED5_46AD_A01B_AD023612A570_.wvu.Cols" localSheetId="2" hidden="1">'Tab. 1 VÝDAJE'!#REF!</definedName>
    <definedName name="Z_49829188_FED5_46AD_A01B_AD023612A570_.wvu.PrintArea" localSheetId="1" hidden="1">'Tab. 1 '!$A$5:$A$34</definedName>
    <definedName name="Z_49829188_FED5_46AD_A01B_AD023612A570_.wvu.PrintArea" localSheetId="2" hidden="1">'Tab. 1 VÝDAJE'!#REF!</definedName>
    <definedName name="Z_49829188_FED5_46AD_A01B_AD023612A570_.wvu.Rows" localSheetId="1" hidden="1">'Tab. 1 '!#REF!</definedName>
    <definedName name="Z_49829188_FED5_46AD_A01B_AD023612A570_.wvu.Rows" localSheetId="2" hidden="1">'Tab. 1 VÝDAJE'!#REF!</definedName>
    <definedName name="Z_6773646E_4FE1_4144_9FDF_4FF97C20B4A9_.wvu.PrintArea" localSheetId="1" hidden="1">'Tab. 1 '!$A$5:$C$34</definedName>
    <definedName name="Z_6773646E_4FE1_4144_9FDF_4FF97C20B4A9_.wvu.PrintArea" localSheetId="2" hidden="1">'Tab. 1 VÝDAJE'!#REF!</definedName>
    <definedName name="Z_6773646E_4FE1_4144_9FDF_4FF97C20B4A9_.wvu.Rows" localSheetId="1" hidden="1">'Tab. 1 '!$25:$25</definedName>
    <definedName name="Z_6773646E_4FE1_4144_9FDF_4FF97C20B4A9_.wvu.Rows" localSheetId="2" hidden="1">'Tab. 1 VÝDAJE'!#REF!</definedName>
    <definedName name="Z_BCCA6061_3DB5_4487_907E_7813A1F1537A_.wvu.PrintArea" localSheetId="1" hidden="1">'Tab. 1 '!$A$5:$C$34</definedName>
    <definedName name="Z_BCCA6061_3DB5_4487_907E_7813A1F1537A_.wvu.PrintArea" localSheetId="2" hidden="1">'Tab. 1 VÝDAJE'!#REF!</definedName>
    <definedName name="Z_BCCA6061_3DB5_4487_907E_7813A1F1537A_.wvu.Rows" localSheetId="1" hidden="1">'Tab. 1 '!$25:$25</definedName>
    <definedName name="Z_BCCA6061_3DB5_4487_907E_7813A1F1537A_.wvu.Rows" localSheetId="2" hidden="1">'Tab. 1 VÝDAJE'!#REF!</definedName>
    <definedName name="Z_E5D11231_1473_4685_9500_D27714D32333_.wvu.Cols" localSheetId="1" hidden="1">'Tab. 1 '!#REF!</definedName>
    <definedName name="Z_E5D11231_1473_4685_9500_D27714D32333_.wvu.Cols" localSheetId="2" hidden="1">'Tab. 1 VÝDAJE'!#REF!</definedName>
    <definedName name="Z_E5D11231_1473_4685_9500_D27714D32333_.wvu.Rows" localSheetId="1" hidden="1">'Tab. 1 '!#REF!</definedName>
    <definedName name="Z_E5D11231_1473_4685_9500_D27714D32333_.wvu.Rows" localSheetId="2" hidden="1">'Tab. 1 VÝDAJE'!#REF!</definedName>
    <definedName name="zzzz" localSheetId="4">#REF!</definedName>
    <definedName name="zzzz" localSheetId="5">#REF!</definedName>
    <definedName name="zzzz" localSheetId="7">#REF!</definedName>
    <definedName name="zzzz">#REF!</definedName>
  </definedNames>
  <calcPr calcId="191029"/>
  <customWorkbookViews>
    <customWorkbookView name="Metelka Tomáš – osobní zobrazení" guid="{101071BA-2FA5-4A0F-9E83-07DE84746187}" mergeInterval="0" personalView="1" maximized="1" xWindow="-8" yWindow="-8" windowWidth="1936" windowHeight="1056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61" i="82" l="1"/>
  <c r="D61" i="82"/>
  <c r="H40" i="82"/>
  <c r="D40" i="82"/>
  <c r="C21" i="81"/>
  <c r="C7" i="81"/>
  <c r="I93" i="83"/>
  <c r="J93" i="83"/>
  <c r="K93" i="83"/>
  <c r="L93" i="83"/>
  <c r="H93" i="83"/>
  <c r="I83" i="83"/>
  <c r="J83" i="83"/>
  <c r="K83" i="83"/>
  <c r="L83" i="83"/>
  <c r="H83" i="83"/>
  <c r="I43" i="83"/>
  <c r="J43" i="83"/>
  <c r="K43" i="83"/>
  <c r="L43" i="83"/>
  <c r="H43" i="83"/>
  <c r="L96" i="83"/>
  <c r="K96" i="83"/>
  <c r="J96" i="83"/>
  <c r="I96" i="83"/>
  <c r="H96" i="83"/>
  <c r="L47" i="83"/>
  <c r="K47" i="83"/>
  <c r="J47" i="83"/>
  <c r="I47" i="83"/>
  <c r="H47" i="83"/>
  <c r="L33" i="83"/>
  <c r="K33" i="83"/>
  <c r="J33" i="83"/>
  <c r="I33" i="83"/>
  <c r="H33" i="83"/>
  <c r="L30" i="83"/>
  <c r="K30" i="83"/>
  <c r="J30" i="83"/>
  <c r="I30" i="83"/>
  <c r="H30" i="83"/>
  <c r="L8" i="83"/>
  <c r="K8" i="83"/>
  <c r="J8" i="83"/>
  <c r="I8" i="83"/>
  <c r="H8" i="83"/>
  <c r="H98" i="83" l="1"/>
  <c r="I98" i="83"/>
  <c r="J98" i="83"/>
  <c r="K98" i="83"/>
  <c r="L98" i="83"/>
  <c r="H163" i="82" l="1"/>
  <c r="G163" i="82"/>
  <c r="F163" i="82"/>
  <c r="E163" i="82"/>
  <c r="D162" i="82"/>
  <c r="D161" i="82"/>
  <c r="D160" i="82"/>
  <c r="D159" i="82"/>
  <c r="D158" i="82"/>
  <c r="D157" i="82"/>
  <c r="D156" i="82"/>
  <c r="D155" i="82"/>
  <c r="D154" i="82"/>
  <c r="H152" i="82"/>
  <c r="G152" i="82"/>
  <c r="F152" i="82"/>
  <c r="E152" i="82"/>
  <c r="D151" i="82"/>
  <c r="D150" i="82"/>
  <c r="D149" i="82"/>
  <c r="D148" i="82"/>
  <c r="D147" i="82"/>
  <c r="D146" i="82"/>
  <c r="D145" i="82"/>
  <c r="D144" i="82"/>
  <c r="H142" i="82"/>
  <c r="G142" i="82"/>
  <c r="F142" i="82"/>
  <c r="E142" i="82"/>
  <c r="D141" i="82"/>
  <c r="D142" i="82" s="1"/>
  <c r="H139" i="82"/>
  <c r="G139" i="82"/>
  <c r="F139" i="82"/>
  <c r="E139" i="82"/>
  <c r="D138" i="82"/>
  <c r="D137" i="82"/>
  <c r="D136" i="82"/>
  <c r="D135" i="82"/>
  <c r="D134" i="82"/>
  <c r="D133" i="82"/>
  <c r="D132" i="82"/>
  <c r="D131" i="82"/>
  <c r="D130" i="82"/>
  <c r="D129" i="82"/>
  <c r="H127" i="82"/>
  <c r="G127" i="82"/>
  <c r="F127" i="82"/>
  <c r="E127" i="82"/>
  <c r="D126" i="82"/>
  <c r="D125" i="82"/>
  <c r="D124" i="82"/>
  <c r="D123" i="82"/>
  <c r="H121" i="82"/>
  <c r="G121" i="82"/>
  <c r="F121" i="82"/>
  <c r="D120" i="82"/>
  <c r="E119" i="82"/>
  <c r="E121" i="82" s="1"/>
  <c r="D118" i="82"/>
  <c r="D117" i="82"/>
  <c r="D116" i="82"/>
  <c r="D115" i="82"/>
  <c r="D114" i="82"/>
  <c r="D113" i="82"/>
  <c r="D112" i="82"/>
  <c r="D111" i="82"/>
  <c r="D110" i="82"/>
  <c r="D109" i="82"/>
  <c r="D108" i="82"/>
  <c r="D107" i="82"/>
  <c r="H105" i="82"/>
  <c r="G105" i="82"/>
  <c r="F105" i="82"/>
  <c r="E105" i="82"/>
  <c r="D104" i="82"/>
  <c r="D103" i="82"/>
  <c r="D102" i="82"/>
  <c r="D101" i="82"/>
  <c r="D100" i="82"/>
  <c r="D99" i="82"/>
  <c r="D98" i="82"/>
  <c r="D97" i="82"/>
  <c r="D96" i="82"/>
  <c r="D95" i="82"/>
  <c r="D94" i="82"/>
  <c r="D93" i="82"/>
  <c r="D92" i="82"/>
  <c r="D91" i="82"/>
  <c r="D90" i="82"/>
  <c r="H88" i="82"/>
  <c r="G88" i="82"/>
  <c r="F88" i="82"/>
  <c r="E88" i="82"/>
  <c r="D87" i="82"/>
  <c r="D88" i="82" s="1"/>
  <c r="H85" i="82"/>
  <c r="G85" i="82"/>
  <c r="F85" i="82"/>
  <c r="E85" i="82"/>
  <c r="D84" i="82"/>
  <c r="D83" i="82"/>
  <c r="D82" i="82"/>
  <c r="H80" i="82"/>
  <c r="G80" i="82"/>
  <c r="F80" i="82"/>
  <c r="E80" i="82"/>
  <c r="D79" i="82"/>
  <c r="D78" i="82"/>
  <c r="H76" i="82"/>
  <c r="F76" i="82"/>
  <c r="E76" i="82"/>
  <c r="G75" i="82"/>
  <c r="D75" i="82" s="1"/>
  <c r="D74" i="82"/>
  <c r="D73" i="82"/>
  <c r="D72" i="82"/>
  <c r="H69" i="82"/>
  <c r="G69" i="82"/>
  <c r="F69" i="82"/>
  <c r="E69" i="82"/>
  <c r="D68" i="82"/>
  <c r="D67" i="82"/>
  <c r="D66" i="82"/>
  <c r="D65" i="82"/>
  <c r="D64" i="82"/>
  <c r="D63" i="82"/>
  <c r="H62" i="82"/>
  <c r="G62" i="82"/>
  <c r="F62" i="82"/>
  <c r="D60" i="82"/>
  <c r="D59" i="82"/>
  <c r="D58" i="82"/>
  <c r="D57" i="82"/>
  <c r="D56" i="82"/>
  <c r="D55" i="82"/>
  <c r="D54" i="82"/>
  <c r="D53" i="82"/>
  <c r="D52" i="82"/>
  <c r="D51" i="82"/>
  <c r="D50" i="82"/>
  <c r="D49" i="82"/>
  <c r="D48" i="82"/>
  <c r="D47" i="82"/>
  <c r="D46" i="82"/>
  <c r="D45" i="82"/>
  <c r="D44" i="82"/>
  <c r="D43" i="82"/>
  <c r="D42" i="82"/>
  <c r="D41" i="82"/>
  <c r="D39" i="82"/>
  <c r="D38" i="82"/>
  <c r="E37" i="82"/>
  <c r="E62" i="82" s="1"/>
  <c r="D36" i="82"/>
  <c r="H35" i="82"/>
  <c r="G35" i="82"/>
  <c r="E35" i="82"/>
  <c r="D34" i="82"/>
  <c r="D33" i="82"/>
  <c r="D32" i="82"/>
  <c r="D31" i="82"/>
  <c r="F30" i="82"/>
  <c r="D30" i="82" s="1"/>
  <c r="D29" i="82"/>
  <c r="D28" i="82"/>
  <c r="D27" i="82"/>
  <c r="D26" i="82"/>
  <c r="D25" i="82"/>
  <c r="H23" i="82"/>
  <c r="G23" i="82"/>
  <c r="D22" i="82"/>
  <c r="D21" i="82"/>
  <c r="D20" i="82"/>
  <c r="D19" i="82"/>
  <c r="D18" i="82"/>
  <c r="D17" i="82"/>
  <c r="D16" i="82"/>
  <c r="D15" i="82"/>
  <c r="F14" i="82"/>
  <c r="F23" i="82" s="1"/>
  <c r="E14" i="82"/>
  <c r="E23" i="82" s="1"/>
  <c r="D14" i="82"/>
  <c r="D13" i="82"/>
  <c r="D12" i="82"/>
  <c r="H10" i="82"/>
  <c r="G10" i="82"/>
  <c r="F10" i="82"/>
  <c r="E10" i="82"/>
  <c r="D9" i="82"/>
  <c r="D8" i="82"/>
  <c r="D7" i="82"/>
  <c r="D69" i="82" l="1"/>
  <c r="F35" i="82"/>
  <c r="D127" i="82"/>
  <c r="D139" i="82"/>
  <c r="D152" i="82"/>
  <c r="D10" i="82"/>
  <c r="D35" i="82"/>
  <c r="F70" i="82"/>
  <c r="F165" i="82" s="1"/>
  <c r="G70" i="82"/>
  <c r="H70" i="82"/>
  <c r="H165" i="82" s="1"/>
  <c r="G76" i="82"/>
  <c r="D76" i="82" s="1"/>
  <c r="D163" i="82"/>
  <c r="D23" i="82"/>
  <c r="D37" i="82"/>
  <c r="D62" i="82" s="1"/>
  <c r="D70" i="82" s="1"/>
  <c r="D85" i="82"/>
  <c r="E70" i="82"/>
  <c r="E165" i="82" s="1"/>
  <c r="D80" i="82"/>
  <c r="D105" i="82"/>
  <c r="D121" i="82"/>
  <c r="D119" i="82"/>
  <c r="D165" i="82" l="1"/>
  <c r="G165" i="82"/>
  <c r="C61" i="78" l="1"/>
  <c r="C62" i="78" l="1"/>
  <c r="C60" i="78"/>
  <c r="C57" i="78"/>
  <c r="C56" i="78"/>
  <c r="C55" i="78"/>
  <c r="C54" i="78"/>
  <c r="C53" i="78"/>
  <c r="C52" i="78"/>
  <c r="C50" i="78"/>
  <c r="C49" i="78"/>
  <c r="C48" i="78"/>
  <c r="C47" i="78"/>
  <c r="C46" i="78"/>
  <c r="C45" i="78"/>
  <c r="C44" i="78"/>
  <c r="C43" i="78"/>
  <c r="C42" i="78"/>
  <c r="C41" i="78"/>
  <c r="C40" i="78"/>
  <c r="C39" i="78"/>
  <c r="C38" i="78"/>
  <c r="C35" i="78"/>
  <c r="C34" i="78"/>
  <c r="C31" i="78"/>
  <c r="C29" i="78"/>
  <c r="C26" i="78"/>
  <c r="C25" i="78"/>
  <c r="C24" i="78"/>
  <c r="C21" i="78"/>
  <c r="C18" i="78"/>
  <c r="C17" i="78"/>
  <c r="C16" i="78"/>
  <c r="C15" i="78"/>
  <c r="G67" i="78"/>
  <c r="G63" i="78"/>
  <c r="G58" i="78"/>
  <c r="G36" i="78"/>
  <c r="G27" i="78"/>
  <c r="C12" i="78"/>
  <c r="C11" i="78"/>
  <c r="C10" i="78"/>
  <c r="C9" i="78"/>
  <c r="C8" i="78"/>
  <c r="C7" i="78"/>
  <c r="G22" i="78"/>
  <c r="G19" i="78"/>
  <c r="G13" i="78"/>
  <c r="G69" i="78" l="1"/>
  <c r="B24" i="81"/>
  <c r="G23" i="81"/>
  <c r="G24" i="81" s="1"/>
  <c r="F23" i="81"/>
  <c r="F24" i="81" s="1"/>
  <c r="E23" i="81"/>
  <c r="E24" i="81" s="1"/>
  <c r="D23" i="81"/>
  <c r="D24" i="81" s="1"/>
  <c r="C23" i="81"/>
  <c r="C24" i="81" s="1"/>
  <c r="E11" i="81"/>
  <c r="G10" i="81"/>
  <c r="G12" i="81" s="1"/>
  <c r="F10" i="81"/>
  <c r="F12" i="81" s="1"/>
  <c r="E10" i="81"/>
  <c r="D10" i="81"/>
  <c r="D12" i="81" s="1"/>
  <c r="C10" i="81"/>
  <c r="C12" i="81" s="1"/>
  <c r="B10" i="81"/>
  <c r="B12" i="81" s="1"/>
  <c r="J15" i="80"/>
  <c r="I15" i="80"/>
  <c r="J14" i="80"/>
  <c r="I14" i="80"/>
  <c r="J13" i="80"/>
  <c r="I13" i="80"/>
  <c r="J12" i="80"/>
  <c r="I12" i="80"/>
  <c r="J11" i="80"/>
  <c r="I11" i="80"/>
  <c r="J10" i="80"/>
  <c r="I10" i="80"/>
  <c r="J9" i="80"/>
  <c r="I9" i="80"/>
  <c r="J8" i="80"/>
  <c r="I8" i="80"/>
  <c r="J7" i="80"/>
  <c r="I7" i="80"/>
  <c r="B7" i="80"/>
  <c r="B8" i="80" s="1"/>
  <c r="J6" i="80"/>
  <c r="I6" i="80"/>
  <c r="B6" i="80"/>
  <c r="H6" i="80" s="1"/>
  <c r="E12" i="81" l="1"/>
  <c r="H8" i="80"/>
  <c r="B9" i="80"/>
  <c r="H7" i="80"/>
  <c r="H9" i="80" l="1"/>
  <c r="B10" i="80"/>
  <c r="B11" i="80" l="1"/>
  <c r="H10" i="80"/>
  <c r="B12" i="80" l="1"/>
  <c r="H11" i="80"/>
  <c r="B13" i="80" l="1"/>
  <c r="H12" i="80"/>
  <c r="H13" i="80" l="1"/>
  <c r="B14" i="80"/>
  <c r="H14" i="80" l="1"/>
  <c r="B15" i="80"/>
  <c r="H15" i="80" s="1"/>
  <c r="G43" i="79" l="1"/>
  <c r="I41" i="79"/>
  <c r="I43" i="79" s="1"/>
  <c r="H41" i="79"/>
  <c r="H43" i="79" s="1"/>
  <c r="G41" i="79"/>
  <c r="B41" i="79"/>
  <c r="B43" i="79" s="1"/>
  <c r="J40" i="79"/>
  <c r="J39" i="79"/>
  <c r="J41" i="79" s="1"/>
  <c r="I37" i="79"/>
  <c r="H37" i="79"/>
  <c r="G37" i="79"/>
  <c r="B37" i="79"/>
  <c r="J36" i="79"/>
  <c r="J37" i="79" s="1"/>
  <c r="I34" i="79"/>
  <c r="H34" i="79"/>
  <c r="G34" i="79"/>
  <c r="B34" i="79"/>
  <c r="J33" i="79"/>
  <c r="J31" i="79"/>
  <c r="J30" i="79"/>
  <c r="J29" i="79"/>
  <c r="J34" i="79" s="1"/>
  <c r="J28" i="79"/>
  <c r="J27" i="79"/>
  <c r="I25" i="79"/>
  <c r="H25" i="79"/>
  <c r="G25" i="79"/>
  <c r="B25" i="79"/>
  <c r="J24" i="79"/>
  <c r="J20" i="79"/>
  <c r="J25" i="79" s="1"/>
  <c r="J18" i="79"/>
  <c r="I18" i="79"/>
  <c r="H18" i="79"/>
  <c r="G18" i="79"/>
  <c r="B18" i="79"/>
  <c r="I15" i="79"/>
  <c r="H15" i="79"/>
  <c r="G15" i="79"/>
  <c r="B15" i="79"/>
  <c r="J13" i="79"/>
  <c r="J12" i="79"/>
  <c r="J10" i="79"/>
  <c r="J15" i="79" s="1"/>
  <c r="I8" i="79"/>
  <c r="H8" i="79"/>
  <c r="G8" i="79"/>
  <c r="B8" i="79"/>
  <c r="J7" i="79"/>
  <c r="J8" i="79" s="1"/>
  <c r="J43" i="79" l="1"/>
  <c r="F67" i="78"/>
  <c r="E67" i="78"/>
  <c r="B67" i="78"/>
  <c r="D66" i="78"/>
  <c r="C66" i="78" s="1"/>
  <c r="D65" i="78"/>
  <c r="F63" i="78"/>
  <c r="E63" i="78"/>
  <c r="D63" i="78"/>
  <c r="B63" i="78"/>
  <c r="C63" i="78"/>
  <c r="F58" i="78"/>
  <c r="B58" i="78"/>
  <c r="E51" i="78"/>
  <c r="E58" i="78" s="1"/>
  <c r="D51" i="78"/>
  <c r="F36" i="78"/>
  <c r="B36" i="78"/>
  <c r="D33" i="78"/>
  <c r="C33" i="78" s="1"/>
  <c r="D32" i="78"/>
  <c r="C32" i="78" s="1"/>
  <c r="E30" i="78"/>
  <c r="E36" i="78" s="1"/>
  <c r="D30" i="78"/>
  <c r="F27" i="78"/>
  <c r="E27" i="78"/>
  <c r="D27" i="78"/>
  <c r="B27" i="78"/>
  <c r="C27" i="78"/>
  <c r="F22" i="78"/>
  <c r="E22" i="78"/>
  <c r="D22" i="78"/>
  <c r="C22" i="78"/>
  <c r="B22" i="78"/>
  <c r="F19" i="78"/>
  <c r="E19" i="78"/>
  <c r="D19" i="78"/>
  <c r="B19" i="78"/>
  <c r="F13" i="78"/>
  <c r="E13" i="78"/>
  <c r="D13" i="78"/>
  <c r="B13" i="78"/>
  <c r="C51" i="78" l="1"/>
  <c r="C30" i="78"/>
  <c r="C36" i="78" s="1"/>
  <c r="F69" i="78"/>
  <c r="C67" i="78"/>
  <c r="C65" i="78"/>
  <c r="D58" i="78"/>
  <c r="D67" i="78"/>
  <c r="B69" i="78"/>
  <c r="C58" i="78"/>
  <c r="E69" i="78"/>
  <c r="C13" i="78"/>
  <c r="C19" i="78"/>
  <c r="D36" i="78"/>
  <c r="C69" i="78" l="1"/>
  <c r="D69" i="78"/>
  <c r="G41" i="46"/>
  <c r="B28" i="47" l="1"/>
  <c r="H15" i="47"/>
  <c r="G15" i="47"/>
  <c r="F15" i="47"/>
  <c r="F64" i="47" l="1"/>
  <c r="F58" i="47"/>
  <c r="G39" i="47"/>
  <c r="F39" i="47"/>
  <c r="F50" i="46"/>
  <c r="G49" i="46"/>
  <c r="H48" i="46"/>
  <c r="G48" i="46"/>
  <c r="F48" i="46"/>
  <c r="H59" i="46"/>
  <c r="G59" i="46"/>
  <c r="F59" i="46"/>
  <c r="H54" i="47"/>
  <c r="G54" i="47"/>
  <c r="F54" i="47"/>
  <c r="F68" i="49" l="1"/>
  <c r="E68" i="49"/>
  <c r="D68" i="49"/>
  <c r="C68" i="49"/>
  <c r="F7" i="49" l="1"/>
  <c r="E7" i="49"/>
  <c r="D7" i="49"/>
  <c r="C7" i="49"/>
  <c r="F61" i="49"/>
  <c r="F48" i="49"/>
  <c r="F42" i="49"/>
  <c r="F39" i="49"/>
  <c r="F37" i="49"/>
  <c r="F24" i="49"/>
  <c r="F35" i="49" l="1"/>
  <c r="F5" i="49"/>
  <c r="F70" i="49" l="1"/>
  <c r="B36" i="47" l="1"/>
  <c r="H65" i="47" l="1"/>
  <c r="G65" i="47"/>
  <c r="F65" i="47"/>
  <c r="E52" i="46"/>
  <c r="D52" i="46"/>
  <c r="C52" i="46"/>
  <c r="B52" i="46"/>
  <c r="F44" i="46"/>
  <c r="G44" i="46"/>
  <c r="H44" i="46"/>
  <c r="F45" i="46"/>
  <c r="G45" i="46"/>
  <c r="H45" i="46"/>
  <c r="F46" i="46"/>
  <c r="G46" i="46"/>
  <c r="H46" i="46"/>
  <c r="F47" i="46"/>
  <c r="G47" i="46"/>
  <c r="H47" i="46"/>
  <c r="F51" i="46"/>
  <c r="G51" i="46"/>
  <c r="H51" i="46"/>
  <c r="F53" i="46"/>
  <c r="G53" i="46"/>
  <c r="H53" i="46"/>
  <c r="E32" i="46"/>
  <c r="D32" i="46"/>
  <c r="C32" i="46"/>
  <c r="B32" i="46"/>
  <c r="F37" i="46"/>
  <c r="E36" i="47" l="1"/>
  <c r="D36" i="47"/>
  <c r="C36" i="47"/>
  <c r="H35" i="47"/>
  <c r="G35" i="47"/>
  <c r="F35" i="47"/>
  <c r="E24" i="49"/>
  <c r="D24" i="49"/>
  <c r="C24" i="49"/>
  <c r="D48" i="49" l="1"/>
  <c r="E42" i="49"/>
  <c r="D42" i="49"/>
  <c r="C42" i="49"/>
  <c r="D61" i="49"/>
  <c r="D39" i="49"/>
  <c r="D37" i="49"/>
  <c r="D35" i="49" l="1"/>
  <c r="D5" i="49"/>
  <c r="D70" i="49" l="1"/>
  <c r="E61" i="49"/>
  <c r="C61" i="49"/>
  <c r="B43" i="47" l="1"/>
  <c r="B21" i="46" s="1"/>
  <c r="F45" i="47"/>
  <c r="G45" i="47"/>
  <c r="H45" i="47"/>
  <c r="F59" i="47"/>
  <c r="G59" i="47"/>
  <c r="H59" i="47"/>
  <c r="F60" i="47"/>
  <c r="G60" i="47"/>
  <c r="H60" i="47"/>
  <c r="F61" i="47"/>
  <c r="G61" i="47"/>
  <c r="H61" i="47"/>
  <c r="F62" i="47"/>
  <c r="G62" i="47"/>
  <c r="H62" i="47"/>
  <c r="F63" i="47"/>
  <c r="G63" i="47"/>
  <c r="H63" i="47"/>
  <c r="F66" i="47"/>
  <c r="G66" i="47"/>
  <c r="H66" i="47"/>
  <c r="E28" i="47"/>
  <c r="D28" i="47"/>
  <c r="C28" i="47"/>
  <c r="H37" i="47"/>
  <c r="G37" i="47"/>
  <c r="C43" i="47" l="1"/>
  <c r="C21" i="46" s="1"/>
  <c r="D43" i="47"/>
  <c r="D21" i="46" s="1"/>
  <c r="E43" i="47"/>
  <c r="E21" i="46" s="1"/>
  <c r="H70" i="47"/>
  <c r="G70" i="47"/>
  <c r="F57" i="47"/>
  <c r="G57" i="47"/>
  <c r="H57" i="47"/>
  <c r="F46" i="47"/>
  <c r="G46" i="47"/>
  <c r="H46" i="47"/>
  <c r="F47" i="47"/>
  <c r="G47" i="47"/>
  <c r="H47" i="47"/>
  <c r="F48" i="47"/>
  <c r="G48" i="47"/>
  <c r="H48" i="47"/>
  <c r="F49" i="47"/>
  <c r="G49" i="47"/>
  <c r="H49" i="47"/>
  <c r="F50" i="47"/>
  <c r="G50" i="47"/>
  <c r="H50" i="47"/>
  <c r="F51" i="47"/>
  <c r="G51" i="47"/>
  <c r="H51" i="47"/>
  <c r="F52" i="47"/>
  <c r="G52" i="47"/>
  <c r="H52" i="47"/>
  <c r="F37" i="47"/>
  <c r="F38" i="47"/>
  <c r="G38" i="47"/>
  <c r="H38" i="47"/>
  <c r="C39" i="49" l="1"/>
  <c r="E39" i="49"/>
  <c r="C16" i="46" l="1"/>
  <c r="D16" i="46"/>
  <c r="E16" i="46"/>
  <c r="C23" i="46"/>
  <c r="D23" i="46"/>
  <c r="E23" i="46"/>
  <c r="C24" i="46"/>
  <c r="D24" i="46"/>
  <c r="E24" i="46"/>
  <c r="B24" i="46"/>
  <c r="B23" i="46"/>
  <c r="B16" i="46"/>
  <c r="E48" i="49" l="1"/>
  <c r="E37" i="49"/>
  <c r="C37" i="49"/>
  <c r="E35" i="49" l="1"/>
  <c r="C48" i="49"/>
  <c r="C35" i="49" s="1"/>
  <c r="H68" i="47" l="1"/>
  <c r="G68" i="47"/>
  <c r="F68" i="47"/>
  <c r="E56" i="47"/>
  <c r="D56" i="47"/>
  <c r="D22" i="46" s="1"/>
  <c r="C56" i="47"/>
  <c r="B56" i="47"/>
  <c r="B22" i="46" s="1"/>
  <c r="H44" i="47"/>
  <c r="G44" i="47"/>
  <c r="F44" i="47"/>
  <c r="H41" i="47"/>
  <c r="G41" i="47"/>
  <c r="F41" i="47"/>
  <c r="E20" i="46"/>
  <c r="D20" i="46"/>
  <c r="B20" i="46"/>
  <c r="H34" i="47"/>
  <c r="G34" i="47"/>
  <c r="F34" i="47"/>
  <c r="H33" i="47"/>
  <c r="G33" i="47"/>
  <c r="F33" i="47"/>
  <c r="H32" i="47"/>
  <c r="G32" i="47"/>
  <c r="F32" i="47"/>
  <c r="H31" i="47"/>
  <c r="G31" i="47"/>
  <c r="F31" i="47"/>
  <c r="H30" i="47"/>
  <c r="G30" i="47"/>
  <c r="F30" i="47"/>
  <c r="H29" i="47"/>
  <c r="G29" i="47"/>
  <c r="F29" i="47"/>
  <c r="E19" i="46"/>
  <c r="D19" i="46"/>
  <c r="B19" i="46"/>
  <c r="H27" i="47"/>
  <c r="G27" i="47"/>
  <c r="F27" i="47"/>
  <c r="H26" i="47"/>
  <c r="G26" i="47"/>
  <c r="F26" i="47"/>
  <c r="H25" i="47"/>
  <c r="G25" i="47"/>
  <c r="F25" i="47"/>
  <c r="H24" i="47"/>
  <c r="G24" i="47"/>
  <c r="F24" i="47"/>
  <c r="H23" i="47"/>
  <c r="G23" i="47"/>
  <c r="F23" i="47"/>
  <c r="H22" i="47"/>
  <c r="G22" i="47"/>
  <c r="F22" i="47"/>
  <c r="H21" i="47"/>
  <c r="G21" i="47"/>
  <c r="F21" i="47"/>
  <c r="H20" i="47"/>
  <c r="G20" i="47"/>
  <c r="F20" i="47"/>
  <c r="H19" i="47"/>
  <c r="G19" i="47"/>
  <c r="F19" i="47"/>
  <c r="H18" i="47"/>
  <c r="G18" i="47"/>
  <c r="F18" i="47"/>
  <c r="H17" i="47"/>
  <c r="G17" i="47"/>
  <c r="F17" i="47"/>
  <c r="H16" i="47"/>
  <c r="G16" i="47"/>
  <c r="F16" i="47"/>
  <c r="H14" i="47"/>
  <c r="G14" i="47"/>
  <c r="F14" i="47"/>
  <c r="H13" i="47"/>
  <c r="G13" i="47"/>
  <c r="F13" i="47"/>
  <c r="E12" i="47"/>
  <c r="D12" i="47"/>
  <c r="D18" i="46" s="1"/>
  <c r="C12" i="47"/>
  <c r="C18" i="46" s="1"/>
  <c r="B12" i="47"/>
  <c r="B18" i="46" s="1"/>
  <c r="H11" i="47"/>
  <c r="G11" i="47"/>
  <c r="F11" i="47"/>
  <c r="H10" i="47"/>
  <c r="G10" i="47"/>
  <c r="F10" i="47"/>
  <c r="H9" i="47"/>
  <c r="G9" i="47"/>
  <c r="F9" i="47"/>
  <c r="H8" i="47"/>
  <c r="G8" i="47"/>
  <c r="F8" i="47"/>
  <c r="H7" i="47"/>
  <c r="G7" i="47"/>
  <c r="F7" i="47"/>
  <c r="H6" i="47"/>
  <c r="G6" i="47"/>
  <c r="F6" i="47"/>
  <c r="E5" i="47"/>
  <c r="D5" i="47"/>
  <c r="C5" i="47"/>
  <c r="B5" i="47"/>
  <c r="H4" i="47"/>
  <c r="G4" i="47"/>
  <c r="F4" i="47"/>
  <c r="H60" i="46"/>
  <c r="G60" i="46"/>
  <c r="F60" i="46"/>
  <c r="H58" i="46"/>
  <c r="G58" i="46"/>
  <c r="F58" i="46"/>
  <c r="H57" i="46"/>
  <c r="G57" i="46"/>
  <c r="F57" i="46"/>
  <c r="H56" i="46"/>
  <c r="G56" i="46"/>
  <c r="F56" i="46"/>
  <c r="H55" i="46"/>
  <c r="G55" i="46"/>
  <c r="F55" i="46"/>
  <c r="E54" i="46"/>
  <c r="E10" i="46" s="1"/>
  <c r="D54" i="46"/>
  <c r="D10" i="46" s="1"/>
  <c r="C54" i="46"/>
  <c r="C10" i="46" s="1"/>
  <c r="B54" i="46"/>
  <c r="B10" i="46" s="1"/>
  <c r="G52" i="46"/>
  <c r="H43" i="46"/>
  <c r="G43" i="46"/>
  <c r="F43" i="46"/>
  <c r="H42" i="46"/>
  <c r="G42" i="46"/>
  <c r="F42" i="46"/>
  <c r="H40" i="46"/>
  <c r="G40" i="46"/>
  <c r="F40" i="46"/>
  <c r="E39" i="46"/>
  <c r="D39" i="46"/>
  <c r="C39" i="46"/>
  <c r="B39" i="46"/>
  <c r="H38" i="46"/>
  <c r="G38" i="46"/>
  <c r="F38" i="46"/>
  <c r="H36" i="46"/>
  <c r="G36" i="46"/>
  <c r="F36" i="46"/>
  <c r="H35" i="46"/>
  <c r="G35" i="46"/>
  <c r="F35" i="46"/>
  <c r="H34" i="46"/>
  <c r="G34" i="46"/>
  <c r="F34" i="46"/>
  <c r="H33" i="46"/>
  <c r="G33" i="46"/>
  <c r="F33" i="46"/>
  <c r="E11" i="46"/>
  <c r="D11" i="46"/>
  <c r="C11" i="46"/>
  <c r="B11" i="46"/>
  <c r="C72" i="47" l="1"/>
  <c r="B72" i="47"/>
  <c r="D72" i="47"/>
  <c r="E72" i="47"/>
  <c r="C8" i="46"/>
  <c r="C61" i="46"/>
  <c r="D8" i="46"/>
  <c r="D61" i="46"/>
  <c r="B8" i="46"/>
  <c r="B61" i="46"/>
  <c r="E8" i="46"/>
  <c r="E61" i="46"/>
  <c r="E9" i="46"/>
  <c r="H52" i="46"/>
  <c r="C9" i="46"/>
  <c r="B17" i="46"/>
  <c r="B15" i="46" s="1"/>
  <c r="D17" i="46"/>
  <c r="D15" i="46" s="1"/>
  <c r="E22" i="46"/>
  <c r="F28" i="47"/>
  <c r="C19" i="46"/>
  <c r="F5" i="47"/>
  <c r="C17" i="46"/>
  <c r="H5" i="47"/>
  <c r="E17" i="46"/>
  <c r="F36" i="47"/>
  <c r="C20" i="46"/>
  <c r="H12" i="47"/>
  <c r="E18" i="46"/>
  <c r="F56" i="47"/>
  <c r="C22" i="46"/>
  <c r="H56" i="47"/>
  <c r="C7" i="46"/>
  <c r="D9" i="46"/>
  <c r="H43" i="47"/>
  <c r="B7" i="46"/>
  <c r="H28" i="47"/>
  <c r="E7" i="46"/>
  <c r="G39" i="46"/>
  <c r="F54" i="46"/>
  <c r="H39" i="46"/>
  <c r="D7" i="46"/>
  <c r="H54" i="46"/>
  <c r="F12" i="47"/>
  <c r="G28" i="47"/>
  <c r="G56" i="47"/>
  <c r="G12" i="47"/>
  <c r="G36" i="47"/>
  <c r="F43" i="47"/>
  <c r="G43" i="47"/>
  <c r="H36" i="47"/>
  <c r="G5" i="47"/>
  <c r="F39" i="46"/>
  <c r="F32" i="46"/>
  <c r="H32" i="46"/>
  <c r="G54" i="46"/>
  <c r="G32" i="46"/>
  <c r="E6" i="46" l="1"/>
  <c r="E15" i="46"/>
  <c r="C15" i="46"/>
  <c r="G61" i="46"/>
  <c r="H61" i="46"/>
  <c r="C6" i="46"/>
  <c r="D6" i="46"/>
  <c r="D25" i="46" s="1"/>
  <c r="H72" i="47"/>
  <c r="F72" i="47"/>
  <c r="G72" i="47"/>
  <c r="E25" i="46" l="1"/>
  <c r="C25" i="46"/>
  <c r="E5" i="49" l="1"/>
  <c r="E70" i="49" s="1"/>
  <c r="C5" i="49"/>
  <c r="C70" i="49" s="1"/>
  <c r="F61" i="46" l="1"/>
  <c r="B9" i="46"/>
  <c r="B6" i="46" s="1"/>
  <c r="B25" i="46" s="1"/>
  <c r="F52" i="46"/>
</calcChain>
</file>

<file path=xl/sharedStrings.xml><?xml version="1.0" encoding="utf-8"?>
<sst xmlns="http://schemas.openxmlformats.org/spreadsheetml/2006/main" count="1445" uniqueCount="931">
  <si>
    <t>BILANCE v tis. Kč</t>
  </si>
  <si>
    <t xml:space="preserve">PŘÍJMY CELKEM </t>
  </si>
  <si>
    <t>Daňové příjmy</t>
  </si>
  <si>
    <t>Nedaňové příjmy</t>
  </si>
  <si>
    <t>Kapitálové příjmy</t>
  </si>
  <si>
    <t>FINANCOVÁNÍ CELKEM (další zdroje rozpočtu)</t>
  </si>
  <si>
    <t>x</t>
  </si>
  <si>
    <t>VÝDAJE CELKEM</t>
  </si>
  <si>
    <t>Běžné výdaje na zastupitelstvo kraje a krajský úřad</t>
  </si>
  <si>
    <t>Finance a správa majetku</t>
  </si>
  <si>
    <t>Příspěvek na provoz příspěvkovým organizacím</t>
  </si>
  <si>
    <t>SALDO ROZPOČTU CELKEM</t>
  </si>
  <si>
    <t>PŘÍJMY v tis. Kč</t>
  </si>
  <si>
    <t xml:space="preserve"> - příjmy ze sdílených daní celkem</t>
  </si>
  <si>
    <t xml:space="preserve"> - daň z příjmů právnických osob za kraj</t>
  </si>
  <si>
    <t xml:space="preserve"> - správní poplatky</t>
  </si>
  <si>
    <t xml:space="preserve"> - příjmy z úroků</t>
  </si>
  <si>
    <t xml:space="preserve"> - poplatky za odběr podzemní vody</t>
  </si>
  <si>
    <t xml:space="preserve"> - příjmy za věcná břemena</t>
  </si>
  <si>
    <t xml:space="preserve"> - ostatní nedaňové příjmy</t>
  </si>
  <si>
    <t xml:space="preserve"> - příjmy z prodeje nemovitostí</t>
  </si>
  <si>
    <t>Přijaté transfery</t>
  </si>
  <si>
    <t>VÝDAJE v tis. Kč</t>
  </si>
  <si>
    <t xml:space="preserve"> - platby daní</t>
  </si>
  <si>
    <t xml:space="preserve"> - hrazené úroky z úvěrů</t>
  </si>
  <si>
    <t xml:space="preserve"> - pojištění majetku a odpovědnosti kraje</t>
  </si>
  <si>
    <t xml:space="preserve"> - rezerva na mimořádné akce a akce s nedořešeným financováním</t>
  </si>
  <si>
    <t xml:space="preserve"> - ostatní</t>
  </si>
  <si>
    <t xml:space="preserve"> - krizové řízení</t>
  </si>
  <si>
    <t xml:space="preserve"> - kultura</t>
  </si>
  <si>
    <t xml:space="preserve"> - prezentace kraje a ediční plán</t>
  </si>
  <si>
    <t xml:space="preserve"> - regionální rozvoj</t>
  </si>
  <si>
    <t xml:space="preserve"> - cestovní ruch</t>
  </si>
  <si>
    <t xml:space="preserve"> - sociální věci</t>
  </si>
  <si>
    <t xml:space="preserve"> - školství</t>
  </si>
  <si>
    <t xml:space="preserve"> - územní plánování a stavební řád</t>
  </si>
  <si>
    <t xml:space="preserve"> - zdravotnictví</t>
  </si>
  <si>
    <t xml:space="preserve"> - životní prostředí</t>
  </si>
  <si>
    <t xml:space="preserve">Reprodukce majetku kraje vyjma akcí spolufinancovaných z evr. fin. zdrojů </t>
  </si>
  <si>
    <t xml:space="preserve"> - finance a správa majetku</t>
  </si>
  <si>
    <t xml:space="preserve"> - dotace na akce spolufinancované z evropských fin. zdrojů</t>
  </si>
  <si>
    <t>PŘÍJMY CELKEM</t>
  </si>
  <si>
    <t>Výhled</t>
  </si>
  <si>
    <t>Čerpání úvěrů</t>
  </si>
  <si>
    <t>Splátky úvěrů</t>
  </si>
  <si>
    <t>Ostatní (zapojení zůstatku minulého roku, fondů)</t>
  </si>
  <si>
    <t>Tabulka č. 1</t>
  </si>
  <si>
    <t>Samosprávné a jiné činnosti zajišťované prostřednictvím KÚ</t>
  </si>
  <si>
    <t>Reprodukce majetku kraje vyjma akcí spolufinancovaných z evr.fin.zdrojů</t>
  </si>
  <si>
    <t>Výdaje na akce spolufinancované z evropských finančních zdrojů</t>
  </si>
  <si>
    <t>Návratné finanční výpomoci příspěvkovým organizacím</t>
  </si>
  <si>
    <t>Akce spolufinancované z evropských finančních zdrojů</t>
  </si>
  <si>
    <t xml:space="preserve"> - vrácené prostředky na základě operačních smluv s Fondy rozvoje měst</t>
  </si>
  <si>
    <t xml:space="preserve"> - krajský úřad a zastupitelstvo kraje</t>
  </si>
  <si>
    <t>Střednědobý výhled rozpočtu Moravskoslezského kraje</t>
  </si>
  <si>
    <t>Tabulka č. 2</t>
  </si>
  <si>
    <t>Tabulka č. 3</t>
  </si>
  <si>
    <t>Tabulka č. 4</t>
  </si>
  <si>
    <t>Tabulka č. 5</t>
  </si>
  <si>
    <t>Tabulka č. 6</t>
  </si>
  <si>
    <t>Tabulka č. 7</t>
  </si>
  <si>
    <t>Tabulka č. 8</t>
  </si>
  <si>
    <t>TABULKOVÁ ČÁST</t>
  </si>
  <si>
    <t>Přehled splácení jistiny a úroků z úvěrů čerpaných Moravskoslezským krajem</t>
  </si>
  <si>
    <t>Fiskální pravidlo dle zákona č. 23/2017 Sb., o pravidlech rozpočtové odpovědnosti</t>
  </si>
  <si>
    <t>Účel dotace</t>
  </si>
  <si>
    <t>ÚZ</t>
  </si>
  <si>
    <t>Dotace zahrnuté do schvalovaných rozpočtů MSK celkem</t>
  </si>
  <si>
    <t xml:space="preserve"> - z toho:</t>
  </si>
  <si>
    <t>Podpora koordinátorů romských poradců</t>
  </si>
  <si>
    <t>ÚŘAD VLÁDY</t>
  </si>
  <si>
    <t>Připravenost poskytovatele ZZS na řešení mimořádných událostí a krizových situací</t>
  </si>
  <si>
    <t>Specializační vzdělávání zdravotnických pracovníků - rezidenční místa - neinvestice a Specializační vzdělávání nelékařů</t>
  </si>
  <si>
    <t>35015, 35019</t>
  </si>
  <si>
    <t>MINISTERSTVO ZDRAVOTNICTVÍ</t>
  </si>
  <si>
    <t>Program sociální prevence a prevence kriminality</t>
  </si>
  <si>
    <t>Projekty romské komunity</t>
  </si>
  <si>
    <t>Přímé náklady na vzdělávání - sportovní gymnázia</t>
  </si>
  <si>
    <t>Soutěže</t>
  </si>
  <si>
    <t>Spolupráce s francouzskými, vlámskými a španělskými školami</t>
  </si>
  <si>
    <t>Kulturní aktivity</t>
  </si>
  <si>
    <t>Veřejné informační služby knihoven</t>
  </si>
  <si>
    <t>34053, 34544</t>
  </si>
  <si>
    <t>Program restaurování movitých kulturních památek</t>
  </si>
  <si>
    <t>Program státní podpory profesionálních divadel a stálých profesionálních symfonických orchestrů a pěveckých sborů</t>
  </si>
  <si>
    <t>MINISTERSTVO KULTURY</t>
  </si>
  <si>
    <t xml:space="preserve">CELKEM </t>
  </si>
  <si>
    <t>PŘEHLED VÝDAJŮ NA ZAJIŠTĚNÍ UDRŽITELNOSTI AKCÍ SPOLUFINANCOVANÝCH Z EVROPSKÝCH FINANČNÍCH ZDROJŮ</t>
  </si>
  <si>
    <t>v tis. Kč</t>
  </si>
  <si>
    <t>Celkové výdaje na akci (způsobilé a nezpůsobilé)</t>
  </si>
  <si>
    <t>Výdaje na udržitelnost</t>
  </si>
  <si>
    <t>ODVĚTVÍ FINANCÍ A SPRÁVY MAJETKU:</t>
  </si>
  <si>
    <t>ODVĚTVÍ FINANCÍ A SPRÁVY MAJETKU CELKEM</t>
  </si>
  <si>
    <t>ODVĚTVÍ KULTURY:</t>
  </si>
  <si>
    <t>ODVĚTVÍ KULTURY CELKEM</t>
  </si>
  <si>
    <t>ODVĚTVÍ CESTOVNÍHO RUCHU:</t>
  </si>
  <si>
    <t>ODVĚTVÍ CESTOVNÍHO RUCHU CELKEM</t>
  </si>
  <si>
    <t>ODVĚTVÍ REGIONÁLNÍHO ROZVOJE:</t>
  </si>
  <si>
    <t>ODVĚTVÍ REGIONÁLNÍHO ROZVOJE CELKEM</t>
  </si>
  <si>
    <t>ODVĚTVÍ SOCIÁLNÍCH VĚCÍ:</t>
  </si>
  <si>
    <t>ODVĚTVÍ SOCIÁLNÍCH VĚCÍ CELKEM</t>
  </si>
  <si>
    <t>ODVĚTVÍ ŠKOLSTVÍ:</t>
  </si>
  <si>
    <t>ODVĚTVÍ ŠKOLSTVÍ CELKEM</t>
  </si>
  <si>
    <t>ODVĚTVÍ ZDRAVOTNICTVÍ:</t>
  </si>
  <si>
    <t>ODVĚTVÍ ZDRAVOTNICTVÍ CELKEM</t>
  </si>
  <si>
    <t>ODVĚTVÍ ŽIVOTNÍHO PROSTŘEDÍ CELKEM</t>
  </si>
  <si>
    <t>CELKEM</t>
  </si>
  <si>
    <t>Instituce</t>
  </si>
  <si>
    <t>Celkem</t>
  </si>
  <si>
    <t>rok</t>
  </si>
  <si>
    <t>dlužná částka
na konci roku</t>
  </si>
  <si>
    <t>splátka jistiny</t>
  </si>
  <si>
    <t>úrok</t>
  </si>
  <si>
    <t>dlužná částka na konci roku</t>
  </si>
  <si>
    <t>Název akce</t>
  </si>
  <si>
    <t>Číslo akce</t>
  </si>
  <si>
    <t>Závazky celkem</t>
  </si>
  <si>
    <t>ODVĚTVÍ KRIZOVÉHO ŘÍZENÍ:</t>
  </si>
  <si>
    <t>ODVĚTVÍ KRIZOVÉHO ŘÍZENÍ CELKEM</t>
  </si>
  <si>
    <t>ODVĚTVÍ VLASTNÍ SPRÁVNÍ ČINNOST KRAJE A ČINNOST ZASTUPITELSTVA KRAJE:</t>
  </si>
  <si>
    <t>ODVĚTVÍ VLASTNÍ SPRÁVNÍ ČINNOST KRAJE A ČINNOST ZASTUPITELSTVA KRAJE CELKEM</t>
  </si>
  <si>
    <t>ODVĚTVÍ ŽIVOTNÍHO PROSTŘEDÍ:</t>
  </si>
  <si>
    <t>Zpracovaní ratingu Moravskoslezského kraje</t>
  </si>
  <si>
    <t>Zajištění centrálního pojištění nemovitého, movitého majetku, vozidel a odpovědnosti Moravskoslezského kraje a jeho organizací</t>
  </si>
  <si>
    <t>Smlouva o finanční spolupráci ve veřejné linkové dopravě mezi Moravskoslezským krajem a Olomouckým krajem</t>
  </si>
  <si>
    <t>Zajištění dopravní obslužnosti linkovou dopravou - oblast Karvinsko</t>
  </si>
  <si>
    <t>Zajištění dopravní obslužnosti linkovou dopravou - oblast Orlovsko</t>
  </si>
  <si>
    <t>Zajištění dopravní obslužnosti linkovou dopravou - oblast Frýdlantsko</t>
  </si>
  <si>
    <t>Zajištění dopravní obslužnosti linkovou dopravou - oblast Novojičínsko východ</t>
  </si>
  <si>
    <t>Zajištění dopravní obslužnosti linkovou dopravou - oblast Novojičínsko západ</t>
  </si>
  <si>
    <t>Zajištění dopravní obslužnosti linkovou dopravou - oblast Bílovecko</t>
  </si>
  <si>
    <t>Zajištění dopravní obslužnosti linkovou dopravou - oblast Hlučínsko</t>
  </si>
  <si>
    <t>Zajištění dopravní obslužnosti linkovou dopravou - oblast Krnovsko</t>
  </si>
  <si>
    <t>Zajištění dopravní obslužnosti linkovou dopravou - oblast Opavsko</t>
  </si>
  <si>
    <t>Zajištění dopravní obslužnosti linkovou dopravou - oblast Rýmařovsko</t>
  </si>
  <si>
    <t>Zajištění dopravní obslužnosti linkovou dopravou - oblast Vítkovsko</t>
  </si>
  <si>
    <t>Zajištění dopravní obslužnosti linkovou dopravou - oblast Bruntálsko</t>
  </si>
  <si>
    <t>Chráněné části přírody</t>
  </si>
  <si>
    <t>Požadavek na rozpočet kraje</t>
  </si>
  <si>
    <t>Zálohové platby u projektů spolufinancovaných zálohově
z evropských finančních zdrojů</t>
  </si>
  <si>
    <t>Členský příspěvek v zájmovém sdružení právnických osob Trojhalí Karolina</t>
  </si>
  <si>
    <t>Členský příspěvek v zájmovém sdružení právnických osob Evropská kulturní stezka sv. Cyrila a Metoděje</t>
  </si>
  <si>
    <t>PROVOZNÍ PŘÍJMY</t>
  </si>
  <si>
    <t>CELKOVÉ PŘÍJMY k 31.12.</t>
  </si>
  <si>
    <t>Průměr příjmů za poslední 4 roky</t>
  </si>
  <si>
    <t>Obsah:</t>
  </si>
  <si>
    <t>str.</t>
  </si>
  <si>
    <t>v mil. Kč</t>
  </si>
  <si>
    <t xml:space="preserve">Přehled závazků kraje u akcí reprodukce majetku kraje </t>
  </si>
  <si>
    <t>Přehled ostatních dlouhodobých závazků kraje</t>
  </si>
  <si>
    <t xml:space="preserve">PŘEHLED ZÁVAZKŮ KRAJE U AKCÍ SPOLUFINANCOVANÝCH Z EVROPSKÝCH FINANČNÍCH ZDROJŮ </t>
  </si>
  <si>
    <t>Přehled výdajů na zajištění udržitelnosti akcí spolufinancovaných z evropských finančních zdrojů</t>
  </si>
  <si>
    <t xml:space="preserve">Ukazatele zadluženosti </t>
  </si>
  <si>
    <t xml:space="preserve">PŘEHLED ZÁVAZKŮ KRAJE U AKCÍ REPRODUKCE MAJETKU KRAJE </t>
  </si>
  <si>
    <t xml:space="preserve">Přehled závazků kraje u akcí spolufinancovaných z evropských finančních zdrojů </t>
  </si>
  <si>
    <t xml:space="preserve"> - dotace ze státního rozpočtu</t>
  </si>
  <si>
    <t xml:space="preserve"> - dotace od obcí a krajů</t>
  </si>
  <si>
    <t>STÁTNÍ ROZPOČET</t>
  </si>
  <si>
    <t xml:space="preserve">Ministerstvo financí - příspěvek na výkon státní správy </t>
  </si>
  <si>
    <t>Ministerstvo dopravy - příspěvek na ztrátu dopravce z provozu veřejné osobní drážní dopravy</t>
  </si>
  <si>
    <t>Olomoucký a Zlínský kraj - příspěvek na dopravní obslužnost linkovou</t>
  </si>
  <si>
    <t xml:space="preserve">DOTACE NA AKCE SPOLUFINANCOVANÉ Z EVROPSKÝCH FINANČNÍCH ZDROJŮ  </t>
  </si>
  <si>
    <t xml:space="preserve">Záchrana architektonického dědictví - neinvestice </t>
  </si>
  <si>
    <t>Zálohové platby u projektů spolufinancovaných zálohově
z evropských finančních zdrojů celkem</t>
  </si>
  <si>
    <t>Členský příspěvek Asociaci krajů České republiky</t>
  </si>
  <si>
    <t xml:space="preserve">Vypořádání zůstatkové hodnoty technického zhodnocení majetku provedené na vlastní náklady Letiště Ostrava, a. s. </t>
  </si>
  <si>
    <t>Smlouva o poskytnutí finančního příspěvku na zajištění dopravní obslužnosti území Moravskoslezského kraje městskou hromadnou dopravou - Statutární město Frýdek-Místek</t>
  </si>
  <si>
    <t>Smlouva o poskytnutí finančního příspěvku na zajištění dopravní obslužnosti území Moravskoslezského kraje městskou hromadnou dopravou - Statutární město Opava</t>
  </si>
  <si>
    <t>Smlouva o finanční spolupráci ve veřejné linkové dopravě mezi Moravskoslezským krajem a Zlínským krajem</t>
  </si>
  <si>
    <t>Zajištění dopravní obslužnosti linkovou dopravou - oblast Frýdecko-Místecko</t>
  </si>
  <si>
    <t>Technická údržba, podpora a služby k software v odvětví zdravotnictví</t>
  </si>
  <si>
    <t>Obce MSK - příspěvek na dopravní obslužnost linkovou</t>
  </si>
  <si>
    <t>MINISTERSTVO PRO MÍSTNÍ ROZVOJ</t>
  </si>
  <si>
    <t>Subjekt (IČO)</t>
  </si>
  <si>
    <t>0005</t>
  </si>
  <si>
    <t>01547/2006/KŘ</t>
  </si>
  <si>
    <t xml:space="preserve">Provozování železniční dráhy </t>
  </si>
  <si>
    <t>00530/2014/KŘ</t>
  </si>
  <si>
    <t>0671/2004/POR</t>
  </si>
  <si>
    <t xml:space="preserve">Vypořádání zůstatkové hodnoty technického zhodnocení majetku realizovaného Letištěm Ostrava, a.s.,  z vlastních zdrojů se souhlasem Moravskoslezského kraje v případě realizace majetku. Vyčíslený závazek bude každoročně ponížen o hodnotu odpisů. </t>
  </si>
  <si>
    <t>03415/2017/DSH</t>
  </si>
  <si>
    <t>03411/2017/DSH</t>
  </si>
  <si>
    <t>06336/2018/DSH</t>
  </si>
  <si>
    <t>06337/2018/DSH</t>
  </si>
  <si>
    <t>06335/2018/DSH</t>
  </si>
  <si>
    <t>Transdev Morava s.r.o. (06738346)</t>
  </si>
  <si>
    <t>07928/2018/DSH</t>
  </si>
  <si>
    <t>07173/2018/DSH</t>
  </si>
  <si>
    <t>07174/2018/DSH</t>
  </si>
  <si>
    <t>06626/2018/DSH</t>
  </si>
  <si>
    <t>06334/2018/DSH</t>
  </si>
  <si>
    <t>06279/2018/DSH</t>
  </si>
  <si>
    <t>07172/2018/DSH</t>
  </si>
  <si>
    <t>06227/2019/DSH</t>
  </si>
  <si>
    <t>Statutární město Frýdek-Místek (00296643)</t>
  </si>
  <si>
    <t>08209/2018/DSH</t>
  </si>
  <si>
    <t>07602/2018/DSH</t>
  </si>
  <si>
    <t>0122</t>
  </si>
  <si>
    <t>Služby Moravskoslezského paktu zaměstnanosti, z.s.</t>
  </si>
  <si>
    <t xml:space="preserve">obce  </t>
  </si>
  <si>
    <t>více smluv</t>
  </si>
  <si>
    <t>upravovatelé LBT</t>
  </si>
  <si>
    <t>02262/2011/ZDR</t>
  </si>
  <si>
    <t>Smlouva o zajištění činnosti nezávislých odborných komisí a o úhradě nákladů spojených s jejich činností</t>
  </si>
  <si>
    <t>02135/2013/ZDR</t>
  </si>
  <si>
    <t>ODVĚTVÍ ÚZEMNÍHO PLÁNOVÁNÍ A STAVEBNÍHO ŘÁDU:</t>
  </si>
  <si>
    <t>Podíl MSK  (pouze způsobilé výdaje)</t>
  </si>
  <si>
    <t>-</t>
  </si>
  <si>
    <t>Asociace krajů ČR
(70933146)</t>
  </si>
  <si>
    <t>Ostatní výdaje související s nakládáním s majetkem</t>
  </si>
  <si>
    <t>Slezská univerzita v Opavě
(47813059)</t>
  </si>
  <si>
    <t>UniCredit Bank Czech Republic and Slovakia, a.s.
(64948242)</t>
  </si>
  <si>
    <t>08357/2020/FIN</t>
  </si>
  <si>
    <t>Zastupitelstvo kraje usnesením č. 2/20 ze dne 17. 12. 2020 rozhodlo o uzavření smlouvy o úvěru s Českou spořitelnou, a.s. ve výši 3 mld. Kč s úrokovou sazbou 6měsíční PRIBOR se zápornou odchylkou. Předmětem úvěrové smlouvy je financování investičních akcí realizovaných krajem a jeho příspěvkovými organizacemi v letech 2021 – 2024. Úvěr bude splácen v letech 2026 - 2035.</t>
  </si>
  <si>
    <t>ODVĚTVÍ DOPRAVY:</t>
  </si>
  <si>
    <t>České dráhy, a.s.
(70994226)</t>
  </si>
  <si>
    <t>České dráhy, a.s.
(70994226),
Koordinátor ODIS, s.r.o. 
(64613895)</t>
  </si>
  <si>
    <t>Dopravní obslužnost - drážní doprava</t>
  </si>
  <si>
    <t>Olomoucký kraj
(60609460)</t>
  </si>
  <si>
    <t>01347/2020/DSH</t>
  </si>
  <si>
    <t>Dopravní obslužnost - linková doprava</t>
  </si>
  <si>
    <t>Doprava - ostatní</t>
  </si>
  <si>
    <t>Moravskoslezský pakt zaměstnanosti, z.s.
(07864507)</t>
  </si>
  <si>
    <t>více subjektů</t>
  </si>
  <si>
    <t>Evropská kulturní stezka sv. Cyrila a Metoděje
(02057531)</t>
  </si>
  <si>
    <t>Zajištění ohledání těl zemřelých</t>
  </si>
  <si>
    <t>ODVĚTVÍ ÚZEMNÍHO PLÁNOVÁNÍ A STAVEBNÍHO ŘÁDU CELKEM</t>
  </si>
  <si>
    <t xml:space="preserve"> - </t>
  </si>
  <si>
    <t xml:space="preserve">Poznámka              </t>
  </si>
  <si>
    <t>ODVĚTVÍ DOPRAVY CELKEM</t>
  </si>
  <si>
    <t>Nespecifikované výdaje</t>
  </si>
  <si>
    <t xml:space="preserve"> - vrácené návratné finanční výpomoci od příspěvkových organizací</t>
  </si>
  <si>
    <t xml:space="preserve"> - vrácené návratné finanční výpomoci od jiných subjektů</t>
  </si>
  <si>
    <t xml:space="preserve"> - příjmy z pronájmu</t>
  </si>
  <si>
    <t xml:space="preserve"> - doprava - dopravní obslužnost drážní</t>
  </si>
  <si>
    <t xml:space="preserve"> - doprava - dopravní obslužnost linková</t>
  </si>
  <si>
    <t xml:space="preserve"> - doprava - ostatní</t>
  </si>
  <si>
    <t xml:space="preserve"> - doprava</t>
  </si>
  <si>
    <t>Výdaje financované ze zálohových plateb u projektů spolufinancovaných zálohově z evr. fin. zdrojů</t>
  </si>
  <si>
    <t>OBCE A KRAJE</t>
  </si>
  <si>
    <t>Podpora expozičních a výstavních projektů</t>
  </si>
  <si>
    <t>ISO II/D preventivní ochrana před nepříznivými vlivy prostředí - neinvestiční</t>
  </si>
  <si>
    <t>ISO II/A zabezpečení objektů - investiční</t>
  </si>
  <si>
    <t>Podpora standardizovaných veřejných služeb muzeí a galerií</t>
  </si>
  <si>
    <r>
      <t>2025</t>
    </r>
    <r>
      <rPr>
        <b/>
        <vertAlign val="superscript"/>
        <sz val="10"/>
        <rFont val="Tahoma"/>
        <family val="2"/>
        <charset val="238"/>
      </rPr>
      <t xml:space="preserve"> 1)</t>
    </r>
  </si>
  <si>
    <t>PŘEHLED SPLÁCENÍ JISTINY A ÚROKŮ Z ÚVĚRŮ ČERPANÝCH MORAVSKOSLEZSKÝM KRAJEM</t>
  </si>
  <si>
    <t>MINISTERSTVO ŠKOLSTVÍ, MLÁDEŽE A TĚLOVÝCHOVY</t>
  </si>
  <si>
    <t>IROP 2021 - 2027 - individuální projekty škol</t>
  </si>
  <si>
    <t>34070 + ORJ 13</t>
  </si>
  <si>
    <t>Město Frenštát pod Radhoštěm - Novostavba sportovní haly a multifunkčního sportoviště (Gymnázium a Střední průmyslová škola elektrotechniky a informatiky, Frenštát pod Radhoštěm, příspěvková organizace)</t>
  </si>
  <si>
    <t>Očekávaná skutečnost</t>
  </si>
  <si>
    <t>ORJ</t>
  </si>
  <si>
    <t>Zpracování dat a zajištění služeb souvisejících s informačními a komunikačními technologiemi</t>
  </si>
  <si>
    <t>7</t>
  </si>
  <si>
    <t>Moody's Investors Service EMEA Limited
(03093859)</t>
  </si>
  <si>
    <t>Dohoda o zapojení a podmínkách integrace vlaků dopravce do Integrovaného dopravního systému ODIS</t>
  </si>
  <si>
    <t>RegioJet a.s.,
(28333187)</t>
  </si>
  <si>
    <t>01059/2021/DSH</t>
  </si>
  <si>
    <t>Transdev Morava s.r.o.
(06738346)</t>
  </si>
  <si>
    <t>Zajištění dopravní obslužnosti linkovou dopravou - oblast Opavsko (Ostrava - Šumperk)</t>
  </si>
  <si>
    <t>Statutární město Opava
(00300535)</t>
  </si>
  <si>
    <t>Statutární město Ostrava
(00845451)</t>
  </si>
  <si>
    <t>Zlínský kraj
(70891320)</t>
  </si>
  <si>
    <t>Letiště Ostrava, a.s.
(26827719)</t>
  </si>
  <si>
    <t>Ostrava !!! EFEKT (architektonicky významné stavby města Ostravy ve sběrném dokumentu České televize)</t>
  </si>
  <si>
    <t>0104</t>
  </si>
  <si>
    <t>ČESKÁ TELEVIZE
(00027383)</t>
  </si>
  <si>
    <t>ODVĚTVÍ PREZENTACE KRAJE A EDIČNÍ PLÁN CELKEM</t>
  </si>
  <si>
    <t>Trojhalí Karolina
(72089237)</t>
  </si>
  <si>
    <t>VŠB-TUO
(61989100),
Slezská univerzita v Opavě
(47813059),
Ostravská univerzita
(61988987)</t>
  </si>
  <si>
    <t>Fakultní nemocnice Ostrava
(00843989)</t>
  </si>
  <si>
    <t>Rekonstrukce sportovní haly včetně zázemí (Střední průmyslová škola, Obchodní akademie a Jazyková škola s právem státní jazykové zkoušky, Frýdek-Místek, příspěvková organizace)</t>
  </si>
  <si>
    <t>Česká spořitelna, a.s.
(45244782)</t>
  </si>
  <si>
    <t>Olomoucký a Zlínský kraj - příspěvek na dopravní obslužnost drážní</t>
  </si>
  <si>
    <t>Programy přeshraniční spolupráce - individuální projekty škol</t>
  </si>
  <si>
    <t>POHO Park Gabriela</t>
  </si>
  <si>
    <t>Černá kostka – Centrum digitalizace, vědy a inovací</t>
  </si>
  <si>
    <t>Nová Horka - centrum tradic a zážitků</t>
  </si>
  <si>
    <t>Novostavba depozitáře Muzeum v Bruntále</t>
  </si>
  <si>
    <t>Žerotínský zámek – centrum relaxace a poznání</t>
  </si>
  <si>
    <t>Smart akcelerátor MSK</t>
  </si>
  <si>
    <t>TPA – Inovační centrum pro transformaci vzdělávání</t>
  </si>
  <si>
    <t>Výstavba výjezdového stanoviště Nový Jičín</t>
  </si>
  <si>
    <t>IP LIFE for Coal Mining Landscape Adaptation (IP LIFE pro adaptaci pohornické krajiny)</t>
  </si>
  <si>
    <t>PŘEHLED OSTATNÍCH DLOUHODOBÝCH ZÁVAZKŮ KRAJE</t>
  </si>
  <si>
    <t>Operace spojené s bankovními produkty (pouze část akce týkající se poplatků z bankovních účtů)</t>
  </si>
  <si>
    <t>04650/2021/DSH</t>
  </si>
  <si>
    <t>Správa železniční dopravní cesty, státní organizace 
(70994234)</t>
  </si>
  <si>
    <t>Technická údržba, podpora a služby k software v odvětví územního plánování a stavebního řádu</t>
  </si>
  <si>
    <t>0513</t>
  </si>
  <si>
    <t>Moravskoslezský Vodíkový Klastr
(17464781)</t>
  </si>
  <si>
    <t xml:space="preserve">Výstavba nového koncertního sálu jako přístavba Domu kultury města Ostravy </t>
  </si>
  <si>
    <t>Členský příspěvek Asociaci poskytovatelů sociálních služeb České republiky</t>
  </si>
  <si>
    <t>0520</t>
  </si>
  <si>
    <t>ICZ a.s.
(25145444)</t>
  </si>
  <si>
    <t>00736/2022/INF</t>
  </si>
  <si>
    <t>Nemocnice Nový Jičín a.s.
(25886207)</t>
  </si>
  <si>
    <t>Smlouva na  zajištění činnosti nezávislých odborných komisí a o úhradě nákladů spojených s jejich činností je uzavřena na dobu neurčitou.</t>
  </si>
  <si>
    <t>Zajištění lékařské pohotovostní služby</t>
  </si>
  <si>
    <t>919</t>
  </si>
  <si>
    <t>Městská nemocnice Ostrava, příspěvková organizace
(00635162)
AJNA dental clinic s.r.o. 
(0671493)</t>
  </si>
  <si>
    <t>02023/2020/ZDR, 00542/2020/ZDR, 00543/2020/ZDR</t>
  </si>
  <si>
    <t>Memorandum o spolupráci se Slezskou univerzitou v Opavě, Fakultou veřejných politik</t>
  </si>
  <si>
    <t>8103</t>
  </si>
  <si>
    <t>02041/2022/ZDR</t>
  </si>
  <si>
    <t xml:space="preserve">Moravskoslezský kraj zajišťuje údržbu chráněných části přírody na území kraje vyplývající z obecně právních předpisů. V návaznosti na to jsou uzavřené dlouhodobé smlouvy nebo smlouvy na dobu neurčitou s jednotlivými subjekty na tyto činnosti. Závazek Moravskoslezského kraje byl schválen usnesením zasedání zastupitelstva kraje č. 6/520 dne 14.12.2017 a byl upraven na jednání zastupitelstva kraje č. 6/475 dne 16.12.2021.                                                                   </t>
  </si>
  <si>
    <t>Pronájem pozemků a staveb</t>
  </si>
  <si>
    <t>Statutární město Ostrava - dotace na spolufinancování projektu Černá kostka - centrum digitalizace, vědy a inovací</t>
  </si>
  <si>
    <t>Vysokorychlostní datová síť (Moravskoslezské datové centrum, příspěvková organizace, Ostrava)</t>
  </si>
  <si>
    <t>Revitalizace Slezského gymnázia (Slezské gymnázium, Opava, příspěvková organizace)</t>
  </si>
  <si>
    <t>Optimalizace využívaných prostor SŠP Krnov (Střední škola průmyslová, Krnov, příspěvková organizace)</t>
  </si>
  <si>
    <t>Závazek vznikl uzavřením Smlouvy o dílo a servisní smlouvy č. 03749/2020/ŽPZ na zhotovení aplikace pro webovou prezentaci a správu Plánu rozvoje vodovodů a kanalizací Moravskoslezského kraje.</t>
  </si>
  <si>
    <t xml:space="preserve"> - operace spojené s bankovními produkty</t>
  </si>
  <si>
    <t>×</t>
  </si>
  <si>
    <t xml:space="preserve"> - poplatky za znečišťování ovzduší</t>
  </si>
  <si>
    <r>
      <t>2026</t>
    </r>
    <r>
      <rPr>
        <b/>
        <vertAlign val="superscript"/>
        <sz val="10"/>
        <rFont val="Tahoma"/>
        <family val="2"/>
        <charset val="238"/>
      </rPr>
      <t xml:space="preserve"> 1)</t>
    </r>
  </si>
  <si>
    <t>Název akce - projekt</t>
  </si>
  <si>
    <t>od</t>
  </si>
  <si>
    <t>do</t>
  </si>
  <si>
    <t>Období realizace
akce v letech</t>
  </si>
  <si>
    <t>Ministerstvo práce a sociálních věcí - Rekonstrukce budovy a spojovací chodby Máchova (Domov Duha, příspěvková organizace, Nový Jičín)</t>
  </si>
  <si>
    <t>Obce MSK - Kotlíkové dotace v Moravskoslezském kraji - 4. grantové schéma</t>
  </si>
  <si>
    <t>Obce MSK - Kotlíkové dotace v Moravskoslezském kraji - 5. grantové schéma</t>
  </si>
  <si>
    <t>NPO - neinvestice</t>
  </si>
  <si>
    <t>OP Spravedlivá transformace - individuální projekty škol</t>
  </si>
  <si>
    <t>34033 + ORJ 13</t>
  </si>
  <si>
    <t>Výhled 2027</t>
  </si>
  <si>
    <t xml:space="preserve"> - splátky jistin půjčených prostředků od obcí v rámci programu Jessica</t>
  </si>
  <si>
    <t xml:space="preserve"> - příspěvek od společnosti Industrial Center CR 10 s.r.o. - spolufinancování silničního připojení areálu Panattoni Park Ostrava Airport</t>
  </si>
  <si>
    <r>
      <t xml:space="preserve">ČS
</t>
    </r>
    <r>
      <rPr>
        <sz val="10"/>
        <rFont val="Tahoma"/>
        <family val="2"/>
        <charset val="238"/>
      </rPr>
      <t xml:space="preserve">smlouva o úvěru 
</t>
    </r>
    <r>
      <rPr>
        <b/>
        <sz val="10"/>
        <rFont val="Tahoma"/>
        <family val="2"/>
        <charset val="238"/>
      </rPr>
      <t>ve výši 3 mld. Kč</t>
    </r>
  </si>
  <si>
    <t>rok 2027</t>
  </si>
  <si>
    <t>Městečko bezpečí</t>
  </si>
  <si>
    <t>Novostavba a přístavba objektu dílen a učeben praktického vyučování ve Středním odborném učilišti stavebním Opava</t>
  </si>
  <si>
    <t>Modelová péče o lesní stanoviště a druhy vázané na lesní stanoviště a stromy</t>
  </si>
  <si>
    <t>Název akce/projektu</t>
  </si>
  <si>
    <t>Zajištění služeb souvisejících s provozem a činností krajského úřadu a zastupitelstva kraje</t>
  </si>
  <si>
    <t>01310/2023/DSH
 02197/2023/DSH</t>
  </si>
  <si>
    <t>Zajištění dopravní obslužnosti v Moravskoslezském kraji veřejnou drážní osobní dopravou na úseku linky S1, tratě 321.</t>
  </si>
  <si>
    <t>dosud neuzavřeno</t>
  </si>
  <si>
    <t>České dráhy, a.s.
(70994226)
ČR-Ministerstvo dopravy
(66003008)</t>
  </si>
  <si>
    <t>Zajištění dopravní obslužnosti linkovou dopravou - oblast Jablunkovsko - Třinecko II.</t>
  </si>
  <si>
    <t>Smlouva o poskytnutí finančního příspěvku na zajištění dopravní obslužnosti území Moravskoslezského kraje městskou hromadnou dopravou - Obec Horní Bludovice</t>
  </si>
  <si>
    <t>Obec Horní Bludovice (00296686)</t>
  </si>
  <si>
    <t>Smlouva o poskytnutí finančního příspěvku na zajištění dopravní obslužnosti území Moravskoslezského kraje městskou hromadnou dopravou - Město Šenov</t>
  </si>
  <si>
    <t>Město Šenov
(00297291)</t>
  </si>
  <si>
    <t>Členský příspěvek v zapsaném spolu POHOPARK</t>
  </si>
  <si>
    <t>Členský příspěvek v zapsaném spolku Moravskoslezský Vodíkový Klastr</t>
  </si>
  <si>
    <t>Technická údržba, podpora a služby k software v odvětví krizového řízení</t>
  </si>
  <si>
    <t>Technická údržba, podpora a služby k software v odvětví kultury</t>
  </si>
  <si>
    <t>00247/2020/RRC</t>
  </si>
  <si>
    <t>Technická údržba, podpora a služby k software v odvětví sociálních věcí</t>
  </si>
  <si>
    <t>Prevence rizikového chování</t>
  </si>
  <si>
    <t xml:space="preserve">Moravskoslezská Technologická Akademie, z.s. (MTA) </t>
  </si>
  <si>
    <t xml:space="preserve">Technická údržba, podpora a služby k software v odvětví školství  </t>
  </si>
  <si>
    <t>Smlouva o nájmu podniku Nemocnice Nový Jičín</t>
  </si>
  <si>
    <t>Protialkoholní záchytná stanice</t>
  </si>
  <si>
    <t>Stabilizace zdravotnického personálu a vzdělávání</t>
  </si>
  <si>
    <t>Ostravská univerzita (61988987)</t>
  </si>
  <si>
    <t>Povodňový plán Moravskoslezského kraje</t>
  </si>
  <si>
    <t>03967/2023/ŽPZ</t>
  </si>
  <si>
    <t>Technická údržba, podpora a služby k software v odvětví životního prostředí</t>
  </si>
  <si>
    <t>HYDROSOFT Veleslavín s.r.o.
(61061557)</t>
  </si>
  <si>
    <t>03749/2020/ŽPZ</t>
  </si>
  <si>
    <t>VÍTKOVICE IT SOLUTIONS a.s.
(28606582)</t>
  </si>
  <si>
    <t>Individuální dotace - Příspěvek na zabezpečení úkolů jednotek požární ochrany v rámci veřejné služby</t>
  </si>
  <si>
    <t>Individuální dotace - Podpora odborného vzdělávání na vysokých školách v Moravskoslezském kraji</t>
  </si>
  <si>
    <t>Individuální dotace - Podpora sportu a pohybových aktivit občanů Moravskoslezského kraje</t>
  </si>
  <si>
    <r>
      <t>2027</t>
    </r>
    <r>
      <rPr>
        <b/>
        <vertAlign val="superscript"/>
        <sz val="10"/>
        <rFont val="Tahoma"/>
        <family val="2"/>
        <charset val="238"/>
      </rPr>
      <t xml:space="preserve"> 1)</t>
    </r>
  </si>
  <si>
    <t>UKAZATELE ZADLUŽENOSTI</t>
  </si>
  <si>
    <t xml:space="preserve">Financování akce bylo schváleno usnesením zastupitelstva kraje č. 13/1409 ze dne 7. 9. 2023. </t>
  </si>
  <si>
    <t>Revitalizace frýdeckého zámku (Muzeum Beskyd Frýdek-Místek, příspěvková organizace)</t>
  </si>
  <si>
    <t>Zámek Bruntál - revitalizace objektu II (Muzeum v Bruntále, příspěvková organizace)</t>
  </si>
  <si>
    <t>Oprava střechy Žerotínského zámku (Muzeum Novojičínska, příspěvková organizace)</t>
  </si>
  <si>
    <t>Výstavba nového objektu v Bruntále (Centrum psychologické pomoci, příspěvková organizace, Karviná)</t>
  </si>
  <si>
    <t>Výstavba ředitelství včetně spojovacích chodeb (Střední škola technická a dopravní, Ostrava-Vítkovice, příspěvková organizace)</t>
  </si>
  <si>
    <t>Rekonstrukce elektroinstalace (Matiční gymnázium, Ostrava, příspěvková organizace)</t>
  </si>
  <si>
    <t>Rekonstrukce elektroinstalace (Gymnázium Hladnov a Jazyková škola s právem státní jazykové zkoušky, Ostrava, příspěvková organizace)</t>
  </si>
  <si>
    <t>Rekonstrukce kuchyně a jídelny (Střední škola a Vyšší odborná škola, Kopřivnice, příspěvková organizace)</t>
  </si>
  <si>
    <t>Provozní dotace</t>
  </si>
  <si>
    <t>Silnice II/442 Kerhartice - VD Kružberk</t>
  </si>
  <si>
    <t>Implementace Dlouhodobého záměru Moravskoslezského kraje</t>
  </si>
  <si>
    <t>Název</t>
  </si>
  <si>
    <t>Ostatní očekávané účelové dotace ze státního rozpočtu celkem</t>
  </si>
  <si>
    <t>Ministerstvo práce a sociálních věcí - Příspěvek na výkon sociální práce (s výjimkou sociálně-právní ochrany dětí)</t>
  </si>
  <si>
    <t>Ministerstvo práce a sociálních věcí - Neinvestiční nedávkové transfery podle zákona č. 108/2006 Sb., o sociálních službách (§ 101, § 102 a § 103)</t>
  </si>
  <si>
    <t>Ministerstvo práce a sociálních věcí - Transfery na státní příspěvek zřizovatelům zařízení pro děti vyžadující okamžitou pomoc</t>
  </si>
  <si>
    <t>Ministerstvo školství, mládeže a tělovýchovy - Dotace pro soukromé školy</t>
  </si>
  <si>
    <t>Ministerstvo školství, mládeže a tělovýchovy - Přímé náklady na vzdělávání</t>
  </si>
  <si>
    <t>Všeobecná pokladní správa - Účelové dotace na výdaje spojené s volbami do Parlamentu České republiky</t>
  </si>
  <si>
    <t>Všeobecná pokladní správa - Účelové dotace na výdaje spojené se společnými volbami do Parlamentu ČR a zastupitelstev v obcích</t>
  </si>
  <si>
    <t>Všeobecná pokladní správa - Účelové dotace na výdaje spojené s volbou prezidenta ČR</t>
  </si>
  <si>
    <t>Očekávaná výše dotace (v tis. Kč)</t>
  </si>
  <si>
    <t>Výhled 2028</t>
  </si>
  <si>
    <t>%
Výhled 28 / Výhled 27</t>
  </si>
  <si>
    <t>Ostatní očekávané účelové dotace ze státního rozpočtu</t>
  </si>
  <si>
    <t>Výdaje financované z ostatních očekávaných účelových dotací ze státního rozpočtu</t>
  </si>
  <si>
    <t xml:space="preserve"> - informatika a kybernetická bezpečnost</t>
  </si>
  <si>
    <t xml:space="preserve"> - úhrady z vydobytých nerostů</t>
  </si>
  <si>
    <t xml:space="preserve"> - příspěvek od statutárního města Ostravy - spolupráce při propagaci prostřednictvím letecké reklamy</t>
  </si>
  <si>
    <t>Ukazatel zadluženosti dle agentury Moody´s Deutschland GmbH</t>
  </si>
  <si>
    <r>
      <t>2028</t>
    </r>
    <r>
      <rPr>
        <b/>
        <vertAlign val="superscript"/>
        <sz val="10"/>
        <rFont val="Tahoma"/>
        <family val="2"/>
        <charset val="238"/>
      </rPr>
      <t xml:space="preserve"> 1)</t>
    </r>
  </si>
  <si>
    <r>
      <t>Nedaňové příjmy</t>
    </r>
    <r>
      <rPr>
        <b/>
        <vertAlign val="superscript"/>
        <sz val="10"/>
        <rFont val="Tahoma"/>
        <family val="2"/>
        <charset val="238"/>
      </rPr>
      <t xml:space="preserve"> 2)</t>
    </r>
  </si>
  <si>
    <r>
      <t xml:space="preserve">DLUH k 31.12. </t>
    </r>
    <r>
      <rPr>
        <b/>
        <vertAlign val="superscript"/>
        <sz val="10"/>
        <rFont val="Tahoma"/>
        <family val="2"/>
        <charset val="238"/>
      </rPr>
      <t>3)</t>
    </r>
  </si>
  <si>
    <r>
      <t>DLUH K PROVOZNÍM PŘÍJMŮM</t>
    </r>
    <r>
      <rPr>
        <b/>
        <vertAlign val="superscript"/>
        <sz val="10"/>
        <rFont val="Tahoma"/>
        <family val="2"/>
        <charset val="238"/>
      </rPr>
      <t xml:space="preserve"> 4)</t>
    </r>
  </si>
  <si>
    <r>
      <t xml:space="preserve">DLUH k 31.12. </t>
    </r>
    <r>
      <rPr>
        <b/>
        <vertAlign val="superscript"/>
        <sz val="10"/>
        <rFont val="Tahoma"/>
        <family val="2"/>
        <charset val="238"/>
      </rPr>
      <t>2)</t>
    </r>
  </si>
  <si>
    <r>
      <t xml:space="preserve">PODÍL DLUHU K PRŮMĚRU PŘÍJMŮ </t>
    </r>
    <r>
      <rPr>
        <b/>
        <vertAlign val="superscript"/>
        <sz val="10"/>
        <rFont val="Tahoma"/>
        <family val="2"/>
        <charset val="238"/>
      </rPr>
      <t>3)</t>
    </r>
  </si>
  <si>
    <t>Závazek kraje vyplývající z členství Moravskoslezského kraje v Asociaci krajů České republiky (AKČR). Členství bylo schváleno usnesením zastupitelstva kraje č. 47/M1 ze dne 12.2.2001 a to na dobu neurčitou. Rada AKČR usnesením č. 164 ze dne 8.3.2023 schválila navýšení příspěvku člena AKČR pro rok 2023 a roky následující na 1.000 tis. Kč /rok. Zastupitelstvo kraje usnesením č. 12/1197 ze dne 8.6.2023 rozhodlo poskytnout AKČR členský příspěvek ve výši 1.000 tis. Kč pro rok 2023 a roky následující. Od roku 2024 činí členský příspěvek 1.200 tis. Kč. Upravený závazek byl schválen usnesením zastupitelstva kraje č. 14/1454 ze dne 7.12.2023.</t>
  </si>
  <si>
    <t>Smlouva o partnerství a vzájemné spolupráci</t>
  </si>
  <si>
    <t>0004</t>
  </si>
  <si>
    <t>Leaders club, z. s. 
(19992971)</t>
  </si>
  <si>
    <t>01577/2024/KŘ</t>
  </si>
  <si>
    <t>703/157</t>
  </si>
  <si>
    <t>04976/2023/FIN</t>
  </si>
  <si>
    <t>Zastupitelstvo kraje usnesením č. 14/1524 ze dne 7. 12. 2023 rozhodlo o uzavření smlouvy o úvěru s UniCredit Bank Czech Republic and Slovakia, a.s. ve výši 1,5 mld. Kč s úrokovou sazbou 1měsíční PRIBOR se zápornou odchylkou. Předmětem úvěrové smlouvy je předfinancování a spolufinancování evropských projektů kraje a jeho příspěvkových organizací v letech 2024 – 2029. Úvěr bude splácen průběžně, nejpozději do 31.12.2030.</t>
  </si>
  <si>
    <t>Poskytování servisní činnosti pro řádnou funkci webové aplikace Finanční stabilita municipalit Moravskoslezského kraje</t>
  </si>
  <si>
    <t>01890/2024/FIN</t>
  </si>
  <si>
    <t>Zajištění dopravní obslužnosti linkovou dopravou - oblast Českotěšínsko II</t>
  </si>
  <si>
    <t>00512/2024/DSH</t>
  </si>
  <si>
    <t xml:space="preserve"> 00372/2024/DSH</t>
  </si>
  <si>
    <t>Smlouva o poskytnutí finančního příspěvku na zajištění dopravní obslužnosti území Moravskoslezského kraje městskou hromadnou dopravou - Statutární město Ostrava</t>
  </si>
  <si>
    <t xml:space="preserve">Zajištění dopravní obslužnosti linkovou dopravou - oblast Havířovsko 3
</t>
  </si>
  <si>
    <t xml:space="preserve">Technická údržba, podpora a služby k software v odvětví dopravy </t>
  </si>
  <si>
    <t>VARS BRNO a.s.
(63481901)
VÍTKOVICE IT SOLUTIONS a.s.
(28606582)
Proact Czech Republic, s.r.o.
(24799629)</t>
  </si>
  <si>
    <t>08344/2020/DSH
00017/2022/INF
00019/2022/INF</t>
  </si>
  <si>
    <t>ODVĚTVÍ INFORMATIKY A KYBERNETICKÉ BEZPEČNOSTI:</t>
  </si>
  <si>
    <t>Informační a komunikační technologie KÚ - běžné výdaje</t>
  </si>
  <si>
    <t>Informační a komunikační technologie ZK -  běžné výdaje</t>
  </si>
  <si>
    <t>5</t>
  </si>
  <si>
    <t>504</t>
  </si>
  <si>
    <t>ODVĚTVÍ  INFORMATIKY A KYBERNETICKÉ BEZPEČNOSTI CELKEM</t>
  </si>
  <si>
    <t>1877</t>
  </si>
  <si>
    <t xml:space="preserve">04884/2023/KH </t>
  </si>
  <si>
    <t xml:space="preserve">04849/2018/KPP
02452/2022/KPP 02452/2022/KPP/1 </t>
  </si>
  <si>
    <t>04813/2021/KH/1</t>
  </si>
  <si>
    <t xml:space="preserve">Na základě uzavřeného dodatku č. 1 ke smlouvě č. 04813/2021/KH o spolupráci při výrobě televizního pořadu uzavřeného mezi Moravskoslezským krajem, statutárním městem Ostrava a Českou televizí Ostrava, došlo k posunutí poslední splátky do r. 2027. </t>
  </si>
  <si>
    <t>Individuální dotace - Podpora rozvojových projektů - Projektová příprava CÉRKA - Revitalizace brownfieldu Dolu Frenštát</t>
  </si>
  <si>
    <t>obec Trojanovice
(298514)</t>
  </si>
  <si>
    <t>04678/2024/RRC</t>
  </si>
  <si>
    <t>Usnesením zastupitelstva kraje č. 18/1836 ze dne 05.09.2024 bylo rozhodnuto o poskytnutí dotace a dofinancování její výplaty z rozpočtu kraje na rok 2027.</t>
  </si>
  <si>
    <t>04734/2024/RRC</t>
  </si>
  <si>
    <t>04076/2024/RRC</t>
  </si>
  <si>
    <t>Dotační program - Program na podporu přípravy projektové dokumentace 2025</t>
  </si>
  <si>
    <t>Dotační program - Podpora vědy a výzkumu v Moravskoslezském kraji 2025</t>
  </si>
  <si>
    <t>Propagace Moravskoslezského kraje na Letišti Leoše Janáčka Ostrava</t>
  </si>
  <si>
    <t>Individuální dotace - Podpora významných akcí cestovního ruchu - Memorandum o spolupráci s obcí Leskovec nad Moravicí</t>
  </si>
  <si>
    <t>04722/2024/RRC</t>
  </si>
  <si>
    <t>Individuální dotace - Provoz lodní dopravy na Slezské Hartě 2025 - 2027</t>
  </si>
  <si>
    <t>Mikroregion Slezská Harta (71193821)</t>
  </si>
  <si>
    <t>04712/2024/RRC</t>
  </si>
  <si>
    <t>Individuální dotace - Hvozdnický expres - zajištění víkendové vlakové dopravy na trati č. 314 (Opava - Svobodné Heřmanice)</t>
  </si>
  <si>
    <t>Mikroregion Hvozdnice (71194410)</t>
  </si>
  <si>
    <t>04781/2024/RRC</t>
  </si>
  <si>
    <t>Individuální dotace - Provoz parních vlaků Slezských zemských drah 2025 – 2027</t>
  </si>
  <si>
    <t>Slezské zemské dráhy, o.p.s.(26819856)</t>
  </si>
  <si>
    <t>04785/2024/RRC</t>
  </si>
  <si>
    <t>Individuální dotace - Výletní vlaky Slezského železničního spolku 2025 – 2027</t>
  </si>
  <si>
    <t>SLEZSKÝ ŽELEZNIČNÍ SPOLEK (5424089)</t>
  </si>
  <si>
    <t>04791/2024/RRC</t>
  </si>
  <si>
    <t xml:space="preserve">Usnesením zastupitelstva kraje č. 14/1727 ze dne  12.12.2019 bylo rozhodnuto o uzavření Memoranda o spolupráci mezi Moravskoslezským krajem, Zlínským krajem, obcí Trojanovice a obcí Prostřední Bečva týkajícího se zvelebování lokality hřebene Pustevny - Radhošť (č. 00247/2020/RRC). Finanční prostředky jsou určeny jako příspěvek do Fondu Pustevny, a to na základě žádosti obce Prostřední Bečva. </t>
  </si>
  <si>
    <t>04032/2024/RRC</t>
  </si>
  <si>
    <t>Dotační program – Úprava lyžařských běžeckých tras v Moravskoslezském kraji 2025/2026 a 2026/2027</t>
  </si>
  <si>
    <t>Memorandum o spolupráci v oblasti sociálního podnikání</t>
  </si>
  <si>
    <t>Klastr sociálních inovací a podniků - SINEC z.s.
(02307651)</t>
  </si>
  <si>
    <t>03410/2024/SOC</t>
  </si>
  <si>
    <t>Klastr sociálních inovací a podniků - SINEC z.s. O uzavření tohoto memoranda rozhodla rada kraje svým usnesením č. 97/7120 ze dne 20.5.2024. Memorandum uzavřeno na dobu 3 let  od data podpisu 24.6.2024.</t>
  </si>
  <si>
    <t>Podpora aktivit k rozvoji vzdělanosti</t>
  </si>
  <si>
    <t>04571/2023/ŠMS</t>
  </si>
  <si>
    <t>Statutární město Ostrava
 (00845451),
 RAUL, s.r.o. 
(25608673)</t>
  </si>
  <si>
    <t>Individuální dotace – Výstavba vysokoškolských kolejí Ostravské univerzity</t>
  </si>
  <si>
    <t xml:space="preserve">Závazek Moravskoslezského kraje k datu řádného ukončení smlouvy o nájmu podniku k 31.12.2031. Jedná se o výši neodepsaného majetku z technického zhodnocení staveb pořízených ze zdrojů Nemocnice Nový Jičín v průběhu nájemní smlouvy. </t>
  </si>
  <si>
    <t>900</t>
  </si>
  <si>
    <t>1910</t>
  </si>
  <si>
    <t>roční smlouvy</t>
  </si>
  <si>
    <t>1911</t>
  </si>
  <si>
    <t xml:space="preserve">516 </t>
  </si>
  <si>
    <t>Číslo 
smlouvy / memoranda</t>
  </si>
  <si>
    <t xml:space="preserve">Závazek kraje vyplývající z dodavatelských smluv uzavřených krajem na dobu neurčitou. Jedná se zejména o smlouvy na technickou a zákaznickou podporu (maintenance), na servisní podporu aplikačního prostředků modlu FAMA, včetně rozvoje, na servisní podporu modulu MAJ FAMA, na servisní podporu a rozvoj datových skladů v rámci činnosti krajského úřadu. </t>
  </si>
  <si>
    <t>ČÍSLO AKCE</t>
  </si>
  <si>
    <t>Poznámka</t>
  </si>
  <si>
    <t xml:space="preserve">NUTSHELL@CE-Strengthening public transport to enhance accessibility in rural central Europe – NUTSHELL@CE-Posílení veřejné dopravy pro zlepšení dostupnosti ve venkovských oblastech střední Evropy </t>
  </si>
  <si>
    <t>Přeložka silnice II/443 obchvat Otic</t>
  </si>
  <si>
    <t>Rekonstrukce a modernizace silnice II/452 Karlovice - Světlá Hora</t>
  </si>
  <si>
    <t>Zastupitelstvo kraje rozhodlo o profinancování a kofinancování projektu dne 7. 9. 2023 usnesením č. 13/1357.</t>
  </si>
  <si>
    <t>Zastupitelstvo kraje rozhodlo o profinancování a kofinancování projektu dne 8. 6. 2023 usnesením č. 12/1238.</t>
  </si>
  <si>
    <t>ODVĚTVÍ INFORMATIKY A KYBERNETICKÉ BEZPEČNOSTI CELKEM</t>
  </si>
  <si>
    <t>Zastupitelstvo kraje rozhodlo o profinancování a kofinancování projektu dne 15. 9. 2022 usnesením č. 9/886.</t>
  </si>
  <si>
    <t>Zastupitelstvo kraje rozhodlo o profinancování a kofinancování projektu dne 6. 6. 2024 usnesením č. 17/1736.</t>
  </si>
  <si>
    <t xml:space="preserve">Chráněné bydlení ul. Karasova v Ostravě </t>
  </si>
  <si>
    <t>Novostavba dětského centra Pluto</t>
  </si>
  <si>
    <t>ProDítě: Profesionální a inovativní péče o ohrožené děti v Moravskoslezském kraji</t>
  </si>
  <si>
    <t>Rekonstrukce objektu organizace Nový domov, příspěvková organizace vedoucí k energetickým úsporám</t>
  </si>
  <si>
    <t>Standardizace poskytování sociálních služeb v Moravskoslezském kraji</t>
  </si>
  <si>
    <t xml:space="preserve">Zastupitelstvo kraje rozhodlo o profinancování a kofinancování projektu dne 6. 6. 2024 usnesením č. 17/1738. Projekt je financován formou záloh. </t>
  </si>
  <si>
    <t>TechSocialcare - Promoting Technical Standards for Assistive Technology in European Social care services</t>
  </si>
  <si>
    <t>Transformace – DOZP Kravaře</t>
  </si>
  <si>
    <t>Transformace – DOZP Ostrava</t>
  </si>
  <si>
    <t>Společně silnější: síla sdílení zkušeností a dobré praxe v neformální péči</t>
  </si>
  <si>
    <t>Energetické úspory VI. Etapa - SOUS Opava</t>
  </si>
  <si>
    <t>Energetické úspory VI. Etapa - SPŠaOA Bruntál</t>
  </si>
  <si>
    <t>Energetické úspory VI. Etapa - SPŠ Krnov</t>
  </si>
  <si>
    <t>Energetické úspory VI. Etapa - SŠaVOŠ Kopřivnice</t>
  </si>
  <si>
    <t>Energetické úspory VI. Etapa - SŠaZŠ Havířov - Šumbark</t>
  </si>
  <si>
    <t>Energetické úspory VI. Etapa - SŠGOaS Frýdek-Místek</t>
  </si>
  <si>
    <t>Energetické úspory VI. Etapa - ZŠaMŠ Nový Jičín</t>
  </si>
  <si>
    <t xml:space="preserve">Energetické úspory Albrechtova střední škola, Český Těšín </t>
  </si>
  <si>
    <t>Novostavba dílen a venkovní sportoviště pro Střední školu technickou Opava</t>
  </si>
  <si>
    <t>Rozšíření a modernizace prostor SŠ, ZŠ a MŠ v Karviné</t>
  </si>
  <si>
    <t>Rozšíření a modernizace prostor ZŠ a MŠ v Ostravě-Porubě, Ukrajinská 19, příspěvkové organizace</t>
  </si>
  <si>
    <t>Energetické úspory VI. Etapa - SPŠS Opava</t>
  </si>
  <si>
    <t>Energetické úspory VI. Etapa - Gym. a SOŠ Rýmařov – objekt SOŠ</t>
  </si>
  <si>
    <t>Energetické úspory VI. Etapa - SŠPaU Opava</t>
  </si>
  <si>
    <t xml:space="preserve">Zastupitelstvo kraje rozhodlo o profinancování a kofinancování projektu dne 13. 6. 2019 usnesením č. 12/1435. Projekt je financován formou záloh. </t>
  </si>
  <si>
    <t>Zastupitelstvo kraje rozhodlo o profinancování a kofinancování projektu dne 6. 6. 2024 usnesením č. 17/1734.</t>
  </si>
  <si>
    <t xml:space="preserve">Zastupitelstvo kraje rozhodlo o profinancování a kofinancování projektu dne 7. 9. 2023 usnesením č. 13/1371. Projekt je financován formou záloh. </t>
  </si>
  <si>
    <t>rok 2028</t>
  </si>
  <si>
    <t>Rozšíření a modernizace výukových prostor na JG PT Ostrava-Poruba</t>
  </si>
  <si>
    <t>MSK/PO</t>
  </si>
  <si>
    <t xml:space="preserve">Závazek financování akce </t>
  </si>
  <si>
    <t xml:space="preserve">max. </t>
  </si>
  <si>
    <t>v letech</t>
  </si>
  <si>
    <t>RIA/ MSK</t>
  </si>
  <si>
    <t>MSK</t>
  </si>
  <si>
    <t>ODVĚTVÍ FINANCÍ A SPRÁVY MAJETKU KRAJE:</t>
  </si>
  <si>
    <t xml:space="preserve">Zajištění přípravy, realizace a havárie v rámci akcí reprodukce majetku </t>
  </si>
  <si>
    <t>IDTP / PO</t>
  </si>
  <si>
    <t>ODVĚTVÍ FINANCÍ A SPRÁVY MAJETKU KRAJE CELKEM</t>
  </si>
  <si>
    <t>Silnice II/470, stavba „Komunikace – Severní spoj“ v Ostravě - příprava (Správa silnic Moravskoslezského kraje, příspěvková organizace, Ostrava)</t>
  </si>
  <si>
    <t>PO</t>
  </si>
  <si>
    <t>Novostavba garáží a dílen v areálu CM Frýdek-Místek (Správa silnic Moravskoslezského kraje, příspěvková organizace, Ostrava)</t>
  </si>
  <si>
    <t>2023-2027</t>
  </si>
  <si>
    <t>Silnice II/478 Nová Krmelínská Ostrava a Mostní II. Etapa</t>
  </si>
  <si>
    <t>2024-2027</t>
  </si>
  <si>
    <t>Muzeum osobních automobilů Tatra Kopřivnice - příprava (Muzeum Novojičínska, příspěvková organizace)</t>
  </si>
  <si>
    <t>Nová expozice Technického muzea Tatra v Kopřivnici - muzeum osobních vozidel (Muzeum Novojičínska, příspěvková organizace)</t>
  </si>
  <si>
    <t>Krajský depozitář pro kulturní organizace – příprava (Muzeum Beskyd Frýdek-Místek, příspěvková organizace)</t>
  </si>
  <si>
    <t>2022-2028</t>
  </si>
  <si>
    <t>2022-2027</t>
  </si>
  <si>
    <t>Rekonstrukce elektroinstalace a zdravotně technické instalace (Gymnázium, Ostrava-Hrabůvka, příspěvková organizace)</t>
  </si>
  <si>
    <t>Rekonstrukce objektu školní jídelny (Základní škola a Mateřská škola pro sluchově postižené a vady řeči, Ostrava-Poruba, příspěvková organizace)</t>
  </si>
  <si>
    <t>2020-2027</t>
  </si>
  <si>
    <t>Stavební úpravy objektů na ulicích Divadelní a Čapkova (Základní umělecká škola, Rýmařov, Čapkova 6, příspěvková organizace)</t>
  </si>
  <si>
    <t>Rekonstrukce reprezentačního sálu včetně zázemí (Základní umělecká škola Leoše Janáčka, Havířov, příspěvková organizace)</t>
  </si>
  <si>
    <t>Oprava objektů po požáru (Obchodní akademie, Český Těšín, příspěvková organizace,  Základní umělecká škola Pavla Kalety, Český Těšín, příspěvková organizace)</t>
  </si>
  <si>
    <t>RIA/ MSK, IDTP/ PO, ŠMS</t>
  </si>
  <si>
    <t>Rekonstrukce zdravotechniky (Obchodní akademie, Ostrava-Poruba, příspěvková organizace)</t>
  </si>
  <si>
    <t>Rekonstrukce zdravotechniky (Matiční gymnázium, Ostrava, příspěvková organizace)</t>
  </si>
  <si>
    <t>Revitalizace tělocvičny (Střední průmyslová škola elektrotechnická, Havířov, příspěvková organizace)</t>
  </si>
  <si>
    <t>Rekonstrukce elektroinstalace a zdravotechniky (Hotelová škola, Frenštát pod Radhoštěm, příspěvková organizace)</t>
  </si>
  <si>
    <t>Sanace zdiva (Gymnázium Josefa Kainara, Hlučín, příspěvková organizace)</t>
  </si>
  <si>
    <t>Rekonstrukce provozních prostor kuchyně (Střední škola řemesel, Frýdek-Místek, příspěvková organizace)</t>
  </si>
  <si>
    <t>Nemocnice Nový Jičín - reinvestiční část nájemného a opravy</t>
  </si>
  <si>
    <t>Rekonstrukce kanalizace - Karviná (Nemocnice Karviná-Ráj, příspěvková organizace)</t>
  </si>
  <si>
    <t>Rekonstrukce dětského oddělení vč. DIP (Nemocnice ve Frýdku - Místku, příspěvková organizace)</t>
  </si>
  <si>
    <t>Protipožární opatření nemocnice Orlová (Nemocnice Karviná - Ráj, příspěvková organizace)</t>
  </si>
  <si>
    <t>Obnova vozového parku - příspěvkové organizace v odvětví zdravotnictví</t>
  </si>
  <si>
    <t>Výdaje financované z ostatních očekávaných účelových dotací ze státního rozpočtu mimo zálohové platby</t>
  </si>
  <si>
    <t xml:space="preserve"> - příjmy z pojistného plnění (požár OA Český Těšín)</t>
  </si>
  <si>
    <t>Rekonstrukce elektroinstalace (Střední zdravotnická škola a Vyšší odborná škola zdravotnická, Ostrava, příspěvková organizace)</t>
  </si>
  <si>
    <t>Přístavba tělocvičny Sportovního gymnázia Dany a Emila Zátopkových (Sportovní gymnázium Dany a Emila Zátopkových, Ostrava, příspěvková organizace)</t>
  </si>
  <si>
    <t>Výstavba sportovního plaveckého bazénu při Sportovním gymnáziu Dany a Emila Zátopkových v Ostravě (Sportovní gymnázium Dany a Emila Zátopkových, Ostrava, příspěvková organizace)</t>
  </si>
  <si>
    <t>Rada kraje usnesením č. 91/6742 ze dne 18. 3. 2024 rozhodla o poskytnutí dotace ve výši 90 tis. Kč (ve 3 splátkách v letech 2025-2027) Slezské univerzitě v Opavě na pokračování projektu „Poskytování servisní činnosti pro řádnou funkci webové aplikace Finanční stabilita municipalit Moravskoslezského kraje“.</t>
  </si>
  <si>
    <t>Rekonstrukce elektroinstalace (Obchodní akademie a Vyšší odborná škola sociálně právní, Ostrava, příspěvková organizace)</t>
  </si>
  <si>
    <t>Všeobecná pokladní správa - Účelové dotace na výdaje spojené s přípravou a konáním voleb do Evropského Parlamentu</t>
  </si>
  <si>
    <t>Všeobecná pokladní správa - Účelové dotace na výdaje spojené se společnými volbami do Senátu a zastupitelstev krajů</t>
  </si>
  <si>
    <t>17101 (17102)</t>
  </si>
  <si>
    <t>Národní sportovní agentura - Výstavba sportovního plaveckého bazénu při Sportovním gymnáziu Dany a Emila Zátopkových v Ostravě (Sportovní gymnázium Dany a Emila Zátopkových, Ostrava, příspěvková organizace)</t>
  </si>
  <si>
    <t>Statutární město Frýdek-Místek - Rekonstrukce objektu plaveckého bazénu a sportovní haly (Střední škola řemesel, Frýdek-Místek, příspěvková organizace)</t>
  </si>
  <si>
    <t>Zálohové platby u akcí reprodukce majetku kraje spolufinancovaných zálohově ze státního rozpočtu celkem</t>
  </si>
  <si>
    <t>Ministerstvo pro místní rozvoj - Podpora obnovy rozvoje regionů - Oživení cestovního ruchu podporou infrastruktury CR - podprogram č. 117D7640 - IV/NIV</t>
  </si>
  <si>
    <t>Ministerstvo pro místní rozvoj - Podpora obnovy rozvoje regionů - ŽIVEL 1 - Obnova obecního a krajského majetku po krizových stavech - podprogram č. 117D7601 - IV/NIV</t>
  </si>
  <si>
    <t>Výdaje financované ze zálohových plateb u akcí reprodukce majetku kraje spolufinancovaných zálohově ze státního rozpočtu</t>
  </si>
  <si>
    <t>Zálohové platby u akcí reprodukce majetku kraje spolufinancovaných zálohově ze státního rozpočtu</t>
  </si>
  <si>
    <t>Očekávaná skutečnost 2026</t>
  </si>
  <si>
    <t>Výhled 2029</t>
  </si>
  <si>
    <t>%
Výhled 27 / 
Oček.skut. 26</t>
  </si>
  <si>
    <t>%
Výhled 29 / Výhled 28</t>
  </si>
  <si>
    <t xml:space="preserve">Bilance příjmů a výdajů v letech 2027–2029 </t>
  </si>
  <si>
    <t>Přehled očekávaných účelových dotací v letech 2027–2029</t>
  </si>
  <si>
    <t>na léta 2027–2029</t>
  </si>
  <si>
    <t>BILANCE PŘÍJMŮ A VÝDAJŮ V LETECH 2027–2029</t>
  </si>
  <si>
    <t>PŘEHLED OČEKÁVANÝCH ÚČELOVÝCH DOTACÍ V LETECH 2027–2029</t>
  </si>
  <si>
    <t>Akviziční fond - IV</t>
  </si>
  <si>
    <t>ISO C Výkupy předmětů kulturní hodnoty mimořádného významu - investiční</t>
  </si>
  <si>
    <t xml:space="preserve"> - doprava - dopravní obslužnost lodní</t>
  </si>
  <si>
    <t xml:space="preserve"> - odvody příspěvkových organizací</t>
  </si>
  <si>
    <t>Zastupitelstvo kraje rozhodlo o profinancování a kofinancování projektu dne 16. 12. 2021 usnesením č. 6/517 a o navýšení profinancování a kofinancování dne 16. 3. 2022 usnesením č. 7/634.</t>
  </si>
  <si>
    <t xml:space="preserve">Most Starý Bohumín - Chalupki přes řeku Odru </t>
  </si>
  <si>
    <t>Zastupitelstvo kraje rozhodlo o profinancování a kofinancování projektu dne 6. 6. 2024 usnesením č. 17/1732 a o navýšení profinancování a kofinancování dne 5. 9. 2024 usnesením č. 18/1826.</t>
  </si>
  <si>
    <t>Zastupitelstvo kraje rozhodlo o profinancování a kofinancování projektu dne 6. 6. 2024 usnesením č. 17/1732 a o navýšení profinancování a kofinancování dne 16. 6. 2025 usnesením č. 4/204.</t>
  </si>
  <si>
    <t>Zastupitelstvo kraje rozhodlo o profinancování a kofinancování projektu dne 16. 3. 2022 usnesením č. 7/635 a o navýšení profinancování a kofinancování dne 16. 6. 2022 usnesením č. 8/743.</t>
  </si>
  <si>
    <t>Zastupitelstvo kraje rozhodlo o profinancování a kofinancování projektu dne 15. 9. 2022 usnesením č. 9/877 a o navýšení profinancování a kofinancování dne 15. 12. 2022 usnesením 10/991.</t>
  </si>
  <si>
    <t>Zastupitelstvo kraje rozhodlo o profinancování a kofinancování projektu 15. 9. 2022 usnesením č. 9/888 a o navýšení profinancování a kofinancování dne 15. 9. 2025 usnesením č. 5/302.</t>
  </si>
  <si>
    <t xml:space="preserve">IndusTour - Visiting INDUStrial companies and sites as a growing lever to diversify TOURism policies </t>
  </si>
  <si>
    <t>Podpora činnosti sekretariátu a zajištění chodu Regionální stálé konference Moravskoslezského kraje VI</t>
  </si>
  <si>
    <t>Zastupitelstvo kraje rozhodlo o profinancování a kofinancování projektu dne 15. 9. 2025 usnesením č. 5/299.</t>
  </si>
  <si>
    <t>Projekt technické pomoci II – Operační program Spravedlivá transformace</t>
  </si>
  <si>
    <t>Zastupitelstvo kraje rozhodlo o profinancování a kofinancování projektu dne 15. 9. 2025 usnesením č. 5/300.</t>
  </si>
  <si>
    <t>Vouchery pro veřejný sektor v Moravskoslezském kraji - 1. výzva</t>
  </si>
  <si>
    <t xml:space="preserve">Zastupitelstvo kraje rozhodlo o financování projektu dne 7. 12. 2023 usnesením č. 14/1523. Projekt je financován formou záloh. </t>
  </si>
  <si>
    <t>Podpora služeb osobní asistence v MSK</t>
  </si>
  <si>
    <t>Zastupitelstvo kraje rozhodlo o profinancování a kofinancování projektu dne 17. 3. 2025 usnesením č. 3/116. Projekt je financován formou záloh.</t>
  </si>
  <si>
    <t>Zastupitelstvo kraje rozhodlo o profinancování a kofinancování projektu dne dne 6. 6. 2024 usnesením č. 17/1742.</t>
  </si>
  <si>
    <t xml:space="preserve">Zastupitelstvo kraje rozhodlo o profinancování a kofinancování projektu dne 6. 6. 2024 usnesením č. 17/1737. </t>
  </si>
  <si>
    <t>Energetické úspory - Dětský domov a Školní jídelna, Radkov-Dubová 141, příspěvková organizace</t>
  </si>
  <si>
    <t xml:space="preserve">Zastupitelstvo kraje rozhodlo o profinancování a kofinancování projektu dne 5. 9. 2024 usnesením č. 18/1828. </t>
  </si>
  <si>
    <t>Energetické úspory - Základní škola, Karasova 6, Ostrava – Mariánské Hory, příspěvková organizace</t>
  </si>
  <si>
    <t>Zastupitelstvo kraje rozhodlo o profinancování a kofinancování projektu dne 5. 9. 2024 usnesením č. 18/1828.</t>
  </si>
  <si>
    <t xml:space="preserve">Zastupitelstvo kraje rozhodlo o profinancování a kofinancování projektu dne 6. 6. 2024 usnesením č. 17/1734. </t>
  </si>
  <si>
    <t xml:space="preserve">Zastupitelstvo kraje rozhodlo o profinancování a kofinancování projektu dne 6. 6. 2024 usnesením č. 17/1734 a o navýšení profinancování a kofinancování dne 16. 12. 2024 usnesením č. 2/36. </t>
  </si>
  <si>
    <t>Modernizace a rozšíření ZŠ Hlučín</t>
  </si>
  <si>
    <t>Zastupitelstvo kraje rozhodlo o profinancování a kofinancování projektu dne 6. 6. 2024 usnesením č. 17/1739.</t>
  </si>
  <si>
    <t>Modernizace zázemí pro výuku zemědělských a polygrafických oborů</t>
  </si>
  <si>
    <t xml:space="preserve">Zastupitelstvo kraje rozhodlo o profinancování a kofinancování projektu dne 7. 9. 2023 usnesením č. 13/1372. </t>
  </si>
  <si>
    <t xml:space="preserve">Zastupitelstvo kraje rozhodlo o profinancování a kofinancování projektu dne 15. 9. 2022 usnesením č. 9/892. </t>
  </si>
  <si>
    <t>Vouchery pro univerzity v Moravskoslezském kraji</t>
  </si>
  <si>
    <t>Zastupitelstvo kraje rozhodlo o profinancování a kofinancování projektu dne dne 16. 6. 2025 usnesením č. 4/203.</t>
  </si>
  <si>
    <t xml:space="preserve">Zastupitelstvo kraje rozhodlo o profinancování a kofinancování projektu dne 22. 9. 2016 usnesením č. 21/2254 a o navýšení profinancování a kofinancování dne 07. 09. 2023 usnesením č. 13/1369. </t>
  </si>
  <si>
    <t>Zastupitelstvo kraje rozhodlo o profinancování a kofinancování projektu dne 7. 9. 2023 usnesením č. 13/1370 a o navýšení profinancování a kofinancování dne 15. 09. 2025 usnesením č. 5/291. Projekt je financován formou záloh.</t>
  </si>
  <si>
    <t>rok 2029</t>
  </si>
  <si>
    <t>po r. 2029</t>
  </si>
  <si>
    <t xml:space="preserve">Rekonstrukce objektu chráněného bydlení Písky </t>
  </si>
  <si>
    <t>Zastupitelstvo kraje rozhodlo o profinancování a kofinancování projektu dne 16. 6. 2025 usnesením č. 4/201.</t>
  </si>
  <si>
    <t xml:space="preserve">Zastupitelstvo kraje rozhodlo o profinancování a kofinancování projektu dne 6. 6. 2024 usnesením č. 17/1736 a o navýšení profinancování a kofinancování dne 5. 9. 2024 usnesením č. 18/1849. </t>
  </si>
  <si>
    <r>
      <t xml:space="preserve">UCB 2024+
</t>
    </r>
    <r>
      <rPr>
        <sz val="10"/>
        <rFont val="Tahoma"/>
        <family val="2"/>
        <charset val="238"/>
      </rPr>
      <t xml:space="preserve">smlouva o úvěru
</t>
    </r>
    <r>
      <rPr>
        <b/>
        <sz val="10"/>
        <rFont val="Tahoma"/>
        <family val="2"/>
        <charset val="238"/>
      </rPr>
      <t xml:space="preserve">ve výši 1,5 mld. Kč
</t>
    </r>
    <r>
      <rPr>
        <sz val="10"/>
        <rFont val="Tahoma"/>
        <family val="2"/>
        <charset val="238"/>
      </rPr>
      <t>na</t>
    </r>
    <r>
      <rPr>
        <b/>
        <sz val="10"/>
        <rFont val="Tahoma"/>
        <family val="2"/>
        <charset val="238"/>
      </rPr>
      <t xml:space="preserve"> </t>
    </r>
    <r>
      <rPr>
        <sz val="10"/>
        <rFont val="Tahoma"/>
        <family val="2"/>
        <charset val="238"/>
      </rPr>
      <t xml:space="preserve">předfinancování projektů EU </t>
    </r>
  </si>
  <si>
    <r>
      <t>2029</t>
    </r>
    <r>
      <rPr>
        <b/>
        <vertAlign val="superscript"/>
        <sz val="10"/>
        <rFont val="Tahoma"/>
        <family val="2"/>
        <charset val="238"/>
      </rPr>
      <t xml:space="preserve"> 1)</t>
    </r>
  </si>
  <si>
    <r>
      <rPr>
        <b/>
        <vertAlign val="superscript"/>
        <sz val="10"/>
        <rFont val="Tahoma"/>
        <family val="2"/>
        <charset val="238"/>
      </rPr>
      <t>1)</t>
    </r>
    <r>
      <rPr>
        <b/>
        <sz val="10"/>
        <rFont val="Tahoma"/>
        <family val="2"/>
        <charset val="238"/>
      </rPr>
      <t xml:space="preserve"> </t>
    </r>
    <r>
      <rPr>
        <sz val="10"/>
        <rFont val="Tahoma"/>
        <family val="2"/>
        <charset val="238"/>
      </rPr>
      <t>Pro léta 2025 až 2029 se jedná o očekávanou skutečnost k 31.12.</t>
    </r>
  </si>
  <si>
    <r>
      <rPr>
        <b/>
        <vertAlign val="superscript"/>
        <sz val="10"/>
        <rFont val="Tahoma"/>
        <family val="2"/>
        <charset val="238"/>
      </rPr>
      <t>1)</t>
    </r>
    <r>
      <rPr>
        <sz val="10"/>
        <rFont val="Tahoma"/>
        <family val="2"/>
        <charset val="238"/>
      </rPr>
      <t xml:space="preserve"> Pro léta 2025 až 2029 se jedná o očekávanou skutečnost k 31.12.</t>
    </r>
  </si>
  <si>
    <r>
      <rPr>
        <b/>
        <vertAlign val="superscript"/>
        <sz val="10"/>
        <rFont val="Tahoma"/>
        <family val="2"/>
        <charset val="238"/>
      </rPr>
      <t>3)</t>
    </r>
    <r>
      <rPr>
        <b/>
        <sz val="10"/>
        <rFont val="Tahoma"/>
        <family val="2"/>
        <charset val="238"/>
      </rPr>
      <t xml:space="preserve"> </t>
    </r>
    <r>
      <rPr>
        <sz val="10"/>
        <rFont val="Tahoma"/>
        <family val="2"/>
        <charset val="238"/>
      </rPr>
      <t>Zůstatky nesplacených úvěrů a návratných finančních výpomocí k rozvahovému dni 31.12.</t>
    </r>
  </si>
  <si>
    <r>
      <rPr>
        <b/>
        <vertAlign val="superscript"/>
        <sz val="10"/>
        <rFont val="Tahoma"/>
        <family val="2"/>
        <charset val="238"/>
      </rPr>
      <t>2)</t>
    </r>
    <r>
      <rPr>
        <b/>
        <sz val="10"/>
        <rFont val="Tahoma"/>
        <family val="2"/>
        <charset val="238"/>
      </rPr>
      <t xml:space="preserve"> </t>
    </r>
    <r>
      <rPr>
        <sz val="10"/>
        <rFont val="Tahoma"/>
        <family val="2"/>
        <charset val="238"/>
      </rPr>
      <t>Zůstatky nesplacených úvěrů a návratných finančních výpomocí k rozvahovému dni 31.12.</t>
    </r>
  </si>
  <si>
    <t>UNIFHY-Unifying policies to support the uptake of green hydrogen to decarbonize Europe – UNIFHY- Sjednocení politik na podporu zavádění zeleného vodíku k dekarbonizaci Evropy</t>
  </si>
  <si>
    <t>Pavilon V – stavební úpravy – urgentní příjem (vč. přístrojů), přístavba jídelny (Slezská nemocnice v Opavě, příspěvková organizace)</t>
  </si>
  <si>
    <t>Financování akce bude předloženo ke schválení na jednání zastupitelstva kraje dne 15. 12. 2025 v rámci schvalování rozpočtu kraje na rok 2026.</t>
  </si>
  <si>
    <t>smlouva
 se neuzavírá</t>
  </si>
  <si>
    <t>0004,
 0005</t>
  </si>
  <si>
    <t>veřejná zakázka</t>
  </si>
  <si>
    <t>76/2025</t>
  </si>
  <si>
    <t>Zastupitelstvo kraje usnesení č. 4/240 ze dne 16.06.2025 schválilo závazek kraje v maximální výši 540.000 tis. Kč k zajištění centrálního pojištění nemovitého, movitého majetku, vozidel a odpovědnosti kraje a jeho organizací na období od 01.07.2026 do 30.06.2031.</t>
  </si>
  <si>
    <t>01329/2012/IM, 01471/2011/IM, 03511/2016/IM, 07969/2020/IM, 04978/2022/IM,  02637/2025/IM</t>
  </si>
  <si>
    <t xml:space="preserve">více subjektů
</t>
  </si>
  <si>
    <t xml:space="preserve">07969/2020/IM, 04978/2022/IM, 05872/2022/IM, 00241/2025/IM, 00550/2021/INF </t>
  </si>
  <si>
    <t>Moravskoslezský kraj uzavřel smlouvu č. 07969/2020/IM na služby spojené s pronájmem prostor pro příspěvkovou organizaci Moravskoslezské energetické centrum ve výši 905 tis. Kč ročně, smlouvu č. 04978/2022/IM na pronájem skladovacích prostor v Ostravě Kunčičkách ve výši  136 tis. Kč ročně, smlouvu o poradenství v oblasti pojišťovnictví č. 05872/2022/IM ve výši 15 tis. Kč ročně, smlouvu 00550/2021/INF na poradenství v rámci BIM a smlouvu 00241/2025/IM o postoupení práv stavby v rámci "Městečka bezpečí" s úhradou 10 tis. Kč ročně po dobu 15 let.</t>
  </si>
  <si>
    <t>O uzavření smlouvy s Moody´s rozhodla rada kraje usnesením č. 80/2952 ze dne 2.8.2006, smlouva je sjednána na dobu neurčitou. Ve výhledu je počítáno s navýšením o inflace.  Jelikož ratingové hodnocení kraje je významné mimo jiné při získávání úvěrových zdrojů, je vhodné realizovat ratingové hodnocení i v dalších letech.</t>
  </si>
  <si>
    <t>Česká národní banka,
Česká spořitelna,
J &amp; T Banka, 
Komerční banka, 
Oberbank AG, 
Raiffeisenbank, 
 UniCredit Bank</t>
  </si>
  <si>
    <t>Bankovní poplatky za vedení účtů a provedené bankovní operace u peněžních ústavů, které plynou z uzavřených smluv na dobu neurčitou a všeobecných platebních podmínek. Současně poplatky v souvislosti s platbami prostřednictvím platební brány.</t>
  </si>
  <si>
    <t>Zajištění dopravní obslužnosti v Moravskoslezském kraji veřejnou drážní osobní dopravou na vybraných traťových linkách a úsecích v Moravskoslezském kraji – provozní soubor Ostravsko na území Moravskoslezského kraje s přesahem do Olomouckého, Zlínského a Žilinského kraje (SK) a Slezského vojvodství (PL)</t>
  </si>
  <si>
    <t xml:space="preserve">Závazek Moravskoslezského kraje byl schválen usnesením zastupitelstva kraje č. 10/984 ze dne 15.12.2022 v max. výši 17.905.707 tis. Kč. Finanční prostředky na zajištění financování v případě jednotlivých let tak budou nárokovány v rámci návrhu rozpočtu Moravskoslezského kraje pro jednotlivé roky, na základě schváleného usnesení zastupitelstvem kraje, avšak vždy poníženy o předpokládané ovlivňující další faktory (výše tržeb, inflace/deflace). Závazek trvá od 12/2023 do 12/2033. </t>
  </si>
  <si>
    <t xml:space="preserve">Závazek Moravskoslezského kraje byl v min. výši 240.240 tis. Kč schválen usnesením zastupitelstva kraje č. 4/289 ze dne 17.06.2021. Finanční prostředky na rok 2027 budou nárokovány v rámci návrhu rozpočtu Moravskoslezského kraje pro rok 2027, na základě schváleného usnesení zastupitelstvem kraje, avšak poníženy o předpokládané ovlivňující další faktory (výše tržeb, inflace/deflace). Závazek trvá od 12/ 2023 do 12/ 2027.  </t>
  </si>
  <si>
    <t xml:space="preserve">Zajištění dopravní obslužnosti v Moravskoslezském kraji veřejnou drážní osobní dopravou s na vybraných traťových linkách a úsecích v Moravskoslezském kraji - provozní soubor Osoblaha </t>
  </si>
  <si>
    <t>Osoblažská úzkorozchodná dráha o.p.s. 
(2558521)</t>
  </si>
  <si>
    <t>04602/2024/DSH</t>
  </si>
  <si>
    <t xml:space="preserve">Závazek Moravskoslezského kraje byl schválen usnesením zastupitelstva kraje č.3/152 ze dne 17.03.2025 v max. výši 245.408 tis. Kč na 10 let od data zahájení poskytování veřejných služeb v přepravě cestujících veřejnou drážní osobní dopravou. Finanční prostředky na zajištění financování v případě jednotlivých let tak budou nárokovány v rámci návrhu rozpočtu Moravskoslezského kraje pro jednotlivé roky, na základě schváleného usnesení zastupitelstvem kraje, avšak vždy upraveny o předpokládané ovlivňující další faktory (výše tržeb, inflace/deflace).Závazek trvá od 12/ 2026 do 12/ 2035.  </t>
  </si>
  <si>
    <t xml:space="preserve">Zajištění dopravní obslužnosti v Moravskoslezském kraji veřejnou drážní osobní dopravou s na vybraných traťových linkách a úsecích v Moravskoslezském kraji - provozní soubor Bruntálsko </t>
  </si>
  <si>
    <t>04754/2024/DSH/1</t>
  </si>
  <si>
    <t xml:space="preserve">Závazek Moravskoslezského kraje byl schválen usnesením zastupitelstva kraje č. 11/1112 ze dne 10.03.2023 v max. výši 899.719,92 tis. Kč a následně usnesením č. 12/1222 ze dne 08.06.2023 byl závazek navýšen na 1.559.719,92 tis. Kč  za podmínky spolufinancování výkonů na lince R 27 Ostrava-Opava-Krnov-Olomouc v plné výši ze strany Ministerstva dopravy na období  12/2027-12/2031. Finanční prostředky na zajištění financování v případě jednotlivých let tak budou nárokovány v rámci návrhu rozpočtu Moravskoslezského kraje pro jednotlivé roky, na základě schváleného usnesení zastupitelstvem kraje, avšak vždy poníženy o předpokládané ovlivňující další faktory (výše tržeb, inflace/deflace, dotace). </t>
  </si>
  <si>
    <t xml:space="preserve">Zajištění dopravní obslužnosti v Moravskoslezském kraji veřejnou drážní osobní dopravou vybraných vlaků na lince S6 Ostrava hl. n. – Frýdek-Místek – Frenštát pod Radhoštěm město na trati 323 Ostrava – Valašské Meziříčí </t>
  </si>
  <si>
    <t>02191/2022/DSH/1</t>
  </si>
  <si>
    <t xml:space="preserve">Závazek Moravskoslezského kraje byl schválen usnesením zastupitelstva kraje č. 3/167 ze dne 17.03.2021 v max. výši 810.000 tis. Kč  a usnesením č. 6/496 ze dne 16.12.2021 byl tento závazek změněn na max. výši 903.000 tis. Kč. Závazek bude trvat v období od prosince 2023 do prosince 2027.  Finanční prostředky na zajištění financování roku 2027 tak budou nárokovány v rámci návrhu rozpočtu Moravskoslezského kraje pro rok 2027, na základě schváleného usnesení zastupitelstvem kraje, avšak vždy poníženy o předpokládané ovlivňující další faktory (výše tržeb, inflace/deflace, dotace). </t>
  </si>
  <si>
    <t xml:space="preserve">Zajištění dopravní obslužnosti na území Moravskoslezského kraje veřejnou drážní osobní dopravou na trati 323 (Ostrava hl. n. – Valašské Meziříčí, Frýdlant nad Ostravicí – Ostravice) </t>
  </si>
  <si>
    <t>dosud neuzavřena</t>
  </si>
  <si>
    <t xml:space="preserve">Usnesením zastupitelstva kraje č. 4/246 ze dne 16.06.2025 bylo rozhodnuto o závazku kraje v max. výši 2.582.580 tis. Kč k zajištění dopravní obslužnosti drážní osobní dopravou provozního souboru Beskydy na území Moravskoslezského kraje, a to na období maximálně 6 let od data zahájení poskytování veřejných služeb v přepravě cestujících veřejnou drážní osobní dopravou. Finanční prostředky na zajištění financování v případě jednotlivých let tak budou nárokovány v rámci návrhu rozpočtu Moravskoslezského kraje pro jednotlivé roky, na základě schváleného usnesení zastupitelstvem kraje, avšak vždy poníženy o předpokládané ovlivňující další faktory (výše tržeb, inflace/deflace, dotace). </t>
  </si>
  <si>
    <t>Zajištění dopravní obslužnosti v Moravskoslezském kraji veřejnou drážní osobní dopravou na trati 313 Milotice nad Opavou – Vrbno pod Pradědem v Moravskoslezském kraji</t>
  </si>
  <si>
    <t>GW Train Regio, a.s. (28664116)</t>
  </si>
  <si>
    <t>04601/2024/DSH</t>
  </si>
  <si>
    <t xml:space="preserve">Závazek Moravskoslezského kraje byl schválen usnesením zastupitelstva kraje č. 18/1819 ze dne 05.09.2024 v max. výši 136.620 tis. Kč k zajištění dopravní obslužnosti v Moravskoslezském kraji veřejnou drážní osobní dopravou provozního souboru Vrbno pod Pradědem, od 12/2025 do 12/2031. Finanční prostředky na zajištění financování v případě jednotlivých let tak budou nárokovány v rámci návrhu rozpočtu Moravskoslezského kraje pro jednotlivé roky, na základě schváleného usnesení zastupitelstvem kraje, avšak vždy poníženy o předpokládané ovlivňující další faktory (výše tržeb, inflace/deflace, dotace). </t>
  </si>
  <si>
    <t>Zajištění dopravní obslužnosti v Moravskoslezském kraji veřejnou drážní osobní dopravou na trati 312 Bruntál - Malá Morávka na území Moravskoslezského kraje</t>
  </si>
  <si>
    <t>MBM rail s.r.o., Jaroměř
(25277171)</t>
  </si>
  <si>
    <t xml:space="preserve">Závazek Moravskoslezského kraje byl schválen usnesením zastupitelstva kraje č. 5/341 ze dne 15.09.2025 v max. výši 11.781 tis. Kč k zajištění dopravní obslužnosti v Moravskoslezském kraji veřejnou drážní osobní dopravou provozního souboru Malá Morávka, od 6/ 2026 do 12/ 2030. Finanční prostředky na zajištění financování v případě jednotlivých let tak budou nárokovány v rámci návrhu rozpočtu Moravskoslezského kraje pro jednotlivé roky, na základě schváleného usnesení zastupitelstvem kraje, avšak vždy poníženy o předpokládané ovlivňující další faktory (výše tržeb, inflace/deflace, dotace). </t>
  </si>
  <si>
    <t xml:space="preserve">Závazek Moravskoslezského kraje k úhradě protarifovací ztráty na základě Dohody o zapojení a podmínkách integrace vlaků dopravce do Integrovaného dopravního systému ODIS byl schválen usnesením zastupitelstva kraje č. 5/399 ze dne 16.09.2021 v max. výši 1.200.000 Kč na období 2022-2027. Tento závazek byl následně usneseními zastupitelstva kraje č. 12/1223 ze dne 08.06.2023, č. 14/1482 ze dne 07.12.2023 a 3/155 ze dne 17.03.2025 navýšen na 3.000 tis. Kč ročně na období 2026-2028. </t>
  </si>
  <si>
    <t>Závazek Moravskoslezského kraje byl schválen usnesením zastupitelstva kraje č. 3/169 ze dne 17.03.2021 v max. výši 30.000 tis. Kč k úhradě protarifovací ztráty na základě Dohody o zapojení a podmínkách integrace vlaků dopravce do Integrovaného dopravního systému ODIS. Tento závazek byl  usnesení zastupitelstva kraje č. 10/979 ze dne 15.12.2022 navýšen o 5.000 tis. Kč na období 2023-2027.</t>
  </si>
  <si>
    <t>Transdev Slezsko
(45192081)</t>
  </si>
  <si>
    <t>05851/2024/DSH</t>
  </si>
  <si>
    <t xml:space="preserve">Závazek Moravskoslezského kraje byl schválen usnesením zastupitelstva kraje č. 13/1350 ze dne 07.09.2023 v max. výši 1.430.615 tis. Kč.  Finanční prostředky na zajištění financování konkrétní smlouvy v případě jednotlivých let tak budou nárokovány v rámci návrhu rozpočtu Moravskoslezského kraje pro jednotlivé roky, na základě schváleného usnesení zastupitelstvem kraje, avšak vždy upraveny o předpokládané ovlivňující další faktory (výše tržeb, příspěvek obcí, inflace/deflace). Závazek trvá do roku 2035.  </t>
  </si>
  <si>
    <t>Transdev Slezsko a.s. (45192081)</t>
  </si>
  <si>
    <t>02179/2025/DSH</t>
  </si>
  <si>
    <t xml:space="preserve">Závazek Moravskoslezského kraje byl schválen usnesením  zastupitelstva kraje č. 17/1715 ze dne 06.06.2024 v max. výši 2.043.706,63 tis. Kč. Finanční prostředky na zajištění financování v případě jednotlivých let tak budou nárokovány v rámci návrhu rozpočtu Moravskoslezského kraje pro jednotlivé roky, na základě schváleného usnesení zastupitelstvem kraje, avšak vždy upraveny o předpokládané ovlivňující další faktory (výše tržeb, příspěvek obcí, inflace/deflace). Závazek trvá do prosince 2036. </t>
  </si>
  <si>
    <t>Transdev Slezsko, a.s.
(45192081)</t>
  </si>
  <si>
    <t xml:space="preserve">Závazek Moravskoslezského kraje byl schválen usnesením zastupitelstva kraje č. 3/132 ze dne 16.03.2017 v min. výši 766.976,19 tis. Kč. Finanční prostředky na zajištění financování v případě jednotlivých let tak budou nárokovány v rámci návrhu rozpočtu Moravskoslezského kraje pro jednotlivé roky, na základě schváleného usnesení zastupitelstvem kraje, avšak vždy upraveny o předpokládané ovlivňující další faktory (výše tržeb, příspěvek obcí, inflace/deflace). Závazek trvá do června 2028. </t>
  </si>
  <si>
    <t xml:space="preserve">Závazek Moravskoslezského kraje byl schválen usnesením zastupitelstva kraje č. 3/132 ze dne 16.03.2017 v min. výši 335.673 tis. Kč, který byl následně změněn usnesením zastupitelstva kraje č. 6/542 ze dne 14.12.2017 na min. výši 412.490 tis. Kč. Finanční prostředky na zajištění financování konkrétních smluv v případě jednotlivých let tak budou nárokovány v rámci návrhu rozpočtu Moravskoslezského kraje pro jednotlivé roky, na základě schváleného usnesení zastupitelstvem kraje, avšak vždy upraveny o předpokládané ovlivňující další faktory (výše tržeb, příspěvek obcí, inflace/deflace). Závazek trvá do roku 2028. </t>
  </si>
  <si>
    <t>Z-Group bus a.s., Zlín 
(45192120)</t>
  </si>
  <si>
    <t xml:space="preserve">Závazek Moravskoslezského kraje byl schválen usnesením zastupitelstva kraje č. 3/132 ze dne 16.03.2017 v min. výši 1.825.200 tis. Kč, který byl následně změněn usnesením zastupitelstva kraje č. 6/542 ze dne 14.12.2017 na min. výši 1.945.866 tis. Kč. Finanční prostředky na zajištění financování konkrétních smluv v případě jednotlivých let tak budou nárokovány v rámci návrhu rozpočtu Moravskoslezského kraje pro jednotlivé roky, na základě schváleného usnesení zastupitelstvem kraje, avšak vždy upraveny o předpokládané ovlivňující další faktory (výše tržeb, příspěvek obcí, inflace/deflace). Závazek trvá do roku 2028. </t>
  </si>
  <si>
    <t>Závazek Moravskoslezského kraje byl schválen usnesením zastupitelstva kraje č. 3/132 ze dne 16.03.2017 v min. výši 1.357.200 tis. Kč, který byl následně změněn usnesením zastupitelstva kraje č. 6/542 ze dne 14.12.2017 na min. výši 1.543.256 tis. Kč. Finanční prostředky na zajištění financování konkrétních smluv v případě jednotlivých let tak budou nárokovány v rámci návrhu rozpočtu Moravskoslezského kraje pro jednotlivé roky, na základě schváleného usnesení zastupitelstvem kraje, avšak vždy upraveny o předpokládané ovlivňující další faktory (výše tržeb, příspěvek obcí, inflace/deflace). Závazek bude trvat do roku 2028.</t>
  </si>
  <si>
    <t>Závazek Moravskoslezského kraje byl schválen usnesením zastupitelstva kraje č. 4/253 ze dne 15.06.2017 v min. výši 1.076.400 tis. Kč, který byl následně změněn usnesením zastupitelstva kraje č. 6/542 ze dne 14.12.2017 na min. výši 1.215.734 tis. Kč. Finanční prostředky na zajištění financování konkrétních smluv v případě jednotlivých let tak budou nárokovány v rámci návrhu rozpočtu Moravskoslezského kraje pro jednotlivé roky, na základě schváleného usnesení zastupitelstvem kraje, avšak vždy upraveny o předpokládané ovlivňující další faktory (výše tržeb, příspěvek obcí, inflace/deflace). Závazek bude trvat do roku 2029.</t>
  </si>
  <si>
    <t xml:space="preserve">Závazek Moravskoslezského kraje byl schválen usnesením zastupitelstva kraje č. 4/253 ze dne 15.06.2017 v min. výši 702.000 tis. Kč, který byl následně změněn usnesením zastupitelstva kraje č. 6/542 ze dne 14.12.2017 na min. výši 731.120 tis. Kč. Finanční prostředky na zajištění financování konkrétních smluv v případě jednotlivých let tak budou nárokovány v rámci návrhu rozpočtu Moravskoslezského kraje pro jednotlivé roky, na základě schváleného usnesení zastupitelstvem kraje, avšak vždy upraveny o předpokládané ovlivňující další faktory (výše tržeb, příspěvek obcí, inflace/deflace). Závazek trvá do roku 2029. </t>
  </si>
  <si>
    <t>Závazek Moravskoslezského kraje byl schválen usnesením zastupitelstva kraje č. 4/253 ze dne 15.06.2017 v min. výši 1.638.000 tis. Kč, který byl následně změněn usnesením zastupitelstva kraje č. 6/542 ze dne 14.12.2017 na min. výši 1.729.000 tis. Kč. Finanční prostředky na zajištění financování konkrétních smluv v případě jednotlivých let tak budou nárokovány v rámci návrhu rozpočtu Moravskoslezského kraje pro jednotlivé roky, na základě schváleného usnesení zastupitelstvem kraje, avšak vždy upraveny o předpokládané ovlivňující další faktory (výše tržeb, příspěvek obcí, inflace/deflace). Závazek trvá do roku 2029.</t>
  </si>
  <si>
    <t>Usnesením zastupitelstva kraje č. 12/1408 ze dne 13.06.2019 byl schválen závazek kraje v max. výši 274.393,33 tis. Kč na zajištění dopravní obslužnosti Moravskoslezského kraje v relaci Ostrava – Šumperk, a to na období 8,5 let od data zahájení poskytování veřejných služeb v přepravě cestujících veřejnou linkovou osobní dopravou v dané oblasti. Pro tuto oblast byla využita opce v rámci již uzavřené smlouvy na oblast Opavsko.</t>
  </si>
  <si>
    <t>Závazek Moravskoslezského kraje byl schválen usnesením zastupitelstva kraje č. 5/420 ze dne 14.09.2017 v min. výši 538.200 tis. Kč, který byl následně změněn usnesením zastupitelstva kraje č. 6/542 ze dne 14.12.2017 na min. výši 568.100 tis. Kč. Finanční prostředky na zajištění financování konkrétních smluv v případě jednotlivých let tak budou nárokovány v rámci návrhu rozpočtu Moravskoslezského kraje pro jednotlivé roky, na základě schváleného usnesení zastupitelstvem kraje, avšak vždy upraveny o předpokládané ovlivňující další faktory (výše tržeb, příspěvek obcí, inflace/deflace). Závazek bude trvat do roku 2028.</t>
  </si>
  <si>
    <t>Závazek Moravskoslezského kraje byl schválen usnesením zastupitelstva kraje č. 5/420 ze dne 14.09.2017 v min. výši 959.400 tis. Kč, který byl následně změněn usnesením zastupitelstva kraje č. 6/542 ze dne 14.12.2017 na min. výši 1.012.700 tis. Kč. Finanční prostředky na zajištění financování konkrétních smluv v případě jednotlivých let tak budou nárokovány v rámci návrhu rozpočtu Moravskoslezského kraje pro jednotlivé roky, na základě schváleného usnesení zastupitelstvem kraje, avšak vždy upraveny o předpokládané ovlivňující další faktory (výše tržeb, příspěvek obcí, inflace/deflace). Závazek bude trvat do roku 2028.</t>
  </si>
  <si>
    <t>Závazek Moravskoslezského kraje byl schválen usnesením zastupitelstva kraje č. 5/420 ze dne 14.09.2017 v min. výši 678.600 tis. Kč, který byl následně změněn usnesením zastupitelstva kraje č. 6/542 ze dne 14.12.2017 na min. výši 716.300 tis. Kč. Finanční prostředky na zajištění financování konkrétních smluv v případě jednotlivých let tak budou nárokovány v rámci návrhu rozpočtu Moravskoslezského kraje pro jednotlivé roky, na základě schváleného usnesení zastupitelstvem kraje, avšak vždy upraveny o předpokládané ovlivňující další faktory (výše tržeb, příspěvek obcí, inflace/deflace). Závazek bude trvat do roku 2028.</t>
  </si>
  <si>
    <t>Závazek Moravskoslezského kraje byl schválen usnesením zastupitelstva kraje č. 6/553 ze dne 14.12.2017 v min. výši 1.050.244 tis. Kč. Finanční prostředky na zajištění financování konkrétních smluv v případě jednotlivých let tak budou nárokovány v rámci návrhu rozpočtu Moravskoslezského kraje pro jednotlivé roky, na základě schváleného usnesení zastupitelstvem kraje, avšak vždy upraveny o předpokládané ovlivňující další faktory (výše tržeb, příspěvek obcí, inflace/deflace). Závazek bude trvat do roku 2029.</t>
  </si>
  <si>
    <t>Transdev Slezsko a.s.
(45192081)</t>
  </si>
  <si>
    <r>
      <t>Závazek Moravskoslezského kraje byl schválen usnesením zastupitelstva kraje č. 4/253 ze dne 15.06.2017 v min. výši 1.123.200 tis. Kč, č. 6/542 ze dne 14.12.2017 (min. výše 1.185.600 tis. Kč), který byl následně změněn usnesením zastupitelstva kraje č. 11/1228 ze dne 13.3.2019 na minimální výši 1.310.400 tis. Kč.</t>
    </r>
    <r>
      <rPr>
        <b/>
        <sz val="8"/>
        <rFont val="Tahoma"/>
        <family val="2"/>
        <charset val="238"/>
      </rPr>
      <t xml:space="preserve"> </t>
    </r>
    <r>
      <rPr>
        <sz val="8"/>
        <rFont val="Tahoma"/>
        <family val="2"/>
        <charset val="238"/>
      </rPr>
      <t>Závazek trvá do roku 2030. Finanční prostředky na zajištění financování konkrétních smluv v případě jednotlivých let tak budou nárokovány v rámci návrhu rozpočtu Moravskoslezského kraje pro jednotlivé roky, na základě schváleného usnesení zastupitelstvem kraje, avšak vždy upraveny o předpokládané ovlivňující další faktory (výše tržeb, příspěvek obcí, inflace/deflace). Závazek bude trvat do roku 2030.</t>
    </r>
  </si>
  <si>
    <t xml:space="preserve">Závazek Moravskoslezského kraje byl schválen usnesením zastupitelstva kraje č.9/966 ze dne 13.09.2018 v min. výši 202.190 tis. Kč. Závazek trvá od roku 2019 do roku 2028. Finanční prostředky na zajištění financování konkrétní smlouvy v případě jednotlivých let tak budou nárokovány v rámci návrhu rozpočtu Moravskoslezského kraje pro jednotlivé roky, na základě schváleného usnesení zastupitelstvem kraje, avšak vždy upraveny o předpokládanou inflaci/deflaci. </t>
  </si>
  <si>
    <t xml:space="preserve">Závazek Moravskoslezského kraje byl schválen usnesením zastupitelstva kraje č. 9/966 ze dne 13.09.2018 v min. výši 19.782,5 tis. Kč. Závazek trvá od roku 2019 do roku 2028. Finanční prostředky na zajištění financování budou nárokovány v rámci návrhu rozpočtu Moravskoslezského kraje pro jednotlivé roky, na základě schváleného usnesení zastupitelstvem kraje, avšak vždy upraveny o předpokládanou inflaci/deflaci. </t>
  </si>
  <si>
    <t xml:space="preserve">Závazek Moravskoslezského kraje byl schválen usnesením zastupitelstva kraje č. 15/1612 ze dne 07.03.2024 v max. výši  8.595,51 tis. Kč. Závazek trvá od roku 2024 do roku 2033. Finanční prostředky na zajištění financování budou nárokovány v rámci návrhu rozpočtu Moravskoslezského kraje pro jednotlivé roky, na základě schváleného usnesení zastupitelstvem kraje, avšak vždy upraveny o předpokládanou inflaci/deflaci. </t>
  </si>
  <si>
    <t xml:space="preserve">Závazek Moravskoslezského kraje byl schválen usnesením zastupitelstva kraje č. 15/1612 ze dne 07.03.2024 v max. výši  2.149,22 tis. Kč. Závazek trvá od roku 2024 do roku 2033. Finanční prostředky na zajištění financování budou nárokovány v rámci návrhu rozpočtu Moravskoslezského kraje pro jednotlivé roky, na základě schváleného usnesení zastupitelstvem kraje, avšak vždy upraveny o předpokládanou inflaci/deflaci. </t>
  </si>
  <si>
    <t>05061/2024/DSH</t>
  </si>
  <si>
    <t xml:space="preserve">Závazek Moravskoslezského kraje byl schválen usnesením zastupitelstva kraje č. 2/67 ze dne 16.12.2024 ve výši  315.000 tis. Kč. Závazek trvá od roku 2025 do roku 2034.  Finanční prostředky na zajištění financování budou nárokovány v rámci návrhu rozpočtu Moravskoslezského kraje pro jednotlivé roky, na základě schváleného usnesení zastupitelstvem kraje, avšak vždy upraveny o předpokládanou inflaci/deflaci. </t>
  </si>
  <si>
    <t>00698/2017/DSH/8</t>
  </si>
  <si>
    <t xml:space="preserve">Zastupitelstvo kraje svým usnesením č. 3/131 ze dne 16.03.2017 rozhodlo o uzavření smlouvy. Usnesením zastupitelstva kraje č. 6/541 ze dne 14.12.2017 byl schválen závazek v min. výši 56.000 tis. Kč a následně usnesením č. 14/1675 ze dne 12.12.2019 byl tento závazek navýšen na 72.000 tis. Kč. Závazek trvá od 01.01.2018 do 31.12.2027. Finanční prostředky v jednotlivých let jsou nárokovány v rámci návrhu rozpočtu, na základě schváleného usnesení zastupitelstvem kraje, avšak vždy upraveny o předpokládanou inflaci/deflaci. </t>
  </si>
  <si>
    <t>05491/2016/DSH/7</t>
  </si>
  <si>
    <t xml:space="preserve">Zastupitelstvo kraje svým usnesením č. 21/2211 ze dne 22.09.2016 rozhodlo o uzavření smlouvy o finanční spolupráci ve veřejné linkové osobní dopravě mezi Moravskoslezským krajem a Zlínským krajem. Dále usnesením zastupitelstva kraje č. 10/1067 ze dne 13.12.2018 byl schválen závazek v min. výši 24.000 tis. Kč.  Závazek trvá od roku 2019 do roku 2028. Finanční prostředky na zajištění financování budou nárokovány v rámci návrhu rozpočtu Moravskoslezského kraje pro jednotlivé roky, na základě schváleného usnesení zastupitelstvem kraje, avšak vždy upraveny o předpokládanou inflaci/deflaci. </t>
  </si>
  <si>
    <t xml:space="preserve">Zajištění dopravní obslužnosti linkovou dopravou - oblast Havířovsko 1
</t>
  </si>
  <si>
    <t>Závazek Moravskoslezského kraje byl schválen usnesením zastupitelstva kraje č. 12/1405 ze dne 13.06.2019  v max. výši 1.947.322 tis. Kč pro oblast Havířovsko 1 + 2. Závazek pro Havířovsko 1 bude trvat do roku 2030 a pro Havířovsko 2 do roku 2026. Finanční prostředky na zajištění financování konkrétní smlouvy v případě jednotlivých let tak budou nárokovány v rámci návrhu rozpočtu Moravskoslezského kraje pro jednotlivé roky, na základě schváleného usnesení zastupitelstvem kraje, avšak vždy upraveny o předpokládané ovlivňující další faktory (výše tržeb, příspěvek obcí, inflace/deflace).</t>
  </si>
  <si>
    <t xml:space="preserve">Závazek Moravskoslezského kraje byl schválen usnesením zastupitelstva kraje č. 17/2041 ze dne 03.09.2020 v max. výši 1.039.486,5 tis. Kč. Závazek bude trvat po dobu 10 let od zahájení služeb.  Finanční prostředky na zajištění financování konkrétní smlouvy v případě jednotlivých let tak budou nárokovány v rámci návrhu rozpočtu Moravskoslezského kraje pro jednotlivé roky, na základě schváleného usnesení zastupitelstvem kraje, avšak vždy upraveny o předpokládané ovlivňující další faktory (výše tržeb, příspěvek obcí, inflace/deflace). V současné době se připravuje požadavek na uskutečnění nadlimitní veřejné zakázky. </t>
  </si>
  <si>
    <t xml:space="preserve">Závazek Moravskoslezského kraje byl schválen usnesením zastupitelstva kraje č. 8/684 ze dne 27.02.2014. Jedná se o smlouvu na dobu neurčitou. </t>
  </si>
  <si>
    <t>Podpora aktivit obcí</t>
  </si>
  <si>
    <t>Statutární město Havířov 
(00297488)</t>
  </si>
  <si>
    <t>04631/2023/DSH/1</t>
  </si>
  <si>
    <t>Závazek Moravskoslezského kraje byl schválen usnesením zastupitelstva kraje č. 14/1484 ze dne 07.12.2023 na období 2024-1/2026. Usnesením zastupitelstva kraje č. 4/256 ze dne 16.06.2025 bylo rozhodnuto o uzavření dodatku č. 1 k memorandu o spolupráci na rozvoji vodíkových technologií v dopravě a o prodloužení závazku kraje do roku 2027.</t>
  </si>
  <si>
    <t xml:space="preserve">Příspěvek na provoz v odvětví dopravy - příspěvkové organizace kraje </t>
  </si>
  <si>
    <t>Správa silnic Moravskoslezského kraje, příspěvková organizace, Ostrava
(00095711)</t>
  </si>
  <si>
    <t xml:space="preserve">Závazek Moravskoslezského kraje byl schválen usnesením zastupitelstva kraje č.3/168 ze dne 17.03.2025 v max. výši 12.000 tis. Kč ročně, a to na období od 2026 do 2028, které je vypláceno zpětně. Jedná se o úklid pozemních komunikací v majetku kraje (silnice II. a III. třídy) nad rámec zákonných požadavků. </t>
  </si>
  <si>
    <t>Členství Moravskoslezského kraje v zájmovém spolku na dobu neurčitou schválilo zastupitelstvo kraje usnesením č. 8/722 ze dne 16.06.2022. Následně usnesením zastupitelstva kraje č. 15/1600 ze dne 07.03.2024 došlo k mimořádnému navýšení členského příspěvku o 883 tis. Kč/rok v období let 2024-2028.</t>
  </si>
  <si>
    <t xml:space="preserve">Zastupitelstvo kraje usnesením č. 5/455 ze dne  14.09.2017 rozhodlo zajistit udržitelnost projektu Geoportál MSK - část dopravní infrastruktura financovaného z Integrovaného regionálního operačního programu. Další závazky kraje vyplývající z dodavatelských smluv uzavřených krajem na dobu neurčitou. Jedná se zejména o smlouvy na servisní a technickou podporu (maintenance), údržba a provoz KDS, NEWPS.cz, spisová služba, kde v průběhu let dochází k mírnému navýšení výdajů s ohledem na vývoj inflace.   </t>
  </si>
  <si>
    <t xml:space="preserve">Závazek kraje vyplývající z dodavatelských smluv uzavřených krajem na dobu neurčitou. Jedná se zejména o smlouvy na technickou a zákaznickou podporu, aktualizaci a obnovu dat, služby k IT systémům a softwarové zpracování výstupů IT, inteligentní parkovací systém v okolí KÚ MSK, dynamický systém rezervace parkovacích míst u budov KÚ MSK v rámci činnosti krajského úřadu, kde v průběhu let dochází k mírnému navýšení výdajů s ohledem na vývoj inflace.   </t>
  </si>
  <si>
    <t>Informační a komunikační technologie KÚ - běžné výdaje
(Licence geoinformačního software)</t>
  </si>
  <si>
    <t>0098/2025/INF/V</t>
  </si>
  <si>
    <t xml:space="preserve">Závazek Moravskoslezského kraje byl schválen usnesením zastupitelstva kraje č. 5/351 ze dne 15.09.2025 v max. výši 6.352,5 tis. Kč. Závazek bude trvat od 01.01.2026 - 31.12.2028. </t>
  </si>
  <si>
    <t>Informační a komunikační technologie KÚ - běžné výdaje
(Licence k produktům společnosti Microsoft Corporation a souvisejících služeb)</t>
  </si>
  <si>
    <t>0125/2025/INF/V</t>
  </si>
  <si>
    <t>více smluv
0107/2025/INF/V</t>
  </si>
  <si>
    <t xml:space="preserve">Závazek kraje vyplývající z dodavatelských smluv uzavřených krajem na dobu neurčitou. Jedná se zejména o smlouvy na technickou a zákaznickou podporu a služby k IT systémům v rámci činnosti zastupitelstva kraje, kde v průběhu let dochází k mírnému navýšení výdajů s ohledem na vývoj inflace. Dále se jedná o zajištění technické podpory systému pro zpracování materiálů samosprávy na období 2027-2029. </t>
  </si>
  <si>
    <t xml:space="preserve">Závazky kraje vyplývající z dodavatelských smluv uzavřených krajem na dobu neurčitou. Jedná se zejména o smlouvu na poskytování datových služeb a uživatelské podpoře a systémové podpoře softwarových produktů, kde v průběhu let dochází k mírnému navýšení výdajů s ohledem na vývoj inflace.   </t>
  </si>
  <si>
    <t>Závazek  kraje schválený usnesením zastupitelstva kraje č. 14/1470 ze dne 07.12.2023 poskytnout neinvestiční dotaci společnosti Letiště Ostrava, a.s. v letech 2024-2028 účelově určenou na výkon služeb v obecném hospodářském zájmu na základě Smlouvy o závazku veřejné služby a vyrovnávací platbě za jeho výkon.</t>
  </si>
  <si>
    <t>Usnesením zastupitelstva kraje č. 8/729 ze dne 16.06.2022 byl schválen závazek poskytnout Statutárnímu městu Ostrava dotaci ve výši 300.000 tis. Kč v letech 2023, 2024 a 2026 ročně ve výši 100.000 tis. Kč. Následně usnesením zastupitelstva kraje č. 18/1810 ze dne 05.09.2024 došlo k posunutí období čerpání dotace na období 2024-2029.</t>
  </si>
  <si>
    <t>POHOPARK, z.s.
(21824126)</t>
  </si>
  <si>
    <t>smlouva 
se neuzavírá</t>
  </si>
  <si>
    <t xml:space="preserve">Členství Moravskoslezského kraje v zájmovém spolku na dobu neurčitou schválilo zastupitelstvo kraje usnesením č. 13/1342 ze dne 07.09.2023. </t>
  </si>
  <si>
    <t xml:space="preserve">Závazky kraje vyplývající z dodavatelských smluv uzavřených krajem na dobu neurčitou. Jedná se zejména o smlouvy na technickou a zákaznickou podporu (maintenance), údržba a provoz KDS, NEWPS.cz, spisová služba, kde v průběhu let dochází k mírnému navýšení výdajů s ohledem na vývoj inflace.   </t>
  </si>
  <si>
    <t>Členství Moravskoslezského kraje v zájmovém sdružení na dobu neurčitou schválilo zastupitelstvo kraje usnesením č. 18/1535 ze dne 23.03.2011. Usnesením zastupitelstva kraje č. 18/1834 ze dne 05.09.2024 došlo k navýšení členského příspěvku na 6.000 tis. Kč ročně.</t>
  </si>
  <si>
    <t>Individuální dotace - Spolufinancování provozu Moravskoslezského inovačního centra Ostrava, a.s.</t>
  </si>
  <si>
    <t>Moravskoslezské inovační centrum Ostrava, a.s. 
(25379631)</t>
  </si>
  <si>
    <t>Závazek dofinancovat činnosti v období 2027-2030 vyplývá ze Smlouvy o poskytnutí vyrovnávací platby za poskytování služeb v obecném hospodářském zájmu.</t>
  </si>
  <si>
    <t>Usnesením zastupitelstva kraje č. 18/1836 ze dne 05.09.2024 bylo rozhodnuto o poskytnutí dotace na realizaci projektu Podpora studia studentů studijního programu Zubní lékařství a o dofinancování dalších splátek dotace ve výši 3.100 tis. Kč z rozpočtu kraje na roky 2026-2031.</t>
  </si>
  <si>
    <t>Usnesením zastupitelstva kraje č. 18/1836 ze dne 05.09.2024 bylo rozhodnuto o poskytnutí dotace na realizaci projektu Global Experts - zvýšení kvality mezinárodního výzkumu na SU v Opavě a o dofinancování druhé splátky dotace ve výši 3.000 tis. Kč z rozpočtu kraje na rok 2028.</t>
  </si>
  <si>
    <t>Dotační program – Podpora obnovy a rozvoje venkova Moravskoslezského kraje 2026</t>
  </si>
  <si>
    <t>Závazek dofinancovat výplatu druhých splátek dotací po předložení závěrečných vyúčtování v roce 2027 je vyvolán zařazením dotačního programu do rozpočtu kraje na rok 2026.</t>
  </si>
  <si>
    <t>Dotační program - Program na podporu přípravy projektové dokumentace 2023</t>
  </si>
  <si>
    <t>Usnesením zastupitelstva kraje č. 4/211 ze dne 16.06.2025 a č. 5/308 ze dne 15.09.2025 bylo rozhodnuto o dofinancování druhých splátek dotací z rozpočtu kraje na rok 2026 a 2027.</t>
  </si>
  <si>
    <t>Usnesením zastupitelstva kraje č. 5/304 ze dne 15.09.2025 bylo rozhodnuto o poskytnutí dotací v rámci programu a byl schválen závazek dofinancovat výplatu druhých splátek dotací z rozpočtu kraje na rok 2027.</t>
  </si>
  <si>
    <t>Dotační program - Program na podporu přípravy projektové dokumentace 2026</t>
  </si>
  <si>
    <t>Závazek dofinancovat výplatu druhých splátek dotací po předložení závěrečných vyúčtování v roce 2028 je vyvolán zařazením dotačního programu do rozpočtu kraje na rok 2026.</t>
  </si>
  <si>
    <t>Usnesením zastupitelstva kraje č. 5/298 ze dne 15.09.2025 bylo rozhodnuto o poskytnutí dotací v rámci programu a byl schválen závazek dofinancovat výplatu druhých splátek dotací z rozpočtu kraje na rok 2027.</t>
  </si>
  <si>
    <t>Dotační program - Podpora vědy a výzkumu v Moravskoslezském kraji 2026</t>
  </si>
  <si>
    <t>Závazek dofinancovat výplatu druhých splátek dotací po předložení závěrečných vyúčtování v roce 2029 je vyvolán zařazením dotačního programu do rozpočtu kraje na rok 2026.</t>
  </si>
  <si>
    <t>Dotační program - Podpora podnikání v Moravskoslezském kraji 2026</t>
  </si>
  <si>
    <t>Dotační program – Podpora znevýhodněných oblastí Moravskoslezského kraje 2024</t>
  </si>
  <si>
    <t>Obec Dívčí Hrad
(576115)</t>
  </si>
  <si>
    <t>03942/2024/RRC</t>
  </si>
  <si>
    <t>Usnesením zastupitelstva kraje č. 3/118 ze dne 17.03.2025 byl uzavřen dodatek ke smlouvě s prodloužením časové použitelnosti dotace.</t>
  </si>
  <si>
    <t>Dotační program – Podpora znevýhodněných oblastí Moravskoslezského kraje 2026</t>
  </si>
  <si>
    <t xml:space="preserve">Dotační program - Podpora provozu venkovských prodejen v Moravskoslezském kraji 2026 </t>
  </si>
  <si>
    <t>Finanční prostředky jsou určeny na vyhlášení dotačního programu ve druhé polovině roku 2026 na projekty realizované v roce 2026, ale s výplatou počátkem roku 2027.</t>
  </si>
  <si>
    <t>Členství Moravskoslezského kraje v zájmovém sdružení právnických osob Evropská kulturní stezka sv. Cyrila a Metoděje na dobu neurčitou schválilo zastupitelstvo kraje usnesením č. 12/1085 ze dne 11.12.2014. Závazek Moravskoslezského kraje byl schválen usnesením zastupitelstva kraje č. 6/520 ze dne 14.12.2017. Usnesením zastupitelstva kraje č. 11/1144 ze dne 10.03.2023 bylo rozhodnuto o navýšení členského příspěvku.</t>
  </si>
  <si>
    <t>02180/2025/DSH</t>
  </si>
  <si>
    <t>Dofinancování druhé splátky smlouvy o nájmu za účelem umístění reklamy Moravskoslezského kraje Letištěm Ostrava, a.s. Cílem je prezentace a propagace nejvýznamnějších turistických zajímavostí Moravskoslezského kraje. Smlouva č. 02180/2025/DSH je uzavřená se společností Letiště Ostrava a.s. na období od 01.09.2025 do 31.08.2026. V roce 2026 se předpokládá uzavřít navazující smlouvu.</t>
  </si>
  <si>
    <t>Obec Leskovec nad Moravicí (296155)</t>
  </si>
  <si>
    <t>Na základě usnesení zastupitelstva kraje č. 18/1846 ze dne 05.09.2024 bylo uzavřeno Memorandum o spolupráci mezi Moravskoslezským krajem a obcí Leskovec nad Moravicí a současně schválen závazek kraje k zajištění financování oblastí spolupráce definovaných v Memorandu v maximální výši 15.000 tis. Kč z rozpočtu kraje v letech 2026-2028.</t>
  </si>
  <si>
    <t>Usnesením zastupitelstva kraje č. 18/1846 ze dne 05.09.2024 bylo rozhodnuto o poskytnutí dotace a závazku dofinancovat výplatu dalších splátek dotací z rozpočtu kraje na rok 2026 a 2027.</t>
  </si>
  <si>
    <t>Individuální dotace - Fondy pro podporu turistických lokalit</t>
  </si>
  <si>
    <t>Obec Prostřední Bečva
(00304221)</t>
  </si>
  <si>
    <t>Obec Ostravice
(00297046),
obec Krásná
(00577022),
obec Malenovice
(00576964),
obec Staré Hamry
(00297241)</t>
  </si>
  <si>
    <t xml:space="preserve">Rada kraje rozhodla usnesením č. 96/6959 ze dne 06.05.2024 rozhodla o uzavření Memoranda o spolupráci mezi Moravskoslezským krajem a obcemi Krásná,  Malenovice, Ostravice a Staré Hamry týkajícího se zvelebení oblasti v okolí  Lysé hory pro  oblast  cestovního  ruchu. Finanční prostředky jsou určeny jako příspěvek do Fondu Lysá hora, a to na základě žádosti obce Ostravice. </t>
  </si>
  <si>
    <t>Usnesením zastupitelstva kraje č. 5/316 ze dne 15.09.2025 bylo rozhodnuto o poskytnutí dotací v rámci programu a byl schválen závazek dofinancovat výplatu druhých splátek dotací z rozpočtu kraje na rok 2027.</t>
  </si>
  <si>
    <t>Dotační program – Podpora infrastruktury a propagace cestovního ruchu v Moravskoslezském kraji 2026</t>
  </si>
  <si>
    <t>Dotační program – Podpora systému destinačního managementu turistických oblastí 2026-2027</t>
  </si>
  <si>
    <t>Závazek dofinancovat výplatu druhých splátek dotací po předložení závěrečných vyúčtování a části paušálních plateb v roce 2027 je vyvolán zařazením dotačního programu do rozpočtu kraje na rok 2026.</t>
  </si>
  <si>
    <t>Dotační program – Podpora rozvoje cykloturistiky v Moravskoslezském kraji 2025+</t>
  </si>
  <si>
    <t>Usnesením zastupitelstva kraje č. 3/120 ze dne 17.03.2025 bylo rozhodnuto o poskytnutí dotací v rámci programu a byl schválen závazek dofinancovat výplatu druhých splátek dotací z rozpočtu kraje na rok 2026 a 2027. Usnesením zastupitelstva kraje č. 5/313 ze dne 15.09.2025 byl upraven závazek na dofinancování projektů z rozpočtu kraje na rok 2026 a 2027.</t>
  </si>
  <si>
    <t>Dotační program - Podpora akcí v cestovním ruchu v Moravskoslezském kraji 2027</t>
  </si>
  <si>
    <t>Finanční prostředky jsou určeny na vyhlášení dotačního programu ve druhé polovině roku 2026 na projekty realizované v roce 2027.</t>
  </si>
  <si>
    <t>Asociace poskytovatelů sociálních služeb České republiky, z.s.
(60445831)</t>
  </si>
  <si>
    <t>Členství Moravskoslezského kraje v Asociaci poskytovatelů sociálních služeb České republiky na dobu neurčitou schválilo zastupitelstvo kraje usnesení č. 8/809 ze dne 16.06.2022. Navýšení poplatku za přidružené členství na 2,5 tis. Kč schválilo zastupitelstvo kraje usnesením 15/1650 ze dne 07.03.2024.</t>
  </si>
  <si>
    <t>Individuální dotace - Humanizace a rozšíření pobytové sociální služby v Havířově</t>
  </si>
  <si>
    <t>Statutární město Havířov (00297488)</t>
  </si>
  <si>
    <t>Usnesením zastupitelstva kraje č. 4/221 ze dne 16.06.2025 bylo rozhodnuto o poskytnutí dotace a byl schválen závazek dofinancovat splátky dotace z rozpočtu 2026-2027.</t>
  </si>
  <si>
    <t>POLAR televize Ostrava, s.r.o. (25859838)</t>
  </si>
  <si>
    <t>02129/2025/ŠMS</t>
  </si>
  <si>
    <t>Komplexní vedení a propagace kampaně Řemeslo má respekt v letech 2025 - 2028 s každoročním prodlužováním po dobu tří let. Smlouva je uzavřena na částku 5.142,5 tis. Kč (předpokládaná hodnota veřejné zakázky byla 5.220 tis. Kč).</t>
  </si>
  <si>
    <t>Kraj Vysočina
(70890749)</t>
  </si>
  <si>
    <t>Usnesením zastupitelstva kraje č. 13/1437 ze dne 07.09.2023 bylo rozhodnuto schválit závazek Moravskoslezského kraje za účelem úhrady nákladů spojených s realizací a koordinací projektu Kraje pro bezpečný internet, a to ve výši 60 tis. Kč ročně s platností od roku 2024 (Smlouva o spolupráci při zajištění realizace projektu Kraje pro bezpečný internet - na dobu neurčitou).</t>
  </si>
  <si>
    <t>04249/2024/ŠMS
 dodatek dosud neuzavřen</t>
  </si>
  <si>
    <t>Usnesením zastupitelstva kraje č. 17/1787 ze dne 06.06.2024 bylo rozhodnuto o závazku kraje ve výši 11.000 tis. Kč k zajištění finanční podpory akce Ostrava Beach Pro, a to na období let 2025 - 2026 (Memorandum o vzájemné spolupráci a finanční podpoře akce Ostrava Beach Pro v letech 2025 a 2026). Usnesením zastupitelstva kraje č. 5/352 ze dne 15.09.2025 bylo rozhodnuto o závazku kraje ve výši 5.500 tis. Kč v roce 2027 a 5.500 tis. Kč v roce 2028 k zajištění finanční podpory akce Ostrava Beach Pro v dalších letech (dodatek k Memorandu o vzájemné spolupráci a finanční podpoře akce Ostrava Beach Pro v letech 2025 a 2026 dosud neuzavřen).</t>
  </si>
  <si>
    <t>Moravskoslezská Technologická Akademie, z. s.
(17445191)</t>
  </si>
  <si>
    <t>Usnesením zastupitelstva kraje č. 8/821 ze dne 16.06.2022 bylo rozhodnuto o závazku Moravskoslezského kraje ve výši celkem 8.500 tis. Kč na období let 2023 - 2025 a od roku 2026 ve výši 4.000 tis. Kč ročně za účelem úhrady příspěvku Hlavního zakladatele spolku Moravskoslezská Technologická Akademie, z. s. (na dobu neurčitou).</t>
  </si>
  <si>
    <t>Členství Moravskoslezského kraje v zájmovém sdružení na dobu neurčitou schválilo zastupitelstvo kraje usnesením č. 10/1116 ze dne 13.12.2018. Usnesením zastupitelstva kraje č. 10/1017 ze dne 15.12.2022 byl navýšen členský příspěvek na 4,4 mil. Kč s platností od roku 2023.</t>
  </si>
  <si>
    <t xml:space="preserve">Individuální dotace - Multifunkční sportovní hala v Ostravě </t>
  </si>
  <si>
    <t>Statutární město Ostrava (00845451)</t>
  </si>
  <si>
    <t xml:space="preserve">Usnesením zastupitelstva kraje č. 5/352 ze dne 15.09.2025 bylo rozhodnuto o závazku kraje v maximální výši 100.000 tis. Kč v letech 2026-2028 k zajištění podpory realizace výstavby „Multifunkční sportovní haly v Ostravě“ na ulici U Stadiónu (Memorandum o vzájemné spolupráci a finanční podpoře při realizaci výstavby „Multifunkční sportovní haly v Ostravě“ na ulici U Stadiónu). </t>
  </si>
  <si>
    <t>Individuální dotace – Podpora vybudování fotbalového stadionu Bazaly</t>
  </si>
  <si>
    <t>Usnesením zastupitelstva kraje č. 5/352 ze dne 15.09.2025 bylo rozhodnuto o závazku kraje v maximální výši 250.000 tis. Kč v letech 2026–2030 k zajištění podpory k vybudování plnohodnotného moderního fotbalového stadionu na území městského obvodu Slezská Ostrava, v areálu Bazaly (Memorandum o spolupráci při výstavbě fotbalového stadionu Bazaly).</t>
  </si>
  <si>
    <t>04706/2024/ŠMS</t>
  </si>
  <si>
    <t>Usnesením zastupitelstva kraje č. 15/1663 ze dne 07.03.2024 bylo rozhodnuto o závazku kraje ve výši 90 mil. Kč k zajištění finanční podpory výstavby vysokoškolských kolejí pro studenty Ostravské univerzity, a to na období let 2025–2027 (Memorandum o finanční podpoře výstavby vysokoškolských kolejí pro studenty Ostravské univerzity č. 02075/2024/ŠMS). Usnesením zastupitelstva kraje č. 18/1872 ze dne 05.09.2024 bylo rozhodnuto poskytnout investiční účelovou dotaci z rozpočtu kraje subjektu Ostravská univerzita, IČO 61988987 ve výši 90 mil. Kč na úhradu nákladů spojených s realizací projektu Koleje Jana Opletala, Kranichova 1433/8, s časovou použitelností od 01.04.2025 do 31.12.2027 (Smlouva o poskytnutí dotace č. 04706/2024/ŠMS).</t>
  </si>
  <si>
    <t>Usnesením zastupitelstva kraje č. 4/260 ze dne 16.06.2025 bylo rozhodnuto o  závazku kraje ve výši 25.665 tis. Kč bez DPH (tj. 31.050 tis. Kč vč. DPH) na zajištění licencí k produktům společnosti Microsoft Corporation a souvisejících služeb pro organizace zřizované krajem v odvětví školství v letech 2026-2028.</t>
  </si>
  <si>
    <t xml:space="preserve">Závazky kraje vyplývající z dodavatelských smluv uzavřených krajem na dobu neurčitou. Jedná se zejména o smlouvu o poskytování služby  jednotného personálního a mzdového systému, dále smlouvy na technickou a zákaznickou podporu (maintenance), údržbu a provoz KDS, NEWPS.cz, spisovou službu, kde v průběhu let dochází k mírnému navýšení výdajů s ohledem na vývoj inflace.   </t>
  </si>
  <si>
    <t xml:space="preserve">Zastupitelstvo kraje usnesením č. 2/55 ze dne  17.12.2020 rozhodlo zajistit udržitelnost projektu "Digitální technická mapa Moravskoslezského kraje financovaného z Operačního programu Podnikání a inovace pro konkurenceschopnost" v letech 2024 - 2028. Smlouva na dobu neurčitou, kde v průběhu let dochází k mírnému navýšení výdajů s ohledem na vývoj inflace.   </t>
  </si>
  <si>
    <t>Dle § 110 odst. 1 zákona č. 372/2011 Sb., o zdravotních službách a podmínkách jejich poskytování, ve znění pozdějších předpisů, odpovídá kraj za organizaci a zajištění prohlídek těl zemřelých mimo zdravotnické zařízení na svém území. Závazek na léta 2027-2029 je z důvodu vyhlášení veřejné zakázky.</t>
  </si>
  <si>
    <t>Dle § 110 zákona č. 372/2011 Sb., o zdravotních službách a podmínkách jejich poskytování, ve znění pozdějších předpisů, kraj zajišťuje lékařské pohotovostní služby a pohotovostní služby v oboru zubní lékařství na svém území, a to v samostatné působnosti. K zajištění plnění povinnosti na území okresu Ostrava-město rozhodlo zastupitelstvo kraje usnesením č. 2/22 ze dne 16.12.2024 o závazku kraje ve výši 12.000 tis. Kč ročně, a to na období 2026-2028.</t>
  </si>
  <si>
    <t>Městská nemocnice Ostrava, příspěvková organizace
(00635162)</t>
  </si>
  <si>
    <t>Dle § 89a odst. 4 zákona č. 373/2011 Sb., o specifických zdravotních službách, ve znění pozdějších předpisů, kraj zajišťuje protialkoholní a protitoxikomanickou záchytnou službu (dále jen „záchytná služba“) na svém území, a to v samostatné působnosti. Závazek na léta 2027-2029 je z důvodu vyhlášení veřejné zakázky.</t>
  </si>
  <si>
    <t>Závazek byl schválen zastupitelstvem kraje usnesením č. 8/737 ze dne 16.06.2022 k zajištění financování celoživotního vzdělávání všeobecných sester v letech 2024–2026 ve výši 2.400 tis. Kč ročně. O prodloužení a navýšení závazku ve školním roce 2025-2026 rozhodlo zastupitelstvo kraje usnesením č. 2/22 ze dne 16.12.2024, a to na období 2026-2028.</t>
  </si>
  <si>
    <t>Rada kraje usnesením č. 45/3982 ze dne 28.08.2018 a č. 94/8214 ze dne 17.08.2020 souhlasila se způsobem podpory navýšení počtu studentů prvních ročníků Lékařské fakulty Ostravské univerzity oboru Všeobecné lékařství, počínaje akademickým rokem 2018/2019. Usnesením č. 13/1353 ze dne 07.09.2023 rozhodlo zastupitelstvo kraje o závazku kraje ve výši 350 tis. Kč ročně na období 2024-2026. Schválením závazku na léta 2027-2029 bude zajištěno plnění usnesení rady kraje v další letech.</t>
  </si>
  <si>
    <t xml:space="preserve">Závazky kraje vyplývající z dodavatelských smluv uzavřených krajem na dobu neurčitou. Jedná se zejména o smlouvy na technickou a zákaznickou podporu (maintenance), údržba a provoz KDS, NEWPS.cz, spisová služba, MIS pro oblast zdravotnictví a nemocnice, identitní brána, kde v průběhu let dochází k mírnému navýšení výdajů s ohledem na vývoj inflace.   </t>
  </si>
  <si>
    <t>Smlouva o poskytnutí pozáruční servisní podpory Digitálnímu povodňovému plánu Moravskoslezského kraje uzavíraná Moravskoslezským krajem č. 03967/2023/ŽPZ na období 2023-2027. Závazek byl schválen usnesením zastupitelstva kraje č. 14/1454 ze dne 07.12.2023.</t>
  </si>
  <si>
    <t xml:space="preserve">Usnesením rady kraje č. 92/7993 ze dne 20.07.2020 byla uzavřena smlouva na pořízení aplikace pro webovou prezentaci a správu Plánu rozvoje vodovodů a kanalizací, včetně technické a servisní podpory.   </t>
  </si>
  <si>
    <t>Dobrovolné dohody - „Informační systém o znečištění ovzduší“</t>
  </si>
  <si>
    <t>Usnesením zastupitelstva kraje č.3/168 ze dne 17.03.2025 rozhodlo zajistit financování závazku kraje u akce rozpočtu „Informační systém o znečištění ovzduší“, a to na období od 2026 do 2028, ve výši 2.000 tis. Kč ročně.</t>
  </si>
  <si>
    <t>Dobrovolné dohody -  „Dotační program – Podpora návrhu řešení nakládání s vodami“</t>
  </si>
  <si>
    <t>Usnesením zastupitelstva kraje č. 3/168 ze dne 17.03.2025 rozhodlo zajistit financování závazku kraje u akce rozpočtu „Dotační program – Podpora návrhu řešení nakládání s vodami“, a to na období od 2026 do 2028, ve výši 1.500 tis. Kč ročně.</t>
  </si>
  <si>
    <t>Dobrovolné dohody -  „Dotační program – Podpora vzdělávání a poradenství v oblasti životního prostředí“</t>
  </si>
  <si>
    <t>Usnesením zastupitelstva kraje č.3/168 ze dne 17.03.2025 rozhodlo zajistit financování závazku kraje u akce rozpočtu „Dotační program – Podpora vzdělávání a poradenství v oblasti životního prostředí“, a to na období od 2026 do 2028, ve výši 3.000 tis. Kč ročně.</t>
  </si>
  <si>
    <t>Dobrovolné dohody -  „Podpora předcházení vzniku odpadů a jejich třídění“</t>
  </si>
  <si>
    <t>Usnesením zastupitelstva kraje č. 3/168 ze dne 17.03.2025 rozhodlo zajistit financování závazku kraje u akce rozpočtu „Podpora předcházení vzniku odpadů a jejich třídění“, a to na období od 2026 do 2028, ve výši 1.400 tis. Kč ročně.</t>
  </si>
  <si>
    <t>Dobrovolné dohody -  „Propagace v oblasti životního prostředí“</t>
  </si>
  <si>
    <t>Usnesením zastupitelstva kraje č. 3/168 ze dne 17.03.2025 rozhodlo zajistit financování závazku kraje u akce rozpočtu „Propagace v oblasti životního prostředí“, a to na období od 2026 do 2028, ve výši 1.000 tis. Kč ročně.</t>
  </si>
  <si>
    <t>Individuální dotace - Podpora vodohospodářských projektů</t>
  </si>
  <si>
    <t>obec Razová
(00296287)</t>
  </si>
  <si>
    <t>01379/2024/RRC</t>
  </si>
  <si>
    <t>Zastupitelstvo kraje rozhodlo usnesením č. 4/210 ze dne 16.06.2025 o prodloužení časové použitelnosti dotace a o závazku dofinancovat druhou splátku dotace z rozpočtu kraje na rok 2027.</t>
  </si>
  <si>
    <r>
      <t>po r. 2029</t>
    </r>
    <r>
      <rPr>
        <b/>
        <vertAlign val="superscript"/>
        <sz val="8"/>
        <rFont val="Tahoma"/>
        <family val="2"/>
        <charset val="238"/>
      </rPr>
      <t>*)</t>
    </r>
  </si>
  <si>
    <t>ODVĚTVÍ PREZENTACE KRAJE A EDIČNÍHO PLÁNU:</t>
  </si>
  <si>
    <t>Smlouva o poskytnutí úvěrového rámce ve výši 3 mld. Kč mezi Českou spořitelnou, a.s., a Moravskoslezským krajem - splátky jistin</t>
  </si>
  <si>
    <t>Smlouva o poskytnutí úvěrového rámce ve výši 3 mld. Kč mezi Českou spořitelnou, a.s., a Moravskoslezským krajem - platba úroků</t>
  </si>
  <si>
    <t>Smlouva o poskytnutí úvěrového rámce mezi UniCredit Bank Czech Republic and Slovakia, a.s., a Moravskoslezským krajem - projektový 2024+ - splátky jistin</t>
  </si>
  <si>
    <t>Smlouva o poskytnutí úvěrového rámce mezi UniCredit Bank Czech Republic and Slovakia, a.s., a Moravskoslezským krajem - projektový 2024+ - platba úroků</t>
  </si>
  <si>
    <r>
      <rPr>
        <vertAlign val="superscript"/>
        <sz val="8"/>
        <rFont val="Tahoma"/>
        <family val="2"/>
        <charset val="238"/>
      </rPr>
      <t>*)</t>
    </r>
    <r>
      <rPr>
        <sz val="8"/>
        <rFont val="Tahoma"/>
        <family val="2"/>
        <charset val="238"/>
      </rPr>
      <t xml:space="preserve"> Hodnota x představuje závazek na dobu neurčitou.</t>
    </r>
  </si>
  <si>
    <t>Usnesením rady kraje č. 91/6773 ze dne 18.3.2024  bylo rozhodnuto o uzavření smlouvy o partnerství a vzájemné spolupráci Moravskoslezského kraje a Leaders club, z. s. Jedná se o smlouvu na dobu neurčitou s 2 měsíční výpovědní lhůtou. V roce 2024 činí  příspěvek ve výši 15 tis. Kč a následujícím období 50 tis. Kč/rok.</t>
  </si>
  <si>
    <t>Str. přílohy
č. 2</t>
  </si>
  <si>
    <t>ORG</t>
  </si>
  <si>
    <t>IDTP / MSK</t>
  </si>
  <si>
    <t>Modernizace silnice I/56 Ostrava - prodloužená Místecká, III. stavba</t>
  </si>
  <si>
    <t>2026-2029</t>
  </si>
  <si>
    <t>Přeložka silnice II/467 Štítina - obchvat a napojení na silnici I/11 (Správa silnic Moravskoslezského kraje, příspěvková organizace, Ostrava)</t>
  </si>
  <si>
    <t>2023-2029</t>
  </si>
  <si>
    <t>Rekonstrukce vzletové a přistávací dráhy a navazujících provozních ploch Letiště Leoše Janáčka Ostrava</t>
  </si>
  <si>
    <t>2020-2028</t>
  </si>
  <si>
    <t>IDTP/MSK</t>
  </si>
  <si>
    <t xml:space="preserve">2023-2027 </t>
  </si>
  <si>
    <t xml:space="preserve">Závazek financovat akci byl schválen usnesením zastupitelstva kraje č. 12/1228 ze dne 8. 6. 2023 a poslední úprava závazku  provedena usnesením č. 5/334 ze dne 15. 9. 2025.  </t>
  </si>
  <si>
    <t>Povodňová škoda na silnici II/451 Vidly - Vrbno</t>
  </si>
  <si>
    <t>2025-2029</t>
  </si>
  <si>
    <t>Závazek financovat akci byl schválen usnesením zastupitelstva kraje č. 4/207 ze dne 16. 6. 2025.</t>
  </si>
  <si>
    <t>Povodňová škoda na silnici II/453 Heřmanovice - Město Albrechtice</t>
  </si>
  <si>
    <t>Povodňová škoda na silnici II/457 Petrovice - Jindřichov - Osoblaha</t>
  </si>
  <si>
    <t>Povodňová škoda na silnici II/459 Krnov - Horní Benešov</t>
  </si>
  <si>
    <t>Povodňová škoda na silnici III/4521 Krásné Loučky - Purkartice - Karlovice</t>
  </si>
  <si>
    <t>Povodňová škoda na silnici III/45713 Petrovice</t>
  </si>
  <si>
    <t>Povodňová škoda na silnici III/45720 Slezské Rudoltice</t>
  </si>
  <si>
    <t>Povodňová škoda na silnici III/45814 Bohušov</t>
  </si>
  <si>
    <t>Povodňová škoda na silnici III/4583 Čaková</t>
  </si>
  <si>
    <t>Povodňová škoda na silnici III/4585 Brantice - Krnov</t>
  </si>
  <si>
    <t>Povodňová škoda na silnici III/4593 Úvalno - hr. Polsko</t>
  </si>
  <si>
    <t xml:space="preserve">Povodňová škoda na silnici II/450 Karlova Studánka - Vidly - hr. Olomouckého kraje </t>
  </si>
  <si>
    <t xml:space="preserve">Povodňová škoda na silnici III/48312 Čeladná - Podolánky  </t>
  </si>
  <si>
    <t xml:space="preserve">Závazek financovat akci byl schválen usnesením zastupitelstva kraje č. 14/1454 ze dne 7. 12. 2023 a poslední úprava závazku  provedena usnesením č.  5/334 ze dne 15. 9. 2025. </t>
  </si>
  <si>
    <t>2023-2028</t>
  </si>
  <si>
    <t xml:space="preserve">Financování akce bylo schválen usnesením zastupitelstva kraje č. 14/1454 ze dne 7. 12. 2023 a poslední úprava závazku  provedena usnesením č. 5/334 ze dne 15. 9. 2025. </t>
  </si>
  <si>
    <t>2025-2028</t>
  </si>
  <si>
    <t>Závazek financovat přípravu akce byl schválen usnesením zastupitelstva kraje č. 2/22 dne 16. 12. 2024 a poslední úprava závazku  provedena usnesením č. 5/334 ze dne 15. 9. 2025.</t>
  </si>
  <si>
    <t>2024-2028</t>
  </si>
  <si>
    <t>Závazek financovat přípravu akce byl schválen usnesením zastupitelstva kraje č. 2/22 dne 16. 12. 2024.</t>
  </si>
  <si>
    <t>Přístavba Domu umění - Galerie 21. století (Galerie výtvarného umění v Ostravě, příspěvková organizace)</t>
  </si>
  <si>
    <t>2017 - 2028</t>
  </si>
  <si>
    <t xml:space="preserve">Financování realizace akce bylo schváleno na jednání zastupitelstva kraje usnesením č. 6/520 ze dne 14. 12. 2017. Poslední úprava závazku na přípravu provedena usnesením zastupitelstva kraje č. 14/1454 ze dne 7. 12. 2023 </t>
  </si>
  <si>
    <t>Připravované akce reprodukce majetku kraje v odvětví kultury</t>
  </si>
  <si>
    <t>Připravované akce reprodukce majetku kraje v odvětví sociálních věcí</t>
  </si>
  <si>
    <t xml:space="preserve">Financování akce bylo schváleno usnesením zastupitelstva kraje č. 10/948 ze dne 15.12.2022  a poslední úprava závazku  provedena usnesením č.  5/334 ze dne 15. 9. 2025. </t>
  </si>
  <si>
    <t xml:space="preserve">Závazek financovat akci byl schválen usnesením zastupitelstva kraje č. 18/1865 ze dne 5. 9. 2024 a poslední úprava závazku  provedena usnesením č. 5/334 ze dne 15. 9. 2025. </t>
  </si>
  <si>
    <t xml:space="preserve">Financování akce bylo schváleno usnesením zastupitelstva kraje č. 10/1083 ze dne 13. 12. 2018  a poslední úprava závazku  provedena usnesením č. 5/334 ze dne 15. 9. 2025. </t>
  </si>
  <si>
    <t xml:space="preserve">Financování akce bylo schváleno usnesením zastupitelstva kraje č. 8/794 ze dne 16. 6. 2022 a poslední úprava závazku  provedena usnesením č.  5/334 ze dne 15. 9. 2025. </t>
  </si>
  <si>
    <t xml:space="preserve">Financování akce bylo schváleno usnesením zastupitelstva kraje č. 2/21 ze dne 17. 12. 2020 a poslední úprava závazku  provedena usnesením č.  5/334 ze dne 15. 9. 2025. </t>
  </si>
  <si>
    <t xml:space="preserve">Závazek financovat akci schválen usnesením zastupitelstva kraje č. 13/1409 ze dne 7. 9. 2023 a poslední úprava závazku  provedena usnesením č.  5/334 ze dne 15. 9. 2025. </t>
  </si>
  <si>
    <t>Rekonstrukce elektroinstalace budovy A1 (Střední škola a Základní škola, Havířov-Šumbark, příspěvková organizace)</t>
  </si>
  <si>
    <t xml:space="preserve">Závazek financovat akci byl schválen usnesením zastupitelstva kraje č. 14/1454 ze dne 7. 12. 2023 a poslední úprava závazku  provedena usnesením č. 5/334 ze dne 15. 9. 2025. </t>
  </si>
  <si>
    <t>2021-2027</t>
  </si>
  <si>
    <t>Rekonstrukce zdroje vytápění – tepelné čerpadlo (Dětský domov a Školní jídelna, Frýdek-Místek, příspěvková organizace)</t>
  </si>
  <si>
    <t xml:space="preserve">Financování akce bylo schváleno usnesením rady kraje kraje č. 17/1765 ze dne 6. 6. 2024 a poslední úprava závazku  provedena usnesením č.  5/334 ze dne 15. 9. 2025. </t>
  </si>
  <si>
    <t xml:space="preserve">Financování akce bylo schváleno usnesením zastupitelstva kraje č. 17/1765 ze dne 6. 6. 2024 a poslední úprava závazku  provedena usnesením č.  5/334 ze dne 15. 9. 2025. </t>
  </si>
  <si>
    <t xml:space="preserve">Financování akce bylo schváleno usnesením rady kraje kraje č. 108/7462 ze dne  5 .8. 2024 a poslední úprava závazku  provedena usnesením č. 5/334 ze dne 15. 9. 2025. </t>
  </si>
  <si>
    <t>Závazek financovat akci byl schválen usnesením zastupitelstva kraje č. 18/1865 ze dne 5. 9. 2024 a poslední úprava závazku  provedena usnesením č. . 2/22 ze dne 16. 12. 2024.</t>
  </si>
  <si>
    <t>Rekonstrukce zdravotechniky a elektroinstalace v budově A (Střední škola prof. Zdeňka Matějčka, Ostrava-Poruba, příspěvková organizace)</t>
  </si>
  <si>
    <t xml:space="preserve">Financování akce bylo schváleno usnesením zastupitelstva kraje kraje č. 2/22 ze dne  16 .12. 2024 a poslední úprava závazku  provedena usnesením č. 5/334 ze dne 15. 9. 2025. </t>
  </si>
  <si>
    <t>Rekonstrukce elektroinstalace včetně výměny osvětlovacích těles (Střední škola, Základní škola a Mateřská škola, Karviná, příspěvková organizace)</t>
  </si>
  <si>
    <t>Rekonstrukce a přístavba mateřské školy (Mateřská škola Eliška, Opava, příspěvková organizace)</t>
  </si>
  <si>
    <t xml:space="preserve">Financování akce bylo schváleno usnesením zastupitelstva kraje kraje č. 3/137 ze dne  17 .3. 2025 a poslední úprava závazku  provedena usnesením č. 5/334 ze dne 15. 9. 2025. </t>
  </si>
  <si>
    <t>Rekonstrukce objektu plaveckého bazénu a sportovní haly (Střední škola řemesel, Frýdek-Místek, příspěvková organizace)</t>
  </si>
  <si>
    <t xml:space="preserve">Závazek financovat akci byl schválen usnesením zastupitelstva kraje č. 4/230 ze dne 16. 6. 2025. </t>
  </si>
  <si>
    <t>Rekonstrukce domova mládeže (Střední průmyslová škola a Obchodní akademie, Bruntál, příspěvková organizace)</t>
  </si>
  <si>
    <t>Rekonstrukce budovy (Střední průmyslová škola elektrotechniky a informatiky, Ostrava, příspěvková organizace)</t>
  </si>
  <si>
    <t>2019-2028</t>
  </si>
  <si>
    <t xml:space="preserve">Financování akce bylo schváleno usnesením rady kraje č. 61/5448 ze dne 30.04.2019. Poslední úprava závazku na projektovou přípravu provedena usnesením č. 2/22 ze dne 15.12.2024. </t>
  </si>
  <si>
    <t>Financování akce bylo schváleno usnesením zastupitelstva kraje č. 10/948 ze dne 15.12.2022 a poslední úprava závazku  provedena usnesením č.  3/110 ze dne 17.3.2025.</t>
  </si>
  <si>
    <t>Obnova školních hřišť a sportovišť - příspěvkové organizace v odvětví školství</t>
  </si>
  <si>
    <t xml:space="preserve">Financování akce bylo schváleno usnesením rady kraje č.17/967 ze dne 12. 5. 2025. </t>
  </si>
  <si>
    <t>Připravované akce reprodukce majetku kraje v odvětví školství</t>
  </si>
  <si>
    <t>2027-2032</t>
  </si>
  <si>
    <t xml:space="preserve">Závazek Moravskoslezského kraje vznikl na základě Smlouvy o nájmu podniku č. 02262/2011/ZDR, vč. dodatků. Závazek trvá do roku 2032. Poslední úprava závazku  provedena usnesením č. 2/22 ze dne 15. 12. 2024.  </t>
  </si>
  <si>
    <t xml:space="preserve">Financování akce bylo schváleno usnesením zastupitelstva kraje č. 6/475 ze dne 16.12.2021 a poslední úprava závazku  provedena usnesením č.  5/334 ze dne 15. 9. 2025. </t>
  </si>
  <si>
    <t>Modernizace Odborného léčebného ústavu Metylovice - příprava (Odborný léčebný ústav Metylovice - Moravskoslezské sanatorium, příspěvková organizace)</t>
  </si>
  <si>
    <r>
      <t>RIA/</t>
    </r>
    <r>
      <rPr>
        <sz val="8"/>
        <color rgb="FFFF0000"/>
        <rFont val="Tahoma"/>
        <family val="2"/>
        <charset val="238"/>
      </rPr>
      <t xml:space="preserve"> MSK</t>
    </r>
    <r>
      <rPr>
        <sz val="8"/>
        <rFont val="Tahoma"/>
        <family val="2"/>
        <charset val="238"/>
      </rPr>
      <t>, PO</t>
    </r>
  </si>
  <si>
    <t xml:space="preserve">Financování přípravy akce bylo schváleno usnesením zastupitelstva kraje č. 5/438 ze dne 16.9.2021 a poslední úprava závazku  provedena usnesením č.  5/334 ze dne 15. 9. 2025. </t>
  </si>
  <si>
    <t xml:space="preserve">Financování akce bylo schváleno usnesením zastupitelstva kraje č. 8/794 ze dne 16.06.2022 a poslední úprava závazku  provedena usnesením č.  5/334 ze dne 15. 9. 2025. </t>
  </si>
  <si>
    <t>Závazek financovat akci byl schválen usnesením zastupitelstva kraje č. 18/1865 ze dne 5. 9. 2024 a poslední úprava závazku  provedena usnesením č. 2/22 ze dne 15. 12. 2024.</t>
  </si>
  <si>
    <t>Výstavba nové výjezdové základny ZZS v Odrách (Zdravotnická záchranná služba Moravskoslezského kraje, příspěvková organizace)</t>
  </si>
  <si>
    <t xml:space="preserve">Financování přípravy akce bylo schváleno usnesením rady kraje kraje č. 19/1208 ze dne 9. 6. 2025.  </t>
  </si>
  <si>
    <t>Připravované akce reprodukce majetku kraje v odvětví zdravotnictví</t>
  </si>
  <si>
    <t>Plán rozvoje vodovodů a kanalizací Moravskoslezského kraje - webová aplikace</t>
  </si>
  <si>
    <t>2021 - 2029</t>
  </si>
  <si>
    <t>Financování akce bylo schváleno usnesením zastupitelstva kraje č. 2/21 ze dne 17. 12. 2020 a poslední úprava závazku  provedena usnesením č. 2/22 ze dne 16. 12. 2024.</t>
  </si>
  <si>
    <t xml:space="preserve">Financování akce bylo schváleno usnesením zastupitelstva kraje č. 10/948 ze dne 15.12.2022 a poslední úprava závazku  provedena usnesením č. 2/22 ze dne 16. 12. 2024. </t>
  </si>
  <si>
    <t>Závazek financování akce byl schválen usnesením zastupitelstva kraje č. 4/291 ze 17. 6. 2021  a poslední úprava závazku  provedena usnesením č. 2/22 ze dne 16. 12. 2024.</t>
  </si>
  <si>
    <t>Financování akce bylo schválen usnesením zastupitelstva kraje č. 14/1454 ze dne 7. 12. 2023 a poslední úprava závazku  provedena usnesením č. 2/22 ze dne 16. 12. 2024.</t>
  </si>
  <si>
    <t>Financování akce bylo schváleno usnesením zastupitelstva kraje č. 4/338 ze dne 17. 6. 2021 a poslední úprava závazku  provedena usnesením č. 2/22 ze dne 16. 12. 2024.</t>
  </si>
  <si>
    <t xml:space="preserve">Financování přípravy akce bylo schváleno usnesením zastupitelstva kraje č. 14/1652 ze dne 12. 12. 2019 a realizace stavby usnesením č. 4/241 ze dne 16.6.2025. Poslední úprava závazku  provedena usnesením č. 5/334 ze dne 15. 9. 2025. </t>
  </si>
  <si>
    <t xml:space="preserve">Závazek financovat akci byl schválen usnesením zastupitelstva kraje č. 12/1228 ze dne 8. 6. 2023 a poslední úprava závazku  provedena usnesením č. 5/334 ze dne 15. 9. 2025. </t>
  </si>
  <si>
    <t xml:space="preserve">Zajištění dopravní obslužnosti linkovou dopravou - oblast Karvinsko a Orlovsko </t>
  </si>
  <si>
    <t xml:space="preserve"> -</t>
  </si>
  <si>
    <t>Závazek Moravskoslezského kraje byl schválen usnesením zastupitelstva kraje č.  3/132 ze dne 16.03.2017 v min. výši 1.051.495,85 tis. Kč. Finanční prostředky na zajištění financování v případě jednotlivých let tak budou nárokovány v rámci návrhu rozpočtu Moravskoslezského kraje pro jednotlivé roky, na základě schváleného usnesení zastupitelstvem kraje, avšak vždy upraveny o předpokládané ovlivňující další faktory (výše tržeb, příspěvek obcí, inflace/deflace). Závazek bude trvat do roku 2028.</t>
  </si>
  <si>
    <t>Závazek Moravskoslezského kraje v max. výši 4.059.397 tis. Kč bude předložen ke schválení na zasedání zastupitelstva kraje dne 15.12.2025. Závazek trvá od června 2028 do  června 2038. Finanční prostředky na zajištění financování v případě jednotlivých let tak budou nárokovány v rámci návrhu rozpočtu Moravskoslezského kraje pro jednotlivé roky, na základě schváleného usnesení zastupitelstvem kraje, avšak vždy upraveny o předpokládané ovlivňující další faktory (výše tržeb, příspěvek obcí, inflace/deflace).</t>
  </si>
  <si>
    <r>
      <t>Závazek Moravskoslezského kraje byl schválen usnesením zastupitelstva kraje č. 5/351 ze dne 15.09.2025 v max. výši 28.986 tis. Kč (veřejná zakázka č. 160/2025). Závazek bude trvat od 01.01.2026 - 31.12.2028.</t>
    </r>
    <r>
      <rPr>
        <b/>
        <sz val="8"/>
        <rFont val="Tahoma"/>
        <family val="2"/>
        <charset val="238"/>
      </rPr>
      <t xml:space="preserve"> </t>
    </r>
  </si>
  <si>
    <t xml:space="preserve">Závazek kraje vyplývající z dodavatelských smluv uzavřených krajem na dobu neurčitou. Jedná se o smlouvy na zajištění dodávek tepla, TUV, energie, vodné a stočné, telekomunikační služby, odvoz odpadu, úklid a ostraha budov, revize výtahů, EZS, EPS apod. v rámci činnosti krajského úřadu. </t>
  </si>
  <si>
    <r>
      <t>Pronájem pozemků vyplývající z uzavřených smluv (01329/2012/IM, 01471/2011/IM, 03511/2016/IM,</t>
    </r>
    <r>
      <rPr>
        <b/>
        <sz val="8"/>
        <rFont val="Tahoma"/>
        <family val="2"/>
        <charset val="238"/>
      </rPr>
      <t xml:space="preserve"> </t>
    </r>
    <r>
      <rPr>
        <sz val="8"/>
        <rFont val="Tahoma"/>
        <family val="2"/>
        <charset val="238"/>
      </rPr>
      <t>02637/2025/IM), pronájem nebytových prostor pro příspěvkovou organizaci Moravskoslezské energetické centrum dle nájemní smlouvy č. 07969/2020/IM a pronájem skladovacích prostor v Ostravě-Kunčičkách dle smlouvy č. 04978/2022/IM. Jedná se o smlouvy na dobu určitou i neurčitou.</t>
    </r>
  </si>
  <si>
    <t>Pozn. Hodnoty vycházejí z usnesení zastupitelstva kraje v okamžiku schvalování projektu k financování.</t>
  </si>
  <si>
    <t>Pozn. V obou tabulkách je pro léta 2027 a 2028 počítáno s přijetím nových úvěrových zdrojů ve výši 2 mld. Kč.</t>
  </si>
  <si>
    <t>Multifunkční pavilon s možností izolačního režimu (Nemocnice ve Frýdku-Místku, příspěvková organizace)</t>
  </si>
  <si>
    <t>Stavební úpravy objektu domova mládeže (Obchodní akademie a Vyšší odborná škola sociálně právní, Ostrava, příspěvková organizace)</t>
  </si>
  <si>
    <t>Rekonstrukce nevyužitých budov obchodní akademie pro ZUŠ Orlová (Základní umělecká škola J. R. Míši, Orlová, příspěvková organizace)</t>
  </si>
  <si>
    <t>Rekonstrukce budovy CM Hlučín, středisko Opava  (Správa silnic Moravskoslezského kraje, příspěvková organizace, Ostrava)</t>
  </si>
  <si>
    <r>
      <rPr>
        <b/>
        <vertAlign val="superscript"/>
        <sz val="10"/>
        <rFont val="Tahoma"/>
        <family val="2"/>
        <charset val="238"/>
      </rPr>
      <t>2)</t>
    </r>
    <r>
      <rPr>
        <sz val="10"/>
        <rFont val="Tahoma"/>
        <family val="2"/>
        <charset val="238"/>
      </rPr>
      <t xml:space="preserve"> V souladu s metodologií Moody´s neobsahuje příjmy ze splátek půjčených prostředků (návratných finančních výpomocí).</t>
    </r>
  </si>
  <si>
    <r>
      <rPr>
        <b/>
        <vertAlign val="superscript"/>
        <sz val="10"/>
        <rFont val="Tahoma"/>
        <family val="2"/>
        <charset val="238"/>
      </rPr>
      <t>4)</t>
    </r>
    <r>
      <rPr>
        <b/>
        <sz val="10"/>
        <rFont val="Tahoma"/>
        <family val="2"/>
        <charset val="238"/>
      </rPr>
      <t xml:space="preserve"> Agentura Moody´s doporučuje nepřekročit u ukazatele zadluženosti hodnotu 20-22 %.</t>
    </r>
  </si>
  <si>
    <r>
      <rPr>
        <b/>
        <vertAlign val="superscript"/>
        <sz val="10"/>
        <rFont val="Tahoma"/>
        <family val="2"/>
        <charset val="238"/>
      </rPr>
      <t>3)</t>
    </r>
    <r>
      <rPr>
        <b/>
        <sz val="10"/>
        <rFont val="Tahoma"/>
        <family val="2"/>
        <charset val="238"/>
      </rPr>
      <t xml:space="preserve"> Stanovená hranice hodnoty ukazatele podle zákona o pravidlech rozpočtové odpovědnosti činí 60 %.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</si>
</sst>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.00\ _K_č"/>
    <numFmt numFmtId="166" formatCode="#,##0\ _K_č;\-#,##0\_\K_č"/>
  </numFmts>
  <fonts count="93" x14ac:knownFonts="1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2"/>
      <name val="Tahoma"/>
      <family val="2"/>
      <charset val="238"/>
    </font>
    <font>
      <b/>
      <sz val="12"/>
      <name val="Tahoma"/>
      <family val="2"/>
      <charset val="238"/>
    </font>
    <font>
      <sz val="10"/>
      <name val="Tahoma"/>
      <family val="2"/>
      <charset val="238"/>
    </font>
    <font>
      <i/>
      <sz val="10"/>
      <name val="Tahoma"/>
      <family val="2"/>
      <charset val="238"/>
    </font>
    <font>
      <b/>
      <sz val="10"/>
      <name val="Tahoma"/>
      <family val="2"/>
      <charset val="238"/>
    </font>
    <font>
      <b/>
      <sz val="12"/>
      <color indexed="60"/>
      <name val="Tahoma"/>
      <family val="2"/>
      <charset val="238"/>
    </font>
    <font>
      <i/>
      <sz val="8"/>
      <name val="Tahoma"/>
      <family val="2"/>
      <charset val="238"/>
    </font>
    <font>
      <b/>
      <i/>
      <sz val="10"/>
      <name val="Tahoma"/>
      <family val="2"/>
      <charset val="238"/>
    </font>
    <font>
      <i/>
      <sz val="12"/>
      <name val="Tahoma"/>
      <family val="2"/>
      <charset val="238"/>
    </font>
    <font>
      <b/>
      <sz val="12"/>
      <color indexed="10"/>
      <name val="Tahoma"/>
      <family val="2"/>
      <charset val="238"/>
    </font>
    <font>
      <b/>
      <i/>
      <sz val="12"/>
      <color indexed="10"/>
      <name val="Tahoma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60"/>
      <name val="Calibri"/>
      <family val="2"/>
      <charset val="238"/>
    </font>
    <font>
      <sz val="10"/>
      <color theme="1"/>
      <name val="Arial"/>
      <family val="2"/>
      <charset val="238"/>
    </font>
    <font>
      <sz val="10"/>
      <name val="Arial CE"/>
      <charset val="238"/>
    </font>
    <font>
      <sz val="11"/>
      <color indexed="52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8"/>
      <color indexed="56"/>
      <name val="Cambria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0"/>
      <name val="Tahoma"/>
      <family val="2"/>
    </font>
    <font>
      <sz val="10"/>
      <name val="Tahoma"/>
      <family val="2"/>
    </font>
    <font>
      <sz val="12"/>
      <name val="Times New Roman"/>
      <family val="1"/>
    </font>
    <font>
      <sz val="10"/>
      <name val="Times New Roman"/>
      <family val="1"/>
    </font>
    <font>
      <b/>
      <sz val="14"/>
      <name val="Tahoma"/>
      <family val="2"/>
    </font>
    <font>
      <b/>
      <sz val="12"/>
      <name val="Tahoma"/>
      <family val="2"/>
    </font>
    <font>
      <b/>
      <sz val="9"/>
      <name val="Tahoma"/>
      <family val="2"/>
    </font>
    <font>
      <sz val="9"/>
      <name val="Tahoma"/>
      <family val="2"/>
    </font>
    <font>
      <b/>
      <sz val="9"/>
      <name val="Tahoma"/>
      <family val="2"/>
      <charset val="238"/>
    </font>
    <font>
      <sz val="9"/>
      <name val="Tahoma"/>
      <family val="2"/>
      <charset val="238"/>
    </font>
    <font>
      <b/>
      <sz val="8"/>
      <name val="Tahoma"/>
      <family val="2"/>
      <charset val="238"/>
    </font>
    <font>
      <sz val="8"/>
      <name val="Tahoma"/>
      <family val="2"/>
      <charset val="238"/>
    </font>
    <font>
      <b/>
      <sz val="10"/>
      <name val="Arial CE"/>
      <charset val="238"/>
    </font>
    <font>
      <sz val="8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1"/>
      <name val="Tahoma"/>
      <family val="2"/>
      <charset val="238"/>
    </font>
    <font>
      <b/>
      <vertAlign val="superscript"/>
      <sz val="10"/>
      <name val="Tahoma"/>
      <family val="2"/>
      <charset val="238"/>
    </font>
    <font>
      <sz val="10"/>
      <color rgb="FFFF0000"/>
      <name val="Tahoma"/>
      <family val="2"/>
      <charset val="238"/>
    </font>
    <font>
      <b/>
      <sz val="11"/>
      <name val="Calibri"/>
      <family val="2"/>
      <charset val="238"/>
      <scheme val="minor"/>
    </font>
    <font>
      <b/>
      <sz val="9"/>
      <color rgb="FFFF0000"/>
      <name val="Tahoma"/>
      <family val="2"/>
    </font>
    <font>
      <sz val="9"/>
      <color rgb="FFFF0000"/>
      <name val="Tahoma"/>
      <family val="2"/>
    </font>
    <font>
      <sz val="9"/>
      <color theme="1"/>
      <name val="Tahoma"/>
      <family val="2"/>
    </font>
    <font>
      <b/>
      <sz val="9"/>
      <color theme="1"/>
      <name val="Tahoma"/>
      <family val="2"/>
    </font>
    <font>
      <sz val="12"/>
      <color rgb="FFFF0000"/>
      <name val="Tahoma"/>
      <family val="2"/>
      <charset val="238"/>
    </font>
    <font>
      <sz val="9"/>
      <color theme="1"/>
      <name val="Tahoma"/>
      <family val="2"/>
      <charset val="238"/>
    </font>
    <font>
      <sz val="12"/>
      <color rgb="FFFF0000"/>
      <name val="Times New Roman"/>
      <family val="1"/>
      <charset val="238"/>
    </font>
    <font>
      <sz val="10"/>
      <color rgb="FF00B0F0"/>
      <name val="Tahoma"/>
      <family val="2"/>
      <charset val="238"/>
    </font>
    <font>
      <b/>
      <sz val="10"/>
      <color rgb="FFFF0000"/>
      <name val="Tahoma"/>
      <family val="2"/>
      <charset val="238"/>
    </font>
    <font>
      <b/>
      <vertAlign val="superscript"/>
      <sz val="8"/>
      <name val="Tahoma"/>
      <family val="2"/>
      <charset val="238"/>
    </font>
    <font>
      <b/>
      <sz val="14"/>
      <name val="Tahoma"/>
      <family val="2"/>
      <charset val="238"/>
    </font>
    <font>
      <sz val="13"/>
      <name val="Arial"/>
      <family val="2"/>
      <charset val="238"/>
    </font>
    <font>
      <sz val="11"/>
      <name val="Calibri"/>
      <family val="2"/>
      <charset val="238"/>
    </font>
    <font>
      <b/>
      <sz val="8"/>
      <color theme="1"/>
      <name val="Tahoma"/>
      <family val="2"/>
      <charset val="238"/>
    </font>
    <font>
      <sz val="8"/>
      <color theme="1"/>
      <name val="Tahoma"/>
      <family val="2"/>
      <charset val="238"/>
    </font>
    <font>
      <b/>
      <sz val="11"/>
      <color rgb="FF0070C0"/>
      <name val="Calibri"/>
      <family val="2"/>
      <charset val="238"/>
    </font>
    <font>
      <sz val="11"/>
      <color rgb="FF0070C0"/>
      <name val="Calibri"/>
      <family val="2"/>
      <charset val="238"/>
    </font>
    <font>
      <sz val="11"/>
      <color rgb="FF0070C0"/>
      <name val="Calibri"/>
      <family val="2"/>
      <charset val="238"/>
      <scheme val="minor"/>
    </font>
    <font>
      <sz val="8"/>
      <color rgb="FF0070C0"/>
      <name val="Tahoma"/>
      <family val="2"/>
      <charset val="238"/>
    </font>
    <font>
      <sz val="8"/>
      <color rgb="FFFF0000"/>
      <name val="Tahoma"/>
      <family val="2"/>
      <charset val="238"/>
    </font>
    <font>
      <b/>
      <sz val="8"/>
      <color rgb="FFFF0000"/>
      <name val="Tahoma"/>
      <family val="2"/>
      <charset val="238"/>
    </font>
    <font>
      <b/>
      <sz val="10"/>
      <name val="Arial"/>
      <family val="2"/>
      <charset val="238"/>
    </font>
    <font>
      <vertAlign val="superscript"/>
      <sz val="8"/>
      <name val="Tahoma"/>
      <family val="2"/>
      <charset val="238"/>
    </font>
    <font>
      <b/>
      <sz val="12"/>
      <name val="Calibri"/>
      <family val="2"/>
      <charset val="238"/>
      <scheme val="minor"/>
    </font>
    <font>
      <sz val="8"/>
      <color theme="3" tint="0.499984740745262"/>
      <name val="Tahoma"/>
      <family val="2"/>
      <charset val="238"/>
    </font>
    <font>
      <b/>
      <sz val="8"/>
      <color theme="3" tint="0.499984740745262"/>
      <name val="Tahoma"/>
      <family val="2"/>
      <charset val="238"/>
    </font>
  </fonts>
  <fills count="3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11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5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0000"/>
        <bgColor indexed="64"/>
      </patternFill>
    </fill>
  </fills>
  <borders count="93">
    <border>
      <left/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02">
    <xf numFmtId="0" fontId="0" fillId="0" borderId="0"/>
    <xf numFmtId="0" fontId="23" fillId="0" borderId="0"/>
    <xf numFmtId="0" fontId="35" fillId="4" borderId="0" applyNumberFormat="0" applyBorder="0" applyAlignment="0" applyProtection="0"/>
    <xf numFmtId="0" fontId="35" fillId="5" borderId="0" applyNumberFormat="0" applyBorder="0" applyAlignment="0" applyProtection="0"/>
    <xf numFmtId="0" fontId="35" fillId="6" borderId="0" applyNumberFormat="0" applyBorder="0" applyAlignment="0" applyProtection="0"/>
    <xf numFmtId="0" fontId="35" fillId="7" borderId="0" applyNumberFormat="0" applyBorder="0" applyAlignment="0" applyProtection="0"/>
    <xf numFmtId="0" fontId="35" fillId="4" borderId="0" applyNumberFormat="0" applyBorder="0" applyAlignment="0" applyProtection="0"/>
    <xf numFmtId="0" fontId="35" fillId="5" borderId="0" applyNumberFormat="0" applyBorder="0" applyAlignment="0" applyProtection="0"/>
    <xf numFmtId="0" fontId="35" fillId="6" borderId="0" applyNumberFormat="0" applyBorder="0" applyAlignment="0" applyProtection="0"/>
    <xf numFmtId="0" fontId="35" fillId="7" borderId="0" applyNumberFormat="0" applyBorder="0" applyAlignment="0" applyProtection="0"/>
    <xf numFmtId="0" fontId="35" fillId="8" borderId="0" applyNumberFormat="0" applyBorder="0" applyAlignment="0" applyProtection="0"/>
    <xf numFmtId="0" fontId="35" fillId="9" borderId="0" applyNumberFormat="0" applyBorder="0" applyAlignment="0" applyProtection="0"/>
    <xf numFmtId="0" fontId="35" fillId="10" borderId="0" applyNumberFormat="0" applyBorder="0" applyAlignment="0" applyProtection="0"/>
    <xf numFmtId="0" fontId="35" fillId="11" borderId="0" applyNumberFormat="0" applyBorder="0" applyAlignment="0" applyProtection="0"/>
    <xf numFmtId="0" fontId="35" fillId="12" borderId="0" applyNumberFormat="0" applyBorder="0" applyAlignment="0" applyProtection="0"/>
    <xf numFmtId="0" fontId="35" fillId="10" borderId="0" applyNumberFormat="0" applyBorder="0" applyAlignment="0" applyProtection="0"/>
    <xf numFmtId="0" fontId="35" fillId="7" borderId="0" applyNumberFormat="0" applyBorder="0" applyAlignment="0" applyProtection="0"/>
    <xf numFmtId="0" fontId="35" fillId="11" borderId="0" applyNumberFormat="0" applyBorder="0" applyAlignment="0" applyProtection="0"/>
    <xf numFmtId="0" fontId="35" fillId="13" borderId="0" applyNumberFormat="0" applyBorder="0" applyAlignment="0" applyProtection="0"/>
    <xf numFmtId="0" fontId="36" fillId="10" borderId="0" applyNumberFormat="0" applyBorder="0" applyAlignment="0" applyProtection="0"/>
    <xf numFmtId="0" fontId="36" fillId="14" borderId="0" applyNumberFormat="0" applyBorder="0" applyAlignment="0" applyProtection="0"/>
    <xf numFmtId="0" fontId="36" fillId="15" borderId="0" applyNumberFormat="0" applyBorder="0" applyAlignment="0" applyProtection="0"/>
    <xf numFmtId="0" fontId="36" fillId="16" borderId="0" applyNumberFormat="0" applyBorder="0" applyAlignment="0" applyProtection="0"/>
    <xf numFmtId="0" fontId="36" fillId="12" borderId="0" applyNumberFormat="0" applyBorder="0" applyAlignment="0" applyProtection="0"/>
    <xf numFmtId="0" fontId="36" fillId="10" borderId="0" applyNumberFormat="0" applyBorder="0" applyAlignment="0" applyProtection="0"/>
    <xf numFmtId="0" fontId="36" fillId="14" borderId="0" applyNumberFormat="0" applyBorder="0" applyAlignment="0" applyProtection="0"/>
    <xf numFmtId="0" fontId="36" fillId="17" borderId="0" applyNumberFormat="0" applyBorder="0" applyAlignment="0" applyProtection="0"/>
    <xf numFmtId="0" fontId="36" fillId="15" borderId="0" applyNumberFormat="0" applyBorder="0" applyAlignment="0" applyProtection="0"/>
    <xf numFmtId="0" fontId="37" fillId="6" borderId="0" applyNumberFormat="0" applyBorder="0" applyAlignment="0" applyProtection="0"/>
    <xf numFmtId="0" fontId="38" fillId="18" borderId="27" applyNumberFormat="0" applyAlignment="0" applyProtection="0"/>
    <xf numFmtId="0" fontId="39" fillId="19" borderId="0" applyNumberFormat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40" fillId="0" borderId="0"/>
    <xf numFmtId="0" fontId="23" fillId="0" borderId="0"/>
    <xf numFmtId="0" fontId="41" fillId="0" borderId="0"/>
    <xf numFmtId="0" fontId="35" fillId="20" borderId="28" applyNumberFormat="0" applyFont="0" applyAlignment="0" applyProtection="0"/>
    <xf numFmtId="0" fontId="42" fillId="0" borderId="29" applyNumberFormat="0" applyFill="0" applyAlignment="0" applyProtection="0"/>
    <xf numFmtId="0" fontId="43" fillId="0" borderId="30" applyNumberFormat="0" applyFill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7" fillId="5" borderId="0" applyNumberFormat="0" applyBorder="0" applyAlignment="0" applyProtection="0"/>
    <xf numFmtId="0" fontId="36" fillId="21" borderId="0" applyNumberFormat="0" applyBorder="0" applyAlignment="0" applyProtection="0"/>
    <xf numFmtId="0" fontId="36" fillId="22" borderId="0" applyNumberFormat="0" applyBorder="0" applyAlignment="0" applyProtection="0"/>
    <xf numFmtId="0" fontId="36" fillId="23" borderId="0" applyNumberFormat="0" applyBorder="0" applyAlignment="0" applyProtection="0"/>
    <xf numFmtId="0" fontId="36" fillId="14" borderId="0" applyNumberFormat="0" applyBorder="0" applyAlignment="0" applyProtection="0"/>
    <xf numFmtId="0" fontId="36" fillId="17" borderId="0" applyNumberFormat="0" applyBorder="0" applyAlignment="0" applyProtection="0"/>
    <xf numFmtId="0" fontId="36" fillId="24" borderId="0" applyNumberFormat="0" applyBorder="0" applyAlignment="0" applyProtection="0"/>
    <xf numFmtId="0" fontId="23" fillId="0" borderId="0"/>
    <xf numFmtId="0" fontId="23" fillId="0" borderId="0"/>
    <xf numFmtId="0" fontId="22" fillId="0" borderId="0"/>
    <xf numFmtId="0" fontId="23" fillId="0" borderId="0"/>
    <xf numFmtId="9" fontId="23" fillId="0" borderId="0" applyFont="0" applyFill="0" applyBorder="0" applyAlignment="0" applyProtection="0"/>
    <xf numFmtId="0" fontId="21" fillId="0" borderId="0"/>
    <xf numFmtId="0" fontId="20" fillId="0" borderId="0"/>
    <xf numFmtId="0" fontId="19" fillId="0" borderId="0"/>
    <xf numFmtId="0" fontId="19" fillId="0" borderId="0"/>
    <xf numFmtId="0" fontId="18" fillId="0" borderId="0"/>
    <xf numFmtId="0" fontId="18" fillId="0" borderId="0"/>
    <xf numFmtId="0" fontId="17" fillId="0" borderId="0"/>
    <xf numFmtId="0" fontId="17" fillId="0" borderId="0"/>
    <xf numFmtId="0" fontId="16" fillId="0" borderId="0"/>
    <xf numFmtId="0" fontId="15" fillId="0" borderId="0"/>
    <xf numFmtId="0" fontId="15" fillId="0" borderId="0"/>
    <xf numFmtId="0" fontId="14" fillId="0" borderId="0"/>
    <xf numFmtId="0" fontId="13" fillId="0" borderId="0"/>
    <xf numFmtId="0" fontId="23" fillId="0" borderId="0">
      <alignment wrapText="1"/>
    </xf>
    <xf numFmtId="0" fontId="12" fillId="0" borderId="0"/>
    <xf numFmtId="0" fontId="40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</cellStyleXfs>
  <cellXfs count="742">
    <xf numFmtId="0" fontId="0" fillId="0" borderId="0" xfId="0"/>
    <xf numFmtId="0" fontId="24" fillId="0" borderId="0" xfId="1" applyFont="1" applyAlignment="1">
      <alignment vertical="center"/>
    </xf>
    <xf numFmtId="0" fontId="26" fillId="0" borderId="0" xfId="1" applyFont="1" applyAlignment="1">
      <alignment vertical="center"/>
    </xf>
    <xf numFmtId="0" fontId="25" fillId="0" borderId="0" xfId="1" applyFont="1" applyAlignment="1">
      <alignment vertical="center"/>
    </xf>
    <xf numFmtId="0" fontId="29" fillId="2" borderId="0" xfId="1" applyFont="1" applyFill="1" applyAlignment="1">
      <alignment vertical="center"/>
    </xf>
    <xf numFmtId="0" fontId="25" fillId="0" borderId="0" xfId="1" applyFont="1" applyAlignment="1">
      <alignment horizontal="center" vertical="center" wrapText="1"/>
    </xf>
    <xf numFmtId="164" fontId="26" fillId="0" borderId="0" xfId="1" applyNumberFormat="1" applyFont="1" applyAlignment="1">
      <alignment vertical="center"/>
    </xf>
    <xf numFmtId="4" fontId="26" fillId="0" borderId="0" xfId="1" applyNumberFormat="1" applyFont="1" applyAlignment="1">
      <alignment vertical="center"/>
    </xf>
    <xf numFmtId="0" fontId="25" fillId="0" borderId="0" xfId="1" applyFont="1" applyAlignment="1">
      <alignment vertical="center" wrapText="1"/>
    </xf>
    <xf numFmtId="0" fontId="33" fillId="0" borderId="0" xfId="1" applyFont="1" applyAlignment="1">
      <alignment vertical="center"/>
    </xf>
    <xf numFmtId="0" fontId="34" fillId="0" borderId="0" xfId="1" applyFont="1" applyAlignment="1">
      <alignment vertical="center"/>
    </xf>
    <xf numFmtId="1" fontId="48" fillId="25" borderId="17" xfId="1" applyNumberFormat="1" applyFont="1" applyFill="1" applyBorder="1" applyAlignment="1">
      <alignment horizontal="center" vertical="center" wrapText="1"/>
    </xf>
    <xf numFmtId="1" fontId="48" fillId="25" borderId="16" xfId="1" applyNumberFormat="1" applyFont="1" applyFill="1" applyBorder="1" applyAlignment="1">
      <alignment horizontal="center" vertical="center" wrapText="1"/>
    </xf>
    <xf numFmtId="0" fontId="48" fillId="25" borderId="25" xfId="1" applyFont="1" applyFill="1" applyBorder="1" applyAlignment="1">
      <alignment horizontal="center" vertical="center" wrapText="1"/>
    </xf>
    <xf numFmtId="0" fontId="48" fillId="25" borderId="24" xfId="1" applyFont="1" applyFill="1" applyBorder="1" applyAlignment="1">
      <alignment horizontal="center" vertical="center" wrapText="1"/>
    </xf>
    <xf numFmtId="0" fontId="48" fillId="25" borderId="23" xfId="1" applyFont="1" applyFill="1" applyBorder="1" applyAlignment="1">
      <alignment horizontal="center" vertical="center" wrapText="1"/>
    </xf>
    <xf numFmtId="0" fontId="48" fillId="25" borderId="22" xfId="1" applyFont="1" applyFill="1" applyBorder="1" applyAlignment="1">
      <alignment horizontal="center" vertical="center" wrapText="1"/>
    </xf>
    <xf numFmtId="3" fontId="31" fillId="3" borderId="4" xfId="1" applyNumberFormat="1" applyFont="1" applyFill="1" applyBorder="1" applyAlignment="1">
      <alignment horizontal="right"/>
    </xf>
    <xf numFmtId="49" fontId="28" fillId="3" borderId="19" xfId="1" applyNumberFormat="1" applyFont="1" applyFill="1" applyBorder="1" applyAlignment="1">
      <alignment vertical="center"/>
    </xf>
    <xf numFmtId="3" fontId="28" fillId="3" borderId="22" xfId="1" applyNumberFormat="1" applyFont="1" applyFill="1" applyBorder="1" applyAlignment="1">
      <alignment horizontal="right" vertical="center"/>
    </xf>
    <xf numFmtId="3" fontId="31" fillId="3" borderId="5" xfId="1" applyNumberFormat="1" applyFont="1" applyFill="1" applyBorder="1" applyAlignment="1">
      <alignment horizontal="right"/>
    </xf>
    <xf numFmtId="0" fontId="26" fillId="0" borderId="0" xfId="1" applyFont="1"/>
    <xf numFmtId="0" fontId="23" fillId="0" borderId="0" xfId="1"/>
    <xf numFmtId="164" fontId="23" fillId="0" borderId="0" xfId="1" applyNumberFormat="1"/>
    <xf numFmtId="3" fontId="23" fillId="0" borderId="0" xfId="1" applyNumberFormat="1"/>
    <xf numFmtId="49" fontId="26" fillId="0" borderId="0" xfId="1" applyNumberFormat="1" applyFont="1"/>
    <xf numFmtId="0" fontId="50" fillId="0" borderId="0" xfId="1" applyFont="1"/>
    <xf numFmtId="164" fontId="50" fillId="0" borderId="0" xfId="1" applyNumberFormat="1" applyFont="1"/>
    <xf numFmtId="3" fontId="51" fillId="0" borderId="0" xfId="1" applyNumberFormat="1" applyFont="1"/>
    <xf numFmtId="0" fontId="51" fillId="0" borderId="0" xfId="1" applyFont="1"/>
    <xf numFmtId="164" fontId="52" fillId="0" borderId="0" xfId="1" applyNumberFormat="1" applyFont="1" applyAlignment="1">
      <alignment horizontal="center" vertical="center" wrapText="1"/>
    </xf>
    <xf numFmtId="3" fontId="52" fillId="0" borderId="0" xfId="1" applyNumberFormat="1" applyFont="1" applyAlignment="1">
      <alignment horizontal="center" vertical="center" wrapText="1"/>
    </xf>
    <xf numFmtId="0" fontId="24" fillId="0" borderId="0" xfId="0" applyFont="1"/>
    <xf numFmtId="0" fontId="25" fillId="0" borderId="0" xfId="0" applyFont="1" applyAlignment="1">
      <alignment vertical="center"/>
    </xf>
    <xf numFmtId="0" fontId="23" fillId="0" borderId="0" xfId="51"/>
    <xf numFmtId="0" fontId="23" fillId="0" borderId="0" xfId="51" applyAlignment="1">
      <alignment vertical="center"/>
    </xf>
    <xf numFmtId="0" fontId="56" fillId="25" borderId="3" xfId="34" applyFont="1" applyFill="1" applyBorder="1" applyAlignment="1">
      <alignment horizontal="left" vertical="center" wrapText="1"/>
    </xf>
    <xf numFmtId="0" fontId="56" fillId="25" borderId="4" xfId="34" applyFont="1" applyFill="1" applyBorder="1" applyAlignment="1">
      <alignment horizontal="left" vertical="center" wrapText="1"/>
    </xf>
    <xf numFmtId="0" fontId="56" fillId="25" borderId="14" xfId="34" applyFont="1" applyFill="1" applyBorder="1" applyAlignment="1">
      <alignment horizontal="left" vertical="center" wrapText="1"/>
    </xf>
    <xf numFmtId="0" fontId="56" fillId="25" borderId="42" xfId="34" applyFont="1" applyFill="1" applyBorder="1" applyAlignment="1">
      <alignment horizontal="left" vertical="center" wrapText="1"/>
    </xf>
    <xf numFmtId="0" fontId="26" fillId="0" borderId="0" xfId="37" applyFont="1"/>
    <xf numFmtId="166" fontId="26" fillId="0" borderId="0" xfId="37" applyNumberFormat="1" applyFont="1" applyAlignment="1">
      <alignment horizontal="right"/>
    </xf>
    <xf numFmtId="0" fontId="26" fillId="0" borderId="0" xfId="37" applyFont="1" applyAlignment="1">
      <alignment horizontal="right"/>
    </xf>
    <xf numFmtId="0" fontId="26" fillId="0" borderId="3" xfId="37" applyFont="1" applyBorder="1" applyAlignment="1">
      <alignment horizontal="center" vertical="center" wrapText="1"/>
    </xf>
    <xf numFmtId="0" fontId="26" fillId="0" borderId="3" xfId="37" applyFont="1" applyBorder="1" applyAlignment="1">
      <alignment horizontal="center" vertical="center"/>
    </xf>
    <xf numFmtId="3" fontId="26" fillId="0" borderId="4" xfId="37" applyNumberFormat="1" applyFont="1" applyBorder="1" applyAlignment="1">
      <alignment vertical="center"/>
    </xf>
    <xf numFmtId="3" fontId="26" fillId="0" borderId="2" xfId="37" applyNumberFormat="1" applyFont="1" applyBorder="1" applyAlignment="1">
      <alignment vertical="center"/>
    </xf>
    <xf numFmtId="3" fontId="26" fillId="0" borderId="49" xfId="37" applyNumberFormat="1" applyFont="1" applyBorder="1" applyAlignment="1">
      <alignment vertical="center"/>
    </xf>
    <xf numFmtId="3" fontId="26" fillId="0" borderId="5" xfId="37" applyNumberFormat="1" applyFont="1" applyBorder="1" applyAlignment="1">
      <alignment vertical="center"/>
    </xf>
    <xf numFmtId="3" fontId="26" fillId="0" borderId="42" xfId="37" applyNumberFormat="1" applyFont="1" applyBorder="1" applyAlignment="1">
      <alignment vertical="center"/>
    </xf>
    <xf numFmtId="3" fontId="26" fillId="0" borderId="57" xfId="37" applyNumberFormat="1" applyFont="1" applyBorder="1" applyAlignment="1">
      <alignment vertical="center"/>
    </xf>
    <xf numFmtId="3" fontId="26" fillId="0" borderId="43" xfId="37" applyNumberFormat="1" applyFont="1" applyBorder="1" applyAlignment="1">
      <alignment vertical="center"/>
    </xf>
    <xf numFmtId="49" fontId="58" fillId="25" borderId="42" xfId="55" applyNumberFormat="1" applyFont="1" applyFill="1" applyBorder="1" applyAlignment="1">
      <alignment horizontal="center" vertical="center" wrapText="1"/>
    </xf>
    <xf numFmtId="0" fontId="26" fillId="0" borderId="0" xfId="52" applyFont="1" applyAlignment="1">
      <alignment vertical="center"/>
    </xf>
    <xf numFmtId="0" fontId="58" fillId="0" borderId="0" xfId="52" applyFont="1" applyAlignment="1">
      <alignment vertical="center" wrapText="1"/>
    </xf>
    <xf numFmtId="4" fontId="58" fillId="0" borderId="0" xfId="52" applyNumberFormat="1" applyFont="1" applyAlignment="1">
      <alignment horizontal="right" vertical="center"/>
    </xf>
    <xf numFmtId="0" fontId="59" fillId="0" borderId="0" xfId="52" applyFont="1" applyAlignment="1">
      <alignment vertical="center"/>
    </xf>
    <xf numFmtId="0" fontId="58" fillId="25" borderId="15" xfId="52" applyFont="1" applyFill="1" applyBorder="1" applyAlignment="1">
      <alignment vertical="center" wrapText="1"/>
    </xf>
    <xf numFmtId="3" fontId="58" fillId="25" borderId="18" xfId="52" applyNumberFormat="1" applyFont="1" applyFill="1" applyBorder="1" applyAlignment="1">
      <alignment vertical="center" wrapText="1"/>
    </xf>
    <xf numFmtId="0" fontId="59" fillId="25" borderId="16" xfId="52" applyFont="1" applyFill="1" applyBorder="1" applyAlignment="1">
      <alignment horizontal="justify" vertical="center"/>
    </xf>
    <xf numFmtId="0" fontId="58" fillId="25" borderId="54" xfId="52" applyFont="1" applyFill="1" applyBorder="1" applyAlignment="1">
      <alignment vertical="center" wrapText="1"/>
    </xf>
    <xf numFmtId="0" fontId="58" fillId="25" borderId="16" xfId="52" applyFont="1" applyFill="1" applyBorder="1" applyAlignment="1">
      <alignment horizontal="justify" vertical="center"/>
    </xf>
    <xf numFmtId="3" fontId="58" fillId="25" borderId="18" xfId="52" applyNumberFormat="1" applyFont="1" applyFill="1" applyBorder="1" applyAlignment="1">
      <alignment horizontal="right" vertical="center" wrapText="1"/>
    </xf>
    <xf numFmtId="0" fontId="58" fillId="25" borderId="54" xfId="52" applyFont="1" applyFill="1" applyBorder="1" applyAlignment="1">
      <alignment horizontal="left" vertical="center" wrapText="1"/>
    </xf>
    <xf numFmtId="49" fontId="59" fillId="25" borderId="16" xfId="52" applyNumberFormat="1" applyFont="1" applyFill="1" applyBorder="1" applyAlignment="1">
      <alignment horizontal="justify" vertical="center"/>
    </xf>
    <xf numFmtId="0" fontId="25" fillId="0" borderId="0" xfId="0" applyFont="1" applyAlignment="1">
      <alignment horizontal="center"/>
    </xf>
    <xf numFmtId="0" fontId="58" fillId="0" borderId="0" xfId="51" applyFont="1" applyAlignment="1">
      <alignment horizontal="right"/>
    </xf>
    <xf numFmtId="0" fontId="28" fillId="0" borderId="18" xfId="51" applyFont="1" applyBorder="1" applyAlignment="1">
      <alignment horizontal="center" vertical="center" wrapText="1"/>
    </xf>
    <xf numFmtId="0" fontId="28" fillId="0" borderId="16" xfId="51" applyFont="1" applyBorder="1" applyAlignment="1">
      <alignment horizontal="center" vertical="center" wrapText="1"/>
    </xf>
    <xf numFmtId="10" fontId="28" fillId="25" borderId="18" xfId="51" applyNumberFormat="1" applyFont="1" applyFill="1" applyBorder="1" applyAlignment="1">
      <alignment vertical="center"/>
    </xf>
    <xf numFmtId="10" fontId="28" fillId="25" borderId="16" xfId="51" applyNumberFormat="1" applyFont="1" applyFill="1" applyBorder="1" applyAlignment="1">
      <alignment vertical="center"/>
    </xf>
    <xf numFmtId="0" fontId="57" fillId="0" borderId="0" xfId="51" applyFont="1" applyAlignment="1">
      <alignment horizontal="right"/>
    </xf>
    <xf numFmtId="0" fontId="24" fillId="0" borderId="0" xfId="34" applyFont="1"/>
    <xf numFmtId="0" fontId="50" fillId="0" borderId="0" xfId="34" applyFont="1"/>
    <xf numFmtId="0" fontId="59" fillId="0" borderId="39" xfId="52" applyFont="1" applyBorder="1" applyAlignment="1">
      <alignment vertical="center" wrapText="1"/>
    </xf>
    <xf numFmtId="0" fontId="26" fillId="27" borderId="4" xfId="37" applyFont="1" applyFill="1" applyBorder="1" applyAlignment="1">
      <alignment horizontal="center" vertical="center" wrapText="1"/>
    </xf>
    <xf numFmtId="0" fontId="26" fillId="27" borderId="2" xfId="37" applyFont="1" applyFill="1" applyBorder="1" applyAlignment="1">
      <alignment horizontal="center" vertical="center" wrapText="1"/>
    </xf>
    <xf numFmtId="0" fontId="26" fillId="27" borderId="49" xfId="37" applyFont="1" applyFill="1" applyBorder="1" applyAlignment="1">
      <alignment horizontal="center" vertical="center" wrapText="1"/>
    </xf>
    <xf numFmtId="0" fontId="26" fillId="27" borderId="5" xfId="37" applyFont="1" applyFill="1" applyBorder="1" applyAlignment="1">
      <alignment horizontal="center" vertical="center" wrapText="1"/>
    </xf>
    <xf numFmtId="3" fontId="23" fillId="0" borderId="0" xfId="51" applyNumberFormat="1" applyAlignment="1">
      <alignment vertical="center"/>
    </xf>
    <xf numFmtId="0" fontId="58" fillId="25" borderId="53" xfId="52" applyFont="1" applyFill="1" applyBorder="1" applyAlignment="1">
      <alignment vertical="center" wrapText="1"/>
    </xf>
    <xf numFmtId="3" fontId="59" fillId="0" borderId="8" xfId="52" applyNumberFormat="1" applyFont="1" applyBorder="1" applyAlignment="1">
      <alignment vertical="center"/>
    </xf>
    <xf numFmtId="3" fontId="58" fillId="25" borderId="18" xfId="52" applyNumberFormat="1" applyFont="1" applyFill="1" applyBorder="1" applyAlignment="1">
      <alignment horizontal="center" vertical="center" wrapText="1"/>
    </xf>
    <xf numFmtId="3" fontId="59" fillId="0" borderId="4" xfId="52" applyNumberFormat="1" applyFont="1" applyBorder="1" applyAlignment="1">
      <alignment vertical="center"/>
    </xf>
    <xf numFmtId="0" fontId="58" fillId="25" borderId="18" xfId="52" applyFont="1" applyFill="1" applyBorder="1" applyAlignment="1">
      <alignment vertical="center" wrapText="1"/>
    </xf>
    <xf numFmtId="49" fontId="59" fillId="0" borderId="4" xfId="52" applyNumberFormat="1" applyFont="1" applyBorder="1" applyAlignment="1">
      <alignment horizontal="center" vertical="center" wrapText="1"/>
    </xf>
    <xf numFmtId="3" fontId="59" fillId="0" borderId="4" xfId="52" applyNumberFormat="1" applyFont="1" applyBorder="1" applyAlignment="1">
      <alignment horizontal="right" vertical="center"/>
    </xf>
    <xf numFmtId="3" fontId="59" fillId="0" borderId="4" xfId="52" applyNumberFormat="1" applyFont="1" applyBorder="1" applyAlignment="1">
      <alignment horizontal="center" vertical="center" wrapText="1"/>
    </xf>
    <xf numFmtId="3" fontId="59" fillId="0" borderId="4" xfId="52" applyNumberFormat="1" applyFont="1" applyBorder="1" applyAlignment="1">
      <alignment horizontal="center" vertical="center"/>
    </xf>
    <xf numFmtId="0" fontId="59" fillId="0" borderId="45" xfId="52" applyFont="1" applyBorder="1" applyAlignment="1">
      <alignment horizontal="justify" vertical="center" wrapText="1"/>
    </xf>
    <xf numFmtId="0" fontId="59" fillId="0" borderId="0" xfId="52" applyFont="1" applyAlignment="1">
      <alignment horizontal="center" vertical="center" wrapText="1"/>
    </xf>
    <xf numFmtId="3" fontId="59" fillId="0" borderId="8" xfId="52" applyNumberFormat="1" applyFont="1" applyBorder="1" applyAlignment="1">
      <alignment horizontal="right" vertical="center"/>
    </xf>
    <xf numFmtId="0" fontId="59" fillId="0" borderId="46" xfId="52" applyFont="1" applyBorder="1" applyAlignment="1">
      <alignment horizontal="justify" vertical="center" wrapText="1"/>
    </xf>
    <xf numFmtId="3" fontId="58" fillId="25" borderId="17" xfId="52" applyNumberFormat="1" applyFont="1" applyFill="1" applyBorder="1" applyAlignment="1">
      <alignment horizontal="center" vertical="center" wrapText="1"/>
    </xf>
    <xf numFmtId="0" fontId="59" fillId="0" borderId="4" xfId="52" applyFont="1" applyBorder="1" applyAlignment="1">
      <alignment horizontal="center" vertical="center" wrapText="1"/>
    </xf>
    <xf numFmtId="3" fontId="59" fillId="0" borderId="4" xfId="52" applyNumberFormat="1" applyFont="1" applyBorder="1" applyAlignment="1">
      <alignment horizontal="right" vertical="center" wrapText="1"/>
    </xf>
    <xf numFmtId="0" fontId="59" fillId="0" borderId="49" xfId="52" applyFont="1" applyBorder="1" applyAlignment="1">
      <alignment horizontal="left" vertical="center" wrapText="1"/>
    </xf>
    <xf numFmtId="3" fontId="59" fillId="0" borderId="2" xfId="52" applyNumberFormat="1" applyFont="1" applyBorder="1" applyAlignment="1">
      <alignment horizontal="center" vertical="center" wrapText="1"/>
    </xf>
    <xf numFmtId="0" fontId="59" fillId="0" borderId="4" xfId="52" applyFont="1" applyBorder="1" applyAlignment="1" applyProtection="1">
      <alignment horizontal="center" vertical="center" wrapText="1"/>
      <protection locked="0"/>
    </xf>
    <xf numFmtId="3" fontId="59" fillId="0" borderId="4" xfId="52" applyNumberFormat="1" applyFont="1" applyBorder="1" applyAlignment="1" applyProtection="1">
      <alignment horizontal="right" vertical="center" wrapText="1"/>
      <protection locked="0"/>
    </xf>
    <xf numFmtId="0" fontId="59" fillId="0" borderId="5" xfId="52" applyFont="1" applyBorder="1" applyAlignment="1" applyProtection="1">
      <alignment horizontal="justify" vertical="center" wrapText="1"/>
      <protection locked="0"/>
    </xf>
    <xf numFmtId="3" fontId="59" fillId="0" borderId="7" xfId="52" applyNumberFormat="1" applyFont="1" applyBorder="1" applyAlignment="1">
      <alignment horizontal="center" vertical="center" wrapText="1"/>
    </xf>
    <xf numFmtId="0" fontId="58" fillId="27" borderId="4" xfId="52" applyFont="1" applyFill="1" applyBorder="1" applyAlignment="1">
      <alignment horizontal="center" vertical="center" wrapText="1"/>
    </xf>
    <xf numFmtId="3" fontId="58" fillId="27" borderId="4" xfId="52" applyNumberFormat="1" applyFont="1" applyFill="1" applyBorder="1" applyAlignment="1">
      <alignment vertical="center" wrapText="1"/>
    </xf>
    <xf numFmtId="4" fontId="59" fillId="0" borderId="45" xfId="54" applyNumberFormat="1" applyFont="1" applyBorder="1" applyAlignment="1">
      <alignment horizontal="justify" vertical="center" wrapText="1"/>
    </xf>
    <xf numFmtId="0" fontId="59" fillId="0" borderId="62" xfId="52" applyFont="1" applyBorder="1" applyAlignment="1">
      <alignment horizontal="justify" vertical="center" wrapText="1"/>
    </xf>
    <xf numFmtId="0" fontId="59" fillId="0" borderId="8" xfId="52" applyFont="1" applyBorder="1" applyAlignment="1">
      <alignment horizontal="center" vertical="center" wrapText="1"/>
    </xf>
    <xf numFmtId="0" fontId="59" fillId="0" borderId="38" xfId="52" applyFont="1" applyBorder="1" applyAlignment="1">
      <alignment horizontal="justify" vertical="center" wrapText="1"/>
    </xf>
    <xf numFmtId="0" fontId="59" fillId="0" borderId="5" xfId="52" applyFont="1" applyBorder="1" applyAlignment="1">
      <alignment horizontal="justify" vertical="center" wrapText="1"/>
    </xf>
    <xf numFmtId="3" fontId="59" fillId="0" borderId="8" xfId="52" applyNumberFormat="1" applyFont="1" applyBorder="1" applyAlignment="1">
      <alignment horizontal="right" vertical="center" wrapText="1"/>
    </xf>
    <xf numFmtId="0" fontId="59" fillId="0" borderId="4" xfId="52" applyFont="1" applyBorder="1" applyAlignment="1">
      <alignment horizontal="center" vertical="center"/>
    </xf>
    <xf numFmtId="0" fontId="59" fillId="0" borderId="3" xfId="52" applyFont="1" applyBorder="1" applyAlignment="1">
      <alignment horizontal="justify" vertical="center" wrapText="1"/>
    </xf>
    <xf numFmtId="3" fontId="59" fillId="0" borderId="10" xfId="52" applyNumberFormat="1" applyFont="1" applyBorder="1" applyAlignment="1">
      <alignment horizontal="center" vertical="center" wrapText="1"/>
    </xf>
    <xf numFmtId="0" fontId="59" fillId="0" borderId="49" xfId="52" applyFont="1" applyBorder="1" applyAlignment="1">
      <alignment vertical="center" wrapText="1"/>
    </xf>
    <xf numFmtId="0" fontId="59" fillId="0" borderId="50" xfId="52" applyFont="1" applyBorder="1" applyAlignment="1">
      <alignment horizontal="center" vertical="center" wrapText="1"/>
    </xf>
    <xf numFmtId="3" fontId="59" fillId="0" borderId="2" xfId="52" applyNumberFormat="1" applyFont="1" applyBorder="1" applyAlignment="1">
      <alignment horizontal="right" vertical="center" wrapText="1"/>
    </xf>
    <xf numFmtId="3" fontId="59" fillId="0" borderId="12" xfId="52" applyNumberFormat="1" applyFont="1" applyBorder="1" applyAlignment="1">
      <alignment horizontal="right" vertical="center" wrapText="1"/>
    </xf>
    <xf numFmtId="0" fontId="59" fillId="0" borderId="19" xfId="52" applyFont="1" applyBorder="1" applyAlignment="1">
      <alignment vertical="center" wrapText="1"/>
    </xf>
    <xf numFmtId="49" fontId="59" fillId="0" borderId="64" xfId="52" applyNumberFormat="1" applyFont="1" applyBorder="1" applyAlignment="1">
      <alignment horizontal="justify" vertical="center"/>
    </xf>
    <xf numFmtId="0" fontId="58" fillId="0" borderId="0" xfId="0" applyFont="1" applyAlignment="1">
      <alignment horizontal="right"/>
    </xf>
    <xf numFmtId="3" fontId="59" fillId="0" borderId="42" xfId="52" applyNumberFormat="1" applyFont="1" applyBorder="1" applyAlignment="1">
      <alignment horizontal="center" vertical="center"/>
    </xf>
    <xf numFmtId="49" fontId="59" fillId="0" borderId="42" xfId="52" applyNumberFormat="1" applyFont="1" applyBorder="1" applyAlignment="1">
      <alignment horizontal="center" vertical="center" wrapText="1"/>
    </xf>
    <xf numFmtId="3" fontId="59" fillId="0" borderId="42" xfId="52" applyNumberFormat="1" applyFont="1" applyBorder="1" applyAlignment="1">
      <alignment horizontal="right" vertical="center"/>
    </xf>
    <xf numFmtId="3" fontId="58" fillId="25" borderId="16" xfId="52" applyNumberFormat="1" applyFont="1" applyFill="1" applyBorder="1" applyAlignment="1">
      <alignment vertical="center" wrapText="1"/>
    </xf>
    <xf numFmtId="0" fontId="52" fillId="0" borderId="0" xfId="1" applyFont="1" applyAlignment="1">
      <alignment horizontal="center" vertical="center" wrapText="1"/>
    </xf>
    <xf numFmtId="0" fontId="48" fillId="0" borderId="15" xfId="1" applyFont="1" applyBorder="1" applyAlignment="1">
      <alignment horizontal="center" vertical="center" wrapText="1"/>
    </xf>
    <xf numFmtId="49" fontId="31" fillId="3" borderId="3" xfId="1" applyNumberFormat="1" applyFont="1" applyFill="1" applyBorder="1"/>
    <xf numFmtId="0" fontId="32" fillId="0" borderId="0" xfId="1" applyFont="1"/>
    <xf numFmtId="49" fontId="26" fillId="0" borderId="3" xfId="1" applyNumberFormat="1" applyFont="1" applyBorder="1" applyAlignment="1">
      <alignment horizontal="left"/>
    </xf>
    <xf numFmtId="3" fontId="49" fillId="25" borderId="9" xfId="1" applyNumberFormat="1" applyFont="1" applyFill="1" applyBorder="1"/>
    <xf numFmtId="3" fontId="49" fillId="25" borderId="13" xfId="1" applyNumberFormat="1" applyFont="1" applyFill="1" applyBorder="1"/>
    <xf numFmtId="49" fontId="26" fillId="0" borderId="3" xfId="1" applyNumberFormat="1" applyFont="1" applyBorder="1" applyAlignment="1">
      <alignment horizontal="left" wrapText="1"/>
    </xf>
    <xf numFmtId="3" fontId="49" fillId="25" borderId="2" xfId="1" applyNumberFormat="1" applyFont="1" applyFill="1" applyBorder="1"/>
    <xf numFmtId="3" fontId="49" fillId="25" borderId="5" xfId="1" applyNumberFormat="1" applyFont="1" applyFill="1" applyBorder="1"/>
    <xf numFmtId="49" fontId="26" fillId="0" borderId="19" xfId="1" applyNumberFormat="1" applyFont="1" applyBorder="1" applyAlignment="1">
      <alignment horizontal="left" wrapText="1"/>
    </xf>
    <xf numFmtId="3" fontId="49" fillId="25" borderId="23" xfId="1" applyNumberFormat="1" applyFont="1" applyFill="1" applyBorder="1"/>
    <xf numFmtId="3" fontId="49" fillId="25" borderId="21" xfId="1" applyNumberFormat="1" applyFont="1" applyFill="1" applyBorder="1"/>
    <xf numFmtId="49" fontId="30" fillId="0" borderId="0" xfId="1" applyNumberFormat="1" applyFont="1" applyAlignment="1">
      <alignment horizontal="left" vertical="center"/>
    </xf>
    <xf numFmtId="164" fontId="26" fillId="0" borderId="0" xfId="1" applyNumberFormat="1" applyFont="1" applyAlignment="1">
      <alignment horizontal="center" vertical="center"/>
    </xf>
    <xf numFmtId="4" fontId="27" fillId="0" borderId="0" xfId="1" applyNumberFormat="1" applyFont="1" applyAlignment="1">
      <alignment horizontal="center" vertical="center"/>
    </xf>
    <xf numFmtId="4" fontId="26" fillId="0" borderId="0" xfId="1" applyNumberFormat="1" applyFont="1" applyAlignment="1">
      <alignment horizontal="center" vertical="center"/>
    </xf>
    <xf numFmtId="49" fontId="28" fillId="0" borderId="1" xfId="1" applyNumberFormat="1" applyFont="1" applyBorder="1"/>
    <xf numFmtId="3" fontId="28" fillId="25" borderId="2" xfId="1" applyNumberFormat="1" applyFont="1" applyFill="1" applyBorder="1"/>
    <xf numFmtId="3" fontId="48" fillId="0" borderId="10" xfId="1" applyNumberFormat="1" applyFont="1" applyBorder="1"/>
    <xf numFmtId="3" fontId="48" fillId="0" borderId="9" xfId="1" applyNumberFormat="1" applyFont="1" applyBorder="1"/>
    <xf numFmtId="3" fontId="48" fillId="0" borderId="13" xfId="1" applyNumberFormat="1" applyFont="1" applyBorder="1"/>
    <xf numFmtId="49" fontId="31" fillId="0" borderId="3" xfId="1" applyNumberFormat="1" applyFont="1" applyBorder="1" applyAlignment="1">
      <alignment horizontal="left"/>
    </xf>
    <xf numFmtId="3" fontId="31" fillId="25" borderId="2" xfId="1" applyNumberFormat="1" applyFont="1" applyFill="1" applyBorder="1"/>
    <xf numFmtId="3" fontId="26" fillId="25" borderId="10" xfId="1" applyNumberFormat="1" applyFont="1" applyFill="1" applyBorder="1"/>
    <xf numFmtId="3" fontId="26" fillId="0" borderId="10" xfId="1" applyNumberFormat="1" applyFont="1" applyBorder="1"/>
    <xf numFmtId="3" fontId="26" fillId="0" borderId="9" xfId="1" applyNumberFormat="1" applyFont="1" applyBorder="1"/>
    <xf numFmtId="3" fontId="26" fillId="0" borderId="13" xfId="1" applyNumberFormat="1" applyFont="1" applyBorder="1"/>
    <xf numFmtId="49" fontId="26" fillId="0" borderId="3" xfId="1" applyNumberFormat="1" applyFont="1" applyBorder="1"/>
    <xf numFmtId="49" fontId="28" fillId="0" borderId="3" xfId="1" applyNumberFormat="1" applyFont="1" applyBorder="1"/>
    <xf numFmtId="49" fontId="28" fillId="0" borderId="3" xfId="1" applyNumberFormat="1" applyFont="1" applyBorder="1" applyAlignment="1">
      <alignment horizontal="left"/>
    </xf>
    <xf numFmtId="49" fontId="26" fillId="0" borderId="6" xfId="1" applyNumberFormat="1" applyFont="1" applyBorder="1"/>
    <xf numFmtId="49" fontId="28" fillId="0" borderId="6" xfId="1" applyNumberFormat="1" applyFont="1" applyBorder="1" applyAlignment="1">
      <alignment horizontal="left" wrapText="1"/>
    </xf>
    <xf numFmtId="3" fontId="28" fillId="25" borderId="7" xfId="1" applyNumberFormat="1" applyFont="1" applyFill="1" applyBorder="1"/>
    <xf numFmtId="3" fontId="48" fillId="0" borderId="12" xfId="1" applyNumberFormat="1" applyFont="1" applyBorder="1"/>
    <xf numFmtId="3" fontId="48" fillId="0" borderId="26" xfId="1" applyNumberFormat="1" applyFont="1" applyBorder="1"/>
    <xf numFmtId="3" fontId="48" fillId="0" borderId="11" xfId="1" applyNumberFormat="1" applyFont="1" applyBorder="1"/>
    <xf numFmtId="49" fontId="28" fillId="0" borderId="15" xfId="1" applyNumberFormat="1" applyFont="1" applyBorder="1"/>
    <xf numFmtId="3" fontId="28" fillId="25" borderId="17" xfId="1" applyNumberFormat="1" applyFont="1" applyFill="1" applyBorder="1"/>
    <xf numFmtId="3" fontId="48" fillId="0" borderId="18" xfId="1" applyNumberFormat="1" applyFont="1" applyBorder="1"/>
    <xf numFmtId="3" fontId="48" fillId="0" borderId="17" xfId="1" applyNumberFormat="1" applyFont="1" applyBorder="1"/>
    <xf numFmtId="3" fontId="48" fillId="0" borderId="16" xfId="1" applyNumberFormat="1" applyFont="1" applyBorder="1"/>
    <xf numFmtId="0" fontId="28" fillId="0" borderId="3" xfId="1" applyFont="1" applyBorder="1" applyAlignment="1">
      <alignment horizontal="left"/>
    </xf>
    <xf numFmtId="3" fontId="28" fillId="0" borderId="24" xfId="1" applyNumberFormat="1" applyFont="1" applyBorder="1"/>
    <xf numFmtId="3" fontId="28" fillId="0" borderId="25" xfId="1" applyNumberFormat="1" applyFont="1" applyBorder="1"/>
    <xf numFmtId="3" fontId="28" fillId="0" borderId="36" xfId="1" applyNumberFormat="1" applyFont="1" applyBorder="1"/>
    <xf numFmtId="3" fontId="28" fillId="0" borderId="4" xfId="1" applyNumberFormat="1" applyFont="1" applyBorder="1"/>
    <xf numFmtId="3" fontId="28" fillId="0" borderId="5" xfId="1" applyNumberFormat="1" applyFont="1" applyBorder="1"/>
    <xf numFmtId="0" fontId="26" fillId="0" borderId="3" xfId="1" applyFont="1" applyBorder="1" applyAlignment="1">
      <alignment horizontal="left" wrapText="1"/>
    </xf>
    <xf numFmtId="3" fontId="26" fillId="0" borderId="4" xfId="1" applyNumberFormat="1" applyFont="1" applyBorder="1"/>
    <xf numFmtId="3" fontId="26" fillId="0" borderId="5" xfId="1" applyNumberFormat="1" applyFont="1" applyBorder="1"/>
    <xf numFmtId="0" fontId="26" fillId="0" borderId="3" xfId="1" applyFont="1" applyBorder="1" applyAlignment="1">
      <alignment horizontal="left"/>
    </xf>
    <xf numFmtId="0" fontId="28" fillId="0" borderId="3" xfId="1" applyFont="1" applyBorder="1" applyAlignment="1">
      <alignment horizontal="left" wrapText="1"/>
    </xf>
    <xf numFmtId="0" fontId="26" fillId="0" borderId="37" xfId="1" applyFont="1" applyBorder="1" applyAlignment="1">
      <alignment horizontal="left"/>
    </xf>
    <xf numFmtId="0" fontId="25" fillId="0" borderId="4" xfId="1" applyFont="1" applyBorder="1" applyAlignment="1">
      <alignment vertical="center"/>
    </xf>
    <xf numFmtId="0" fontId="25" fillId="0" borderId="5" xfId="1" applyFont="1" applyBorder="1" applyAlignment="1">
      <alignment vertical="center"/>
    </xf>
    <xf numFmtId="0" fontId="28" fillId="0" borderId="37" xfId="1" applyFont="1" applyBorder="1" applyAlignment="1">
      <alignment horizontal="left" wrapText="1"/>
    </xf>
    <xf numFmtId="3" fontId="26" fillId="25" borderId="4" xfId="1" applyNumberFormat="1" applyFont="1" applyFill="1" applyBorder="1"/>
    <xf numFmtId="0" fontId="26" fillId="0" borderId="1" xfId="1" applyFont="1" applyBorder="1" applyAlignment="1">
      <alignment horizontal="left"/>
    </xf>
    <xf numFmtId="0" fontId="28" fillId="0" borderId="1" xfId="1" applyFont="1" applyBorder="1" applyAlignment="1">
      <alignment horizontal="left"/>
    </xf>
    <xf numFmtId="0" fontId="30" fillId="0" borderId="6" xfId="0" applyFont="1" applyBorder="1" applyAlignment="1">
      <alignment horizontal="left" wrapText="1"/>
    </xf>
    <xf numFmtId="0" fontId="34" fillId="0" borderId="8" xfId="1" applyFont="1" applyBorder="1" applyAlignment="1">
      <alignment vertical="center"/>
    </xf>
    <xf numFmtId="0" fontId="34" fillId="0" borderId="38" xfId="1" applyFont="1" applyBorder="1" applyAlignment="1">
      <alignment vertical="center"/>
    </xf>
    <xf numFmtId="0" fontId="28" fillId="0" borderId="15" xfId="1" applyFont="1" applyBorder="1" applyAlignment="1">
      <alignment horizontal="left"/>
    </xf>
    <xf numFmtId="3" fontId="28" fillId="0" borderId="18" xfId="1" applyNumberFormat="1" applyFont="1" applyBorder="1"/>
    <xf numFmtId="3" fontId="28" fillId="0" borderId="16" xfId="1" applyNumberFormat="1" applyFont="1" applyBorder="1"/>
    <xf numFmtId="0" fontId="57" fillId="0" borderId="3" xfId="51" applyFont="1" applyBorder="1" applyAlignment="1">
      <alignment horizontal="justify" vertical="center" wrapText="1"/>
    </xf>
    <xf numFmtId="0" fontId="57" fillId="0" borderId="4" xfId="51" applyFont="1" applyBorder="1" applyAlignment="1">
      <alignment horizontal="center" vertical="center"/>
    </xf>
    <xf numFmtId="0" fontId="56" fillId="0" borderId="3" xfId="51" applyFont="1" applyBorder="1" applyAlignment="1">
      <alignment vertical="center" wrapText="1"/>
    </xf>
    <xf numFmtId="0" fontId="57" fillId="0" borderId="3" xfId="51" applyFont="1" applyBorder="1" applyAlignment="1">
      <alignment vertical="center" wrapText="1"/>
    </xf>
    <xf numFmtId="0" fontId="57" fillId="0" borderId="8" xfId="51" applyFont="1" applyBorder="1" applyAlignment="1">
      <alignment horizontal="center" vertical="center"/>
    </xf>
    <xf numFmtId="0" fontId="57" fillId="0" borderId="6" xfId="51" applyFont="1" applyBorder="1" applyAlignment="1">
      <alignment horizontal="justify" vertical="center" wrapText="1"/>
    </xf>
    <xf numFmtId="0" fontId="56" fillId="0" borderId="6" xfId="51" applyFont="1" applyBorder="1" applyAlignment="1">
      <alignment vertical="center" wrapText="1"/>
    </xf>
    <xf numFmtId="3" fontId="26" fillId="0" borderId="50" xfId="37" applyNumberFormat="1" applyFont="1" applyBorder="1" applyAlignment="1">
      <alignment vertical="center"/>
    </xf>
    <xf numFmtId="0" fontId="26" fillId="0" borderId="14" xfId="37" applyFont="1" applyBorder="1" applyAlignment="1">
      <alignment horizontal="center" vertical="center"/>
    </xf>
    <xf numFmtId="3" fontId="26" fillId="0" borderId="56" xfId="37" applyNumberFormat="1" applyFont="1" applyBorder="1" applyAlignment="1">
      <alignment vertical="center"/>
    </xf>
    <xf numFmtId="0" fontId="26" fillId="27" borderId="50" xfId="37" applyFont="1" applyFill="1" applyBorder="1" applyAlignment="1">
      <alignment horizontal="center" vertical="center" wrapText="1"/>
    </xf>
    <xf numFmtId="3" fontId="26" fillId="0" borderId="63" xfId="37" applyNumberFormat="1" applyFont="1" applyBorder="1" applyAlignment="1">
      <alignment vertical="center"/>
    </xf>
    <xf numFmtId="0" fontId="54" fillId="0" borderId="56" xfId="51" applyFont="1" applyBorder="1" applyAlignment="1">
      <alignment horizontal="center" vertical="center" wrapText="1"/>
    </xf>
    <xf numFmtId="0" fontId="55" fillId="0" borderId="4" xfId="51" applyFont="1" applyBorder="1" applyAlignment="1">
      <alignment horizontal="center" vertical="center"/>
    </xf>
    <xf numFmtId="0" fontId="54" fillId="25" borderId="44" xfId="34" applyFont="1" applyFill="1" applyBorder="1" applyAlignment="1">
      <alignment horizontal="left" vertical="center" wrapText="1"/>
    </xf>
    <xf numFmtId="0" fontId="54" fillId="25" borderId="10" xfId="34" applyFont="1" applyFill="1" applyBorder="1" applyAlignment="1">
      <alignment horizontal="left" vertical="center" wrapText="1"/>
    </xf>
    <xf numFmtId="3" fontId="54" fillId="25" borderId="10" xfId="34" applyNumberFormat="1" applyFont="1" applyFill="1" applyBorder="1" applyAlignment="1">
      <alignment horizontal="right" vertical="center" wrapText="1"/>
    </xf>
    <xf numFmtId="1" fontId="48" fillId="28" borderId="17" xfId="1" applyNumberFormat="1" applyFont="1" applyFill="1" applyBorder="1" applyAlignment="1">
      <alignment horizontal="center" vertical="center" wrapText="1"/>
    </xf>
    <xf numFmtId="3" fontId="49" fillId="28" borderId="9" xfId="1" applyNumberFormat="1" applyFont="1" applyFill="1" applyBorder="1"/>
    <xf numFmtId="3" fontId="49" fillId="28" borderId="2" xfId="1" applyNumberFormat="1" applyFont="1" applyFill="1" applyBorder="1"/>
    <xf numFmtId="3" fontId="49" fillId="28" borderId="23" xfId="1" applyNumberFormat="1" applyFont="1" applyFill="1" applyBorder="1"/>
    <xf numFmtId="0" fontId="48" fillId="28" borderId="25" xfId="1" applyFont="1" applyFill="1" applyBorder="1" applyAlignment="1">
      <alignment horizontal="center" vertical="center" wrapText="1"/>
    </xf>
    <xf numFmtId="0" fontId="48" fillId="28" borderId="23" xfId="1" applyFont="1" applyFill="1" applyBorder="1" applyAlignment="1">
      <alignment horizontal="center" vertical="center" wrapText="1"/>
    </xf>
    <xf numFmtId="3" fontId="28" fillId="28" borderId="2" xfId="1" applyNumberFormat="1" applyFont="1" applyFill="1" applyBorder="1"/>
    <xf numFmtId="3" fontId="31" fillId="28" borderId="2" xfId="1" applyNumberFormat="1" applyFont="1" applyFill="1" applyBorder="1"/>
    <xf numFmtId="3" fontId="26" fillId="28" borderId="10" xfId="1" applyNumberFormat="1" applyFont="1" applyFill="1" applyBorder="1"/>
    <xf numFmtId="3" fontId="28" fillId="28" borderId="7" xfId="1" applyNumberFormat="1" applyFont="1" applyFill="1" applyBorder="1"/>
    <xf numFmtId="3" fontId="28" fillId="28" borderId="17" xfId="1" applyNumberFormat="1" applyFont="1" applyFill="1" applyBorder="1"/>
    <xf numFmtId="3" fontId="26" fillId="28" borderId="4" xfId="1" applyNumberFormat="1" applyFont="1" applyFill="1" applyBorder="1"/>
    <xf numFmtId="0" fontId="54" fillId="0" borderId="3" xfId="51" applyFont="1" applyBorder="1" applyAlignment="1">
      <alignment vertical="center" wrapText="1"/>
    </xf>
    <xf numFmtId="3" fontId="28" fillId="0" borderId="4" xfId="1" applyNumberFormat="1" applyFont="1" applyBorder="1" applyAlignment="1">
      <alignment horizontal="right"/>
    </xf>
    <xf numFmtId="3" fontId="59" fillId="0" borderId="42" xfId="52" applyNumberFormat="1" applyFont="1" applyBorder="1" applyAlignment="1">
      <alignment horizontal="right" vertical="center" wrapText="1"/>
    </xf>
    <xf numFmtId="49" fontId="59" fillId="0" borderId="49" xfId="52" applyNumberFormat="1" applyFont="1" applyBorder="1" applyAlignment="1">
      <alignment horizontal="left" vertical="center" wrapText="1"/>
    </xf>
    <xf numFmtId="0" fontId="26" fillId="0" borderId="55" xfId="37" applyFont="1" applyBorder="1" applyAlignment="1">
      <alignment horizontal="center" vertical="center" wrapText="1"/>
    </xf>
    <xf numFmtId="9" fontId="59" fillId="0" borderId="4" xfId="52" applyNumberFormat="1" applyFont="1" applyBorder="1" applyAlignment="1">
      <alignment horizontal="center" vertical="center"/>
    </xf>
    <xf numFmtId="0" fontId="59" fillId="0" borderId="0" xfId="52" applyFont="1" applyAlignment="1">
      <alignment horizontal="center" vertical="center"/>
    </xf>
    <xf numFmtId="49" fontId="59" fillId="0" borderId="0" xfId="52" applyNumberFormat="1" applyFont="1" applyAlignment="1">
      <alignment horizontal="center" vertical="center"/>
    </xf>
    <xf numFmtId="0" fontId="59" fillId="0" borderId="0" xfId="52" applyFont="1" applyAlignment="1" applyProtection="1">
      <alignment horizontal="center" vertical="center" wrapText="1"/>
      <protection locked="0"/>
    </xf>
    <xf numFmtId="0" fontId="58" fillId="0" borderId="0" xfId="52" applyFont="1" applyAlignment="1">
      <alignment horizontal="center" vertical="center"/>
    </xf>
    <xf numFmtId="3" fontId="59" fillId="0" borderId="0" xfId="52" applyNumberFormat="1" applyFont="1" applyAlignment="1">
      <alignment horizontal="center" vertical="center"/>
    </xf>
    <xf numFmtId="0" fontId="59" fillId="0" borderId="3" xfId="52" applyFont="1" applyBorder="1" applyAlignment="1">
      <alignment vertical="center" wrapText="1"/>
    </xf>
    <xf numFmtId="0" fontId="59" fillId="26" borderId="0" xfId="52" applyFont="1" applyFill="1" applyAlignment="1">
      <alignment horizontal="center" vertical="center"/>
    </xf>
    <xf numFmtId="0" fontId="25" fillId="0" borderId="0" xfId="34" applyFont="1"/>
    <xf numFmtId="0" fontId="24" fillId="0" borderId="0" xfId="34" applyFont="1" applyAlignment="1">
      <alignment horizontal="right"/>
    </xf>
    <xf numFmtId="3" fontId="67" fillId="0" borderId="4" xfId="51" applyNumberFormat="1" applyFont="1" applyBorder="1" applyAlignment="1">
      <alignment horizontal="right" vertical="center" wrapText="1"/>
    </xf>
    <xf numFmtId="3" fontId="67" fillId="0" borderId="2" xfId="51" applyNumberFormat="1" applyFont="1" applyBorder="1" applyAlignment="1">
      <alignment horizontal="right" vertical="center" wrapText="1"/>
    </xf>
    <xf numFmtId="3" fontId="68" fillId="0" borderId="8" xfId="51" applyNumberFormat="1" applyFont="1" applyBorder="1" applyAlignment="1">
      <alignment horizontal="right" vertical="center" wrapText="1"/>
    </xf>
    <xf numFmtId="3" fontId="68" fillId="0" borderId="7" xfId="51" applyNumberFormat="1" applyFont="1" applyBorder="1" applyAlignment="1">
      <alignment horizontal="right" vertical="center" wrapText="1"/>
    </xf>
    <xf numFmtId="3" fontId="67" fillId="0" borderId="8" xfId="51" applyNumberFormat="1" applyFont="1" applyBorder="1" applyAlignment="1">
      <alignment horizontal="right" vertical="center" wrapText="1"/>
    </xf>
    <xf numFmtId="3" fontId="67" fillId="0" borderId="7" xfId="51" applyNumberFormat="1" applyFont="1" applyBorder="1" applyAlignment="1">
      <alignment horizontal="right" vertical="center" wrapText="1"/>
    </xf>
    <xf numFmtId="0" fontId="69" fillId="0" borderId="3" xfId="51" applyFont="1" applyBorder="1" applyAlignment="1">
      <alignment horizontal="justify" vertical="center" wrapText="1"/>
    </xf>
    <xf numFmtId="0" fontId="69" fillId="0" borderId="4" xfId="51" applyFont="1" applyBorder="1" applyAlignment="1">
      <alignment horizontal="center" vertical="center"/>
    </xf>
    <xf numFmtId="3" fontId="70" fillId="0" borderId="4" xfId="51" applyNumberFormat="1" applyFont="1" applyBorder="1" applyAlignment="1">
      <alignment horizontal="right" vertical="center" wrapText="1"/>
    </xf>
    <xf numFmtId="0" fontId="70" fillId="0" borderId="3" xfId="51" applyFont="1" applyBorder="1" applyAlignment="1">
      <alignment vertical="center" wrapText="1"/>
    </xf>
    <xf numFmtId="3" fontId="55" fillId="0" borderId="4" xfId="51" applyNumberFormat="1" applyFont="1" applyBorder="1" applyAlignment="1">
      <alignment horizontal="right" vertical="center" wrapText="1"/>
    </xf>
    <xf numFmtId="3" fontId="55" fillId="0" borderId="2" xfId="51" applyNumberFormat="1" applyFont="1" applyBorder="1" applyAlignment="1">
      <alignment horizontal="right" vertical="center" wrapText="1"/>
    </xf>
    <xf numFmtId="3" fontId="55" fillId="0" borderId="5" xfId="51" applyNumberFormat="1" applyFont="1" applyBorder="1" applyAlignment="1">
      <alignment horizontal="right" vertical="center" wrapText="1"/>
    </xf>
    <xf numFmtId="3" fontId="54" fillId="0" borderId="4" xfId="51" applyNumberFormat="1" applyFont="1" applyBorder="1" applyAlignment="1">
      <alignment horizontal="right" vertical="center" wrapText="1"/>
    </xf>
    <xf numFmtId="3" fontId="54" fillId="0" borderId="2" xfId="51" applyNumberFormat="1" applyFont="1" applyBorder="1" applyAlignment="1">
      <alignment horizontal="right" vertical="center" wrapText="1"/>
    </xf>
    <xf numFmtId="3" fontId="54" fillId="25" borderId="4" xfId="34" applyNumberFormat="1" applyFont="1" applyFill="1" applyBorder="1" applyAlignment="1">
      <alignment horizontal="right" vertical="center" wrapText="1"/>
    </xf>
    <xf numFmtId="3" fontId="54" fillId="25" borderId="2" xfId="34" applyNumberFormat="1" applyFont="1" applyFill="1" applyBorder="1" applyAlignment="1">
      <alignment horizontal="right" vertical="center" wrapText="1"/>
    </xf>
    <xf numFmtId="3" fontId="54" fillId="25" borderId="5" xfId="34" applyNumberFormat="1" applyFont="1" applyFill="1" applyBorder="1" applyAlignment="1">
      <alignment horizontal="right" vertical="center" wrapText="1"/>
    </xf>
    <xf numFmtId="3" fontId="55" fillId="0" borderId="4" xfId="1" applyNumberFormat="1" applyFont="1" applyBorder="1" applyAlignment="1">
      <alignment vertical="center"/>
    </xf>
    <xf numFmtId="0" fontId="59" fillId="0" borderId="43" xfId="52" applyFont="1" applyBorder="1" applyAlignment="1">
      <alignment horizontal="justify" vertical="center" wrapText="1"/>
    </xf>
    <xf numFmtId="49" fontId="58" fillId="25" borderId="22" xfId="55" applyNumberFormat="1" applyFont="1" applyFill="1" applyBorder="1" applyAlignment="1">
      <alignment horizontal="center" vertical="center" wrapText="1"/>
    </xf>
    <xf numFmtId="0" fontId="59" fillId="0" borderId="5" xfId="52" applyFont="1" applyBorder="1" applyAlignment="1">
      <alignment horizontal="justify" vertical="center"/>
    </xf>
    <xf numFmtId="3" fontId="59" fillId="0" borderId="42" xfId="52" applyNumberFormat="1" applyFont="1" applyBorder="1" applyAlignment="1">
      <alignment horizontal="center" vertical="center" wrapText="1"/>
    </xf>
    <xf numFmtId="3" fontId="59" fillId="0" borderId="42" xfId="52" applyNumberFormat="1" applyFont="1" applyBorder="1" applyAlignment="1">
      <alignment vertical="center"/>
    </xf>
    <xf numFmtId="3" fontId="54" fillId="25" borderId="42" xfId="34" applyNumberFormat="1" applyFont="1" applyFill="1" applyBorder="1" applyAlignment="1">
      <alignment horizontal="right" vertical="center" wrapText="1"/>
    </xf>
    <xf numFmtId="3" fontId="54" fillId="25" borderId="56" xfId="34" applyNumberFormat="1" applyFont="1" applyFill="1" applyBorder="1" applyAlignment="1">
      <alignment horizontal="right" vertical="center" wrapText="1"/>
    </xf>
    <xf numFmtId="0" fontId="59" fillId="0" borderId="0" xfId="51" applyFont="1"/>
    <xf numFmtId="0" fontId="25" fillId="0" borderId="10" xfId="1" applyFont="1" applyBorder="1" applyAlignment="1">
      <alignment vertical="center"/>
    </xf>
    <xf numFmtId="0" fontId="65" fillId="0" borderId="0" xfId="1" applyFont="1" applyAlignment="1">
      <alignment vertical="center"/>
    </xf>
    <xf numFmtId="0" fontId="59" fillId="0" borderId="12" xfId="52" applyFont="1" applyBorder="1" applyAlignment="1">
      <alignment horizontal="center" vertical="center" wrapText="1"/>
    </xf>
    <xf numFmtId="0" fontId="59" fillId="0" borderId="42" xfId="52" applyFont="1" applyBorder="1" applyAlignment="1">
      <alignment horizontal="center" vertical="center" wrapText="1"/>
    </xf>
    <xf numFmtId="3" fontId="59" fillId="0" borderId="22" xfId="52" applyNumberFormat="1" applyFont="1" applyBorder="1" applyAlignment="1">
      <alignment horizontal="center" vertical="center" wrapText="1"/>
    </xf>
    <xf numFmtId="3" fontId="59" fillId="0" borderId="12" xfId="52" applyNumberFormat="1" applyFont="1" applyBorder="1" applyAlignment="1">
      <alignment horizontal="center" vertical="center" wrapText="1"/>
    </xf>
    <xf numFmtId="0" fontId="59" fillId="0" borderId="10" xfId="52" applyFont="1" applyBorder="1" applyAlignment="1">
      <alignment horizontal="center" vertical="center"/>
    </xf>
    <xf numFmtId="3" fontId="59" fillId="0" borderId="10" xfId="52" applyNumberFormat="1" applyFont="1" applyBorder="1" applyAlignment="1">
      <alignment vertical="center"/>
    </xf>
    <xf numFmtId="3" fontId="59" fillId="0" borderId="10" xfId="52" applyNumberFormat="1" applyFont="1" applyBorder="1" applyAlignment="1">
      <alignment horizontal="right" vertical="center"/>
    </xf>
    <xf numFmtId="0" fontId="59" fillId="0" borderId="71" xfId="52" applyFont="1" applyBorder="1" applyAlignment="1">
      <alignment horizontal="center" vertical="center" wrapText="1"/>
    </xf>
    <xf numFmtId="0" fontId="59" fillId="0" borderId="72" xfId="52" applyFont="1" applyBorder="1" applyAlignment="1">
      <alignment horizontal="center" vertical="center" wrapText="1"/>
    </xf>
    <xf numFmtId="3" fontId="59" fillId="0" borderId="72" xfId="52" applyNumberFormat="1" applyFont="1" applyBorder="1" applyAlignment="1">
      <alignment horizontal="right" vertical="center" wrapText="1"/>
    </xf>
    <xf numFmtId="3" fontId="59" fillId="0" borderId="72" xfId="52" applyNumberFormat="1" applyFont="1" applyBorder="1" applyAlignment="1">
      <alignment horizontal="center" vertical="center" wrapText="1"/>
    </xf>
    <xf numFmtId="3" fontId="59" fillId="0" borderId="4" xfId="52" applyNumberFormat="1" applyFont="1" applyBorder="1" applyAlignment="1">
      <alignment vertical="center" wrapText="1"/>
    </xf>
    <xf numFmtId="0" fontId="59" fillId="0" borderId="37" xfId="52" applyFont="1" applyBorder="1" applyAlignment="1">
      <alignment horizontal="left" vertical="center" wrapText="1"/>
    </xf>
    <xf numFmtId="3" fontId="59" fillId="0" borderId="10" xfId="52" applyNumberFormat="1" applyFont="1" applyBorder="1" applyAlignment="1">
      <alignment horizontal="right" vertical="center" wrapText="1"/>
    </xf>
    <xf numFmtId="3" fontId="59" fillId="0" borderId="26" xfId="52" applyNumberFormat="1" applyFont="1" applyBorder="1" applyAlignment="1">
      <alignment horizontal="center" vertical="center" wrapText="1"/>
    </xf>
    <xf numFmtId="0" fontId="59" fillId="0" borderId="10" xfId="52" applyFont="1" applyBorder="1" applyAlignment="1">
      <alignment horizontal="center" vertical="center" wrapText="1"/>
    </xf>
    <xf numFmtId="0" fontId="58" fillId="0" borderId="1" xfId="52" applyFont="1" applyBorder="1" applyAlignment="1">
      <alignment vertical="center"/>
    </xf>
    <xf numFmtId="0" fontId="58" fillId="0" borderId="61" xfId="52" applyFont="1" applyBorder="1" applyAlignment="1">
      <alignment vertical="center"/>
    </xf>
    <xf numFmtId="0" fontId="58" fillId="0" borderId="62" xfId="52" applyFont="1" applyBorder="1" applyAlignment="1">
      <alignment vertical="center"/>
    </xf>
    <xf numFmtId="3" fontId="54" fillId="0" borderId="4" xfId="1" applyNumberFormat="1" applyFont="1" applyBorder="1" applyAlignment="1">
      <alignment vertical="center"/>
    </xf>
    <xf numFmtId="0" fontId="56" fillId="0" borderId="1" xfId="51" applyFont="1" applyBorder="1" applyAlignment="1">
      <alignment vertical="center" wrapText="1"/>
    </xf>
    <xf numFmtId="0" fontId="57" fillId="0" borderId="10" xfId="51" applyFont="1" applyBorder="1" applyAlignment="1">
      <alignment horizontal="center" vertical="center"/>
    </xf>
    <xf numFmtId="0" fontId="57" fillId="0" borderId="1" xfId="51" applyFont="1" applyBorder="1" applyAlignment="1">
      <alignment vertical="center" wrapText="1"/>
    </xf>
    <xf numFmtId="3" fontId="55" fillId="0" borderId="2" xfId="51" applyNumberFormat="1" applyFont="1" applyBorder="1" applyAlignment="1">
      <alignment horizontal="right" vertical="center"/>
    </xf>
    <xf numFmtId="3" fontId="55" fillId="0" borderId="5" xfId="51" applyNumberFormat="1" applyFont="1" applyBorder="1" applyAlignment="1">
      <alignment horizontal="right" vertical="center"/>
    </xf>
    <xf numFmtId="0" fontId="57" fillId="0" borderId="37" xfId="51" applyFont="1" applyBorder="1" applyAlignment="1">
      <alignment vertical="center"/>
    </xf>
    <xf numFmtId="0" fontId="57" fillId="0" borderId="6" xfId="51" applyFont="1" applyBorder="1" applyAlignment="1">
      <alignment vertical="center" wrapText="1"/>
    </xf>
    <xf numFmtId="0" fontId="59" fillId="0" borderId="75" xfId="52" applyFont="1" applyBorder="1" applyAlignment="1">
      <alignment horizontal="center" vertical="center" wrapText="1"/>
    </xf>
    <xf numFmtId="0" fontId="28" fillId="25" borderId="54" xfId="51" applyFont="1" applyFill="1" applyBorder="1" applyAlignment="1">
      <alignment vertical="center" wrapText="1"/>
    </xf>
    <xf numFmtId="0" fontId="26" fillId="0" borderId="54" xfId="51" applyFont="1" applyBorder="1" applyAlignment="1">
      <alignment horizontal="center" vertical="center"/>
    </xf>
    <xf numFmtId="0" fontId="26" fillId="0" borderId="49" xfId="51" applyFont="1" applyBorder="1" applyAlignment="1">
      <alignment horizontal="left" vertical="center" wrapText="1"/>
    </xf>
    <xf numFmtId="0" fontId="28" fillId="0" borderId="44" xfId="51" applyFont="1" applyBorder="1" applyAlignment="1">
      <alignment vertical="center" wrapText="1"/>
    </xf>
    <xf numFmtId="0" fontId="28" fillId="0" borderId="58" xfId="51" applyFont="1" applyBorder="1" applyAlignment="1">
      <alignment vertical="center" wrapText="1"/>
    </xf>
    <xf numFmtId="0" fontId="54" fillId="0" borderId="42" xfId="51" applyFont="1" applyBorder="1" applyAlignment="1">
      <alignment horizontal="center" vertical="center" wrapText="1"/>
    </xf>
    <xf numFmtId="3" fontId="55" fillId="0" borderId="7" xfId="51" applyNumberFormat="1" applyFont="1" applyBorder="1" applyAlignment="1">
      <alignment horizontal="right" vertical="center" wrapText="1"/>
    </xf>
    <xf numFmtId="3" fontId="55" fillId="0" borderId="38" xfId="51" applyNumberFormat="1" applyFont="1" applyBorder="1" applyAlignment="1">
      <alignment horizontal="right" vertical="center" wrapText="1"/>
    </xf>
    <xf numFmtId="49" fontId="59" fillId="0" borderId="8" xfId="52" applyNumberFormat="1" applyFont="1" applyBorder="1" applyAlignment="1">
      <alignment horizontal="center" vertical="center" wrapText="1"/>
    </xf>
    <xf numFmtId="0" fontId="71" fillId="0" borderId="0" xfId="34" applyFont="1"/>
    <xf numFmtId="0" fontId="73" fillId="0" borderId="0" xfId="34" applyFont="1"/>
    <xf numFmtId="0" fontId="74" fillId="0" borderId="0" xfId="37" applyFont="1" applyAlignment="1">
      <alignment vertical="center" wrapText="1"/>
    </xf>
    <xf numFmtId="3" fontId="74" fillId="0" borderId="0" xfId="37" applyNumberFormat="1" applyFont="1"/>
    <xf numFmtId="3" fontId="26" fillId="0" borderId="0" xfId="37" applyNumberFormat="1" applyFont="1"/>
    <xf numFmtId="0" fontId="75" fillId="0" borderId="0" xfId="37" applyFont="1"/>
    <xf numFmtId="0" fontId="65" fillId="0" borderId="0" xfId="37" applyFont="1"/>
    <xf numFmtId="3" fontId="26" fillId="0" borderId="36" xfId="51" applyNumberFormat="1" applyFont="1" applyBorder="1" applyAlignment="1">
      <alignment horizontal="right" vertical="center"/>
    </xf>
    <xf numFmtId="0" fontId="59" fillId="0" borderId="0" xfId="51" applyFont="1" applyAlignment="1">
      <alignment vertical="center"/>
    </xf>
    <xf numFmtId="3" fontId="26" fillId="0" borderId="4" xfId="51" applyNumberFormat="1" applyFont="1" applyBorder="1" applyAlignment="1">
      <alignment horizontal="right" vertical="center"/>
    </xf>
    <xf numFmtId="3" fontId="26" fillId="0" borderId="5" xfId="51" applyNumberFormat="1" applyFont="1" applyBorder="1" applyAlignment="1">
      <alignment horizontal="right" vertical="center"/>
    </xf>
    <xf numFmtId="10" fontId="28" fillId="27" borderId="18" xfId="51" applyNumberFormat="1" applyFont="1" applyFill="1" applyBorder="1" applyAlignment="1">
      <alignment vertical="center"/>
    </xf>
    <xf numFmtId="0" fontId="26" fillId="0" borderId="0" xfId="51" applyFont="1" applyAlignment="1">
      <alignment vertical="center"/>
    </xf>
    <xf numFmtId="0" fontId="28" fillId="0" borderId="0" xfId="51" applyFont="1"/>
    <xf numFmtId="3" fontId="26" fillId="0" borderId="43" xfId="51" applyNumberFormat="1" applyFont="1" applyBorder="1" applyAlignment="1">
      <alignment horizontal="right" vertical="center"/>
    </xf>
    <xf numFmtId="0" fontId="58" fillId="25" borderId="15" xfId="52" applyFont="1" applyFill="1" applyBorder="1" applyAlignment="1">
      <alignment horizontal="center" vertical="center" wrapText="1"/>
    </xf>
    <xf numFmtId="0" fontId="59" fillId="0" borderId="3" xfId="52" applyFont="1" applyBorder="1" applyAlignment="1">
      <alignment horizontal="center" vertical="center" wrapText="1"/>
    </xf>
    <xf numFmtId="0" fontId="59" fillId="0" borderId="37" xfId="52" applyFont="1" applyBorder="1" applyAlignment="1">
      <alignment horizontal="center" vertical="center" wrapText="1"/>
    </xf>
    <xf numFmtId="0" fontId="59" fillId="0" borderId="58" xfId="52" applyFont="1" applyBorder="1" applyAlignment="1">
      <alignment vertical="center" wrapText="1"/>
    </xf>
    <xf numFmtId="0" fontId="59" fillId="0" borderId="70" xfId="52" applyFont="1" applyBorder="1" applyAlignment="1">
      <alignment horizontal="center" vertical="center" wrapText="1"/>
    </xf>
    <xf numFmtId="3" fontId="59" fillId="0" borderId="0" xfId="52" applyNumberFormat="1" applyFont="1" applyAlignment="1">
      <alignment horizontal="right" vertical="center" wrapText="1"/>
    </xf>
    <xf numFmtId="0" fontId="59" fillId="0" borderId="1" xfId="52" applyFont="1" applyBorder="1" applyAlignment="1">
      <alignment vertical="center" wrapText="1"/>
    </xf>
    <xf numFmtId="3" fontId="59" fillId="0" borderId="8" xfId="52" applyNumberFormat="1" applyFont="1" applyBorder="1" applyAlignment="1">
      <alignment horizontal="center" vertical="center" wrapText="1"/>
    </xf>
    <xf numFmtId="0" fontId="58" fillId="25" borderId="22" xfId="55" applyNumberFormat="1" applyFont="1" applyFill="1" applyBorder="1" applyAlignment="1">
      <alignment horizontal="center" vertical="center" wrapText="1"/>
    </xf>
    <xf numFmtId="4" fontId="58" fillId="0" borderId="0" xfId="52" applyNumberFormat="1" applyFont="1" applyAlignment="1">
      <alignment vertical="center"/>
    </xf>
    <xf numFmtId="49" fontId="58" fillId="25" borderId="50" xfId="55" applyNumberFormat="1" applyFont="1" applyFill="1" applyBorder="1" applyAlignment="1">
      <alignment horizontal="center" vertical="center" wrapText="1"/>
    </xf>
    <xf numFmtId="0" fontId="58" fillId="0" borderId="3" xfId="52" applyFont="1" applyBorder="1" applyAlignment="1">
      <alignment vertical="center"/>
    </xf>
    <xf numFmtId="0" fontId="58" fillId="0" borderId="51" xfId="52" applyFont="1" applyBorder="1" applyAlignment="1">
      <alignment vertical="center"/>
    </xf>
    <xf numFmtId="0" fontId="58" fillId="0" borderId="45" xfId="52" applyFont="1" applyBorder="1" applyAlignment="1">
      <alignment vertical="center"/>
    </xf>
    <xf numFmtId="3" fontId="59" fillId="0" borderId="2" xfId="52" applyNumberFormat="1" applyFont="1" applyBorder="1" applyAlignment="1">
      <alignment horizontal="right" vertical="center"/>
    </xf>
    <xf numFmtId="3" fontId="59" fillId="0" borderId="7" xfId="52" applyNumberFormat="1" applyFont="1" applyBorder="1" applyAlignment="1">
      <alignment horizontal="right" vertical="center"/>
    </xf>
    <xf numFmtId="0" fontId="59" fillId="0" borderId="38" xfId="52" applyFont="1" applyBorder="1" applyAlignment="1">
      <alignment horizontal="justify" vertical="center"/>
    </xf>
    <xf numFmtId="3" fontId="59" fillId="0" borderId="39" xfId="52" applyNumberFormat="1" applyFont="1" applyBorder="1" applyAlignment="1">
      <alignment vertical="center" wrapText="1"/>
    </xf>
    <xf numFmtId="49" fontId="58" fillId="27" borderId="42" xfId="34" applyNumberFormat="1" applyFont="1" applyFill="1" applyBorder="1" applyAlignment="1" applyProtection="1">
      <alignment horizontal="center" vertical="center" wrapText="1"/>
      <protection locked="0"/>
    </xf>
    <xf numFmtId="3" fontId="59" fillId="0" borderId="5" xfId="52" applyNumberFormat="1" applyFont="1" applyBorder="1" applyAlignment="1">
      <alignment horizontal="right" vertical="center"/>
    </xf>
    <xf numFmtId="0" fontId="59" fillId="0" borderId="15" xfId="52" applyFont="1" applyBorder="1" applyAlignment="1">
      <alignment vertical="center" wrapText="1"/>
    </xf>
    <xf numFmtId="0" fontId="59" fillId="0" borderId="52" xfId="52" applyFont="1" applyBorder="1" applyAlignment="1">
      <alignment vertical="center" wrapText="1"/>
    </xf>
    <xf numFmtId="3" fontId="59" fillId="0" borderId="52" xfId="52" applyNumberFormat="1" applyFont="1" applyBorder="1" applyAlignment="1">
      <alignment vertical="center" wrapText="1"/>
    </xf>
    <xf numFmtId="0" fontId="59" fillId="0" borderId="59" xfId="52" applyFont="1" applyBorder="1" applyAlignment="1">
      <alignment vertical="center" wrapText="1"/>
    </xf>
    <xf numFmtId="49" fontId="58" fillId="25" borderId="63" xfId="55" applyNumberFormat="1" applyFont="1" applyFill="1" applyBorder="1" applyAlignment="1">
      <alignment horizontal="center" vertical="center" wrapText="1"/>
    </xf>
    <xf numFmtId="49" fontId="58" fillId="25" borderId="76" xfId="55" applyNumberFormat="1" applyFont="1" applyFill="1" applyBorder="1" applyAlignment="1">
      <alignment horizontal="center" vertical="center" wrapText="1"/>
    </xf>
    <xf numFmtId="9" fontId="58" fillId="0" borderId="0" xfId="52" applyNumberFormat="1" applyFont="1" applyAlignment="1">
      <alignment horizontal="center" vertical="center"/>
    </xf>
    <xf numFmtId="49" fontId="58" fillId="0" borderId="0" xfId="52" applyNumberFormat="1" applyFont="1" applyAlignment="1">
      <alignment horizontal="center" vertical="center"/>
    </xf>
    <xf numFmtId="9" fontId="58" fillId="0" borderId="61" xfId="52" applyNumberFormat="1" applyFont="1" applyBorder="1" applyAlignment="1">
      <alignment horizontal="center" vertical="center"/>
    </xf>
    <xf numFmtId="49" fontId="58" fillId="0" borderId="61" xfId="52" applyNumberFormat="1" applyFont="1" applyBorder="1" applyAlignment="1">
      <alignment horizontal="center" vertical="center"/>
    </xf>
    <xf numFmtId="9" fontId="58" fillId="0" borderId="51" xfId="52" applyNumberFormat="1" applyFont="1" applyBorder="1" applyAlignment="1">
      <alignment horizontal="center" vertical="center"/>
    </xf>
    <xf numFmtId="49" fontId="58" fillId="0" borderId="51" xfId="52" applyNumberFormat="1" applyFont="1" applyBorder="1" applyAlignment="1">
      <alignment horizontal="center" vertical="center"/>
    </xf>
    <xf numFmtId="9" fontId="59" fillId="0" borderId="52" xfId="52" applyNumberFormat="1" applyFont="1" applyBorder="1" applyAlignment="1">
      <alignment horizontal="center" vertical="center" wrapText="1"/>
    </xf>
    <xf numFmtId="49" fontId="59" fillId="0" borderId="52" xfId="52" applyNumberFormat="1" applyFont="1" applyBorder="1" applyAlignment="1">
      <alignment horizontal="center" vertical="center" wrapText="1"/>
    </xf>
    <xf numFmtId="0" fontId="58" fillId="27" borderId="15" xfId="54" applyFont="1" applyFill="1" applyBorder="1" applyAlignment="1">
      <alignment horizontal="left" vertical="center"/>
    </xf>
    <xf numFmtId="0" fontId="53" fillId="0" borderId="0" xfId="51" applyFont="1" applyAlignment="1">
      <alignment horizontal="center" vertical="center" wrapText="1"/>
    </xf>
    <xf numFmtId="0" fontId="54" fillId="0" borderId="79" xfId="51" applyFont="1" applyBorder="1" applyAlignment="1">
      <alignment horizontal="center" vertical="center" wrapText="1"/>
    </xf>
    <xf numFmtId="3" fontId="54" fillId="25" borderId="61" xfId="34" applyNumberFormat="1" applyFont="1" applyFill="1" applyBorder="1" applyAlignment="1">
      <alignment horizontal="right" vertical="center" wrapText="1"/>
    </xf>
    <xf numFmtId="3" fontId="70" fillId="0" borderId="51" xfId="51" applyNumberFormat="1" applyFont="1" applyBorder="1" applyAlignment="1">
      <alignment horizontal="right" vertical="center" wrapText="1"/>
    </xf>
    <xf numFmtId="3" fontId="54" fillId="0" borderId="51" xfId="51" applyNumberFormat="1" applyFont="1" applyBorder="1" applyAlignment="1">
      <alignment horizontal="right" vertical="center" wrapText="1"/>
    </xf>
    <xf numFmtId="3" fontId="55" fillId="0" borderId="51" xfId="1" applyNumberFormat="1" applyFont="1" applyBorder="1" applyAlignment="1">
      <alignment vertical="center"/>
    </xf>
    <xf numFmtId="3" fontId="54" fillId="0" borderId="51" xfId="1" applyNumberFormat="1" applyFont="1" applyBorder="1" applyAlignment="1">
      <alignment vertical="center"/>
    </xf>
    <xf numFmtId="3" fontId="68" fillId="0" borderId="80" xfId="51" applyNumberFormat="1" applyFont="1" applyBorder="1" applyAlignment="1">
      <alignment horizontal="right" vertical="center" wrapText="1"/>
    </xf>
    <xf numFmtId="3" fontId="54" fillId="25" borderId="51" xfId="34" applyNumberFormat="1" applyFont="1" applyFill="1" applyBorder="1" applyAlignment="1">
      <alignment horizontal="right" vertical="center" wrapText="1"/>
    </xf>
    <xf numFmtId="3" fontId="67" fillId="0" borderId="51" xfId="51" applyNumberFormat="1" applyFont="1" applyBorder="1" applyAlignment="1">
      <alignment horizontal="right" vertical="center" wrapText="1"/>
    </xf>
    <xf numFmtId="3" fontId="55" fillId="0" borderId="51" xfId="51" applyNumberFormat="1" applyFont="1" applyBorder="1" applyAlignment="1">
      <alignment horizontal="right" vertical="center" wrapText="1"/>
    </xf>
    <xf numFmtId="3" fontId="67" fillId="0" borderId="80" xfId="51" applyNumberFormat="1" applyFont="1" applyBorder="1" applyAlignment="1">
      <alignment horizontal="right" vertical="center" wrapText="1"/>
    </xf>
    <xf numFmtId="3" fontId="54" fillId="25" borderId="79" xfId="34" applyNumberFormat="1" applyFont="1" applyFill="1" applyBorder="1" applyAlignment="1">
      <alignment horizontal="right" vertical="center" wrapText="1"/>
    </xf>
    <xf numFmtId="0" fontId="54" fillId="0" borderId="43" xfId="51" applyFont="1" applyBorder="1" applyAlignment="1">
      <alignment horizontal="center" vertical="center" wrapText="1"/>
    </xf>
    <xf numFmtId="3" fontId="54" fillId="25" borderId="13" xfId="34" applyNumberFormat="1" applyFont="1" applyFill="1" applyBorder="1" applyAlignment="1">
      <alignment horizontal="right" vertical="center" wrapText="1"/>
    </xf>
    <xf numFmtId="3" fontId="70" fillId="0" borderId="5" xfId="51" applyNumberFormat="1" applyFont="1" applyBorder="1" applyAlignment="1">
      <alignment horizontal="right" vertical="center" wrapText="1"/>
    </xf>
    <xf numFmtId="3" fontId="54" fillId="0" borderId="5" xfId="51" applyNumberFormat="1" applyFont="1" applyBorder="1" applyAlignment="1">
      <alignment horizontal="right" vertical="center" wrapText="1"/>
    </xf>
    <xf numFmtId="3" fontId="55" fillId="0" borderId="5" xfId="1" applyNumberFormat="1" applyFont="1" applyBorder="1" applyAlignment="1">
      <alignment vertical="center"/>
    </xf>
    <xf numFmtId="3" fontId="54" fillId="0" borderId="5" xfId="1" applyNumberFormat="1" applyFont="1" applyBorder="1" applyAlignment="1">
      <alignment vertical="center"/>
    </xf>
    <xf numFmtId="3" fontId="68" fillId="0" borderId="38" xfId="51" applyNumberFormat="1" applyFont="1" applyBorder="1" applyAlignment="1">
      <alignment horizontal="right" vertical="center" wrapText="1"/>
    </xf>
    <xf numFmtId="3" fontId="67" fillId="0" borderId="5" xfId="51" applyNumberFormat="1" applyFont="1" applyBorder="1" applyAlignment="1">
      <alignment horizontal="right" vertical="center" wrapText="1"/>
    </xf>
    <xf numFmtId="3" fontId="67" fillId="0" borderId="38" xfId="51" applyNumberFormat="1" applyFont="1" applyBorder="1" applyAlignment="1">
      <alignment horizontal="right" vertical="center" wrapText="1"/>
    </xf>
    <xf numFmtId="3" fontId="54" fillId="25" borderId="43" xfId="34" applyNumberFormat="1" applyFont="1" applyFill="1" applyBorder="1" applyAlignment="1">
      <alignment horizontal="right" vertical="center" wrapText="1"/>
    </xf>
    <xf numFmtId="0" fontId="57" fillId="0" borderId="3" xfId="51" applyFont="1" applyBorder="1" applyAlignment="1">
      <alignment horizontal="left" vertical="center" wrapText="1"/>
    </xf>
    <xf numFmtId="0" fontId="55" fillId="0" borderId="3" xfId="51" applyFont="1" applyBorder="1" applyAlignment="1">
      <alignment horizontal="left" vertical="center" wrapText="1"/>
    </xf>
    <xf numFmtId="0" fontId="72" fillId="0" borderId="3" xfId="51" applyFont="1" applyBorder="1" applyAlignment="1">
      <alignment horizontal="left" vertical="center" wrapText="1"/>
    </xf>
    <xf numFmtId="49" fontId="69" fillId="0" borderId="3" xfId="1" applyNumberFormat="1" applyFont="1" applyBorder="1" applyAlignment="1">
      <alignment horizontal="left" vertical="center" wrapText="1"/>
    </xf>
    <xf numFmtId="49" fontId="55" fillId="0" borderId="3" xfId="1" applyNumberFormat="1" applyFont="1" applyBorder="1" applyAlignment="1">
      <alignment horizontal="left" vertical="center" wrapText="1"/>
    </xf>
    <xf numFmtId="0" fontId="30" fillId="0" borderId="49" xfId="0" applyFont="1" applyBorder="1" applyAlignment="1">
      <alignment horizontal="left" wrapText="1"/>
    </xf>
    <xf numFmtId="0" fontId="24" fillId="29" borderId="0" xfId="1" applyFont="1" applyFill="1" applyAlignment="1">
      <alignment vertical="center"/>
    </xf>
    <xf numFmtId="0" fontId="24" fillId="0" borderId="0" xfId="0" applyFont="1" applyAlignment="1">
      <alignment wrapText="1"/>
    </xf>
    <xf numFmtId="3" fontId="26" fillId="0" borderId="9" xfId="1" applyNumberFormat="1" applyFont="1" applyBorder="1" applyAlignment="1">
      <alignment horizontal="right"/>
    </xf>
    <xf numFmtId="3" fontId="26" fillId="0" borderId="13" xfId="1" applyNumberFormat="1" applyFont="1" applyBorder="1" applyAlignment="1">
      <alignment horizontal="right"/>
    </xf>
    <xf numFmtId="3" fontId="26" fillId="0" borderId="5" xfId="1" applyNumberFormat="1" applyFont="1" applyBorder="1" applyAlignment="1">
      <alignment horizontal="right"/>
    </xf>
    <xf numFmtId="3" fontId="26" fillId="0" borderId="4" xfId="1" applyNumberFormat="1" applyFont="1" applyBorder="1" applyAlignment="1">
      <alignment horizontal="right"/>
    </xf>
    <xf numFmtId="0" fontId="26" fillId="0" borderId="0" xfId="93" applyFont="1" applyAlignment="1">
      <alignment horizontal="left"/>
    </xf>
    <xf numFmtId="0" fontId="79" fillId="0" borderId="0" xfId="93" applyFont="1"/>
    <xf numFmtId="0" fontId="62" fillId="0" borderId="0" xfId="93" applyFont="1"/>
    <xf numFmtId="3" fontId="82" fillId="0" borderId="0" xfId="93" applyNumberFormat="1" applyFont="1"/>
    <xf numFmtId="0" fontId="83" fillId="0" borderId="0" xfId="93" applyFont="1"/>
    <xf numFmtId="4" fontId="83" fillId="0" borderId="0" xfId="93" applyNumberFormat="1" applyFont="1"/>
    <xf numFmtId="0" fontId="84" fillId="0" borderId="0" xfId="93" applyFont="1"/>
    <xf numFmtId="49" fontId="83" fillId="0" borderId="0" xfId="93" applyNumberFormat="1" applyFont="1" applyAlignment="1">
      <alignment horizontal="right"/>
    </xf>
    <xf numFmtId="0" fontId="82" fillId="0" borderId="0" xfId="93" applyFont="1"/>
    <xf numFmtId="0" fontId="26" fillId="0" borderId="0" xfId="94" applyFont="1"/>
    <xf numFmtId="0" fontId="79" fillId="0" borderId="0" xfId="94" applyFont="1"/>
    <xf numFmtId="0" fontId="79" fillId="0" borderId="0" xfId="94" applyFont="1" applyAlignment="1">
      <alignment horizontal="right"/>
    </xf>
    <xf numFmtId="9" fontId="79" fillId="0" borderId="0" xfId="94" applyNumberFormat="1" applyFont="1" applyAlignment="1">
      <alignment horizontal="center"/>
    </xf>
    <xf numFmtId="49" fontId="79" fillId="0" borderId="0" xfId="94" applyNumberFormat="1" applyFont="1" applyAlignment="1">
      <alignment horizontal="center"/>
    </xf>
    <xf numFmtId="0" fontId="62" fillId="0" borderId="0" xfId="94" applyFont="1"/>
    <xf numFmtId="0" fontId="85" fillId="0" borderId="0" xfId="52" applyFont="1" applyAlignment="1">
      <alignment vertical="center"/>
    </xf>
    <xf numFmtId="0" fontId="83" fillId="0" borderId="0" xfId="94" applyFont="1"/>
    <xf numFmtId="0" fontId="83" fillId="0" borderId="0" xfId="94" applyFont="1" applyAlignment="1">
      <alignment horizontal="right"/>
    </xf>
    <xf numFmtId="9" fontId="83" fillId="0" borderId="0" xfId="94" applyNumberFormat="1" applyFont="1" applyAlignment="1">
      <alignment horizontal="center"/>
    </xf>
    <xf numFmtId="49" fontId="83" fillId="0" borderId="0" xfId="94" applyNumberFormat="1" applyFont="1" applyAlignment="1">
      <alignment horizontal="center"/>
    </xf>
    <xf numFmtId="0" fontId="84" fillId="0" borderId="0" xfId="94" applyFont="1"/>
    <xf numFmtId="49" fontId="83" fillId="0" borderId="0" xfId="94" applyNumberFormat="1" applyFont="1" applyAlignment="1">
      <alignment horizontal="right"/>
    </xf>
    <xf numFmtId="49" fontId="82" fillId="0" borderId="0" xfId="94" applyNumberFormat="1" applyFont="1" applyAlignment="1">
      <alignment horizontal="center"/>
    </xf>
    <xf numFmtId="0" fontId="82" fillId="0" borderId="0" xfId="94" applyFont="1"/>
    <xf numFmtId="0" fontId="86" fillId="0" borderId="0" xfId="52" applyFont="1" applyAlignment="1">
      <alignment vertical="center"/>
    </xf>
    <xf numFmtId="0" fontId="26" fillId="0" borderId="33" xfId="51" applyFont="1" applyBorder="1" applyAlignment="1">
      <alignment horizontal="center" vertical="center"/>
    </xf>
    <xf numFmtId="0" fontId="28" fillId="0" borderId="32" xfId="51" applyFont="1" applyBorder="1" applyAlignment="1">
      <alignment horizontal="center" vertical="center" wrapText="1"/>
    </xf>
    <xf numFmtId="0" fontId="28" fillId="0" borderId="34" xfId="51" applyFont="1" applyBorder="1" applyAlignment="1">
      <alignment horizontal="center" vertical="center" wrapText="1"/>
    </xf>
    <xf numFmtId="0" fontId="26" fillId="0" borderId="47" xfId="51" applyFont="1" applyBorder="1" applyAlignment="1">
      <alignment vertical="center"/>
    </xf>
    <xf numFmtId="3" fontId="26" fillId="0" borderId="24" xfId="51" applyNumberFormat="1" applyFont="1" applyBorder="1" applyAlignment="1">
      <alignment horizontal="right" vertical="center"/>
    </xf>
    <xf numFmtId="0" fontId="26" fillId="0" borderId="58" xfId="51" applyFont="1" applyBorder="1" applyAlignment="1">
      <alignment horizontal="left" vertical="center" wrapText="1"/>
    </xf>
    <xf numFmtId="3" fontId="26" fillId="0" borderId="8" xfId="51" applyNumberFormat="1" applyFont="1" applyBorder="1" applyAlignment="1">
      <alignment horizontal="right" vertical="center"/>
    </xf>
    <xf numFmtId="0" fontId="87" fillId="0" borderId="0" xfId="51" applyFont="1" applyAlignment="1">
      <alignment vertical="center"/>
    </xf>
    <xf numFmtId="0" fontId="28" fillId="0" borderId="54" xfId="51" applyFont="1" applyBorder="1" applyAlignment="1">
      <alignment vertical="center"/>
    </xf>
    <xf numFmtId="3" fontId="28" fillId="0" borderId="18" xfId="51" applyNumberFormat="1" applyFont="1" applyBorder="1" applyAlignment="1">
      <alignment vertical="center"/>
    </xf>
    <xf numFmtId="3" fontId="28" fillId="0" borderId="16" xfId="51" applyNumberFormat="1" applyFont="1" applyBorder="1" applyAlignment="1">
      <alignment vertical="center"/>
    </xf>
    <xf numFmtId="0" fontId="28" fillId="0" borderId="20" xfId="51" applyFont="1" applyBorder="1" applyAlignment="1">
      <alignment horizontal="left" vertical="center" wrapText="1"/>
    </xf>
    <xf numFmtId="3" fontId="26" fillId="0" borderId="22" xfId="51" applyNumberFormat="1" applyFont="1" applyBorder="1" applyAlignment="1">
      <alignment horizontal="right" vertical="center"/>
    </xf>
    <xf numFmtId="3" fontId="26" fillId="0" borderId="21" xfId="51" applyNumberFormat="1" applyFont="1" applyBorder="1" applyAlignment="1">
      <alignment horizontal="right" vertical="center"/>
    </xf>
    <xf numFmtId="0" fontId="28" fillId="25" borderId="20" xfId="51" applyFont="1" applyFill="1" applyBorder="1" applyAlignment="1">
      <alignment vertical="center" wrapText="1"/>
    </xf>
    <xf numFmtId="10" fontId="28" fillId="25" borderId="22" xfId="51" applyNumberFormat="1" applyFont="1" applyFill="1" applyBorder="1" applyAlignment="1">
      <alignment vertical="center"/>
    </xf>
    <xf numFmtId="10" fontId="28" fillId="27" borderId="22" xfId="51" applyNumberFormat="1" applyFont="1" applyFill="1" applyBorder="1" applyAlignment="1">
      <alignment vertical="center"/>
    </xf>
    <xf numFmtId="10" fontId="28" fillId="25" borderId="21" xfId="51" applyNumberFormat="1" applyFont="1" applyFill="1" applyBorder="1" applyAlignment="1">
      <alignment vertical="center"/>
    </xf>
    <xf numFmtId="0" fontId="26" fillId="0" borderId="0" xfId="51" applyFont="1" applyAlignment="1">
      <alignment horizontal="left"/>
    </xf>
    <xf numFmtId="10" fontId="28" fillId="0" borderId="0" xfId="51" applyNumberFormat="1" applyFont="1"/>
    <xf numFmtId="3" fontId="26" fillId="0" borderId="42" xfId="51" applyNumberFormat="1" applyFont="1" applyBorder="1" applyAlignment="1">
      <alignment horizontal="right" vertical="center"/>
    </xf>
    <xf numFmtId="0" fontId="26" fillId="0" borderId="49" xfId="51" applyFont="1" applyBorder="1" applyAlignment="1">
      <alignment vertical="center"/>
    </xf>
    <xf numFmtId="0" fontId="58" fillId="25" borderId="4" xfId="55" applyNumberFormat="1" applyFont="1" applyFill="1" applyBorder="1" applyAlignment="1">
      <alignment horizontal="center" vertical="center" wrapText="1"/>
    </xf>
    <xf numFmtId="0" fontId="58" fillId="25" borderId="50" xfId="55" applyNumberFormat="1" applyFont="1" applyFill="1" applyBorder="1" applyAlignment="1">
      <alignment horizontal="center" vertical="center" wrapText="1"/>
    </xf>
    <xf numFmtId="0" fontId="26" fillId="0" borderId="0" xfId="97" applyFont="1" applyAlignment="1">
      <alignment horizontal="center"/>
    </xf>
    <xf numFmtId="0" fontId="26" fillId="0" borderId="0" xfId="97" applyFont="1"/>
    <xf numFmtId="0" fontId="62" fillId="0" borderId="0" xfId="98" applyFont="1"/>
    <xf numFmtId="0" fontId="66" fillId="0" borderId="0" xfId="98" applyFont="1"/>
    <xf numFmtId="0" fontId="23" fillId="0" borderId="0" xfId="98" applyFont="1" applyAlignment="1">
      <alignment horizontal="center" vertical="center" wrapText="1"/>
    </xf>
    <xf numFmtId="0" fontId="26" fillId="0" borderId="0" xfId="98" applyFont="1" applyAlignment="1">
      <alignment horizontal="center"/>
    </xf>
    <xf numFmtId="0" fontId="26" fillId="0" borderId="0" xfId="98" applyFont="1"/>
    <xf numFmtId="0" fontId="26" fillId="0" borderId="0" xfId="98" applyFont="1" applyAlignment="1">
      <alignment horizontal="center" vertical="center" wrapText="1"/>
    </xf>
    <xf numFmtId="0" fontId="26" fillId="0" borderId="0" xfId="98" applyFont="1" applyAlignment="1">
      <alignment horizontal="right"/>
    </xf>
    <xf numFmtId="0" fontId="62" fillId="0" borderId="37" xfId="98" applyFont="1" applyBorder="1" applyAlignment="1">
      <alignment horizontal="center"/>
    </xf>
    <xf numFmtId="0" fontId="23" fillId="0" borderId="0" xfId="98" applyFont="1"/>
    <xf numFmtId="0" fontId="59" fillId="0" borderId="3" xfId="99" applyFont="1" applyBorder="1" applyAlignment="1">
      <alignment horizontal="center" vertical="center" wrapText="1"/>
    </xf>
    <xf numFmtId="0" fontId="59" fillId="0" borderId="3" xfId="99" applyFont="1" applyBorder="1" applyAlignment="1">
      <alignment vertical="center" wrapText="1"/>
    </xf>
    <xf numFmtId="0" fontId="59" fillId="0" borderId="1" xfId="99" applyFont="1" applyBorder="1" applyAlignment="1">
      <alignment horizontal="center" vertical="center" wrapText="1"/>
    </xf>
    <xf numFmtId="0" fontId="59" fillId="0" borderId="44" xfId="99" applyFont="1" applyBorder="1" applyAlignment="1">
      <alignment vertical="center" wrapText="1"/>
    </xf>
    <xf numFmtId="0" fontId="59" fillId="0" borderId="49" xfId="99" applyFont="1" applyBorder="1" applyAlignment="1">
      <alignment vertical="center" wrapText="1"/>
    </xf>
    <xf numFmtId="0" fontId="59" fillId="0" borderId="6" xfId="99" applyFont="1" applyBorder="1" applyAlignment="1">
      <alignment horizontal="center" vertical="center" wrapText="1"/>
    </xf>
    <xf numFmtId="0" fontId="59" fillId="0" borderId="58" xfId="99" applyFont="1" applyBorder="1" applyAlignment="1">
      <alignment vertical="center" wrapText="1"/>
    </xf>
    <xf numFmtId="0" fontId="59" fillId="0" borderId="45" xfId="99" applyFont="1" applyBorder="1" applyAlignment="1">
      <alignment horizontal="justify" vertical="center" wrapText="1"/>
    </xf>
    <xf numFmtId="3" fontId="59" fillId="0" borderId="2" xfId="52" applyNumberFormat="1" applyFont="1" applyBorder="1" applyAlignment="1" applyProtection="1">
      <alignment horizontal="right" vertical="center" wrapText="1"/>
      <protection locked="0"/>
    </xf>
    <xf numFmtId="0" fontId="59" fillId="0" borderId="14" xfId="99" applyFont="1" applyBorder="1" applyAlignment="1">
      <alignment horizontal="center" vertical="center" wrapText="1"/>
    </xf>
    <xf numFmtId="0" fontId="59" fillId="0" borderId="57" xfId="99" applyFont="1" applyBorder="1" applyAlignment="1">
      <alignment vertical="center" wrapText="1"/>
    </xf>
    <xf numFmtId="0" fontId="62" fillId="0" borderId="0" xfId="98" applyFont="1" applyAlignment="1">
      <alignment horizontal="center" vertical="center"/>
    </xf>
    <xf numFmtId="3" fontId="59" fillId="0" borderId="2" xfId="99" applyNumberFormat="1" applyFont="1" applyBorder="1" applyAlignment="1">
      <alignment vertical="center"/>
    </xf>
    <xf numFmtId="3" fontId="59" fillId="0" borderId="4" xfId="99" applyNumberFormat="1" applyFont="1" applyBorder="1" applyAlignment="1">
      <alignment horizontal="center" vertical="center" wrapText="1"/>
    </xf>
    <xf numFmtId="3" fontId="23" fillId="0" borderId="0" xfId="98" applyNumberFormat="1" applyFont="1" applyAlignment="1">
      <alignment horizontal="center" vertical="center" wrapText="1"/>
    </xf>
    <xf numFmtId="3" fontId="59" fillId="0" borderId="2" xfId="99" applyNumberFormat="1" applyFont="1" applyBorder="1" applyAlignment="1">
      <alignment horizontal="center" vertical="center" wrapText="1"/>
    </xf>
    <xf numFmtId="3" fontId="59" fillId="0" borderId="0" xfId="99" applyNumberFormat="1" applyFont="1" applyAlignment="1">
      <alignment vertical="center"/>
    </xf>
    <xf numFmtId="3" fontId="59" fillId="0" borderId="4" xfId="99" applyNumberFormat="1" applyFont="1" applyBorder="1" applyAlignment="1">
      <alignment horizontal="center" vertical="center"/>
    </xf>
    <xf numFmtId="0" fontId="59" fillId="0" borderId="0" xfId="99" applyFont="1" applyAlignment="1">
      <alignment horizontal="justify" vertical="center" wrapText="1"/>
    </xf>
    <xf numFmtId="3" fontId="59" fillId="0" borderId="9" xfId="99" applyNumberFormat="1" applyFont="1" applyBorder="1" applyAlignment="1">
      <alignment horizontal="center" vertical="center" wrapText="1"/>
    </xf>
    <xf numFmtId="0" fontId="59" fillId="0" borderId="5" xfId="99" applyFont="1" applyBorder="1" applyAlignment="1">
      <alignment horizontal="justify" vertical="center" wrapText="1"/>
    </xf>
    <xf numFmtId="3" fontId="59" fillId="0" borderId="0" xfId="99" applyNumberFormat="1" applyFont="1" applyAlignment="1">
      <alignment horizontal="center" vertical="center" wrapText="1"/>
    </xf>
    <xf numFmtId="3" fontId="59" fillId="0" borderId="7" xfId="99" applyNumberFormat="1" applyFont="1" applyBorder="1" applyAlignment="1">
      <alignment vertical="center"/>
    </xf>
    <xf numFmtId="17" fontId="23" fillId="0" borderId="0" xfId="98" applyNumberFormat="1" applyFont="1" applyAlignment="1">
      <alignment horizontal="center" vertical="center" wrapText="1"/>
    </xf>
    <xf numFmtId="0" fontId="58" fillId="27" borderId="3" xfId="99" applyFont="1" applyFill="1" applyBorder="1" applyAlignment="1">
      <alignment horizontal="center" vertical="center" wrapText="1"/>
    </xf>
    <xf numFmtId="0" fontId="58" fillId="27" borderId="49" xfId="99" applyFont="1" applyFill="1" applyBorder="1" applyAlignment="1">
      <alignment vertical="center" wrapText="1"/>
    </xf>
    <xf numFmtId="3" fontId="58" fillId="27" borderId="4" xfId="99" applyNumberFormat="1" applyFont="1" applyFill="1" applyBorder="1" applyAlignment="1">
      <alignment horizontal="center" vertical="center" wrapText="1"/>
    </xf>
    <xf numFmtId="3" fontId="58" fillId="27" borderId="4" xfId="99" applyNumberFormat="1" applyFont="1" applyFill="1" applyBorder="1" applyAlignment="1">
      <alignment horizontal="center" vertical="center"/>
    </xf>
    <xf numFmtId="0" fontId="58" fillId="27" borderId="62" xfId="99" applyFont="1" applyFill="1" applyBorder="1" applyAlignment="1">
      <alignment horizontal="justify" vertical="center" wrapText="1"/>
    </xf>
    <xf numFmtId="3" fontId="59" fillId="0" borderId="4" xfId="99" applyNumberFormat="1" applyFont="1" applyBorder="1" applyAlignment="1">
      <alignment vertical="center"/>
    </xf>
    <xf numFmtId="3" fontId="59" fillId="0" borderId="10" xfId="99" applyNumberFormat="1" applyFont="1" applyBorder="1" applyAlignment="1">
      <alignment vertical="center"/>
    </xf>
    <xf numFmtId="3" fontId="59" fillId="0" borderId="10" xfId="99" applyNumberFormat="1" applyFont="1" applyBorder="1" applyAlignment="1">
      <alignment horizontal="center" vertical="center" wrapText="1"/>
    </xf>
    <xf numFmtId="3" fontId="59" fillId="0" borderId="4" xfId="98" applyNumberFormat="1" applyFont="1" applyBorder="1" applyAlignment="1">
      <alignment vertical="center"/>
    </xf>
    <xf numFmtId="3" fontId="58" fillId="0" borderId="0" xfId="99" applyNumberFormat="1" applyFont="1" applyAlignment="1">
      <alignment vertical="center"/>
    </xf>
    <xf numFmtId="3" fontId="59" fillId="0" borderId="9" xfId="99" applyNumberFormat="1" applyFont="1" applyBorder="1" applyAlignment="1">
      <alignment horizontal="right" vertical="center"/>
    </xf>
    <xf numFmtId="0" fontId="59" fillId="0" borderId="62" xfId="99" applyFont="1" applyBorder="1" applyAlignment="1">
      <alignment horizontal="justify" vertical="center" wrapText="1"/>
    </xf>
    <xf numFmtId="3" fontId="59" fillId="0" borderId="9" xfId="99" applyNumberFormat="1" applyFont="1" applyBorder="1" applyAlignment="1">
      <alignment vertical="center"/>
    </xf>
    <xf numFmtId="0" fontId="78" fillId="0" borderId="0" xfId="98" applyFont="1"/>
    <xf numFmtId="3" fontId="59" fillId="0" borderId="26" xfId="99" applyNumberFormat="1" applyFont="1" applyBorder="1" applyAlignment="1">
      <alignment horizontal="right" vertical="center"/>
    </xf>
    <xf numFmtId="0" fontId="58" fillId="27" borderId="14" xfId="99" applyFont="1" applyFill="1" applyBorder="1" applyAlignment="1">
      <alignment horizontal="center" vertical="center" wrapText="1"/>
    </xf>
    <xf numFmtId="0" fontId="58" fillId="27" borderId="57" xfId="99" applyFont="1" applyFill="1" applyBorder="1" applyAlignment="1">
      <alignment vertical="center" wrapText="1"/>
    </xf>
    <xf numFmtId="0" fontId="58" fillId="27" borderId="22" xfId="52" applyFont="1" applyFill="1" applyBorder="1" applyAlignment="1">
      <alignment horizontal="center" vertical="center" wrapText="1"/>
    </xf>
    <xf numFmtId="3" fontId="58" fillId="27" borderId="42" xfId="52" applyNumberFormat="1" applyFont="1" applyFill="1" applyBorder="1" applyAlignment="1">
      <alignment vertical="center" wrapText="1"/>
    </xf>
    <xf numFmtId="3" fontId="58" fillId="27" borderId="42" xfId="99" applyNumberFormat="1" applyFont="1" applyFill="1" applyBorder="1" applyAlignment="1">
      <alignment horizontal="center" vertical="center" wrapText="1"/>
    </xf>
    <xf numFmtId="3" fontId="58" fillId="27" borderId="42" xfId="99" applyNumberFormat="1" applyFont="1" applyFill="1" applyBorder="1" applyAlignment="1">
      <alignment horizontal="center" vertical="center"/>
    </xf>
    <xf numFmtId="0" fontId="58" fillId="27" borderId="43" xfId="99" applyFont="1" applyFill="1" applyBorder="1" applyAlignment="1">
      <alignment horizontal="justify" vertical="center" wrapText="1"/>
    </xf>
    <xf numFmtId="0" fontId="59" fillId="0" borderId="4" xfId="99" applyFont="1" applyBorder="1" applyAlignment="1">
      <alignment horizontal="center" vertical="center" wrapText="1"/>
    </xf>
    <xf numFmtId="49" fontId="59" fillId="0" borderId="6" xfId="99" applyNumberFormat="1" applyFont="1" applyBorder="1" applyAlignment="1">
      <alignment horizontal="center" vertical="center" wrapText="1"/>
    </xf>
    <xf numFmtId="3" fontId="59" fillId="0" borderId="2" xfId="99" applyNumberFormat="1" applyFont="1" applyBorder="1" applyAlignment="1">
      <alignment horizontal="right" vertical="center"/>
    </xf>
    <xf numFmtId="3" fontId="59" fillId="0" borderId="2" xfId="99" applyNumberFormat="1" applyFont="1" applyBorder="1" applyAlignment="1">
      <alignment horizontal="center" vertical="center"/>
    </xf>
    <xf numFmtId="0" fontId="59" fillId="0" borderId="0" xfId="99" applyFont="1" applyAlignment="1">
      <alignment vertical="center" wrapText="1"/>
    </xf>
    <xf numFmtId="49" fontId="59" fillId="0" borderId="50" xfId="52" applyNumberFormat="1" applyFont="1" applyBorder="1" applyAlignment="1">
      <alignment horizontal="center" vertical="center" wrapText="1"/>
    </xf>
    <xf numFmtId="3" fontId="59" fillId="0" borderId="2" xfId="52" applyNumberFormat="1" applyFont="1" applyBorder="1" applyAlignment="1">
      <alignment vertical="center"/>
    </xf>
    <xf numFmtId="0" fontId="59" fillId="0" borderId="68" xfId="99" applyFont="1" applyBorder="1" applyAlignment="1">
      <alignment vertical="center" wrapText="1"/>
    </xf>
    <xf numFmtId="3" fontId="59" fillId="0" borderId="12" xfId="52" applyNumberFormat="1" applyFont="1" applyBorder="1" applyAlignment="1">
      <alignment horizontal="right" vertical="center"/>
    </xf>
    <xf numFmtId="3" fontId="59" fillId="0" borderId="9" xfId="52" applyNumberFormat="1" applyFont="1" applyBorder="1" applyAlignment="1">
      <alignment horizontal="right" vertical="center" wrapText="1"/>
    </xf>
    <xf numFmtId="0" fontId="59" fillId="0" borderId="0" xfId="52" applyFont="1" applyAlignment="1">
      <alignment horizontal="justify" vertical="center" wrapText="1"/>
    </xf>
    <xf numFmtId="0" fontId="62" fillId="0" borderId="0" xfId="98" applyFont="1" applyAlignment="1">
      <alignment wrapText="1"/>
    </xf>
    <xf numFmtId="3" fontId="59" fillId="0" borderId="8" xfId="99" applyNumberFormat="1" applyFont="1" applyBorder="1" applyAlignment="1">
      <alignment vertical="center"/>
    </xf>
    <xf numFmtId="3" fontId="59" fillId="0" borderId="8" xfId="99" applyNumberFormat="1" applyFont="1" applyBorder="1" applyAlignment="1">
      <alignment horizontal="right" vertical="center"/>
    </xf>
    <xf numFmtId="3" fontId="59" fillId="0" borderId="8" xfId="99" applyNumberFormat="1" applyFont="1" applyBorder="1" applyAlignment="1">
      <alignment horizontal="center" vertical="center" wrapText="1"/>
    </xf>
    <xf numFmtId="0" fontId="62" fillId="0" borderId="15" xfId="98" applyFont="1" applyBorder="1" applyAlignment="1">
      <alignment horizontal="center"/>
    </xf>
    <xf numFmtId="0" fontId="26" fillId="0" borderId="0" xfId="98" applyFont="1" applyAlignment="1">
      <alignment horizontal="justify" vertical="center"/>
    </xf>
    <xf numFmtId="0" fontId="88" fillId="0" borderId="0" xfId="98" applyFont="1" applyAlignment="1">
      <alignment horizontal="center" vertical="center" wrapText="1"/>
    </xf>
    <xf numFmtId="0" fontId="23" fillId="0" borderId="0" xfId="98" applyFont="1" applyAlignment="1">
      <alignment horizontal="center" vertical="center"/>
    </xf>
    <xf numFmtId="0" fontId="59" fillId="0" borderId="77" xfId="98" applyFont="1" applyBorder="1" applyAlignment="1">
      <alignment horizontal="center" wrapText="1"/>
    </xf>
    <xf numFmtId="0" fontId="59" fillId="0" borderId="74" xfId="98" applyFont="1" applyBorder="1" applyAlignment="1">
      <alignment vertical="center" wrapText="1"/>
    </xf>
    <xf numFmtId="3" fontId="59" fillId="0" borderId="81" xfId="52" applyNumberFormat="1" applyFont="1" applyBorder="1" applyAlignment="1">
      <alignment horizontal="right" vertical="center" wrapText="1"/>
    </xf>
    <xf numFmtId="3" fontId="59" fillId="0" borderId="82" xfId="52" applyNumberFormat="1" applyFont="1" applyBorder="1" applyAlignment="1">
      <alignment horizontal="center" vertical="center" wrapText="1"/>
    </xf>
    <xf numFmtId="0" fontId="59" fillId="0" borderId="78" xfId="98" applyFont="1" applyBorder="1" applyAlignment="1">
      <alignment horizontal="center" vertical="center" wrapText="1"/>
    </xf>
    <xf numFmtId="0" fontId="59" fillId="0" borderId="73" xfId="98" applyFont="1" applyBorder="1" applyAlignment="1">
      <alignment vertical="center" wrapText="1"/>
    </xf>
    <xf numFmtId="3" fontId="59" fillId="0" borderId="83" xfId="52" applyNumberFormat="1" applyFont="1" applyBorder="1" applyAlignment="1">
      <alignment horizontal="right" vertical="center" wrapText="1"/>
    </xf>
    <xf numFmtId="3" fontId="59" fillId="0" borderId="84" xfId="52" applyNumberFormat="1" applyFont="1" applyBorder="1" applyAlignment="1">
      <alignment horizontal="center" vertical="center" wrapText="1"/>
    </xf>
    <xf numFmtId="0" fontId="59" fillId="0" borderId="3" xfId="52" applyFont="1" applyBorder="1" applyAlignment="1">
      <alignment horizontal="left" vertical="center" wrapText="1"/>
    </xf>
    <xf numFmtId="3" fontId="59" fillId="0" borderId="26" xfId="52" applyNumberFormat="1" applyFont="1" applyBorder="1" applyAlignment="1">
      <alignment horizontal="right" vertical="center" wrapText="1"/>
    </xf>
    <xf numFmtId="3" fontId="59" fillId="0" borderId="4" xfId="99" applyNumberFormat="1" applyFont="1" applyBorder="1" applyAlignment="1">
      <alignment horizontal="right" vertical="center"/>
    </xf>
    <xf numFmtId="0" fontId="61" fillId="0" borderId="0" xfId="98" applyFont="1" applyAlignment="1">
      <alignment horizontal="center" vertical="center" wrapText="1"/>
    </xf>
    <xf numFmtId="0" fontId="23" fillId="0" borderId="0" xfId="98" applyFont="1" applyAlignment="1">
      <alignment horizontal="left" vertical="center" wrapText="1"/>
    </xf>
    <xf numFmtId="0" fontId="59" fillId="0" borderId="4" xfId="98" applyFont="1" applyBorder="1" applyAlignment="1">
      <alignment horizontal="center" vertical="center" wrapText="1"/>
    </xf>
    <xf numFmtId="0" fontId="59" fillId="0" borderId="0" xfId="98" applyFont="1" applyAlignment="1">
      <alignment horizontal="center" vertical="center" wrapText="1"/>
    </xf>
    <xf numFmtId="0" fontId="23" fillId="0" borderId="1" xfId="98" applyFont="1" applyBorder="1" applyAlignment="1">
      <alignment horizontal="center" vertical="center" wrapText="1"/>
    </xf>
    <xf numFmtId="0" fontId="59" fillId="0" borderId="37" xfId="99" applyFont="1" applyBorder="1" applyAlignment="1">
      <alignment horizontal="center" vertical="center" wrapText="1"/>
    </xf>
    <xf numFmtId="3" fontId="59" fillId="0" borderId="8" xfId="98" applyNumberFormat="1" applyFont="1" applyBorder="1" applyAlignment="1">
      <alignment horizontal="right" vertical="center" wrapText="1"/>
    </xf>
    <xf numFmtId="3" fontId="59" fillId="26" borderId="4" xfId="52" applyNumberFormat="1" applyFont="1" applyFill="1" applyBorder="1" applyAlignment="1">
      <alignment horizontal="right" vertical="center" wrapText="1"/>
    </xf>
    <xf numFmtId="0" fontId="59" fillId="0" borderId="6" xfId="52" applyFont="1" applyBorder="1" applyAlignment="1">
      <alignment horizontal="center" vertical="center" wrapText="1"/>
    </xf>
    <xf numFmtId="0" fontId="62" fillId="0" borderId="0" xfId="98" applyFont="1" applyAlignment="1">
      <alignment horizontal="center"/>
    </xf>
    <xf numFmtId="0" fontId="30" fillId="0" borderId="0" xfId="98" applyFont="1" applyAlignment="1">
      <alignment horizontal="center"/>
    </xf>
    <xf numFmtId="0" fontId="59" fillId="0" borderId="0" xfId="98" applyFont="1"/>
    <xf numFmtId="0" fontId="59" fillId="0" borderId="60" xfId="52" applyFont="1" applyBorder="1" applyAlignment="1">
      <alignment vertical="center"/>
    </xf>
    <xf numFmtId="49" fontId="59" fillId="0" borderId="39" xfId="52" applyNumberFormat="1" applyFont="1" applyBorder="1" applyAlignment="1">
      <alignment horizontal="justify" vertical="center"/>
    </xf>
    <xf numFmtId="0" fontId="59" fillId="0" borderId="52" xfId="52" applyFont="1" applyBorder="1" applyAlignment="1">
      <alignment vertical="center"/>
    </xf>
    <xf numFmtId="0" fontId="77" fillId="0" borderId="39" xfId="98" applyFont="1" applyBorder="1"/>
    <xf numFmtId="0" fontId="59" fillId="0" borderId="49" xfId="99" applyFont="1" applyBorder="1" applyAlignment="1">
      <alignment horizontal="left" vertical="center" wrapText="1"/>
    </xf>
    <xf numFmtId="0" fontId="59" fillId="0" borderId="0" xfId="100" applyFont="1"/>
    <xf numFmtId="0" fontId="59" fillId="0" borderId="0" xfId="100" applyFont="1" applyAlignment="1">
      <alignment wrapText="1"/>
    </xf>
    <xf numFmtId="0" fontId="59" fillId="0" borderId="0" xfId="100" applyFont="1" applyAlignment="1">
      <alignment horizontal="center"/>
    </xf>
    <xf numFmtId="0" fontId="59" fillId="0" borderId="0" xfId="100" applyFont="1" applyAlignment="1">
      <alignment horizontal="right"/>
    </xf>
    <xf numFmtId="49" fontId="59" fillId="0" borderId="0" xfId="100" applyNumberFormat="1" applyFont="1" applyAlignment="1">
      <alignment horizontal="center"/>
    </xf>
    <xf numFmtId="0" fontId="58" fillId="0" borderId="0" xfId="100" applyFont="1"/>
    <xf numFmtId="0" fontId="58" fillId="0" borderId="0" xfId="100" applyFont="1" applyAlignment="1">
      <alignment horizontal="center" wrapText="1"/>
    </xf>
    <xf numFmtId="0" fontId="58" fillId="27" borderId="42" xfId="100" applyFont="1" applyFill="1" applyBorder="1" applyAlignment="1">
      <alignment horizontal="center" vertical="center" wrapText="1"/>
    </xf>
    <xf numFmtId="49" fontId="58" fillId="27" borderId="42" xfId="100" applyNumberFormat="1" applyFont="1" applyFill="1" applyBorder="1" applyAlignment="1">
      <alignment horizontal="center" vertical="center" wrapText="1"/>
    </xf>
    <xf numFmtId="0" fontId="59" fillId="0" borderId="61" xfId="100" applyFont="1" applyBorder="1" applyAlignment="1">
      <alignment vertical="center"/>
    </xf>
    <xf numFmtId="0" fontId="58" fillId="0" borderId="1" xfId="100" applyFont="1" applyBorder="1" applyAlignment="1">
      <alignment vertical="center"/>
    </xf>
    <xf numFmtId="0" fontId="91" fillId="0" borderId="61" xfId="100" applyFont="1" applyBorder="1" applyAlignment="1">
      <alignment horizontal="center" vertical="center" wrapText="1"/>
    </xf>
    <xf numFmtId="0" fontId="91" fillId="0" borderId="61" xfId="100" applyFont="1" applyBorder="1" applyAlignment="1">
      <alignment horizontal="center" vertical="center"/>
    </xf>
    <xf numFmtId="0" fontId="91" fillId="0" borderId="61" xfId="100" applyFont="1" applyBorder="1" applyAlignment="1">
      <alignment vertical="center"/>
    </xf>
    <xf numFmtId="0" fontId="91" fillId="0" borderId="61" xfId="100" applyFont="1" applyBorder="1" applyAlignment="1">
      <alignment horizontal="right" vertical="center" wrapText="1"/>
    </xf>
    <xf numFmtId="49" fontId="91" fillId="0" borderId="61" xfId="100" applyNumberFormat="1" applyFont="1" applyBorder="1" applyAlignment="1">
      <alignment horizontal="center" vertical="center" wrapText="1"/>
    </xf>
    <xf numFmtId="0" fontId="91" fillId="0" borderId="62" xfId="100" applyFont="1" applyBorder="1" applyAlignment="1">
      <alignment horizontal="center" vertical="center" wrapText="1"/>
    </xf>
    <xf numFmtId="0" fontId="59" fillId="0" borderId="0" xfId="100" applyFont="1" applyAlignment="1">
      <alignment horizontal="center" vertical="center" wrapText="1"/>
    </xf>
    <xf numFmtId="0" fontId="59" fillId="0" borderId="2" xfId="100" applyFont="1" applyBorder="1" applyAlignment="1">
      <alignment vertical="center"/>
    </xf>
    <xf numFmtId="0" fontId="59" fillId="0" borderId="10" xfId="100" applyFont="1" applyBorder="1" applyAlignment="1">
      <alignment horizontal="center" vertical="center"/>
    </xf>
    <xf numFmtId="3" fontId="59" fillId="0" borderId="10" xfId="100" applyNumberFormat="1" applyFont="1" applyBorder="1" applyAlignment="1">
      <alignment vertical="center"/>
    </xf>
    <xf numFmtId="0" fontId="59" fillId="0" borderId="5" xfId="100" applyFont="1" applyBorder="1" applyAlignment="1">
      <alignment horizontal="justify" vertical="center" wrapText="1"/>
    </xf>
    <xf numFmtId="0" fontId="59" fillId="0" borderId="0" xfId="100" applyFont="1" applyAlignment="1">
      <alignment vertical="center"/>
    </xf>
    <xf numFmtId="0" fontId="91" fillId="0" borderId="2" xfId="100" applyFont="1" applyBorder="1" applyAlignment="1">
      <alignment vertical="center"/>
    </xf>
    <xf numFmtId="0" fontId="58" fillId="27" borderId="85" xfId="54" applyFont="1" applyFill="1" applyBorder="1" applyAlignment="1">
      <alignment horizontal="left" vertical="center"/>
    </xf>
    <xf numFmtId="0" fontId="92" fillId="27" borderId="51" xfId="100" applyFont="1" applyFill="1" applyBorder="1" applyAlignment="1">
      <alignment horizontal="center" vertical="center"/>
    </xf>
    <xf numFmtId="0" fontId="92" fillId="27" borderId="51" xfId="100" applyFont="1" applyFill="1" applyBorder="1" applyAlignment="1">
      <alignment vertical="center"/>
    </xf>
    <xf numFmtId="3" fontId="92" fillId="27" borderId="51" xfId="100" applyNumberFormat="1" applyFont="1" applyFill="1" applyBorder="1" applyAlignment="1">
      <alignment vertical="center"/>
    </xf>
    <xf numFmtId="3" fontId="92" fillId="27" borderId="50" xfId="100" applyNumberFormat="1" applyFont="1" applyFill="1" applyBorder="1" applyAlignment="1">
      <alignment vertical="center"/>
    </xf>
    <xf numFmtId="0" fontId="92" fillId="27" borderId="5" xfId="100" applyFont="1" applyFill="1" applyBorder="1" applyAlignment="1">
      <alignment vertical="center"/>
    </xf>
    <xf numFmtId="0" fontId="58" fillId="0" borderId="3" xfId="100" applyFont="1" applyBorder="1" applyAlignment="1">
      <alignment vertical="center"/>
    </xf>
    <xf numFmtId="0" fontId="59" fillId="0" borderId="86" xfId="100" applyFont="1" applyBorder="1" applyAlignment="1">
      <alignment vertical="center"/>
    </xf>
    <xf numFmtId="1" fontId="59" fillId="0" borderId="10" xfId="100" applyNumberFormat="1" applyFont="1" applyBorder="1" applyAlignment="1">
      <alignment horizontal="center" vertical="center"/>
    </xf>
    <xf numFmtId="0" fontId="59" fillId="0" borderId="10" xfId="100" applyFont="1" applyBorder="1" applyAlignment="1">
      <alignment vertical="center"/>
    </xf>
    <xf numFmtId="3" fontId="59" fillId="27" borderId="9" xfId="100" applyNumberFormat="1" applyFont="1" applyFill="1" applyBorder="1" applyAlignment="1">
      <alignment horizontal="right" vertical="center"/>
    </xf>
    <xf numFmtId="3" fontId="59" fillId="27" borderId="9" xfId="100" applyNumberFormat="1" applyFont="1" applyFill="1" applyBorder="1" applyAlignment="1">
      <alignment horizontal="center" vertical="center"/>
    </xf>
    <xf numFmtId="3" fontId="81" fillId="0" borderId="10" xfId="100" applyNumberFormat="1" applyFont="1" applyBorder="1" applyAlignment="1">
      <alignment vertical="center"/>
    </xf>
    <xf numFmtId="0" fontId="59" fillId="0" borderId="10" xfId="101" applyFont="1" applyBorder="1" applyAlignment="1">
      <alignment horizontal="center" vertical="center"/>
    </xf>
    <xf numFmtId="3" fontId="59" fillId="27" borderId="87" xfId="101" applyNumberFormat="1" applyFont="1" applyFill="1" applyBorder="1" applyAlignment="1">
      <alignment horizontal="right" vertical="center"/>
    </xf>
    <xf numFmtId="3" fontId="59" fillId="0" borderId="10" xfId="101" applyNumberFormat="1" applyFont="1" applyBorder="1" applyAlignment="1">
      <alignment vertical="center"/>
    </xf>
    <xf numFmtId="0" fontId="91" fillId="0" borderId="86" xfId="100" applyFont="1" applyBorder="1" applyAlignment="1">
      <alignment vertical="center"/>
    </xf>
    <xf numFmtId="3" fontId="91" fillId="0" borderId="61" xfId="100" applyNumberFormat="1" applyFont="1" applyBorder="1" applyAlignment="1">
      <alignment horizontal="center" vertical="center" wrapText="1"/>
    </xf>
    <xf numFmtId="0" fontId="59" fillId="0" borderId="86" xfId="100" applyFont="1" applyBorder="1" applyAlignment="1">
      <alignment horizontal="center" vertical="center"/>
    </xf>
    <xf numFmtId="0" fontId="59" fillId="0" borderId="88" xfId="100" applyFont="1" applyBorder="1" applyAlignment="1">
      <alignment vertical="center"/>
    </xf>
    <xf numFmtId="3" fontId="59" fillId="27" borderId="50" xfId="100" applyNumberFormat="1" applyFont="1" applyFill="1" applyBorder="1" applyAlignment="1">
      <alignment horizontal="right" vertical="center"/>
    </xf>
    <xf numFmtId="0" fontId="91" fillId="0" borderId="88" xfId="100" applyFont="1" applyBorder="1" applyAlignment="1">
      <alignment vertical="center"/>
    </xf>
    <xf numFmtId="0" fontId="81" fillId="0" borderId="89" xfId="100" applyFont="1" applyBorder="1" applyAlignment="1">
      <alignment vertical="center"/>
    </xf>
    <xf numFmtId="0" fontId="91" fillId="0" borderId="89" xfId="100" applyFont="1" applyBorder="1" applyAlignment="1">
      <alignment vertical="center"/>
    </xf>
    <xf numFmtId="3" fontId="58" fillId="27" borderId="90" xfId="100" applyNumberFormat="1" applyFont="1" applyFill="1" applyBorder="1" applyAlignment="1">
      <alignment vertical="center"/>
    </xf>
    <xf numFmtId="0" fontId="91" fillId="0" borderId="91" xfId="100" applyFont="1" applyBorder="1" applyAlignment="1">
      <alignment horizontal="center" vertical="center"/>
    </xf>
    <xf numFmtId="0" fontId="59" fillId="0" borderId="90" xfId="100" applyFont="1" applyBorder="1" applyAlignment="1">
      <alignment horizontal="center" vertical="center"/>
    </xf>
    <xf numFmtId="0" fontId="59" fillId="0" borderId="90" xfId="100" applyFont="1" applyBorder="1" applyAlignment="1">
      <alignment vertical="center"/>
    </xf>
    <xf numFmtId="3" fontId="59" fillId="27" borderId="90" xfId="100" applyNumberFormat="1" applyFont="1" applyFill="1" applyBorder="1" applyAlignment="1">
      <alignment horizontal="right" vertical="center"/>
    </xf>
    <xf numFmtId="49" fontId="59" fillId="27" borderId="90" xfId="100" applyNumberFormat="1" applyFont="1" applyFill="1" applyBorder="1" applyAlignment="1">
      <alignment horizontal="center" vertical="center"/>
    </xf>
    <xf numFmtId="3" fontId="81" fillId="0" borderId="90" xfId="100" applyNumberFormat="1" applyFont="1" applyBorder="1" applyAlignment="1">
      <alignment vertical="center"/>
    </xf>
    <xf numFmtId="3" fontId="59" fillId="0" borderId="90" xfId="100" applyNumberFormat="1" applyFont="1" applyBorder="1" applyAlignment="1">
      <alignment vertical="center"/>
    </xf>
    <xf numFmtId="0" fontId="91" fillId="0" borderId="91" xfId="100" applyFont="1" applyBorder="1" applyAlignment="1">
      <alignment vertical="center"/>
    </xf>
    <xf numFmtId="0" fontId="92" fillId="0" borderId="19" xfId="54" applyFont="1" applyBorder="1" applyAlignment="1">
      <alignment horizontal="left" vertical="center"/>
    </xf>
    <xf numFmtId="0" fontId="92" fillId="0" borderId="39" xfId="100" applyFont="1" applyBorder="1" applyAlignment="1">
      <alignment horizontal="center" vertical="center"/>
    </xf>
    <xf numFmtId="0" fontId="92" fillId="0" borderId="39" xfId="100" applyFont="1" applyBorder="1" applyAlignment="1">
      <alignment vertical="center"/>
    </xf>
    <xf numFmtId="3" fontId="91" fillId="0" borderId="39" xfId="100" applyNumberFormat="1" applyFont="1" applyBorder="1" applyAlignment="1">
      <alignment horizontal="right" vertical="center"/>
    </xf>
    <xf numFmtId="49" fontId="91" fillId="0" borderId="39" xfId="100" applyNumberFormat="1" applyFont="1" applyBorder="1" applyAlignment="1">
      <alignment horizontal="center" vertical="center"/>
    </xf>
    <xf numFmtId="3" fontId="92" fillId="0" borderId="39" xfId="100" applyNumberFormat="1" applyFont="1" applyBorder="1" applyAlignment="1">
      <alignment vertical="center"/>
    </xf>
    <xf numFmtId="0" fontId="92" fillId="0" borderId="64" xfId="100" applyFont="1" applyBorder="1" applyAlignment="1">
      <alignment vertical="center"/>
    </xf>
    <xf numFmtId="0" fontId="92" fillId="27" borderId="52" xfId="100" applyFont="1" applyFill="1" applyBorder="1" applyAlignment="1">
      <alignment horizontal="center" vertical="center"/>
    </xf>
    <xf numFmtId="0" fontId="92" fillId="27" borderId="52" xfId="100" applyFont="1" applyFill="1" applyBorder="1" applyAlignment="1">
      <alignment vertical="center"/>
    </xf>
    <xf numFmtId="3" fontId="91" fillId="27" borderId="52" xfId="100" applyNumberFormat="1" applyFont="1" applyFill="1" applyBorder="1" applyAlignment="1">
      <alignment horizontal="right" vertical="center"/>
    </xf>
    <xf numFmtId="49" fontId="91" fillId="27" borderId="53" xfId="100" applyNumberFormat="1" applyFont="1" applyFill="1" applyBorder="1" applyAlignment="1">
      <alignment horizontal="center" vertical="center"/>
    </xf>
    <xf numFmtId="3" fontId="80" fillId="27" borderId="18" xfId="100" applyNumberFormat="1" applyFont="1" applyFill="1" applyBorder="1" applyAlignment="1">
      <alignment vertical="center"/>
    </xf>
    <xf numFmtId="0" fontId="92" fillId="27" borderId="16" xfId="100" applyFont="1" applyFill="1" applyBorder="1" applyAlignment="1">
      <alignment vertical="center"/>
    </xf>
    <xf numFmtId="4" fontId="58" fillId="0" borderId="0" xfId="100" applyNumberFormat="1" applyFont="1"/>
    <xf numFmtId="4" fontId="59" fillId="0" borderId="0" xfId="100" applyNumberFormat="1" applyFont="1"/>
    <xf numFmtId="0" fontId="58" fillId="27" borderId="3" xfId="54" applyFont="1" applyFill="1" applyBorder="1" applyAlignment="1">
      <alignment vertical="center" wrapText="1"/>
    </xf>
    <xf numFmtId="0" fontId="58" fillId="27" borderId="3" xfId="54" applyFont="1" applyFill="1" applyBorder="1" applyAlignment="1">
      <alignment horizontal="left" vertical="center"/>
    </xf>
    <xf numFmtId="0" fontId="91" fillId="0" borderId="1" xfId="100" applyFont="1" applyBorder="1" applyAlignment="1">
      <alignment horizontal="center" vertical="center"/>
    </xf>
    <xf numFmtId="0" fontId="91" fillId="0" borderId="3" xfId="100" applyFont="1" applyBorder="1" applyAlignment="1">
      <alignment horizontal="center" vertical="center"/>
    </xf>
    <xf numFmtId="0" fontId="59" fillId="0" borderId="44" xfId="100" applyFont="1" applyBorder="1" applyAlignment="1">
      <alignment vertical="center" wrapText="1"/>
    </xf>
    <xf numFmtId="3" fontId="59" fillId="27" borderId="91" xfId="100" applyNumberFormat="1" applyFont="1" applyFill="1" applyBorder="1" applyAlignment="1">
      <alignment horizontal="center" vertical="center"/>
    </xf>
    <xf numFmtId="3" fontId="59" fillId="27" borderId="91" xfId="100" applyNumberFormat="1" applyFont="1" applyFill="1" applyBorder="1" applyAlignment="1">
      <alignment horizontal="right" vertical="center"/>
    </xf>
    <xf numFmtId="3" fontId="92" fillId="27" borderId="91" xfId="100" applyNumberFormat="1" applyFont="1" applyFill="1" applyBorder="1" applyAlignment="1">
      <alignment vertical="center"/>
    </xf>
    <xf numFmtId="0" fontId="59" fillId="0" borderId="92" xfId="100" applyFont="1" applyBorder="1" applyAlignment="1">
      <alignment vertical="center" wrapText="1"/>
    </xf>
    <xf numFmtId="0" fontId="92" fillId="0" borderId="19" xfId="100" applyFont="1" applyBorder="1" applyAlignment="1">
      <alignment vertical="center" wrapText="1"/>
    </xf>
    <xf numFmtId="0" fontId="26" fillId="0" borderId="0" xfId="100" applyFont="1" applyAlignment="1">
      <alignment wrapText="1"/>
    </xf>
    <xf numFmtId="3" fontId="26" fillId="0" borderId="90" xfId="51" applyNumberFormat="1" applyFont="1" applyBorder="1" applyAlignment="1">
      <alignment horizontal="right" vertical="center"/>
    </xf>
    <xf numFmtId="0" fontId="59" fillId="0" borderId="3" xfId="87" applyFont="1" applyBorder="1" applyAlignment="1">
      <alignment horizontal="center" vertical="center" wrapText="1"/>
    </xf>
    <xf numFmtId="0" fontId="23" fillId="0" borderId="0" xfId="86" applyFont="1" applyAlignment="1">
      <alignment horizontal="center" vertical="center" wrapText="1"/>
    </xf>
    <xf numFmtId="0" fontId="62" fillId="0" borderId="0" xfId="86" applyFont="1"/>
    <xf numFmtId="0" fontId="59" fillId="0" borderId="44" xfId="99" applyFont="1" applyBorder="1" applyAlignment="1">
      <alignment horizontal="left" vertical="center" wrapText="1"/>
    </xf>
    <xf numFmtId="0" fontId="59" fillId="0" borderId="6" xfId="52" applyFont="1" applyBorder="1" applyAlignment="1">
      <alignment horizontal="left" vertical="center" wrapText="1"/>
    </xf>
    <xf numFmtId="0" fontId="59" fillId="0" borderId="92" xfId="87" applyFont="1" applyBorder="1" applyAlignment="1">
      <alignment vertical="center" wrapText="1"/>
    </xf>
    <xf numFmtId="0" fontId="59" fillId="0" borderId="90" xfId="52" applyFont="1" applyBorder="1" applyAlignment="1">
      <alignment horizontal="center" vertical="center" wrapText="1"/>
    </xf>
    <xf numFmtId="3" fontId="59" fillId="0" borderId="90" xfId="52" applyNumberFormat="1" applyFont="1" applyBorder="1" applyAlignment="1">
      <alignment vertical="center"/>
    </xf>
    <xf numFmtId="3" fontId="59" fillId="0" borderId="10" xfId="87" applyNumberFormat="1" applyFont="1" applyBorder="1" applyAlignment="1">
      <alignment vertical="center"/>
    </xf>
    <xf numFmtId="3" fontId="59" fillId="0" borderId="90" xfId="87" applyNumberFormat="1" applyFont="1" applyBorder="1" applyAlignment="1">
      <alignment horizontal="center" vertical="center" wrapText="1"/>
    </xf>
    <xf numFmtId="3" fontId="59" fillId="0" borderId="90" xfId="87" applyNumberFormat="1" applyFont="1" applyBorder="1" applyAlignment="1">
      <alignment horizontal="center" vertical="center"/>
    </xf>
    <xf numFmtId="0" fontId="59" fillId="0" borderId="45" xfId="87" applyFont="1" applyBorder="1" applyAlignment="1">
      <alignment horizontal="justify" vertical="center" wrapText="1"/>
    </xf>
    <xf numFmtId="3" fontId="59" fillId="0" borderId="90" xfId="87" applyNumberFormat="1" applyFont="1" applyBorder="1" applyAlignment="1">
      <alignment vertical="center"/>
    </xf>
    <xf numFmtId="3" fontId="59" fillId="0" borderId="10" xfId="101" applyNumberFormat="1" applyFont="1" applyBorder="1" applyAlignment="1">
      <alignment horizontal="right" vertical="center"/>
    </xf>
    <xf numFmtId="0" fontId="26" fillId="0" borderId="0" xfId="51" applyFont="1"/>
    <xf numFmtId="0" fontId="25" fillId="0" borderId="0" xfId="0" applyFont="1" applyAlignment="1">
      <alignment horizontal="center" vertical="center"/>
    </xf>
    <xf numFmtId="0" fontId="25" fillId="0" borderId="0" xfId="0" applyFont="1" applyAlignment="1">
      <alignment horizontal="center"/>
    </xf>
    <xf numFmtId="0" fontId="52" fillId="0" borderId="0" xfId="1" applyFont="1" applyAlignment="1">
      <alignment horizontal="center" vertical="center" wrapText="1"/>
    </xf>
    <xf numFmtId="49" fontId="48" fillId="0" borderId="35" xfId="1" applyNumberFormat="1" applyFont="1" applyBorder="1" applyAlignment="1">
      <alignment horizontal="center" vertical="center" wrapText="1"/>
    </xf>
    <xf numFmtId="49" fontId="48" fillId="0" borderId="19" xfId="1" applyNumberFormat="1" applyFont="1" applyBorder="1" applyAlignment="1">
      <alignment horizontal="center" vertical="center" wrapText="1"/>
    </xf>
    <xf numFmtId="3" fontId="48" fillId="0" borderId="32" xfId="1" applyNumberFormat="1" applyFont="1" applyBorder="1" applyAlignment="1">
      <alignment horizontal="center" vertical="center" wrapText="1"/>
    </xf>
    <xf numFmtId="3" fontId="48" fillId="0" borderId="22" xfId="1" applyNumberFormat="1" applyFont="1" applyBorder="1" applyAlignment="1">
      <alignment horizontal="center" vertical="center" wrapText="1"/>
    </xf>
    <xf numFmtId="3" fontId="48" fillId="0" borderId="31" xfId="1" applyNumberFormat="1" applyFont="1" applyBorder="1" applyAlignment="1">
      <alignment horizontal="center" vertical="center" wrapText="1"/>
    </xf>
    <xf numFmtId="3" fontId="48" fillId="0" borderId="23" xfId="1" applyNumberFormat="1" applyFont="1" applyBorder="1" applyAlignment="1">
      <alignment horizontal="center" vertical="center" wrapText="1"/>
    </xf>
    <xf numFmtId="3" fontId="48" fillId="0" borderId="34" xfId="1" applyNumberFormat="1" applyFont="1" applyBorder="1" applyAlignment="1">
      <alignment horizontal="center" vertical="center" wrapText="1"/>
    </xf>
    <xf numFmtId="3" fontId="48" fillId="0" borderId="21" xfId="1" applyNumberFormat="1" applyFont="1" applyBorder="1" applyAlignment="1">
      <alignment horizontal="center" vertical="center" wrapText="1"/>
    </xf>
    <xf numFmtId="0" fontId="28" fillId="0" borderId="33" xfId="1" applyFont="1" applyBorder="1" applyAlignment="1">
      <alignment horizontal="center" vertical="center" wrapText="1"/>
    </xf>
    <xf numFmtId="0" fontId="26" fillId="0" borderId="20" xfId="1" applyFont="1" applyBorder="1" applyAlignment="1">
      <alignment horizontal="center"/>
    </xf>
    <xf numFmtId="0" fontId="53" fillId="0" borderId="39" xfId="51" applyFont="1" applyBorder="1" applyAlignment="1">
      <alignment horizontal="center" vertical="center" wrapText="1"/>
    </xf>
    <xf numFmtId="0" fontId="53" fillId="0" borderId="0" xfId="51" applyFont="1" applyAlignment="1">
      <alignment horizontal="center" vertical="center" wrapText="1"/>
    </xf>
    <xf numFmtId="0" fontId="54" fillId="0" borderId="33" xfId="51" applyFont="1" applyBorder="1" applyAlignment="1">
      <alignment horizontal="center" vertical="center"/>
    </xf>
    <xf numFmtId="0" fontId="54" fillId="0" borderId="20" xfId="51" applyFont="1" applyBorder="1" applyAlignment="1">
      <alignment horizontal="center" vertical="center"/>
    </xf>
    <xf numFmtId="0" fontId="55" fillId="27" borderId="32" xfId="51" applyFont="1" applyFill="1" applyBorder="1" applyAlignment="1">
      <alignment horizontal="center" vertical="center"/>
    </xf>
    <xf numFmtId="0" fontId="55" fillId="27" borderId="22" xfId="51" applyFont="1" applyFill="1" applyBorder="1" applyAlignment="1">
      <alignment horizontal="center" vertical="center"/>
    </xf>
    <xf numFmtId="165" fontId="54" fillId="0" borderId="25" xfId="51" applyNumberFormat="1" applyFont="1" applyBorder="1" applyAlignment="1">
      <alignment horizontal="center" vertical="center" wrapText="1"/>
    </xf>
    <xf numFmtId="165" fontId="54" fillId="0" borderId="40" xfId="51" applyNumberFormat="1" applyFont="1" applyBorder="1" applyAlignment="1">
      <alignment horizontal="center" vertical="center" wrapText="1"/>
    </xf>
    <xf numFmtId="165" fontId="54" fillId="0" borderId="41" xfId="51" applyNumberFormat="1" applyFont="1" applyBorder="1" applyAlignment="1">
      <alignment horizontal="center" vertical="center" wrapText="1"/>
    </xf>
    <xf numFmtId="0" fontId="25" fillId="0" borderId="0" xfId="52" applyFont="1" applyAlignment="1">
      <alignment horizontal="center" vertical="center" wrapText="1"/>
    </xf>
    <xf numFmtId="0" fontId="62" fillId="0" borderId="0" xfId="93" applyFont="1" applyAlignment="1">
      <alignment horizontal="center" vertical="center" wrapText="1"/>
    </xf>
    <xf numFmtId="0" fontId="58" fillId="25" borderId="47" xfId="52" applyFont="1" applyFill="1" applyBorder="1" applyAlignment="1">
      <alignment horizontal="center" vertical="center" wrapText="1"/>
    </xf>
    <xf numFmtId="0" fontId="58" fillId="25" borderId="49" xfId="52" applyFont="1" applyFill="1" applyBorder="1" applyAlignment="1">
      <alignment horizontal="center" vertical="center" wrapText="1"/>
    </xf>
    <xf numFmtId="0" fontId="58" fillId="25" borderId="32" xfId="52" applyFont="1" applyFill="1" applyBorder="1" applyAlignment="1">
      <alignment horizontal="center" vertical="center" wrapText="1"/>
    </xf>
    <xf numFmtId="0" fontId="62" fillId="0" borderId="10" xfId="93" applyFont="1" applyBorder="1" applyAlignment="1">
      <alignment horizontal="center" vertical="center" wrapText="1"/>
    </xf>
    <xf numFmtId="4" fontId="58" fillId="25" borderId="24" xfId="52" applyNumberFormat="1" applyFont="1" applyFill="1" applyBorder="1" applyAlignment="1">
      <alignment horizontal="center" vertical="center" wrapText="1"/>
    </xf>
    <xf numFmtId="4" fontId="58" fillId="25" borderId="4" xfId="52" applyNumberFormat="1" applyFont="1" applyFill="1" applyBorder="1" applyAlignment="1">
      <alignment horizontal="center" vertical="center"/>
    </xf>
    <xf numFmtId="0" fontId="58" fillId="25" borderId="36" xfId="52" applyFont="1" applyFill="1" applyBorder="1" applyAlignment="1">
      <alignment horizontal="center" vertical="center"/>
    </xf>
    <xf numFmtId="0" fontId="58" fillId="25" borderId="5" xfId="52" applyFont="1" applyFill="1" applyBorder="1" applyAlignment="1">
      <alignment horizontal="center" vertical="center"/>
    </xf>
    <xf numFmtId="4" fontId="58" fillId="25" borderId="25" xfId="34" applyNumberFormat="1" applyFont="1" applyFill="1" applyBorder="1" applyAlignment="1">
      <alignment horizontal="center" vertical="center" wrapText="1"/>
    </xf>
    <xf numFmtId="4" fontId="58" fillId="25" borderId="40" xfId="34" applyNumberFormat="1" applyFont="1" applyFill="1" applyBorder="1" applyAlignment="1">
      <alignment horizontal="center" vertical="center" wrapText="1"/>
    </xf>
    <xf numFmtId="4" fontId="58" fillId="25" borderId="48" xfId="34" applyNumberFormat="1" applyFont="1" applyFill="1" applyBorder="1" applyAlignment="1">
      <alignment horizontal="center" vertical="center" wrapText="1"/>
    </xf>
    <xf numFmtId="0" fontId="25" fillId="0" borderId="0" xfId="100" applyFont="1" applyAlignment="1">
      <alignment horizontal="center" vertical="center" wrapText="1"/>
    </xf>
    <xf numFmtId="0" fontId="90" fillId="0" borderId="0" xfId="100" applyFont="1" applyAlignment="1">
      <alignment horizontal="center" vertical="center"/>
    </xf>
    <xf numFmtId="0" fontId="58" fillId="27" borderId="0" xfId="100" applyFont="1" applyFill="1" applyAlignment="1">
      <alignment horizontal="left" wrapText="1"/>
    </xf>
    <xf numFmtId="0" fontId="80" fillId="27" borderId="61" xfId="100" applyFont="1" applyFill="1" applyBorder="1"/>
    <xf numFmtId="3" fontId="58" fillId="27" borderId="55" xfId="54" applyNumberFormat="1" applyFont="1" applyFill="1" applyBorder="1" applyAlignment="1">
      <alignment horizontal="center" vertical="center" wrapText="1"/>
    </xf>
    <xf numFmtId="3" fontId="58" fillId="27" borderId="14" xfId="54" applyNumberFormat="1" applyFont="1" applyFill="1" applyBorder="1" applyAlignment="1">
      <alignment horizontal="center" vertical="center" wrapText="1"/>
    </xf>
    <xf numFmtId="0" fontId="58" fillId="27" borderId="47" xfId="100" applyFont="1" applyFill="1" applyBorder="1" applyAlignment="1">
      <alignment horizontal="center" vertical="center" wrapText="1"/>
    </xf>
    <xf numFmtId="0" fontId="80" fillId="27" borderId="57" xfId="100" applyFont="1" applyFill="1" applyBorder="1" applyAlignment="1">
      <alignment horizontal="center" vertical="center" wrapText="1"/>
    </xf>
    <xf numFmtId="0" fontId="58" fillId="27" borderId="24" xfId="100" applyFont="1" applyFill="1" applyBorder="1" applyAlignment="1">
      <alignment horizontal="center" vertical="center" wrapText="1"/>
    </xf>
    <xf numFmtId="0" fontId="80" fillId="27" borderId="42" xfId="100" applyFont="1" applyFill="1" applyBorder="1" applyAlignment="1">
      <alignment horizontal="center" vertical="center"/>
    </xf>
    <xf numFmtId="0" fontId="80" fillId="27" borderId="24" xfId="100" applyFont="1" applyFill="1" applyBorder="1" applyAlignment="1">
      <alignment vertical="center" wrapText="1"/>
    </xf>
    <xf numFmtId="0" fontId="58" fillId="27" borderId="32" xfId="101" applyFont="1" applyFill="1" applyBorder="1" applyAlignment="1">
      <alignment horizontal="center" vertical="center" wrapText="1"/>
    </xf>
    <xf numFmtId="0" fontId="1" fillId="0" borderId="22" xfId="101" applyBorder="1" applyAlignment="1">
      <alignment horizontal="center" vertical="center" wrapText="1"/>
    </xf>
    <xf numFmtId="0" fontId="58" fillId="27" borderId="25" xfId="100" applyFont="1" applyFill="1" applyBorder="1" applyAlignment="1">
      <alignment horizontal="center" vertical="center" wrapText="1"/>
    </xf>
    <xf numFmtId="0" fontId="62" fillId="0" borderId="40" xfId="100" applyFont="1" applyBorder="1" applyAlignment="1">
      <alignment horizontal="center" vertical="center" wrapText="1"/>
    </xf>
    <xf numFmtId="0" fontId="62" fillId="0" borderId="48" xfId="100" applyFont="1" applyBorder="1" applyAlignment="1">
      <alignment horizontal="center" vertical="center" wrapText="1"/>
    </xf>
    <xf numFmtId="0" fontId="58" fillId="27" borderId="34" xfId="100" applyFont="1" applyFill="1" applyBorder="1" applyAlignment="1">
      <alignment horizontal="center" vertical="center" wrapText="1"/>
    </xf>
    <xf numFmtId="0" fontId="1" fillId="0" borderId="21" xfId="100" applyBorder="1" applyAlignment="1">
      <alignment horizontal="center" vertical="center" wrapText="1"/>
    </xf>
    <xf numFmtId="3" fontId="59" fillId="27" borderId="91" xfId="100" applyNumberFormat="1" applyFont="1" applyFill="1" applyBorder="1" applyAlignment="1">
      <alignment horizontal="center" vertical="center"/>
    </xf>
    <xf numFmtId="0" fontId="62" fillId="0" borderId="50" xfId="100" applyFont="1" applyBorder="1" applyAlignment="1">
      <alignment horizontal="center" vertical="center"/>
    </xf>
    <xf numFmtId="0" fontId="59" fillId="0" borderId="38" xfId="100" applyFont="1" applyBorder="1" applyAlignment="1">
      <alignment vertical="center" wrapText="1"/>
    </xf>
    <xf numFmtId="0" fontId="62" fillId="0" borderId="11" xfId="100" applyFont="1" applyBorder="1" applyAlignment="1">
      <alignment vertical="center" wrapText="1"/>
    </xf>
    <xf numFmtId="0" fontId="1" fillId="0" borderId="11" xfId="100" applyBorder="1" applyAlignment="1">
      <alignment vertical="center" wrapText="1"/>
    </xf>
    <xf numFmtId="0" fontId="1" fillId="0" borderId="13" xfId="100" applyBorder="1" applyAlignment="1">
      <alignment vertical="center" wrapText="1"/>
    </xf>
    <xf numFmtId="0" fontId="58" fillId="0" borderId="55" xfId="52" applyFont="1" applyBorder="1" applyAlignment="1">
      <alignment horizontal="left" vertical="center" wrapText="1"/>
    </xf>
    <xf numFmtId="0" fontId="58" fillId="0" borderId="40" xfId="52" applyFont="1" applyBorder="1" applyAlignment="1">
      <alignment horizontal="left" vertical="center" wrapText="1"/>
    </xf>
    <xf numFmtId="0" fontId="58" fillId="0" borderId="41" xfId="52" applyFont="1" applyBorder="1" applyAlignment="1">
      <alignment horizontal="left" vertical="center" wrapText="1"/>
    </xf>
    <xf numFmtId="0" fontId="58" fillId="25" borderId="25" xfId="52" applyFont="1" applyFill="1" applyBorder="1" applyAlignment="1">
      <alignment horizontal="center" vertical="center" wrapText="1"/>
    </xf>
    <xf numFmtId="0" fontId="58" fillId="25" borderId="40" xfId="52" applyFont="1" applyFill="1" applyBorder="1" applyAlignment="1">
      <alignment horizontal="center" vertical="center" wrapText="1"/>
    </xf>
    <xf numFmtId="0" fontId="58" fillId="25" borderId="48" xfId="52" applyFont="1" applyFill="1" applyBorder="1" applyAlignment="1">
      <alignment horizontal="center" vertical="center" wrapText="1"/>
    </xf>
    <xf numFmtId="0" fontId="58" fillId="0" borderId="35" xfId="52" applyFont="1" applyBorder="1" applyAlignment="1">
      <alignment horizontal="left" vertical="center"/>
    </xf>
    <xf numFmtId="0" fontId="58" fillId="0" borderId="69" xfId="52" applyFont="1" applyBorder="1" applyAlignment="1">
      <alignment horizontal="left" vertical="center"/>
    </xf>
    <xf numFmtId="0" fontId="58" fillId="0" borderId="1" xfId="52" applyFont="1" applyBorder="1" applyAlignment="1">
      <alignment horizontal="left" vertical="center"/>
    </xf>
    <xf numFmtId="0" fontId="58" fillId="0" borderId="66" xfId="52" applyFont="1" applyBorder="1" applyAlignment="1">
      <alignment horizontal="left" vertical="center"/>
    </xf>
    <xf numFmtId="0" fontId="58" fillId="0" borderId="55" xfId="52" applyFont="1" applyBorder="1" applyAlignment="1">
      <alignment horizontal="left" vertical="center"/>
    </xf>
    <xf numFmtId="0" fontId="58" fillId="0" borderId="67" xfId="52" applyFont="1" applyBorder="1" applyAlignment="1">
      <alignment horizontal="left" vertical="center"/>
    </xf>
    <xf numFmtId="0" fontId="58" fillId="0" borderId="40" xfId="52" applyFont="1" applyBorder="1" applyAlignment="1">
      <alignment horizontal="left" vertical="center"/>
    </xf>
    <xf numFmtId="0" fontId="58" fillId="0" borderId="41" xfId="52" applyFont="1" applyBorder="1" applyAlignment="1">
      <alignment horizontal="left" vertical="center"/>
    </xf>
    <xf numFmtId="0" fontId="58" fillId="0" borderId="37" xfId="52" applyFont="1" applyBorder="1" applyAlignment="1">
      <alignment horizontal="left" vertical="center"/>
    </xf>
    <xf numFmtId="0" fontId="58" fillId="0" borderId="65" xfId="52" applyFont="1" applyBorder="1" applyAlignment="1">
      <alignment horizontal="left" vertical="center"/>
    </xf>
    <xf numFmtId="0" fontId="25" fillId="0" borderId="0" xfId="98" applyFont="1" applyAlignment="1">
      <alignment horizontal="center" vertical="center"/>
    </xf>
    <xf numFmtId="0" fontId="58" fillId="25" borderId="55" xfId="52" applyFont="1" applyFill="1" applyBorder="1" applyAlignment="1">
      <alignment horizontal="center" vertical="center" wrapText="1"/>
    </xf>
    <xf numFmtId="0" fontId="58" fillId="25" borderId="54" xfId="52" applyFont="1" applyFill="1" applyBorder="1" applyAlignment="1">
      <alignment horizontal="center" vertical="center" wrapText="1"/>
    </xf>
    <xf numFmtId="0" fontId="58" fillId="25" borderId="24" xfId="52" applyFont="1" applyFill="1" applyBorder="1" applyAlignment="1">
      <alignment horizontal="center" vertical="center" wrapText="1"/>
    </xf>
    <xf numFmtId="0" fontId="58" fillId="25" borderId="18" xfId="52" applyFont="1" applyFill="1" applyBorder="1" applyAlignment="1">
      <alignment horizontal="center" vertical="center" wrapText="1"/>
    </xf>
    <xf numFmtId="0" fontId="58" fillId="25" borderId="36" xfId="52" applyFont="1" applyFill="1" applyBorder="1" applyAlignment="1">
      <alignment horizontal="center" vertical="center" wrapText="1"/>
    </xf>
    <xf numFmtId="0" fontId="58" fillId="25" borderId="16" xfId="52" applyFont="1" applyFill="1" applyBorder="1" applyAlignment="1">
      <alignment horizontal="center" vertical="center" wrapText="1"/>
    </xf>
    <xf numFmtId="0" fontId="62" fillId="0" borderId="0" xfId="94" applyFont="1" applyAlignment="1">
      <alignment horizontal="center" vertical="center" wrapText="1"/>
    </xf>
    <xf numFmtId="0" fontId="58" fillId="25" borderId="57" xfId="52" applyFont="1" applyFill="1" applyBorder="1" applyAlignment="1">
      <alignment horizontal="center" vertical="center" wrapText="1"/>
    </xf>
    <xf numFmtId="0" fontId="62" fillId="0" borderId="22" xfId="94" applyFont="1" applyBorder="1" applyAlignment="1">
      <alignment horizontal="center" vertical="center" wrapText="1"/>
    </xf>
    <xf numFmtId="4" fontId="58" fillId="27" borderId="24" xfId="34" applyNumberFormat="1" applyFont="1" applyFill="1" applyBorder="1" applyAlignment="1" applyProtection="1">
      <alignment horizontal="center" vertical="center" wrapText="1"/>
      <protection locked="0"/>
    </xf>
    <xf numFmtId="4" fontId="58" fillId="27" borderId="42" xfId="34" applyNumberFormat="1" applyFont="1" applyFill="1" applyBorder="1" applyAlignment="1" applyProtection="1">
      <alignment horizontal="center" vertical="center" wrapText="1"/>
      <protection locked="0"/>
    </xf>
    <xf numFmtId="9" fontId="58" fillId="27" borderId="32" xfId="34" applyNumberFormat="1" applyFont="1" applyFill="1" applyBorder="1" applyAlignment="1" applyProtection="1">
      <alignment horizontal="center" vertical="center" wrapText="1"/>
      <protection locked="0"/>
    </xf>
    <xf numFmtId="9" fontId="58" fillId="27" borderId="22" xfId="34" applyNumberFormat="1" applyFont="1" applyFill="1" applyBorder="1" applyAlignment="1" applyProtection="1">
      <alignment horizontal="center" vertical="center" wrapText="1"/>
      <protection locked="0"/>
    </xf>
    <xf numFmtId="49" fontId="58" fillId="27" borderId="24" xfId="34" applyNumberFormat="1" applyFont="1" applyFill="1" applyBorder="1" applyAlignment="1" applyProtection="1">
      <alignment horizontal="center" vertical="center" wrapText="1"/>
      <protection locked="0"/>
    </xf>
    <xf numFmtId="49" fontId="62" fillId="0" borderId="24" xfId="95" applyNumberFormat="1" applyFont="1" applyBorder="1" applyAlignment="1">
      <alignment horizontal="center" vertical="center" wrapText="1"/>
    </xf>
    <xf numFmtId="0" fontId="61" fillId="0" borderId="40" xfId="34" applyFont="1" applyBorder="1" applyAlignment="1">
      <alignment vertical="center"/>
    </xf>
    <xf numFmtId="0" fontId="23" fillId="0" borderId="40" xfId="34" applyBorder="1" applyAlignment="1">
      <alignment vertical="center"/>
    </xf>
    <xf numFmtId="0" fontId="62" fillId="0" borderId="41" xfId="96" applyFont="1" applyBorder="1" applyAlignment="1">
      <alignment vertical="center"/>
    </xf>
    <xf numFmtId="0" fontId="25" fillId="0" borderId="0" xfId="37" applyFont="1" applyAlignment="1">
      <alignment horizontal="center" vertical="center"/>
    </xf>
    <xf numFmtId="0" fontId="60" fillId="0" borderId="0" xfId="37" applyFont="1" applyAlignment="1">
      <alignment horizontal="center"/>
    </xf>
    <xf numFmtId="0" fontId="28" fillId="0" borderId="55" xfId="37" applyFont="1" applyBorder="1" applyAlignment="1">
      <alignment horizontal="center" vertical="center" wrapText="1"/>
    </xf>
    <xf numFmtId="0" fontId="28" fillId="0" borderId="40" xfId="37" applyFont="1" applyBorder="1" applyAlignment="1">
      <alignment horizontal="center" vertical="center" wrapText="1"/>
    </xf>
    <xf numFmtId="0" fontId="28" fillId="0" borderId="41" xfId="37" applyFont="1" applyBorder="1" applyAlignment="1">
      <alignment horizontal="center" vertical="center" wrapText="1"/>
    </xf>
    <xf numFmtId="0" fontId="26" fillId="0" borderId="40" xfId="37" applyFont="1" applyBorder="1" applyAlignment="1">
      <alignment horizontal="center" vertical="center"/>
    </xf>
    <xf numFmtId="0" fontId="26" fillId="0" borderId="41" xfId="37" applyFont="1" applyBorder="1" applyAlignment="1">
      <alignment horizontal="center" vertical="center"/>
    </xf>
    <xf numFmtId="0" fontId="25" fillId="0" borderId="0" xfId="51" applyFont="1" applyAlignment="1">
      <alignment horizontal="center" vertical="center" wrapText="1"/>
    </xf>
    <xf numFmtId="0" fontId="63" fillId="0" borderId="0" xfId="51" applyFont="1" applyAlignment="1">
      <alignment horizontal="center" vertical="center"/>
    </xf>
    <xf numFmtId="0" fontId="28" fillId="0" borderId="0" xfId="51" applyFont="1" applyAlignment="1">
      <alignment horizontal="left" wrapText="1"/>
    </xf>
    <xf numFmtId="0" fontId="26" fillId="0" borderId="0" xfId="51" applyFont="1" applyAlignment="1">
      <alignment horizontal="left" wrapText="1"/>
    </xf>
  </cellXfs>
  <cellStyles count="102">
    <cellStyle name="20 % – Zvýraznění1 2" xfId="2" xr:uid="{00000000-0005-0000-0000-000000000000}"/>
    <cellStyle name="20 % – Zvýraznění2 2" xfId="3" xr:uid="{00000000-0005-0000-0000-000001000000}"/>
    <cellStyle name="20 % – Zvýraznění3 2" xfId="4" xr:uid="{00000000-0005-0000-0000-000002000000}"/>
    <cellStyle name="20 % – Zvýraznění4 2" xfId="5" xr:uid="{00000000-0005-0000-0000-000003000000}"/>
    <cellStyle name="20 % - zvýraznenie1" xfId="6" xr:uid="{00000000-0005-0000-0000-000004000000}"/>
    <cellStyle name="20 % - zvýraznenie2" xfId="7" xr:uid="{00000000-0005-0000-0000-000005000000}"/>
    <cellStyle name="20 % - zvýraznenie3" xfId="8" xr:uid="{00000000-0005-0000-0000-000006000000}"/>
    <cellStyle name="20 % - zvýraznenie4" xfId="9" xr:uid="{00000000-0005-0000-0000-000007000000}"/>
    <cellStyle name="20 % - zvýraznenie5" xfId="10" xr:uid="{00000000-0005-0000-0000-000008000000}"/>
    <cellStyle name="20 % - zvýraznenie6" xfId="11" xr:uid="{00000000-0005-0000-0000-000009000000}"/>
    <cellStyle name="40 % – Zvýraznění3 2" xfId="12" xr:uid="{00000000-0005-0000-0000-00000A000000}"/>
    <cellStyle name="40 % - zvýraznenie1" xfId="13" xr:uid="{00000000-0005-0000-0000-00000B000000}"/>
    <cellStyle name="40 % - zvýraznenie2" xfId="14" xr:uid="{00000000-0005-0000-0000-00000C000000}"/>
    <cellStyle name="40 % - zvýraznenie3" xfId="15" xr:uid="{00000000-0005-0000-0000-00000D000000}"/>
    <cellStyle name="40 % - zvýraznenie4" xfId="16" xr:uid="{00000000-0005-0000-0000-00000E000000}"/>
    <cellStyle name="40 % - zvýraznenie5" xfId="17" xr:uid="{00000000-0005-0000-0000-00000F000000}"/>
    <cellStyle name="40 % - zvýraznenie6" xfId="18" xr:uid="{00000000-0005-0000-0000-000010000000}"/>
    <cellStyle name="60 % – Zvýraznění3 2" xfId="19" xr:uid="{00000000-0005-0000-0000-000011000000}"/>
    <cellStyle name="60 % – Zvýraznění4 2" xfId="20" xr:uid="{00000000-0005-0000-0000-000012000000}"/>
    <cellStyle name="60 % – Zvýraznění6 2" xfId="21" xr:uid="{00000000-0005-0000-0000-000013000000}"/>
    <cellStyle name="60 % - zvýraznenie1" xfId="22" xr:uid="{00000000-0005-0000-0000-000014000000}"/>
    <cellStyle name="60 % - zvýraznenie2" xfId="23" xr:uid="{00000000-0005-0000-0000-000015000000}"/>
    <cellStyle name="60 % - zvýraznenie3" xfId="24" xr:uid="{00000000-0005-0000-0000-000016000000}"/>
    <cellStyle name="60 % - zvýraznenie4" xfId="25" xr:uid="{00000000-0005-0000-0000-000017000000}"/>
    <cellStyle name="60 % - zvýraznenie5" xfId="26" xr:uid="{00000000-0005-0000-0000-000018000000}"/>
    <cellStyle name="60 % - zvýraznenie6" xfId="27" xr:uid="{00000000-0005-0000-0000-000019000000}"/>
    <cellStyle name="Dobrá" xfId="28" xr:uid="{00000000-0005-0000-0000-00001A000000}"/>
    <cellStyle name="Kontrolná bunka" xfId="29" xr:uid="{00000000-0005-0000-0000-00001B000000}"/>
    <cellStyle name="Neutrálna" xfId="30" xr:uid="{00000000-0005-0000-0000-00001C000000}"/>
    <cellStyle name="Normal_Zlin II table for road scheme submission_new environmental wording" xfId="31" xr:uid="{00000000-0005-0000-0000-00001D000000}"/>
    <cellStyle name="normálne 2" xfId="32" xr:uid="{00000000-0005-0000-0000-00001E000000}"/>
    <cellStyle name="normálne_2007 až 2013 august 2008" xfId="33" xr:uid="{00000000-0005-0000-0000-00001F000000}"/>
    <cellStyle name="Normální" xfId="0" builtinId="0"/>
    <cellStyle name="Normální 10" xfId="68" xr:uid="{7EAF0ABE-876C-4C5B-B00B-70889B2124CC}"/>
    <cellStyle name="Normální 11" xfId="70" xr:uid="{F7AE1ADC-9B54-4DC4-A6B2-E2ADA9011DC9}"/>
    <cellStyle name="Normální 11 2" xfId="77" xr:uid="{3A752018-D7C9-4CB6-AABC-7126566A31B0}"/>
    <cellStyle name="Normální 11 3" xfId="79" xr:uid="{285A0CB7-4643-4720-9E15-6384F9A1B930}"/>
    <cellStyle name="Normální 11 3 2" xfId="81" xr:uid="{43359363-99AA-46E2-B4B2-9A8C982D1DD1}"/>
    <cellStyle name="Normální 12" xfId="74" xr:uid="{D9B8657F-63B1-456D-B6D4-8F0080673836}"/>
    <cellStyle name="Normální 12 2" xfId="82" xr:uid="{128C3FEF-6D04-413B-B8C2-24BB1DDA1973}"/>
    <cellStyle name="Normální 12 2 2" xfId="86" xr:uid="{F399F551-779B-433A-9424-4DF19C646688}"/>
    <cellStyle name="Normální 12 2 2 2" xfId="93" xr:uid="{1A1A7070-F2E2-4680-A2F8-BFBB785046F1}"/>
    <cellStyle name="Normální 12 2 2 3" xfId="98" xr:uid="{9A7DA06A-D6CB-4BCF-BF82-27276332381B}"/>
    <cellStyle name="Normální 12 3" xfId="85" xr:uid="{D17C9F9B-DAD1-426B-AA06-3C13193287BA}"/>
    <cellStyle name="Normální 12 3 2" xfId="97" xr:uid="{62D1FD9A-56C5-40E1-8F8E-C5E95AB6FAEA}"/>
    <cellStyle name="Normální 13" xfId="78" xr:uid="{7C9A2637-C50D-4996-83F4-00D6D90391CA}"/>
    <cellStyle name="Normální 13 2" xfId="80" xr:uid="{F3F11FF6-B67F-47DC-B6F3-C898A9E0AAC6}"/>
    <cellStyle name="Normální 13 2 2" xfId="90" xr:uid="{ADAF0539-C254-4119-89EF-6C9D0DCB56CC}"/>
    <cellStyle name="Normální 13 2 2 2" xfId="95" xr:uid="{E723F5FD-ACC7-47CA-9F4B-F278AC1FAEB8}"/>
    <cellStyle name="Normální 14" xfId="89" xr:uid="{9B4354A2-AE47-4A9D-BA00-5F7F4D41C3A1}"/>
    <cellStyle name="Normální 14 2" xfId="94" xr:uid="{977EE4DD-6D92-4F03-90CA-08E2427178DF}"/>
    <cellStyle name="Normální 15" xfId="92" xr:uid="{4D85CBCB-450F-47F8-957D-A73CC61ADC30}"/>
    <cellStyle name="Normální 15 2" xfId="101" xr:uid="{11C900B9-2AC5-48DA-8B66-60F58E747933}"/>
    <cellStyle name="Normální 16" xfId="100" xr:uid="{7261F1CE-7060-4171-BF54-180144937835}"/>
    <cellStyle name="normální 2" xfId="34" xr:uid="{00000000-0005-0000-0000-000021000000}"/>
    <cellStyle name="Normální 2 2" xfId="69" xr:uid="{F07B7566-2064-476F-9BB1-37E620009519}"/>
    <cellStyle name="Normální 3" xfId="35" xr:uid="{00000000-0005-0000-0000-000022000000}"/>
    <cellStyle name="Normální 3 2" xfId="54" xr:uid="{00000000-0005-0000-0000-000023000000}"/>
    <cellStyle name="Normální 3 2 2" xfId="71" xr:uid="{2978BC99-9761-4968-A077-8A6669D5BDC4}"/>
    <cellStyle name="Normální 3 2 2 2" xfId="88" xr:uid="{1D6E8190-48D0-4C38-9750-9B1316B7E33D}"/>
    <cellStyle name="Normální 3 2 2 3" xfId="91" xr:uid="{57CD2F5B-A8B2-4978-B374-FF05B39FBE73}"/>
    <cellStyle name="Normální 3 2 2 3 2" xfId="96" xr:uid="{BFED129A-0523-4968-8B2D-5B693D9F0C2E}"/>
    <cellStyle name="Normální 4" xfId="36" xr:uid="{00000000-0005-0000-0000-000024000000}"/>
    <cellStyle name="Normální 4 2" xfId="51" xr:uid="{00000000-0005-0000-0000-000025000000}"/>
    <cellStyle name="Normální 5" xfId="37" xr:uid="{00000000-0005-0000-0000-000026000000}"/>
    <cellStyle name="Normální 6" xfId="53" xr:uid="{00000000-0005-0000-0000-000027000000}"/>
    <cellStyle name="Normální 6 2" xfId="56" xr:uid="{00000000-0005-0000-0000-000028000000}"/>
    <cellStyle name="Normální 6 2 2" xfId="59" xr:uid="{00000000-0005-0000-0000-000029000000}"/>
    <cellStyle name="Normální 6 2 2 2" xfId="60" xr:uid="{00000000-0005-0000-0000-00002A000000}"/>
    <cellStyle name="Normální 6 2 2 2 2" xfId="73" xr:uid="{9AC4A17D-5287-4BF3-BE35-E8222A5F5422}"/>
    <cellStyle name="Normální 6 2 2 2 2 2" xfId="76" xr:uid="{85DF5EC5-CC07-40CF-B637-F7A6DDE66B23}"/>
    <cellStyle name="Normální 6 2 2 2 2 2 2" xfId="84" xr:uid="{ED271366-DCD7-415B-B8EA-2A5C6027316A}"/>
    <cellStyle name="Normální 6 3" xfId="57" xr:uid="{00000000-0005-0000-0000-00002B000000}"/>
    <cellStyle name="Normální 6 3 2" xfId="58" xr:uid="{00000000-0005-0000-0000-00002C000000}"/>
    <cellStyle name="Normální 6 3 2 2" xfId="61" xr:uid="{00000000-0005-0000-0000-00002D000000}"/>
    <cellStyle name="Normální 6 3 2 3" xfId="63" xr:uid="{00000000-0005-0000-0000-00002E000000}"/>
    <cellStyle name="Normální 6 3 3" xfId="62" xr:uid="{00000000-0005-0000-0000-00002F000000}"/>
    <cellStyle name="Normální 6 3 4" xfId="66" xr:uid="{599A6705-45E3-4F72-8ECF-8CE826AAF7BB}"/>
    <cellStyle name="Normální 6 3 4 2" xfId="72" xr:uid="{99050197-9413-4201-86D9-AAECD267F702}"/>
    <cellStyle name="Normální 6 3 4 2 2" xfId="75" xr:uid="{3E8BD71C-D6C5-49A3-86F0-75B296AA7100}"/>
    <cellStyle name="Normální 6 3 4 2 2 2" xfId="83" xr:uid="{20F9C093-1172-46AB-82DD-47765629A83C}"/>
    <cellStyle name="Normální 6 3 4 2 2 2 2" xfId="87" xr:uid="{30FE1315-5002-4CAB-9C60-144ED8004B40}"/>
    <cellStyle name="Normální 6 3 4 2 2 2 2 2" xfId="99" xr:uid="{BE366A43-011C-47C6-98D8-6E66AE00223E}"/>
    <cellStyle name="Normální 7" xfId="64" xr:uid="{9E7DB6FB-4C1D-4ED6-B264-95259FBE2035}"/>
    <cellStyle name="Normální 8" xfId="65" xr:uid="{FB0AF3BA-E015-424E-A45A-C9EA63B1A35F}"/>
    <cellStyle name="Normální 9" xfId="67" xr:uid="{117EABE7-3638-4C5B-BBAD-BDFD6F941C33}"/>
    <cellStyle name="normální_10_BILANCEE" xfId="1" xr:uid="{00000000-0005-0000-0000-000030000000}"/>
    <cellStyle name="normální_EU akce-upr 2" xfId="52" xr:uid="{00000000-0005-0000-0000-000033000000}"/>
    <cellStyle name="Poznámka 2" xfId="38" xr:uid="{00000000-0005-0000-0000-000035000000}"/>
    <cellStyle name="Prepojená bunka" xfId="39" xr:uid="{00000000-0005-0000-0000-000036000000}"/>
    <cellStyle name="Procenta 2" xfId="55" xr:uid="{00000000-0005-0000-0000-000037000000}"/>
    <cellStyle name="Spolu" xfId="40" xr:uid="{00000000-0005-0000-0000-000038000000}"/>
    <cellStyle name="Text upozornenia" xfId="41" xr:uid="{00000000-0005-0000-0000-000039000000}"/>
    <cellStyle name="Titul" xfId="42" xr:uid="{00000000-0005-0000-0000-00003A000000}"/>
    <cellStyle name="Vysvetľujúci text" xfId="43" xr:uid="{00000000-0005-0000-0000-00003B000000}"/>
    <cellStyle name="Zlá" xfId="44" xr:uid="{00000000-0005-0000-0000-00003C000000}"/>
    <cellStyle name="Zvýraznenie1" xfId="45" xr:uid="{00000000-0005-0000-0000-00003D000000}"/>
    <cellStyle name="Zvýraznenie2" xfId="46" xr:uid="{00000000-0005-0000-0000-00003E000000}"/>
    <cellStyle name="Zvýraznenie3" xfId="47" xr:uid="{00000000-0005-0000-0000-00003F000000}"/>
    <cellStyle name="Zvýraznenie4" xfId="48" xr:uid="{00000000-0005-0000-0000-000040000000}"/>
    <cellStyle name="Zvýraznenie5" xfId="49" xr:uid="{00000000-0005-0000-0000-000041000000}"/>
    <cellStyle name="Zvýraznenie6" xfId="50" xr:uid="{00000000-0005-0000-0000-000042000000}"/>
  </cellStyles>
  <dxfs count="0"/>
  <tableStyles count="0" defaultTableStyle="TableStyleMedium2" defaultPivotStyle="PivotStyleLight16"/>
  <colors>
    <mruColors>
      <color rgb="FF99FF33"/>
      <color rgb="FFFFCC99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50" b="1" i="0" u="none" strike="noStrike" kern="1200" baseline="0">
                <a:solidFill>
                  <a:sysClr val="windowText" lastClr="000000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cs-CZ" sz="1150">
                <a:solidFill>
                  <a:sysClr val="windowText" lastClr="000000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Přehled splácení jistiny a úroků z úvěrů čerpaných Moravskoslezským krajem (v tis. Kč)</a:t>
            </a:r>
          </a:p>
        </c:rich>
      </c:tx>
      <c:layout>
        <c:manualLayout>
          <c:xMode val="edge"/>
          <c:yMode val="edge"/>
          <c:x val="0.15678113457575124"/>
          <c:y val="2.63964363609478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50" b="1" i="0" u="none" strike="noStrike" kern="1200" baseline="0">
              <a:solidFill>
                <a:sysClr val="windowText" lastClr="0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cs-CZ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8.1579881042189453E-2"/>
          <c:y val="0.10293673635623134"/>
          <c:w val="0.85835564133268127"/>
          <c:h val="0.77699505490716292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'Tab. 7'!$I$5</c:f>
              <c:strCache>
                <c:ptCount val="1"/>
                <c:pt idx="0">
                  <c:v>splátka jistiny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numRef>
              <c:f>'Tab. 7'!$A$6:$A$15</c:f>
              <c:numCache>
                <c:formatCode>General</c:formatCode>
                <c:ptCount val="10"/>
                <c:pt idx="0">
                  <c:v>2026</c:v>
                </c:pt>
                <c:pt idx="1">
                  <c:v>2027</c:v>
                </c:pt>
                <c:pt idx="2">
                  <c:v>2028</c:v>
                </c:pt>
                <c:pt idx="3">
                  <c:v>2029</c:v>
                </c:pt>
                <c:pt idx="4">
                  <c:v>2030</c:v>
                </c:pt>
                <c:pt idx="5">
                  <c:v>2031</c:v>
                </c:pt>
                <c:pt idx="6">
                  <c:v>2032</c:v>
                </c:pt>
                <c:pt idx="7">
                  <c:v>2033</c:v>
                </c:pt>
                <c:pt idx="8">
                  <c:v>2034</c:v>
                </c:pt>
                <c:pt idx="9">
                  <c:v>2035</c:v>
                </c:pt>
              </c:numCache>
            </c:numRef>
          </c:cat>
          <c:val>
            <c:numRef>
              <c:f>'Tab. 7'!$I$6:$I$15</c:f>
              <c:numCache>
                <c:formatCode>#,##0</c:formatCode>
                <c:ptCount val="10"/>
                <c:pt idx="0">
                  <c:v>2247006</c:v>
                </c:pt>
                <c:pt idx="1">
                  <c:v>2363208</c:v>
                </c:pt>
                <c:pt idx="2">
                  <c:v>1517745</c:v>
                </c:pt>
                <c:pt idx="3">
                  <c:v>306500</c:v>
                </c:pt>
                <c:pt idx="4">
                  <c:v>300052.58065999998</c:v>
                </c:pt>
                <c:pt idx="5">
                  <c:v>300000</c:v>
                </c:pt>
                <c:pt idx="6">
                  <c:v>300000</c:v>
                </c:pt>
                <c:pt idx="7">
                  <c:v>300000</c:v>
                </c:pt>
                <c:pt idx="8">
                  <c:v>300000</c:v>
                </c:pt>
                <c:pt idx="9">
                  <c:v>300000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F0-4C61-86C1-2A2B2F596394}"/>
            </c:ext>
          </c:extLst>
        </c:ser>
        <c:ser>
          <c:idx val="1"/>
          <c:order val="1"/>
          <c:tx>
            <c:strRef>
              <c:f>'Tab. 7'!$J$5</c:f>
              <c:strCache>
                <c:ptCount val="1"/>
                <c:pt idx="0">
                  <c:v>úrok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numRef>
              <c:f>'Tab. 7'!$A$6:$A$15</c:f>
              <c:numCache>
                <c:formatCode>General</c:formatCode>
                <c:ptCount val="10"/>
                <c:pt idx="0">
                  <c:v>2026</c:v>
                </c:pt>
                <c:pt idx="1">
                  <c:v>2027</c:v>
                </c:pt>
                <c:pt idx="2">
                  <c:v>2028</c:v>
                </c:pt>
                <c:pt idx="3">
                  <c:v>2029</c:v>
                </c:pt>
                <c:pt idx="4">
                  <c:v>2030</c:v>
                </c:pt>
                <c:pt idx="5">
                  <c:v>2031</c:v>
                </c:pt>
                <c:pt idx="6">
                  <c:v>2032</c:v>
                </c:pt>
                <c:pt idx="7">
                  <c:v>2033</c:v>
                </c:pt>
                <c:pt idx="8">
                  <c:v>2034</c:v>
                </c:pt>
                <c:pt idx="9">
                  <c:v>2035</c:v>
                </c:pt>
              </c:numCache>
            </c:numRef>
          </c:cat>
          <c:val>
            <c:numRef>
              <c:f>'Tab. 7'!$J$6:$J$15</c:f>
              <c:numCache>
                <c:formatCode>#,##0</c:formatCode>
                <c:ptCount val="10"/>
                <c:pt idx="0">
                  <c:v>136000</c:v>
                </c:pt>
                <c:pt idx="1">
                  <c:v>140000</c:v>
                </c:pt>
                <c:pt idx="2">
                  <c:v>130000</c:v>
                </c:pt>
                <c:pt idx="3">
                  <c:v>120000</c:v>
                </c:pt>
                <c:pt idx="4">
                  <c:v>85000</c:v>
                </c:pt>
                <c:pt idx="5">
                  <c:v>50000</c:v>
                </c:pt>
                <c:pt idx="6">
                  <c:v>40000</c:v>
                </c:pt>
                <c:pt idx="7">
                  <c:v>30000</c:v>
                </c:pt>
                <c:pt idx="8">
                  <c:v>20000</c:v>
                </c:pt>
                <c:pt idx="9">
                  <c:v>10000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FF0-4C61-86C1-2A2B2F5963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83648"/>
        <c:axId val="673989528"/>
        <c:axId val="0"/>
      </c:bar3DChart>
      <c:catAx>
        <c:axId val="673983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cs-CZ"/>
          </a:p>
        </c:txPr>
        <c:crossAx val="673989528"/>
        <c:crosses val="autoZero"/>
        <c:auto val="1"/>
        <c:lblAlgn val="ctr"/>
        <c:lblOffset val="100"/>
        <c:noMultiLvlLbl val="0"/>
      </c:catAx>
      <c:valAx>
        <c:axId val="6739895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cs-CZ"/>
          </a:p>
        </c:txPr>
        <c:crossAx val="673983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2575706171776755"/>
          <c:y val="0.93260794826907323"/>
          <c:w val="0.20588240423435439"/>
          <c:h val="5.235771515402679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ysClr val="windowText" lastClr="0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 paperSize="9"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</xdr:colOff>
      <xdr:row>19</xdr:row>
      <xdr:rowOff>1906</xdr:rowOff>
    </xdr:from>
    <xdr:to>
      <xdr:col>9</xdr:col>
      <xdr:colOff>895350</xdr:colOff>
      <xdr:row>55</xdr:row>
      <xdr:rowOff>123826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C8C285D0-6F95-435B-AEBE-33460490F8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tankova2598/AppData/Local/Microsoft/Windows/INetCache/Content.Outlook/P53HJRV8/ORJ14_P&#345;ehled%20projekt&#367;%202014-2020_n&#225;vrh%202020_nov&#253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skraj.sharepoint.com/Users/stankova2598/AppData/Local/Microsoft/Windows/INetCache/Content.Outlook/P53HJRV8/ORJ14_P&#345;ehled%20projekt&#367;%202014-2020_n&#225;vrh%202020_nov&#253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s\ku\Users\stankova2598\AppData\Local\Microsoft\Windows\INetCache\Content.Outlook\P53HJRV8\ORJ14_P&#345;ehled%20projekt&#367;%202014-2020_n&#225;vrh%202020_nov&#25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ýdaje dle STAVU"/>
      <sheetName val="Výdaje podle odvětví"/>
      <sheetName val="Příjmy podle odvětví"/>
      <sheetName val="ZÁLOHOVÉ PROJEKTY"/>
      <sheetName val="rozhodnutí"/>
      <sheetName val="rekapitulace"/>
      <sheetName val="Projekty P.O."/>
      <sheetName val="Udržitelnost podle odvětví"/>
      <sheetName val="List1"/>
      <sheetName val="neinvestiční projekty"/>
      <sheetName val="usnesení"/>
    </sheetNames>
    <sheetDataSet>
      <sheetData sheetId="0" refreshError="1"/>
      <sheetData sheetId="1"/>
      <sheetData sheetId="2" refreshError="1"/>
      <sheetData sheetId="3"/>
      <sheetData sheetId="4">
        <row r="31">
          <cell r="N31">
            <v>25.54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ýdaje dle STAVU"/>
      <sheetName val="Výdaje podle odvětví"/>
      <sheetName val="Příjmy podle odvětví"/>
      <sheetName val="ZÁLOHOVÉ PROJEKTY"/>
      <sheetName val="rozhodnutí"/>
      <sheetName val="rekapitulace"/>
      <sheetName val="Projekty P.O."/>
      <sheetName val="Udržitelnost podle odvětví"/>
      <sheetName val="List1"/>
      <sheetName val="neinvestiční projekty"/>
      <sheetName val="usnesení"/>
    </sheetNames>
    <sheetDataSet>
      <sheetData sheetId="0" refreshError="1"/>
      <sheetData sheetId="1"/>
      <sheetData sheetId="2" refreshError="1"/>
      <sheetData sheetId="3"/>
      <sheetData sheetId="4">
        <row r="31">
          <cell r="N31">
            <v>25.54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ýdaje dle STAVU"/>
      <sheetName val="Výdaje podle odvětví"/>
      <sheetName val="Příjmy podle odvětví"/>
      <sheetName val="ZÁLOHOVÉ PROJEKTY"/>
      <sheetName val="rozhodnutí"/>
      <sheetName val="rekapitulace"/>
      <sheetName val="Projekty P.O."/>
      <sheetName val="Udržitelnost podle odvětví"/>
      <sheetName val="List1"/>
      <sheetName val="neinvestiční projekty"/>
      <sheetName val="usnesení"/>
    </sheetNames>
    <sheetDataSet>
      <sheetData sheetId="0" refreshError="1"/>
      <sheetData sheetId="1"/>
      <sheetData sheetId="2" refreshError="1"/>
      <sheetData sheetId="3"/>
      <sheetData sheetId="4">
        <row r="31">
          <cell r="N31">
            <v>25.54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C24"/>
  <sheetViews>
    <sheetView tabSelected="1" workbookViewId="0">
      <selection activeCell="E6" sqref="E6"/>
    </sheetView>
  </sheetViews>
  <sheetFormatPr defaultColWidth="9.140625" defaultRowHeight="15.75" x14ac:dyDescent="0.25"/>
  <cols>
    <col min="1" max="1" width="15.85546875" style="32" customWidth="1"/>
    <col min="2" max="2" width="67.42578125" style="32" customWidth="1"/>
    <col min="3" max="3" width="5.7109375" style="73" customWidth="1"/>
    <col min="4" max="16384" width="9.140625" style="32"/>
  </cols>
  <sheetData>
    <row r="3" spans="1:3" ht="17.25" customHeight="1" x14ac:dyDescent="0.2">
      <c r="A3" s="637" t="s">
        <v>54</v>
      </c>
      <c r="B3" s="637"/>
      <c r="C3" s="33"/>
    </row>
    <row r="4" spans="1:3" ht="19.5" customHeight="1" x14ac:dyDescent="0.2">
      <c r="A4" s="637" t="s">
        <v>578</v>
      </c>
      <c r="B4" s="637"/>
      <c r="C4" s="72"/>
    </row>
    <row r="6" spans="1:3" ht="18" customHeight="1" x14ac:dyDescent="0.2">
      <c r="A6" s="638" t="s">
        <v>62</v>
      </c>
      <c r="B6" s="638"/>
      <c r="C6" s="72"/>
    </row>
    <row r="7" spans="1:3" ht="36.75" customHeight="1" x14ac:dyDescent="0.2">
      <c r="A7" s="65"/>
      <c r="B7" s="65"/>
      <c r="C7" s="72"/>
    </row>
    <row r="8" spans="1:3" s="72" customFormat="1" ht="21" customHeight="1" x14ac:dyDescent="0.2">
      <c r="A8" s="232" t="s">
        <v>145</v>
      </c>
      <c r="C8" s="233" t="s">
        <v>146</v>
      </c>
    </row>
    <row r="9" spans="1:3" s="72" customFormat="1" ht="15" customHeight="1" x14ac:dyDescent="0.2">
      <c r="A9" s="232"/>
      <c r="C9" s="233"/>
    </row>
    <row r="10" spans="1:3" ht="18" customHeight="1" x14ac:dyDescent="0.2">
      <c r="A10" s="32" t="s">
        <v>46</v>
      </c>
      <c r="B10" s="380" t="s">
        <v>576</v>
      </c>
      <c r="C10" s="72">
        <v>2</v>
      </c>
    </row>
    <row r="11" spans="1:3" ht="15" x14ac:dyDescent="0.2">
      <c r="B11" s="380"/>
      <c r="C11" s="300"/>
    </row>
    <row r="12" spans="1:3" ht="18" customHeight="1" x14ac:dyDescent="0.2">
      <c r="A12" s="32" t="s">
        <v>55</v>
      </c>
      <c r="B12" s="380" t="s">
        <v>577</v>
      </c>
      <c r="C12" s="72">
        <v>5</v>
      </c>
    </row>
    <row r="13" spans="1:3" ht="15" x14ac:dyDescent="0.2">
      <c r="B13" s="380"/>
      <c r="C13" s="300"/>
    </row>
    <row r="14" spans="1:3" ht="30" x14ac:dyDescent="0.2">
      <c r="A14" s="32" t="s">
        <v>56</v>
      </c>
      <c r="B14" s="380" t="s">
        <v>154</v>
      </c>
      <c r="C14" s="72">
        <v>7</v>
      </c>
    </row>
    <row r="15" spans="1:3" ht="15" x14ac:dyDescent="0.2">
      <c r="B15" s="380"/>
      <c r="C15" s="300"/>
    </row>
    <row r="16" spans="1:3" ht="18" customHeight="1" x14ac:dyDescent="0.2">
      <c r="A16" s="32" t="s">
        <v>57</v>
      </c>
      <c r="B16" s="380" t="s">
        <v>148</v>
      </c>
      <c r="C16" s="72">
        <v>11</v>
      </c>
    </row>
    <row r="17" spans="1:3" x14ac:dyDescent="0.25">
      <c r="C17" s="301"/>
    </row>
    <row r="18" spans="1:3" ht="18" customHeight="1" x14ac:dyDescent="0.2">
      <c r="A18" s="32" t="s">
        <v>58</v>
      </c>
      <c r="B18" s="380" t="s">
        <v>149</v>
      </c>
      <c r="C18" s="72">
        <v>18</v>
      </c>
    </row>
    <row r="19" spans="1:3" ht="15" x14ac:dyDescent="0.2">
      <c r="B19" s="380"/>
      <c r="C19" s="300"/>
    </row>
    <row r="20" spans="1:3" ht="30" x14ac:dyDescent="0.2">
      <c r="A20" s="32" t="s">
        <v>59</v>
      </c>
      <c r="B20" s="380" t="s">
        <v>151</v>
      </c>
      <c r="C20" s="72">
        <v>40</v>
      </c>
    </row>
    <row r="21" spans="1:3" ht="15" x14ac:dyDescent="0.2">
      <c r="B21" s="380"/>
      <c r="C21" s="300"/>
    </row>
    <row r="22" spans="1:3" ht="30" x14ac:dyDescent="0.2">
      <c r="A22" s="32" t="s">
        <v>60</v>
      </c>
      <c r="B22" s="380" t="s">
        <v>63</v>
      </c>
      <c r="C22" s="72">
        <v>42</v>
      </c>
    </row>
    <row r="23" spans="1:3" ht="15" x14ac:dyDescent="0.2">
      <c r="B23" s="380"/>
      <c r="C23" s="72"/>
    </row>
    <row r="24" spans="1:3" ht="18" customHeight="1" x14ac:dyDescent="0.2">
      <c r="A24" s="32" t="s">
        <v>61</v>
      </c>
      <c r="B24" s="380" t="s">
        <v>152</v>
      </c>
      <c r="C24" s="72">
        <v>43</v>
      </c>
    </row>
  </sheetData>
  <mergeCells count="3">
    <mergeCell ref="A4:B4"/>
    <mergeCell ref="A3:B3"/>
    <mergeCell ref="A6:B6"/>
  </mergeCells>
  <pageMargins left="0.70866141732283472" right="0.70866141732283472" top="0.78740157480314965" bottom="0.78740157480314965" header="0.31496062992125984" footer="0.31496062992125984"/>
  <pageSetup paperSize="9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9C4BEE-ED02-4738-9E75-11E5F1F32B77}">
  <sheetPr>
    <pageSetUpPr fitToPage="1"/>
  </sheetPr>
  <dimension ref="A1:H45"/>
  <sheetViews>
    <sheetView zoomScaleNormal="100" zoomScaleSheetLayoutView="100" workbookViewId="0">
      <selection activeCell="I5" sqref="I5"/>
    </sheetView>
  </sheetViews>
  <sheetFormatPr defaultRowHeight="10.5" x14ac:dyDescent="0.15"/>
  <cols>
    <col min="1" max="1" width="35.85546875" style="260" customWidth="1"/>
    <col min="2" max="7" width="14.7109375" style="260" customWidth="1"/>
    <col min="8" max="8" width="4.140625" style="260" customWidth="1"/>
    <col min="9" max="222" width="9.140625" style="260"/>
    <col min="223" max="224" width="0" style="260" hidden="1" customWidth="1"/>
    <col min="225" max="225" width="11.140625" style="260" customWidth="1"/>
    <col min="226" max="226" width="43.140625" style="260" customWidth="1"/>
    <col min="227" max="228" width="13.28515625" style="260" customWidth="1"/>
    <col min="229" max="229" width="13.5703125" style="260" customWidth="1"/>
    <col min="230" max="232" width="14.85546875" style="260" customWidth="1"/>
    <col min="233" max="234" width="12.5703125" style="260" bestFit="1" customWidth="1"/>
    <col min="235" max="478" width="9.140625" style="260"/>
    <col min="479" max="480" width="0" style="260" hidden="1" customWidth="1"/>
    <col min="481" max="481" width="11.140625" style="260" customWidth="1"/>
    <col min="482" max="482" width="43.140625" style="260" customWidth="1"/>
    <col min="483" max="484" width="13.28515625" style="260" customWidth="1"/>
    <col min="485" max="485" width="13.5703125" style="260" customWidth="1"/>
    <col min="486" max="488" width="14.85546875" style="260" customWidth="1"/>
    <col min="489" max="490" width="12.5703125" style="260" bestFit="1" customWidth="1"/>
    <col min="491" max="734" width="9.140625" style="260"/>
    <col min="735" max="736" width="0" style="260" hidden="1" customWidth="1"/>
    <col min="737" max="737" width="11.140625" style="260" customWidth="1"/>
    <col min="738" max="738" width="43.140625" style="260" customWidth="1"/>
    <col min="739" max="740" width="13.28515625" style="260" customWidth="1"/>
    <col min="741" max="741" width="13.5703125" style="260" customWidth="1"/>
    <col min="742" max="744" width="14.85546875" style="260" customWidth="1"/>
    <col min="745" max="746" width="12.5703125" style="260" bestFit="1" customWidth="1"/>
    <col min="747" max="990" width="9.140625" style="260"/>
    <col min="991" max="992" width="0" style="260" hidden="1" customWidth="1"/>
    <col min="993" max="993" width="11.140625" style="260" customWidth="1"/>
    <col min="994" max="994" width="43.140625" style="260" customWidth="1"/>
    <col min="995" max="996" width="13.28515625" style="260" customWidth="1"/>
    <col min="997" max="997" width="13.5703125" style="260" customWidth="1"/>
    <col min="998" max="1000" width="14.85546875" style="260" customWidth="1"/>
    <col min="1001" max="1002" width="12.5703125" style="260" bestFit="1" customWidth="1"/>
    <col min="1003" max="1246" width="9.140625" style="260"/>
    <col min="1247" max="1248" width="0" style="260" hidden="1" customWidth="1"/>
    <col min="1249" max="1249" width="11.140625" style="260" customWidth="1"/>
    <col min="1250" max="1250" width="43.140625" style="260" customWidth="1"/>
    <col min="1251" max="1252" width="13.28515625" style="260" customWidth="1"/>
    <col min="1253" max="1253" width="13.5703125" style="260" customWidth="1"/>
    <col min="1254" max="1256" width="14.85546875" style="260" customWidth="1"/>
    <col min="1257" max="1258" width="12.5703125" style="260" bestFit="1" customWidth="1"/>
    <col min="1259" max="1502" width="9.140625" style="260"/>
    <col min="1503" max="1504" width="0" style="260" hidden="1" customWidth="1"/>
    <col min="1505" max="1505" width="11.140625" style="260" customWidth="1"/>
    <col min="1506" max="1506" width="43.140625" style="260" customWidth="1"/>
    <col min="1507" max="1508" width="13.28515625" style="260" customWidth="1"/>
    <col min="1509" max="1509" width="13.5703125" style="260" customWidth="1"/>
    <col min="1510" max="1512" width="14.85546875" style="260" customWidth="1"/>
    <col min="1513" max="1514" width="12.5703125" style="260" bestFit="1" customWidth="1"/>
    <col min="1515" max="1758" width="9.140625" style="260"/>
    <col min="1759" max="1760" width="0" style="260" hidden="1" customWidth="1"/>
    <col min="1761" max="1761" width="11.140625" style="260" customWidth="1"/>
    <col min="1762" max="1762" width="43.140625" style="260" customWidth="1"/>
    <col min="1763" max="1764" width="13.28515625" style="260" customWidth="1"/>
    <col min="1765" max="1765" width="13.5703125" style="260" customWidth="1"/>
    <col min="1766" max="1768" width="14.85546875" style="260" customWidth="1"/>
    <col min="1769" max="1770" width="12.5703125" style="260" bestFit="1" customWidth="1"/>
    <col min="1771" max="2014" width="9.140625" style="260"/>
    <col min="2015" max="2016" width="0" style="260" hidden="1" customWidth="1"/>
    <col min="2017" max="2017" width="11.140625" style="260" customWidth="1"/>
    <col min="2018" max="2018" width="43.140625" style="260" customWidth="1"/>
    <col min="2019" max="2020" width="13.28515625" style="260" customWidth="1"/>
    <col min="2021" max="2021" width="13.5703125" style="260" customWidth="1"/>
    <col min="2022" max="2024" width="14.85546875" style="260" customWidth="1"/>
    <col min="2025" max="2026" width="12.5703125" style="260" bestFit="1" customWidth="1"/>
    <col min="2027" max="2270" width="9.140625" style="260"/>
    <col min="2271" max="2272" width="0" style="260" hidden="1" customWidth="1"/>
    <col min="2273" max="2273" width="11.140625" style="260" customWidth="1"/>
    <col min="2274" max="2274" width="43.140625" style="260" customWidth="1"/>
    <col min="2275" max="2276" width="13.28515625" style="260" customWidth="1"/>
    <col min="2277" max="2277" width="13.5703125" style="260" customWidth="1"/>
    <col min="2278" max="2280" width="14.85546875" style="260" customWidth="1"/>
    <col min="2281" max="2282" width="12.5703125" style="260" bestFit="1" customWidth="1"/>
    <col min="2283" max="2526" width="9.140625" style="260"/>
    <col min="2527" max="2528" width="0" style="260" hidden="1" customWidth="1"/>
    <col min="2529" max="2529" width="11.140625" style="260" customWidth="1"/>
    <col min="2530" max="2530" width="43.140625" style="260" customWidth="1"/>
    <col min="2531" max="2532" width="13.28515625" style="260" customWidth="1"/>
    <col min="2533" max="2533" width="13.5703125" style="260" customWidth="1"/>
    <col min="2534" max="2536" width="14.85546875" style="260" customWidth="1"/>
    <col min="2537" max="2538" width="12.5703125" style="260" bestFit="1" customWidth="1"/>
    <col min="2539" max="2782" width="9.140625" style="260"/>
    <col min="2783" max="2784" width="0" style="260" hidden="1" customWidth="1"/>
    <col min="2785" max="2785" width="11.140625" style="260" customWidth="1"/>
    <col min="2786" max="2786" width="43.140625" style="260" customWidth="1"/>
    <col min="2787" max="2788" width="13.28515625" style="260" customWidth="1"/>
    <col min="2789" max="2789" width="13.5703125" style="260" customWidth="1"/>
    <col min="2790" max="2792" width="14.85546875" style="260" customWidth="1"/>
    <col min="2793" max="2794" width="12.5703125" style="260" bestFit="1" customWidth="1"/>
    <col min="2795" max="3038" width="9.140625" style="260"/>
    <col min="3039" max="3040" width="0" style="260" hidden="1" customWidth="1"/>
    <col min="3041" max="3041" width="11.140625" style="260" customWidth="1"/>
    <col min="3042" max="3042" width="43.140625" style="260" customWidth="1"/>
    <col min="3043" max="3044" width="13.28515625" style="260" customWidth="1"/>
    <col min="3045" max="3045" width="13.5703125" style="260" customWidth="1"/>
    <col min="3046" max="3048" width="14.85546875" style="260" customWidth="1"/>
    <col min="3049" max="3050" width="12.5703125" style="260" bestFit="1" customWidth="1"/>
    <col min="3051" max="3294" width="9.140625" style="260"/>
    <col min="3295" max="3296" width="0" style="260" hidden="1" customWidth="1"/>
    <col min="3297" max="3297" width="11.140625" style="260" customWidth="1"/>
    <col min="3298" max="3298" width="43.140625" style="260" customWidth="1"/>
    <col min="3299" max="3300" width="13.28515625" style="260" customWidth="1"/>
    <col min="3301" max="3301" width="13.5703125" style="260" customWidth="1"/>
    <col min="3302" max="3304" width="14.85546875" style="260" customWidth="1"/>
    <col min="3305" max="3306" width="12.5703125" style="260" bestFit="1" customWidth="1"/>
    <col min="3307" max="3550" width="9.140625" style="260"/>
    <col min="3551" max="3552" width="0" style="260" hidden="1" customWidth="1"/>
    <col min="3553" max="3553" width="11.140625" style="260" customWidth="1"/>
    <col min="3554" max="3554" width="43.140625" style="260" customWidth="1"/>
    <col min="3555" max="3556" width="13.28515625" style="260" customWidth="1"/>
    <col min="3557" max="3557" width="13.5703125" style="260" customWidth="1"/>
    <col min="3558" max="3560" width="14.85546875" style="260" customWidth="1"/>
    <col min="3561" max="3562" width="12.5703125" style="260" bestFit="1" customWidth="1"/>
    <col min="3563" max="3806" width="9.140625" style="260"/>
    <col min="3807" max="3808" width="0" style="260" hidden="1" customWidth="1"/>
    <col min="3809" max="3809" width="11.140625" style="260" customWidth="1"/>
    <col min="3810" max="3810" width="43.140625" style="260" customWidth="1"/>
    <col min="3811" max="3812" width="13.28515625" style="260" customWidth="1"/>
    <col min="3813" max="3813" width="13.5703125" style="260" customWidth="1"/>
    <col min="3814" max="3816" width="14.85546875" style="260" customWidth="1"/>
    <col min="3817" max="3818" width="12.5703125" style="260" bestFit="1" customWidth="1"/>
    <col min="3819" max="4062" width="9.140625" style="260"/>
    <col min="4063" max="4064" width="0" style="260" hidden="1" customWidth="1"/>
    <col min="4065" max="4065" width="11.140625" style="260" customWidth="1"/>
    <col min="4066" max="4066" width="43.140625" style="260" customWidth="1"/>
    <col min="4067" max="4068" width="13.28515625" style="260" customWidth="1"/>
    <col min="4069" max="4069" width="13.5703125" style="260" customWidth="1"/>
    <col min="4070" max="4072" width="14.85546875" style="260" customWidth="1"/>
    <col min="4073" max="4074" width="12.5703125" style="260" bestFit="1" customWidth="1"/>
    <col min="4075" max="4318" width="9.140625" style="260"/>
    <col min="4319" max="4320" width="0" style="260" hidden="1" customWidth="1"/>
    <col min="4321" max="4321" width="11.140625" style="260" customWidth="1"/>
    <col min="4322" max="4322" width="43.140625" style="260" customWidth="1"/>
    <col min="4323" max="4324" width="13.28515625" style="260" customWidth="1"/>
    <col min="4325" max="4325" width="13.5703125" style="260" customWidth="1"/>
    <col min="4326" max="4328" width="14.85546875" style="260" customWidth="1"/>
    <col min="4329" max="4330" width="12.5703125" style="260" bestFit="1" customWidth="1"/>
    <col min="4331" max="4574" width="9.140625" style="260"/>
    <col min="4575" max="4576" width="0" style="260" hidden="1" customWidth="1"/>
    <col min="4577" max="4577" width="11.140625" style="260" customWidth="1"/>
    <col min="4578" max="4578" width="43.140625" style="260" customWidth="1"/>
    <col min="4579" max="4580" width="13.28515625" style="260" customWidth="1"/>
    <col min="4581" max="4581" width="13.5703125" style="260" customWidth="1"/>
    <col min="4582" max="4584" width="14.85546875" style="260" customWidth="1"/>
    <col min="4585" max="4586" width="12.5703125" style="260" bestFit="1" customWidth="1"/>
    <col min="4587" max="4830" width="9.140625" style="260"/>
    <col min="4831" max="4832" width="0" style="260" hidden="1" customWidth="1"/>
    <col min="4833" max="4833" width="11.140625" style="260" customWidth="1"/>
    <col min="4834" max="4834" width="43.140625" style="260" customWidth="1"/>
    <col min="4835" max="4836" width="13.28515625" style="260" customWidth="1"/>
    <col min="4837" max="4837" width="13.5703125" style="260" customWidth="1"/>
    <col min="4838" max="4840" width="14.85546875" style="260" customWidth="1"/>
    <col min="4841" max="4842" width="12.5703125" style="260" bestFit="1" customWidth="1"/>
    <col min="4843" max="5086" width="9.140625" style="260"/>
    <col min="5087" max="5088" width="0" style="260" hidden="1" customWidth="1"/>
    <col min="5089" max="5089" width="11.140625" style="260" customWidth="1"/>
    <col min="5090" max="5090" width="43.140625" style="260" customWidth="1"/>
    <col min="5091" max="5092" width="13.28515625" style="260" customWidth="1"/>
    <col min="5093" max="5093" width="13.5703125" style="260" customWidth="1"/>
    <col min="5094" max="5096" width="14.85546875" style="260" customWidth="1"/>
    <col min="5097" max="5098" width="12.5703125" style="260" bestFit="1" customWidth="1"/>
    <col min="5099" max="5342" width="9.140625" style="260"/>
    <col min="5343" max="5344" width="0" style="260" hidden="1" customWidth="1"/>
    <col min="5345" max="5345" width="11.140625" style="260" customWidth="1"/>
    <col min="5346" max="5346" width="43.140625" style="260" customWidth="1"/>
    <col min="5347" max="5348" width="13.28515625" style="260" customWidth="1"/>
    <col min="5349" max="5349" width="13.5703125" style="260" customWidth="1"/>
    <col min="5350" max="5352" width="14.85546875" style="260" customWidth="1"/>
    <col min="5353" max="5354" width="12.5703125" style="260" bestFit="1" customWidth="1"/>
    <col min="5355" max="5598" width="9.140625" style="260"/>
    <col min="5599" max="5600" width="0" style="260" hidden="1" customWidth="1"/>
    <col min="5601" max="5601" width="11.140625" style="260" customWidth="1"/>
    <col min="5602" max="5602" width="43.140625" style="260" customWidth="1"/>
    <col min="5603" max="5604" width="13.28515625" style="260" customWidth="1"/>
    <col min="5605" max="5605" width="13.5703125" style="260" customWidth="1"/>
    <col min="5606" max="5608" width="14.85546875" style="260" customWidth="1"/>
    <col min="5609" max="5610" width="12.5703125" style="260" bestFit="1" customWidth="1"/>
    <col min="5611" max="5854" width="9.140625" style="260"/>
    <col min="5855" max="5856" width="0" style="260" hidden="1" customWidth="1"/>
    <col min="5857" max="5857" width="11.140625" style="260" customWidth="1"/>
    <col min="5858" max="5858" width="43.140625" style="260" customWidth="1"/>
    <col min="5859" max="5860" width="13.28515625" style="260" customWidth="1"/>
    <col min="5861" max="5861" width="13.5703125" style="260" customWidth="1"/>
    <col min="5862" max="5864" width="14.85546875" style="260" customWidth="1"/>
    <col min="5865" max="5866" width="12.5703125" style="260" bestFit="1" customWidth="1"/>
    <col min="5867" max="6110" width="9.140625" style="260"/>
    <col min="6111" max="6112" width="0" style="260" hidden="1" customWidth="1"/>
    <col min="6113" max="6113" width="11.140625" style="260" customWidth="1"/>
    <col min="6114" max="6114" width="43.140625" style="260" customWidth="1"/>
    <col min="6115" max="6116" width="13.28515625" style="260" customWidth="1"/>
    <col min="6117" max="6117" width="13.5703125" style="260" customWidth="1"/>
    <col min="6118" max="6120" width="14.85546875" style="260" customWidth="1"/>
    <col min="6121" max="6122" width="12.5703125" style="260" bestFit="1" customWidth="1"/>
    <col min="6123" max="6366" width="9.140625" style="260"/>
    <col min="6367" max="6368" width="0" style="260" hidden="1" customWidth="1"/>
    <col min="6369" max="6369" width="11.140625" style="260" customWidth="1"/>
    <col min="6370" max="6370" width="43.140625" style="260" customWidth="1"/>
    <col min="6371" max="6372" width="13.28515625" style="260" customWidth="1"/>
    <col min="6373" max="6373" width="13.5703125" style="260" customWidth="1"/>
    <col min="6374" max="6376" width="14.85546875" style="260" customWidth="1"/>
    <col min="6377" max="6378" width="12.5703125" style="260" bestFit="1" customWidth="1"/>
    <col min="6379" max="6622" width="9.140625" style="260"/>
    <col min="6623" max="6624" width="0" style="260" hidden="1" customWidth="1"/>
    <col min="6625" max="6625" width="11.140625" style="260" customWidth="1"/>
    <col min="6626" max="6626" width="43.140625" style="260" customWidth="1"/>
    <col min="6627" max="6628" width="13.28515625" style="260" customWidth="1"/>
    <col min="6629" max="6629" width="13.5703125" style="260" customWidth="1"/>
    <col min="6630" max="6632" width="14.85546875" style="260" customWidth="1"/>
    <col min="6633" max="6634" width="12.5703125" style="260" bestFit="1" customWidth="1"/>
    <col min="6635" max="6878" width="9.140625" style="260"/>
    <col min="6879" max="6880" width="0" style="260" hidden="1" customWidth="1"/>
    <col min="6881" max="6881" width="11.140625" style="260" customWidth="1"/>
    <col min="6882" max="6882" width="43.140625" style="260" customWidth="1"/>
    <col min="6883" max="6884" width="13.28515625" style="260" customWidth="1"/>
    <col min="6885" max="6885" width="13.5703125" style="260" customWidth="1"/>
    <col min="6886" max="6888" width="14.85546875" style="260" customWidth="1"/>
    <col min="6889" max="6890" width="12.5703125" style="260" bestFit="1" customWidth="1"/>
    <col min="6891" max="7134" width="9.140625" style="260"/>
    <col min="7135" max="7136" width="0" style="260" hidden="1" customWidth="1"/>
    <col min="7137" max="7137" width="11.140625" style="260" customWidth="1"/>
    <col min="7138" max="7138" width="43.140625" style="260" customWidth="1"/>
    <col min="7139" max="7140" width="13.28515625" style="260" customWidth="1"/>
    <col min="7141" max="7141" width="13.5703125" style="260" customWidth="1"/>
    <col min="7142" max="7144" width="14.85546875" style="260" customWidth="1"/>
    <col min="7145" max="7146" width="12.5703125" style="260" bestFit="1" customWidth="1"/>
    <col min="7147" max="7390" width="9.140625" style="260"/>
    <col min="7391" max="7392" width="0" style="260" hidden="1" customWidth="1"/>
    <col min="7393" max="7393" width="11.140625" style="260" customWidth="1"/>
    <col min="7394" max="7394" width="43.140625" style="260" customWidth="1"/>
    <col min="7395" max="7396" width="13.28515625" style="260" customWidth="1"/>
    <col min="7397" max="7397" width="13.5703125" style="260" customWidth="1"/>
    <col min="7398" max="7400" width="14.85546875" style="260" customWidth="1"/>
    <col min="7401" max="7402" width="12.5703125" style="260" bestFit="1" customWidth="1"/>
    <col min="7403" max="7646" width="9.140625" style="260"/>
    <col min="7647" max="7648" width="0" style="260" hidden="1" customWidth="1"/>
    <col min="7649" max="7649" width="11.140625" style="260" customWidth="1"/>
    <col min="7650" max="7650" width="43.140625" style="260" customWidth="1"/>
    <col min="7651" max="7652" width="13.28515625" style="260" customWidth="1"/>
    <col min="7653" max="7653" width="13.5703125" style="260" customWidth="1"/>
    <col min="7654" max="7656" width="14.85546875" style="260" customWidth="1"/>
    <col min="7657" max="7658" width="12.5703125" style="260" bestFit="1" customWidth="1"/>
    <col min="7659" max="7902" width="9.140625" style="260"/>
    <col min="7903" max="7904" width="0" style="260" hidden="1" customWidth="1"/>
    <col min="7905" max="7905" width="11.140625" style="260" customWidth="1"/>
    <col min="7906" max="7906" width="43.140625" style="260" customWidth="1"/>
    <col min="7907" max="7908" width="13.28515625" style="260" customWidth="1"/>
    <col min="7909" max="7909" width="13.5703125" style="260" customWidth="1"/>
    <col min="7910" max="7912" width="14.85546875" style="260" customWidth="1"/>
    <col min="7913" max="7914" width="12.5703125" style="260" bestFit="1" customWidth="1"/>
    <col min="7915" max="8158" width="9.140625" style="260"/>
    <col min="8159" max="8160" width="0" style="260" hidden="1" customWidth="1"/>
    <col min="8161" max="8161" width="11.140625" style="260" customWidth="1"/>
    <col min="8162" max="8162" width="43.140625" style="260" customWidth="1"/>
    <col min="8163" max="8164" width="13.28515625" style="260" customWidth="1"/>
    <col min="8165" max="8165" width="13.5703125" style="260" customWidth="1"/>
    <col min="8166" max="8168" width="14.85546875" style="260" customWidth="1"/>
    <col min="8169" max="8170" width="12.5703125" style="260" bestFit="1" customWidth="1"/>
    <col min="8171" max="8414" width="9.140625" style="260"/>
    <col min="8415" max="8416" width="0" style="260" hidden="1" customWidth="1"/>
    <col min="8417" max="8417" width="11.140625" style="260" customWidth="1"/>
    <col min="8418" max="8418" width="43.140625" style="260" customWidth="1"/>
    <col min="8419" max="8420" width="13.28515625" style="260" customWidth="1"/>
    <col min="8421" max="8421" width="13.5703125" style="260" customWidth="1"/>
    <col min="8422" max="8424" width="14.85546875" style="260" customWidth="1"/>
    <col min="8425" max="8426" width="12.5703125" style="260" bestFit="1" customWidth="1"/>
    <col min="8427" max="8670" width="9.140625" style="260"/>
    <col min="8671" max="8672" width="0" style="260" hidden="1" customWidth="1"/>
    <col min="8673" max="8673" width="11.140625" style="260" customWidth="1"/>
    <col min="8674" max="8674" width="43.140625" style="260" customWidth="1"/>
    <col min="8675" max="8676" width="13.28515625" style="260" customWidth="1"/>
    <col min="8677" max="8677" width="13.5703125" style="260" customWidth="1"/>
    <col min="8678" max="8680" width="14.85546875" style="260" customWidth="1"/>
    <col min="8681" max="8682" width="12.5703125" style="260" bestFit="1" customWidth="1"/>
    <col min="8683" max="8926" width="9.140625" style="260"/>
    <col min="8927" max="8928" width="0" style="260" hidden="1" customWidth="1"/>
    <col min="8929" max="8929" width="11.140625" style="260" customWidth="1"/>
    <col min="8930" max="8930" width="43.140625" style="260" customWidth="1"/>
    <col min="8931" max="8932" width="13.28515625" style="260" customWidth="1"/>
    <col min="8933" max="8933" width="13.5703125" style="260" customWidth="1"/>
    <col min="8934" max="8936" width="14.85546875" style="260" customWidth="1"/>
    <col min="8937" max="8938" width="12.5703125" style="260" bestFit="1" customWidth="1"/>
    <col min="8939" max="9182" width="9.140625" style="260"/>
    <col min="9183" max="9184" width="0" style="260" hidden="1" customWidth="1"/>
    <col min="9185" max="9185" width="11.140625" style="260" customWidth="1"/>
    <col min="9186" max="9186" width="43.140625" style="260" customWidth="1"/>
    <col min="9187" max="9188" width="13.28515625" style="260" customWidth="1"/>
    <col min="9189" max="9189" width="13.5703125" style="260" customWidth="1"/>
    <col min="9190" max="9192" width="14.85546875" style="260" customWidth="1"/>
    <col min="9193" max="9194" width="12.5703125" style="260" bestFit="1" customWidth="1"/>
    <col min="9195" max="9438" width="9.140625" style="260"/>
    <col min="9439" max="9440" width="0" style="260" hidden="1" customWidth="1"/>
    <col min="9441" max="9441" width="11.140625" style="260" customWidth="1"/>
    <col min="9442" max="9442" width="43.140625" style="260" customWidth="1"/>
    <col min="9443" max="9444" width="13.28515625" style="260" customWidth="1"/>
    <col min="9445" max="9445" width="13.5703125" style="260" customWidth="1"/>
    <col min="9446" max="9448" width="14.85546875" style="260" customWidth="1"/>
    <col min="9449" max="9450" width="12.5703125" style="260" bestFit="1" customWidth="1"/>
    <col min="9451" max="9694" width="9.140625" style="260"/>
    <col min="9695" max="9696" width="0" style="260" hidden="1" customWidth="1"/>
    <col min="9697" max="9697" width="11.140625" style="260" customWidth="1"/>
    <col min="9698" max="9698" width="43.140625" style="260" customWidth="1"/>
    <col min="9699" max="9700" width="13.28515625" style="260" customWidth="1"/>
    <col min="9701" max="9701" width="13.5703125" style="260" customWidth="1"/>
    <col min="9702" max="9704" width="14.85546875" style="260" customWidth="1"/>
    <col min="9705" max="9706" width="12.5703125" style="260" bestFit="1" customWidth="1"/>
    <col min="9707" max="9950" width="9.140625" style="260"/>
    <col min="9951" max="9952" width="0" style="260" hidden="1" customWidth="1"/>
    <col min="9953" max="9953" width="11.140625" style="260" customWidth="1"/>
    <col min="9954" max="9954" width="43.140625" style="260" customWidth="1"/>
    <col min="9955" max="9956" width="13.28515625" style="260" customWidth="1"/>
    <col min="9957" max="9957" width="13.5703125" style="260" customWidth="1"/>
    <col min="9958" max="9960" width="14.85546875" style="260" customWidth="1"/>
    <col min="9961" max="9962" width="12.5703125" style="260" bestFit="1" customWidth="1"/>
    <col min="9963" max="10206" width="9.140625" style="260"/>
    <col min="10207" max="10208" width="0" style="260" hidden="1" customWidth="1"/>
    <col min="10209" max="10209" width="11.140625" style="260" customWidth="1"/>
    <col min="10210" max="10210" width="43.140625" style="260" customWidth="1"/>
    <col min="10211" max="10212" width="13.28515625" style="260" customWidth="1"/>
    <col min="10213" max="10213" width="13.5703125" style="260" customWidth="1"/>
    <col min="10214" max="10216" width="14.85546875" style="260" customWidth="1"/>
    <col min="10217" max="10218" width="12.5703125" style="260" bestFit="1" customWidth="1"/>
    <col min="10219" max="10462" width="9.140625" style="260"/>
    <col min="10463" max="10464" width="0" style="260" hidden="1" customWidth="1"/>
    <col min="10465" max="10465" width="11.140625" style="260" customWidth="1"/>
    <col min="10466" max="10466" width="43.140625" style="260" customWidth="1"/>
    <col min="10467" max="10468" width="13.28515625" style="260" customWidth="1"/>
    <col min="10469" max="10469" width="13.5703125" style="260" customWidth="1"/>
    <col min="10470" max="10472" width="14.85546875" style="260" customWidth="1"/>
    <col min="10473" max="10474" width="12.5703125" style="260" bestFit="1" customWidth="1"/>
    <col min="10475" max="10718" width="9.140625" style="260"/>
    <col min="10719" max="10720" width="0" style="260" hidden="1" customWidth="1"/>
    <col min="10721" max="10721" width="11.140625" style="260" customWidth="1"/>
    <col min="10722" max="10722" width="43.140625" style="260" customWidth="1"/>
    <col min="10723" max="10724" width="13.28515625" style="260" customWidth="1"/>
    <col min="10725" max="10725" width="13.5703125" style="260" customWidth="1"/>
    <col min="10726" max="10728" width="14.85546875" style="260" customWidth="1"/>
    <col min="10729" max="10730" width="12.5703125" style="260" bestFit="1" customWidth="1"/>
    <col min="10731" max="10974" width="9.140625" style="260"/>
    <col min="10975" max="10976" width="0" style="260" hidden="1" customWidth="1"/>
    <col min="10977" max="10977" width="11.140625" style="260" customWidth="1"/>
    <col min="10978" max="10978" width="43.140625" style="260" customWidth="1"/>
    <col min="10979" max="10980" width="13.28515625" style="260" customWidth="1"/>
    <col min="10981" max="10981" width="13.5703125" style="260" customWidth="1"/>
    <col min="10982" max="10984" width="14.85546875" style="260" customWidth="1"/>
    <col min="10985" max="10986" width="12.5703125" style="260" bestFit="1" customWidth="1"/>
    <col min="10987" max="11230" width="9.140625" style="260"/>
    <col min="11231" max="11232" width="0" style="260" hidden="1" customWidth="1"/>
    <col min="11233" max="11233" width="11.140625" style="260" customWidth="1"/>
    <col min="11234" max="11234" width="43.140625" style="260" customWidth="1"/>
    <col min="11235" max="11236" width="13.28515625" style="260" customWidth="1"/>
    <col min="11237" max="11237" width="13.5703125" style="260" customWidth="1"/>
    <col min="11238" max="11240" width="14.85546875" style="260" customWidth="1"/>
    <col min="11241" max="11242" width="12.5703125" style="260" bestFit="1" customWidth="1"/>
    <col min="11243" max="11486" width="9.140625" style="260"/>
    <col min="11487" max="11488" width="0" style="260" hidden="1" customWidth="1"/>
    <col min="11489" max="11489" width="11.140625" style="260" customWidth="1"/>
    <col min="11490" max="11490" width="43.140625" style="260" customWidth="1"/>
    <col min="11491" max="11492" width="13.28515625" style="260" customWidth="1"/>
    <col min="11493" max="11493" width="13.5703125" style="260" customWidth="1"/>
    <col min="11494" max="11496" width="14.85546875" style="260" customWidth="1"/>
    <col min="11497" max="11498" width="12.5703125" style="260" bestFit="1" customWidth="1"/>
    <col min="11499" max="11742" width="9.140625" style="260"/>
    <col min="11743" max="11744" width="0" style="260" hidden="1" customWidth="1"/>
    <col min="11745" max="11745" width="11.140625" style="260" customWidth="1"/>
    <col min="11746" max="11746" width="43.140625" style="260" customWidth="1"/>
    <col min="11747" max="11748" width="13.28515625" style="260" customWidth="1"/>
    <col min="11749" max="11749" width="13.5703125" style="260" customWidth="1"/>
    <col min="11750" max="11752" width="14.85546875" style="260" customWidth="1"/>
    <col min="11753" max="11754" width="12.5703125" style="260" bestFit="1" customWidth="1"/>
    <col min="11755" max="11998" width="9.140625" style="260"/>
    <col min="11999" max="12000" width="0" style="260" hidden="1" customWidth="1"/>
    <col min="12001" max="12001" width="11.140625" style="260" customWidth="1"/>
    <col min="12002" max="12002" width="43.140625" style="260" customWidth="1"/>
    <col min="12003" max="12004" width="13.28515625" style="260" customWidth="1"/>
    <col min="12005" max="12005" width="13.5703125" style="260" customWidth="1"/>
    <col min="12006" max="12008" width="14.85546875" style="260" customWidth="1"/>
    <col min="12009" max="12010" width="12.5703125" style="260" bestFit="1" customWidth="1"/>
    <col min="12011" max="12254" width="9.140625" style="260"/>
    <col min="12255" max="12256" width="0" style="260" hidden="1" customWidth="1"/>
    <col min="12257" max="12257" width="11.140625" style="260" customWidth="1"/>
    <col min="12258" max="12258" width="43.140625" style="260" customWidth="1"/>
    <col min="12259" max="12260" width="13.28515625" style="260" customWidth="1"/>
    <col min="12261" max="12261" width="13.5703125" style="260" customWidth="1"/>
    <col min="12262" max="12264" width="14.85546875" style="260" customWidth="1"/>
    <col min="12265" max="12266" width="12.5703125" style="260" bestFit="1" customWidth="1"/>
    <col min="12267" max="12510" width="9.140625" style="260"/>
    <col min="12511" max="12512" width="0" style="260" hidden="1" customWidth="1"/>
    <col min="12513" max="12513" width="11.140625" style="260" customWidth="1"/>
    <col min="12514" max="12514" width="43.140625" style="260" customWidth="1"/>
    <col min="12515" max="12516" width="13.28515625" style="260" customWidth="1"/>
    <col min="12517" max="12517" width="13.5703125" style="260" customWidth="1"/>
    <col min="12518" max="12520" width="14.85546875" style="260" customWidth="1"/>
    <col min="12521" max="12522" width="12.5703125" style="260" bestFit="1" customWidth="1"/>
    <col min="12523" max="12766" width="9.140625" style="260"/>
    <col min="12767" max="12768" width="0" style="260" hidden="1" customWidth="1"/>
    <col min="12769" max="12769" width="11.140625" style="260" customWidth="1"/>
    <col min="12770" max="12770" width="43.140625" style="260" customWidth="1"/>
    <col min="12771" max="12772" width="13.28515625" style="260" customWidth="1"/>
    <col min="12773" max="12773" width="13.5703125" style="260" customWidth="1"/>
    <col min="12774" max="12776" width="14.85546875" style="260" customWidth="1"/>
    <col min="12777" max="12778" width="12.5703125" style="260" bestFit="1" customWidth="1"/>
    <col min="12779" max="13022" width="9.140625" style="260"/>
    <col min="13023" max="13024" width="0" style="260" hidden="1" customWidth="1"/>
    <col min="13025" max="13025" width="11.140625" style="260" customWidth="1"/>
    <col min="13026" max="13026" width="43.140625" style="260" customWidth="1"/>
    <col min="13027" max="13028" width="13.28515625" style="260" customWidth="1"/>
    <col min="13029" max="13029" width="13.5703125" style="260" customWidth="1"/>
    <col min="13030" max="13032" width="14.85546875" style="260" customWidth="1"/>
    <col min="13033" max="13034" width="12.5703125" style="260" bestFit="1" customWidth="1"/>
    <col min="13035" max="13278" width="9.140625" style="260"/>
    <col min="13279" max="13280" width="0" style="260" hidden="1" customWidth="1"/>
    <col min="13281" max="13281" width="11.140625" style="260" customWidth="1"/>
    <col min="13282" max="13282" width="43.140625" style="260" customWidth="1"/>
    <col min="13283" max="13284" width="13.28515625" style="260" customWidth="1"/>
    <col min="13285" max="13285" width="13.5703125" style="260" customWidth="1"/>
    <col min="13286" max="13288" width="14.85546875" style="260" customWidth="1"/>
    <col min="13289" max="13290" width="12.5703125" style="260" bestFit="1" customWidth="1"/>
    <col min="13291" max="13534" width="9.140625" style="260"/>
    <col min="13535" max="13536" width="0" style="260" hidden="1" customWidth="1"/>
    <col min="13537" max="13537" width="11.140625" style="260" customWidth="1"/>
    <col min="13538" max="13538" width="43.140625" style="260" customWidth="1"/>
    <col min="13539" max="13540" width="13.28515625" style="260" customWidth="1"/>
    <col min="13541" max="13541" width="13.5703125" style="260" customWidth="1"/>
    <col min="13542" max="13544" width="14.85546875" style="260" customWidth="1"/>
    <col min="13545" max="13546" width="12.5703125" style="260" bestFit="1" customWidth="1"/>
    <col min="13547" max="13790" width="9.140625" style="260"/>
    <col min="13791" max="13792" width="0" style="260" hidden="1" customWidth="1"/>
    <col min="13793" max="13793" width="11.140625" style="260" customWidth="1"/>
    <col min="13794" max="13794" width="43.140625" style="260" customWidth="1"/>
    <col min="13795" max="13796" width="13.28515625" style="260" customWidth="1"/>
    <col min="13797" max="13797" width="13.5703125" style="260" customWidth="1"/>
    <col min="13798" max="13800" width="14.85546875" style="260" customWidth="1"/>
    <col min="13801" max="13802" width="12.5703125" style="260" bestFit="1" customWidth="1"/>
    <col min="13803" max="14046" width="9.140625" style="260"/>
    <col min="14047" max="14048" width="0" style="260" hidden="1" customWidth="1"/>
    <col min="14049" max="14049" width="11.140625" style="260" customWidth="1"/>
    <col min="14050" max="14050" width="43.140625" style="260" customWidth="1"/>
    <col min="14051" max="14052" width="13.28515625" style="260" customWidth="1"/>
    <col min="14053" max="14053" width="13.5703125" style="260" customWidth="1"/>
    <col min="14054" max="14056" width="14.85546875" style="260" customWidth="1"/>
    <col min="14057" max="14058" width="12.5703125" style="260" bestFit="1" customWidth="1"/>
    <col min="14059" max="14302" width="9.140625" style="260"/>
    <col min="14303" max="14304" width="0" style="260" hidden="1" customWidth="1"/>
    <col min="14305" max="14305" width="11.140625" style="260" customWidth="1"/>
    <col min="14306" max="14306" width="43.140625" style="260" customWidth="1"/>
    <col min="14307" max="14308" width="13.28515625" style="260" customWidth="1"/>
    <col min="14309" max="14309" width="13.5703125" style="260" customWidth="1"/>
    <col min="14310" max="14312" width="14.85546875" style="260" customWidth="1"/>
    <col min="14313" max="14314" width="12.5703125" style="260" bestFit="1" customWidth="1"/>
    <col min="14315" max="14558" width="9.140625" style="260"/>
    <col min="14559" max="14560" width="0" style="260" hidden="1" customWidth="1"/>
    <col min="14561" max="14561" width="11.140625" style="260" customWidth="1"/>
    <col min="14562" max="14562" width="43.140625" style="260" customWidth="1"/>
    <col min="14563" max="14564" width="13.28515625" style="260" customWidth="1"/>
    <col min="14565" max="14565" width="13.5703125" style="260" customWidth="1"/>
    <col min="14566" max="14568" width="14.85546875" style="260" customWidth="1"/>
    <col min="14569" max="14570" width="12.5703125" style="260" bestFit="1" customWidth="1"/>
    <col min="14571" max="14814" width="9.140625" style="260"/>
    <col min="14815" max="14816" width="0" style="260" hidden="1" customWidth="1"/>
    <col min="14817" max="14817" width="11.140625" style="260" customWidth="1"/>
    <col min="14818" max="14818" width="43.140625" style="260" customWidth="1"/>
    <col min="14819" max="14820" width="13.28515625" style="260" customWidth="1"/>
    <col min="14821" max="14821" width="13.5703125" style="260" customWidth="1"/>
    <col min="14822" max="14824" width="14.85546875" style="260" customWidth="1"/>
    <col min="14825" max="14826" width="12.5703125" style="260" bestFit="1" customWidth="1"/>
    <col min="14827" max="15070" width="9.140625" style="260"/>
    <col min="15071" max="15072" width="0" style="260" hidden="1" customWidth="1"/>
    <col min="15073" max="15073" width="11.140625" style="260" customWidth="1"/>
    <col min="15074" max="15074" width="43.140625" style="260" customWidth="1"/>
    <col min="15075" max="15076" width="13.28515625" style="260" customWidth="1"/>
    <col min="15077" max="15077" width="13.5703125" style="260" customWidth="1"/>
    <col min="15078" max="15080" width="14.85546875" style="260" customWidth="1"/>
    <col min="15081" max="15082" width="12.5703125" style="260" bestFit="1" customWidth="1"/>
    <col min="15083" max="15326" width="9.140625" style="260"/>
    <col min="15327" max="15328" width="0" style="260" hidden="1" customWidth="1"/>
    <col min="15329" max="15329" width="11.140625" style="260" customWidth="1"/>
    <col min="15330" max="15330" width="43.140625" style="260" customWidth="1"/>
    <col min="15331" max="15332" width="13.28515625" style="260" customWidth="1"/>
    <col min="15333" max="15333" width="13.5703125" style="260" customWidth="1"/>
    <col min="15334" max="15336" width="14.85546875" style="260" customWidth="1"/>
    <col min="15337" max="15338" width="12.5703125" style="260" bestFit="1" customWidth="1"/>
    <col min="15339" max="15582" width="9.140625" style="260"/>
    <col min="15583" max="15584" width="0" style="260" hidden="1" customWidth="1"/>
    <col min="15585" max="15585" width="11.140625" style="260" customWidth="1"/>
    <col min="15586" max="15586" width="43.140625" style="260" customWidth="1"/>
    <col min="15587" max="15588" width="13.28515625" style="260" customWidth="1"/>
    <col min="15589" max="15589" width="13.5703125" style="260" customWidth="1"/>
    <col min="15590" max="15592" width="14.85546875" style="260" customWidth="1"/>
    <col min="15593" max="15594" width="12.5703125" style="260" bestFit="1" customWidth="1"/>
    <col min="15595" max="15838" width="9.140625" style="260"/>
    <col min="15839" max="15840" width="0" style="260" hidden="1" customWidth="1"/>
    <col min="15841" max="15841" width="11.140625" style="260" customWidth="1"/>
    <col min="15842" max="15842" width="43.140625" style="260" customWidth="1"/>
    <col min="15843" max="15844" width="13.28515625" style="260" customWidth="1"/>
    <col min="15845" max="15845" width="13.5703125" style="260" customWidth="1"/>
    <col min="15846" max="15848" width="14.85546875" style="260" customWidth="1"/>
    <col min="15849" max="15850" width="12.5703125" style="260" bestFit="1" customWidth="1"/>
    <col min="15851" max="16094" width="9.140625" style="260"/>
    <col min="16095" max="16096" width="0" style="260" hidden="1" customWidth="1"/>
    <col min="16097" max="16097" width="11.140625" style="260" customWidth="1"/>
    <col min="16098" max="16098" width="43.140625" style="260" customWidth="1"/>
    <col min="16099" max="16100" width="13.28515625" style="260" customWidth="1"/>
    <col min="16101" max="16101" width="13.5703125" style="260" customWidth="1"/>
    <col min="16102" max="16104" width="14.85546875" style="260" customWidth="1"/>
    <col min="16105" max="16106" width="12.5703125" style="260" bestFit="1" customWidth="1"/>
    <col min="16107" max="16373" width="9.140625" style="260"/>
    <col min="16374" max="16374" width="9.140625" style="260" customWidth="1"/>
    <col min="16375" max="16384" width="9.140625" style="260"/>
  </cols>
  <sheetData>
    <row r="1" spans="1:8" ht="15" customHeight="1" x14ac:dyDescent="0.2">
      <c r="A1" s="21" t="s">
        <v>61</v>
      </c>
    </row>
    <row r="2" spans="1:8" ht="27.75" customHeight="1" x14ac:dyDescent="0.15">
      <c r="A2" s="738" t="s">
        <v>368</v>
      </c>
      <c r="B2" s="738"/>
      <c r="C2" s="738"/>
      <c r="D2" s="738"/>
      <c r="E2" s="738"/>
      <c r="F2" s="738"/>
      <c r="G2" s="738"/>
    </row>
    <row r="4" spans="1:8" ht="18" customHeight="1" x14ac:dyDescent="0.15">
      <c r="A4" s="739" t="s">
        <v>399</v>
      </c>
      <c r="B4" s="739"/>
      <c r="C4" s="739"/>
      <c r="D4" s="739"/>
      <c r="E4" s="739"/>
      <c r="F4" s="739"/>
      <c r="G4" s="739"/>
    </row>
    <row r="5" spans="1:8" ht="12" customHeight="1" thickBot="1" x14ac:dyDescent="0.2">
      <c r="B5" s="66"/>
      <c r="C5" s="66"/>
      <c r="E5" s="66"/>
      <c r="G5" s="66" t="s">
        <v>147</v>
      </c>
    </row>
    <row r="6" spans="1:8" ht="16.899999999999999" customHeight="1" thickBot="1" x14ac:dyDescent="0.2">
      <c r="A6" s="410" t="s">
        <v>381</v>
      </c>
      <c r="B6" s="411">
        <v>2024</v>
      </c>
      <c r="C6" s="411" t="s">
        <v>244</v>
      </c>
      <c r="D6" s="411" t="s">
        <v>315</v>
      </c>
      <c r="E6" s="411" t="s">
        <v>367</v>
      </c>
      <c r="F6" s="411" t="s">
        <v>400</v>
      </c>
      <c r="G6" s="412" t="s">
        <v>624</v>
      </c>
    </row>
    <row r="7" spans="1:8" s="308" customFormat="1" ht="16.899999999999999" customHeight="1" x14ac:dyDescent="0.2">
      <c r="A7" s="413" t="s">
        <v>2</v>
      </c>
      <c r="B7" s="414">
        <v>10877.150136849999</v>
      </c>
      <c r="C7" s="414">
        <f>10757.01097+400</f>
        <v>11157.010969999999</v>
      </c>
      <c r="D7" s="414">
        <v>12742.2</v>
      </c>
      <c r="E7" s="414">
        <v>13182.2</v>
      </c>
      <c r="F7" s="414">
        <v>13582.2</v>
      </c>
      <c r="G7" s="307">
        <v>13982.2</v>
      </c>
    </row>
    <row r="8" spans="1:8" s="308" customFormat="1" ht="16.899999999999999" customHeight="1" x14ac:dyDescent="0.2">
      <c r="A8" s="431" t="s">
        <v>401</v>
      </c>
      <c r="B8" s="309">
        <v>1349.57126548</v>
      </c>
      <c r="C8" s="309">
        <v>654.33866699999999</v>
      </c>
      <c r="D8" s="309">
        <v>175.61099999999999</v>
      </c>
      <c r="E8" s="309">
        <v>215.46600000000001</v>
      </c>
      <c r="F8" s="309">
        <v>174.27500000000009</v>
      </c>
      <c r="G8" s="310">
        <v>114.58600000000001</v>
      </c>
    </row>
    <row r="9" spans="1:8" s="308" customFormat="1" ht="16.899999999999999" customHeight="1" thickBot="1" x14ac:dyDescent="0.25">
      <c r="A9" s="415" t="s">
        <v>378</v>
      </c>
      <c r="B9" s="416">
        <v>26850.687273389995</v>
      </c>
      <c r="C9" s="416">
        <v>28025.200659999999</v>
      </c>
      <c r="D9" s="309">
        <v>26850.702000000001</v>
      </c>
      <c r="E9" s="309">
        <v>26609.181</v>
      </c>
      <c r="F9" s="309">
        <v>25432.811000000002</v>
      </c>
      <c r="G9" s="310">
        <v>24380.452000000001</v>
      </c>
      <c r="H9" s="417"/>
    </row>
    <row r="10" spans="1:8" s="308" customFormat="1" ht="16.899999999999999" customHeight="1" thickBot="1" x14ac:dyDescent="0.25">
      <c r="A10" s="418" t="s">
        <v>142</v>
      </c>
      <c r="B10" s="419">
        <f t="shared" ref="B10:F10" si="0">SUM(B7:B9)</f>
        <v>39077.408675719998</v>
      </c>
      <c r="C10" s="419">
        <f>SUM(C7:C9)</f>
        <v>39836.550296999994</v>
      </c>
      <c r="D10" s="419">
        <f>SUM(D7:D9)</f>
        <v>39768.513000000006</v>
      </c>
      <c r="E10" s="419">
        <f t="shared" si="0"/>
        <v>40006.847000000002</v>
      </c>
      <c r="F10" s="419">
        <f t="shared" si="0"/>
        <v>39189.286</v>
      </c>
      <c r="G10" s="420">
        <f>SUM(G7:G9)</f>
        <v>38477.237999999998</v>
      </c>
      <c r="H10" s="417"/>
    </row>
    <row r="11" spans="1:8" s="308" customFormat="1" ht="16.899999999999999" customHeight="1" thickBot="1" x14ac:dyDescent="0.25">
      <c r="A11" s="421" t="s">
        <v>402</v>
      </c>
      <c r="B11" s="422">
        <v>3315.2529864000003</v>
      </c>
      <c r="C11" s="422">
        <v>3558.7155806599999</v>
      </c>
      <c r="D11" s="422">
        <v>3609.3485806600002</v>
      </c>
      <c r="E11" s="422">
        <f>3502.71158066+1000</f>
        <v>4502.7115806599995</v>
      </c>
      <c r="F11" s="422">
        <v>4106.5525806599999</v>
      </c>
      <c r="G11" s="423">
        <v>3800.0525806599999</v>
      </c>
    </row>
    <row r="12" spans="1:8" s="308" customFormat="1" ht="28.5" customHeight="1" thickBot="1" x14ac:dyDescent="0.25">
      <c r="A12" s="424" t="s">
        <v>403</v>
      </c>
      <c r="B12" s="425">
        <f t="shared" ref="B12:G12" si="1">B11/B10</f>
        <v>8.4838096965725099E-2</v>
      </c>
      <c r="C12" s="426">
        <f t="shared" si="1"/>
        <v>8.9332925520109588E-2</v>
      </c>
      <c r="D12" s="425">
        <f t="shared" si="1"/>
        <v>9.0758952457186404E-2</v>
      </c>
      <c r="E12" s="425">
        <f t="shared" si="1"/>
        <v>0.11254852402290036</v>
      </c>
      <c r="F12" s="425">
        <f t="shared" si="1"/>
        <v>0.10478763457593997</v>
      </c>
      <c r="G12" s="427">
        <f t="shared" si="1"/>
        <v>9.8761054020041664E-2</v>
      </c>
    </row>
    <row r="13" spans="1:8" ht="21" customHeight="1" x14ac:dyDescent="0.2">
      <c r="A13" s="428" t="s">
        <v>625</v>
      </c>
      <c r="B13" s="429"/>
      <c r="C13" s="429"/>
      <c r="D13" s="429"/>
      <c r="E13" s="429"/>
    </row>
    <row r="14" spans="1:8" ht="16.5" customHeight="1" x14ac:dyDescent="0.2">
      <c r="A14" s="428" t="s">
        <v>928</v>
      </c>
      <c r="B14" s="429"/>
      <c r="C14" s="429"/>
      <c r="D14" s="429"/>
      <c r="E14" s="429"/>
    </row>
    <row r="15" spans="1:8" ht="15.75" customHeight="1" x14ac:dyDescent="0.2">
      <c r="A15" s="740" t="s">
        <v>627</v>
      </c>
      <c r="B15" s="741"/>
      <c r="C15" s="741"/>
      <c r="D15" s="741"/>
      <c r="E15" s="741"/>
      <c r="F15" s="741"/>
      <c r="G15" s="312"/>
      <c r="H15" s="312"/>
    </row>
    <row r="16" spans="1:8" ht="15.75" customHeight="1" x14ac:dyDescent="0.2">
      <c r="A16" s="313" t="s">
        <v>929</v>
      </c>
      <c r="B16" s="313"/>
      <c r="C16" s="313"/>
      <c r="D16" s="313"/>
      <c r="E16" s="313"/>
      <c r="F16" s="313"/>
      <c r="G16" s="313"/>
      <c r="H16" s="313"/>
    </row>
    <row r="17" spans="1:8" ht="35.25" customHeight="1" x14ac:dyDescent="0.15"/>
    <row r="18" spans="1:8" ht="18" customHeight="1" x14ac:dyDescent="0.15">
      <c r="A18" s="739" t="s">
        <v>64</v>
      </c>
      <c r="B18" s="739"/>
      <c r="C18" s="739"/>
      <c r="D18" s="739"/>
      <c r="E18" s="739"/>
      <c r="F18" s="739"/>
      <c r="G18" s="739"/>
    </row>
    <row r="19" spans="1:8" ht="12" thickBot="1" x14ac:dyDescent="0.2">
      <c r="A19" s="71"/>
      <c r="B19" s="66"/>
      <c r="C19" s="66"/>
      <c r="E19" s="66"/>
      <c r="G19" s="66" t="s">
        <v>147</v>
      </c>
    </row>
    <row r="20" spans="1:8" ht="16.899999999999999" customHeight="1" thickBot="1" x14ac:dyDescent="0.2">
      <c r="A20" s="292" t="s">
        <v>381</v>
      </c>
      <c r="B20" s="67">
        <v>2024</v>
      </c>
      <c r="C20" s="67" t="s">
        <v>244</v>
      </c>
      <c r="D20" s="67" t="s">
        <v>315</v>
      </c>
      <c r="E20" s="67" t="s">
        <v>367</v>
      </c>
      <c r="F20" s="67" t="s">
        <v>400</v>
      </c>
      <c r="G20" s="68" t="s">
        <v>624</v>
      </c>
    </row>
    <row r="21" spans="1:8" ht="16.899999999999999" customHeight="1" x14ac:dyDescent="0.15">
      <c r="A21" s="294" t="s">
        <v>143</v>
      </c>
      <c r="B21" s="309">
        <v>40739.686619040003</v>
      </c>
      <c r="C21" s="621">
        <f>41169.484236</f>
        <v>41169.484235999997</v>
      </c>
      <c r="D21" s="621">
        <v>40570.707000000002</v>
      </c>
      <c r="E21" s="621">
        <v>40666.930999999997</v>
      </c>
      <c r="F21" s="621">
        <v>40147.762000000002</v>
      </c>
      <c r="G21" s="310">
        <v>39026.607000000004</v>
      </c>
    </row>
    <row r="22" spans="1:8" ht="16.899999999999999" customHeight="1" x14ac:dyDescent="0.15">
      <c r="A22" s="293" t="s">
        <v>144</v>
      </c>
      <c r="B22" s="309">
        <v>37629.378457542502</v>
      </c>
      <c r="C22" s="621">
        <v>39485.724198989999</v>
      </c>
      <c r="D22" s="621">
        <v>40709.97456065</v>
      </c>
      <c r="E22" s="621">
        <v>40786.70221376</v>
      </c>
      <c r="F22" s="621">
        <v>40638.721059000003</v>
      </c>
      <c r="G22" s="310">
        <v>40103.001750000003</v>
      </c>
    </row>
    <row r="23" spans="1:8" s="308" customFormat="1" ht="16.899999999999999" customHeight="1" thickBot="1" x14ac:dyDescent="0.25">
      <c r="A23" s="295" t="s">
        <v>404</v>
      </c>
      <c r="B23" s="309">
        <v>3315.2529864000003</v>
      </c>
      <c r="C23" s="309">
        <f>C11</f>
        <v>3558.7155806599999</v>
      </c>
      <c r="D23" s="309">
        <f>D11</f>
        <v>3609.3485806600002</v>
      </c>
      <c r="E23" s="309">
        <f>E11</f>
        <v>4502.7115806599995</v>
      </c>
      <c r="F23" s="430">
        <f>F11</f>
        <v>4106.5525806599999</v>
      </c>
      <c r="G23" s="314">
        <f>G11</f>
        <v>3800.0525806599999</v>
      </c>
    </row>
    <row r="24" spans="1:8" s="308" customFormat="1" ht="29.25" customHeight="1" thickBot="1" x14ac:dyDescent="0.25">
      <c r="A24" s="291" t="s">
        <v>405</v>
      </c>
      <c r="B24" s="69">
        <f t="shared" ref="B24:G24" si="2">(B23)/B22</f>
        <v>8.8102783577481192E-2</v>
      </c>
      <c r="C24" s="311">
        <f t="shared" si="2"/>
        <v>9.0126638243373733E-2</v>
      </c>
      <c r="D24" s="69">
        <f t="shared" si="2"/>
        <v>8.8660054927884271E-2</v>
      </c>
      <c r="E24" s="69">
        <f t="shared" si="2"/>
        <v>0.1103965590809875</v>
      </c>
      <c r="F24" s="69">
        <f t="shared" si="2"/>
        <v>0.10105024158358811</v>
      </c>
      <c r="G24" s="70">
        <f t="shared" si="2"/>
        <v>9.4757310296853262E-2</v>
      </c>
    </row>
    <row r="26" spans="1:8" ht="14.25" x14ac:dyDescent="0.2">
      <c r="A26" s="428" t="s">
        <v>626</v>
      </c>
      <c r="B26" s="429"/>
      <c r="C26" s="429"/>
      <c r="D26" s="429"/>
      <c r="E26" s="429"/>
    </row>
    <row r="27" spans="1:8" ht="15.75" customHeight="1" x14ac:dyDescent="0.2">
      <c r="A27" s="740" t="s">
        <v>628</v>
      </c>
      <c r="B27" s="741"/>
      <c r="C27" s="741"/>
      <c r="D27" s="741"/>
      <c r="E27" s="741"/>
      <c r="F27" s="741"/>
      <c r="G27" s="312"/>
      <c r="H27" s="312"/>
    </row>
    <row r="28" spans="1:8" ht="15.75" customHeight="1" x14ac:dyDescent="0.2">
      <c r="A28" s="313" t="s">
        <v>930</v>
      </c>
      <c r="B28" s="313"/>
      <c r="C28" s="313"/>
      <c r="D28" s="313"/>
      <c r="E28" s="313"/>
      <c r="F28" s="313"/>
      <c r="G28" s="313"/>
      <c r="H28" s="313"/>
    </row>
    <row r="29" spans="1:8" ht="35.25" customHeight="1" x14ac:dyDescent="0.15"/>
    <row r="30" spans="1:8" ht="16.5" customHeight="1" x14ac:dyDescent="0.2">
      <c r="A30" s="636" t="s">
        <v>923</v>
      </c>
    </row>
    <row r="40" ht="11.25" customHeight="1" x14ac:dyDescent="0.15"/>
    <row r="43" ht="10.5" customHeight="1" x14ac:dyDescent="0.15"/>
    <row r="44" ht="10.5" customHeight="1" x14ac:dyDescent="0.15"/>
    <row r="45" ht="11.25" customHeight="1" x14ac:dyDescent="0.15"/>
  </sheetData>
  <mergeCells count="5">
    <mergeCell ref="A2:G2"/>
    <mergeCell ref="A4:G4"/>
    <mergeCell ref="A15:F15"/>
    <mergeCell ref="A18:G18"/>
    <mergeCell ref="A27:F27"/>
  </mergeCells>
  <printOptions horizontalCentered="1"/>
  <pageMargins left="0.31496062992125984" right="0.31496062992125984" top="0.78740157480314965" bottom="0.59055118110236227" header="0.31496062992125984" footer="0.11811023622047245"/>
  <pageSetup paperSize="9" scale="80" firstPageNumber="43" orientation="portrait" useFirstPageNumber="1" r:id="rId1"/>
  <headerFooter>
    <oddHeader>&amp;L&amp;"Tahoma,Kurzíva"Střednědobý výhled rozpočtu Moravskoslezského kraje na léta 2027-2029&amp;R&amp;"Tahoma,Kurzíva"Ukazatele zadluženosti</oddHeader>
    <oddFooter>&amp;C&amp;"Tahoma,Obyčejné"&amp;P</oddFooter>
  </headerFooter>
  <ignoredErrors>
    <ignoredError sqref="B10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700FC5-BF7B-4CEF-A9E5-C8271B54330F}">
  <sheetPr>
    <outlinePr summaryBelow="0"/>
    <pageSetUpPr fitToPage="1"/>
  </sheetPr>
  <dimension ref="A1:H61"/>
  <sheetViews>
    <sheetView zoomScaleNormal="100" zoomScaleSheetLayoutView="100" workbookViewId="0">
      <selection activeCell="G4" sqref="G4"/>
    </sheetView>
  </sheetViews>
  <sheetFormatPr defaultColWidth="9.140625" defaultRowHeight="12.75" x14ac:dyDescent="0.2"/>
  <cols>
    <col min="1" max="1" width="62.7109375" style="2" customWidth="1"/>
    <col min="2" max="2" width="13.7109375" style="6" customWidth="1"/>
    <col min="3" max="5" width="13.7109375" style="7" customWidth="1"/>
    <col min="6" max="6" width="12" style="2" customWidth="1"/>
    <col min="7" max="7" width="11.5703125" style="2" customWidth="1"/>
    <col min="8" max="8" width="11.7109375" style="2" customWidth="1"/>
    <col min="9" max="12" width="14.7109375" style="2" customWidth="1"/>
    <col min="13" max="16384" width="9.140625" style="2"/>
  </cols>
  <sheetData>
    <row r="1" spans="1:8" s="22" customFormat="1" ht="15" customHeight="1" x14ac:dyDescent="0.2">
      <c r="A1" s="21" t="s">
        <v>46</v>
      </c>
      <c r="E1" s="23"/>
      <c r="F1" s="24"/>
      <c r="G1" s="24"/>
      <c r="H1" s="24"/>
    </row>
    <row r="2" spans="1:8" s="29" customFormat="1" ht="6" customHeight="1" x14ac:dyDescent="0.25">
      <c r="A2" s="25"/>
      <c r="B2" s="26"/>
      <c r="C2" s="26"/>
      <c r="D2" s="26"/>
      <c r="E2" s="27"/>
      <c r="F2" s="28"/>
      <c r="G2" s="28"/>
      <c r="H2" s="28"/>
    </row>
    <row r="3" spans="1:8" s="29" customFormat="1" ht="36" customHeight="1" x14ac:dyDescent="0.2">
      <c r="A3" s="639" t="s">
        <v>579</v>
      </c>
      <c r="B3" s="639"/>
      <c r="C3" s="639"/>
      <c r="D3" s="639"/>
      <c r="E3" s="639"/>
      <c r="F3" s="639"/>
      <c r="G3" s="639"/>
      <c r="H3" s="639"/>
    </row>
    <row r="4" spans="1:8" s="29" customFormat="1" ht="11.25" customHeight="1" thickBot="1" x14ac:dyDescent="0.25">
      <c r="A4" s="124"/>
      <c r="B4" s="30"/>
      <c r="C4" s="30"/>
      <c r="D4" s="30"/>
      <c r="E4" s="30"/>
      <c r="F4" s="31"/>
      <c r="G4" s="31"/>
      <c r="H4" s="31"/>
    </row>
    <row r="5" spans="1:8" s="1" customFormat="1" ht="43.5" customHeight="1" thickBot="1" x14ac:dyDescent="0.25">
      <c r="A5" s="125" t="s">
        <v>0</v>
      </c>
      <c r="B5" s="207" t="s">
        <v>572</v>
      </c>
      <c r="C5" s="11" t="s">
        <v>326</v>
      </c>
      <c r="D5" s="11" t="s">
        <v>392</v>
      </c>
      <c r="E5" s="12" t="s">
        <v>573</v>
      </c>
    </row>
    <row r="6" spans="1:8" s="127" customFormat="1" ht="16.5" customHeight="1" x14ac:dyDescent="0.2">
      <c r="A6" s="126" t="s">
        <v>1</v>
      </c>
      <c r="B6" s="17">
        <f t="shared" ref="B6:E6" si="0">B7+B8+B9+B10</f>
        <v>40570707</v>
      </c>
      <c r="C6" s="17">
        <f t="shared" si="0"/>
        <v>40666931</v>
      </c>
      <c r="D6" s="17">
        <f t="shared" si="0"/>
        <v>40147762</v>
      </c>
      <c r="E6" s="20">
        <f t="shared" si="0"/>
        <v>39026607</v>
      </c>
    </row>
    <row r="7" spans="1:8" s="1" customFormat="1" ht="16.5" customHeight="1" x14ac:dyDescent="0.2">
      <c r="A7" s="128" t="s">
        <v>2</v>
      </c>
      <c r="B7" s="208">
        <f>B32</f>
        <v>12742200</v>
      </c>
      <c r="C7" s="129">
        <f t="shared" ref="C7:E7" si="1">C32</f>
        <v>13182200</v>
      </c>
      <c r="D7" s="129">
        <f t="shared" si="1"/>
        <v>13582200</v>
      </c>
      <c r="E7" s="130">
        <f t="shared" si="1"/>
        <v>13982200</v>
      </c>
    </row>
    <row r="8" spans="1:8" s="1" customFormat="1" ht="16.5" customHeight="1" x14ac:dyDescent="0.2">
      <c r="A8" s="128" t="s">
        <v>3</v>
      </c>
      <c r="B8" s="208">
        <f>B39</f>
        <v>790508</v>
      </c>
      <c r="C8" s="129">
        <f t="shared" ref="C8:E8" si="2">C39</f>
        <v>702014</v>
      </c>
      <c r="D8" s="129">
        <f t="shared" si="2"/>
        <v>797128</v>
      </c>
      <c r="E8" s="130">
        <f t="shared" si="2"/>
        <v>612332</v>
      </c>
    </row>
    <row r="9" spans="1:8" s="1" customFormat="1" ht="16.5" customHeight="1" x14ac:dyDescent="0.2">
      <c r="A9" s="128" t="s">
        <v>4</v>
      </c>
      <c r="B9" s="208">
        <f>B52</f>
        <v>4391</v>
      </c>
      <c r="C9" s="129">
        <f t="shared" ref="C9:E9" si="3">C52</f>
        <v>4386</v>
      </c>
      <c r="D9" s="129">
        <f t="shared" si="3"/>
        <v>4373</v>
      </c>
      <c r="E9" s="130">
        <f t="shared" si="3"/>
        <v>4373</v>
      </c>
    </row>
    <row r="10" spans="1:8" s="1" customFormat="1" ht="16.5" customHeight="1" x14ac:dyDescent="0.2">
      <c r="A10" s="128" t="s">
        <v>21</v>
      </c>
      <c r="B10" s="208">
        <f>B54+B58+B59+B60</f>
        <v>27033608</v>
      </c>
      <c r="C10" s="129">
        <f t="shared" ref="C10:E10" si="4">C54+C58+C59+C60</f>
        <v>26778331</v>
      </c>
      <c r="D10" s="129">
        <f t="shared" si="4"/>
        <v>25764061</v>
      </c>
      <c r="E10" s="130">
        <f t="shared" si="4"/>
        <v>24427702</v>
      </c>
    </row>
    <row r="11" spans="1:8" s="127" customFormat="1" ht="16.5" customHeight="1" x14ac:dyDescent="0.2">
      <c r="A11" s="126" t="s">
        <v>5</v>
      </c>
      <c r="B11" s="17">
        <f>B12+B13+B14</f>
        <v>2882842</v>
      </c>
      <c r="C11" s="17">
        <f>C12+C13+C14</f>
        <v>3396523</v>
      </c>
      <c r="D11" s="17">
        <f>D12+D13+D14</f>
        <v>589421</v>
      </c>
      <c r="E11" s="20">
        <f>E12+E13+E14</f>
        <v>-192645</v>
      </c>
    </row>
    <row r="12" spans="1:8" s="3" customFormat="1" ht="16.5" customHeight="1" x14ac:dyDescent="0.2">
      <c r="A12" s="131" t="s">
        <v>43</v>
      </c>
      <c r="B12" s="208">
        <v>2297639</v>
      </c>
      <c r="C12" s="129">
        <v>3256571</v>
      </c>
      <c r="D12" s="129">
        <v>1121586</v>
      </c>
      <c r="E12" s="130">
        <v>0</v>
      </c>
    </row>
    <row r="13" spans="1:8" s="4" customFormat="1" ht="16.5" customHeight="1" x14ac:dyDescent="0.2">
      <c r="A13" s="131" t="s">
        <v>44</v>
      </c>
      <c r="B13" s="208">
        <v>-2247006</v>
      </c>
      <c r="C13" s="129">
        <v>-2363208</v>
      </c>
      <c r="D13" s="129">
        <v>-1517745</v>
      </c>
      <c r="E13" s="130">
        <v>-306500</v>
      </c>
    </row>
    <row r="14" spans="1:8" s="3" customFormat="1" ht="16.5" customHeight="1" x14ac:dyDescent="0.2">
      <c r="A14" s="131" t="s">
        <v>45</v>
      </c>
      <c r="B14" s="208">
        <v>2832209</v>
      </c>
      <c r="C14" s="129">
        <v>2503160</v>
      </c>
      <c r="D14" s="129">
        <v>985580</v>
      </c>
      <c r="E14" s="130">
        <v>113855</v>
      </c>
    </row>
    <row r="15" spans="1:8" s="127" customFormat="1" ht="16.5" customHeight="1" x14ac:dyDescent="0.2">
      <c r="A15" s="126" t="s">
        <v>7</v>
      </c>
      <c r="B15" s="17">
        <f>B16+B17+B18+B19+B20+B21+B22+B23+B24</f>
        <v>43453549</v>
      </c>
      <c r="C15" s="17">
        <f t="shared" ref="C15:E15" si="5">C16+C17+C18+C19+C20+C21+C22+C23+C24</f>
        <v>44063454</v>
      </c>
      <c r="D15" s="17">
        <f t="shared" si="5"/>
        <v>40737183</v>
      </c>
      <c r="E15" s="20">
        <f t="shared" si="5"/>
        <v>38833962</v>
      </c>
    </row>
    <row r="16" spans="1:8" s="1" customFormat="1" ht="16.5" customHeight="1" x14ac:dyDescent="0.2">
      <c r="A16" s="131" t="s">
        <v>8</v>
      </c>
      <c r="B16" s="208">
        <f>'Tab. 1 VÝDAJE'!B4</f>
        <v>876809</v>
      </c>
      <c r="C16" s="129">
        <f>'Tab. 1 VÝDAJE'!C4</f>
        <v>879953</v>
      </c>
      <c r="D16" s="129">
        <f>'Tab. 1 VÝDAJE'!D4</f>
        <v>887285</v>
      </c>
      <c r="E16" s="130">
        <f>'Tab. 1 VÝDAJE'!E4</f>
        <v>894214</v>
      </c>
    </row>
    <row r="17" spans="1:8" s="1" customFormat="1" ht="16.5" customHeight="1" x14ac:dyDescent="0.2">
      <c r="A17" s="131" t="s">
        <v>9</v>
      </c>
      <c r="B17" s="208">
        <f>'Tab. 1 VÝDAJE'!B5</f>
        <v>598297</v>
      </c>
      <c r="C17" s="129">
        <f>'Tab. 1 VÝDAJE'!C5</f>
        <v>608422</v>
      </c>
      <c r="D17" s="129">
        <f>'Tab. 1 VÝDAJE'!D5</f>
        <v>595117</v>
      </c>
      <c r="E17" s="130">
        <f>'Tab. 1 VÝDAJE'!E5</f>
        <v>585142</v>
      </c>
    </row>
    <row r="18" spans="1:8" s="1" customFormat="1" ht="16.5" customHeight="1" x14ac:dyDescent="0.2">
      <c r="A18" s="131" t="s">
        <v>47</v>
      </c>
      <c r="B18" s="208">
        <f>'Tab. 1 VÝDAJE'!B12</f>
        <v>21612855</v>
      </c>
      <c r="C18" s="129">
        <f>'Tab. 1 VÝDAJE'!C12</f>
        <v>21338905</v>
      </c>
      <c r="D18" s="129">
        <f>'Tab. 1 VÝDAJE'!D12</f>
        <v>21752218</v>
      </c>
      <c r="E18" s="130">
        <f>'Tab. 1 VÝDAJE'!E12</f>
        <v>21662331</v>
      </c>
    </row>
    <row r="19" spans="1:8" s="1" customFormat="1" ht="16.5" customHeight="1" x14ac:dyDescent="0.2">
      <c r="A19" s="131" t="s">
        <v>10</v>
      </c>
      <c r="B19" s="208">
        <f>'Tab. 1 VÝDAJE'!B28</f>
        <v>11709723</v>
      </c>
      <c r="C19" s="129">
        <f>'Tab. 1 VÝDAJE'!C28</f>
        <v>11816558</v>
      </c>
      <c r="D19" s="129">
        <f>'Tab. 1 VÝDAJE'!D28</f>
        <v>11861264</v>
      </c>
      <c r="E19" s="130">
        <f>'Tab. 1 VÝDAJE'!E28</f>
        <v>11863761</v>
      </c>
    </row>
    <row r="20" spans="1:8" s="1" customFormat="1" ht="16.5" customHeight="1" x14ac:dyDescent="0.2">
      <c r="A20" s="131" t="s">
        <v>50</v>
      </c>
      <c r="B20" s="208">
        <f>'Tab. 1 VÝDAJE'!B36</f>
        <v>313375</v>
      </c>
      <c r="C20" s="129">
        <f>'Tab. 1 VÝDAJE'!C36</f>
        <v>355500</v>
      </c>
      <c r="D20" s="129">
        <f>'Tab. 1 VÝDAJE'!D36</f>
        <v>245000</v>
      </c>
      <c r="E20" s="130">
        <f>'Tab. 1 VÝDAJE'!E36</f>
        <v>245000</v>
      </c>
    </row>
    <row r="21" spans="1:8" s="1" customFormat="1" ht="16.5" customHeight="1" x14ac:dyDescent="0.2">
      <c r="A21" s="131" t="s">
        <v>48</v>
      </c>
      <c r="B21" s="208">
        <f>'Tab. 1 VÝDAJE'!B43+'Tab. 1 VÝDAJE'!B54</f>
        <v>3941596</v>
      </c>
      <c r="C21" s="129">
        <f>'Tab. 1 VÝDAJE'!C43+'Tab. 1 VÝDAJE'!C54</f>
        <v>5033854</v>
      </c>
      <c r="D21" s="129">
        <f>'Tab. 1 VÝDAJE'!D43+'Tab. 1 VÝDAJE'!D54</f>
        <v>4069983</v>
      </c>
      <c r="E21" s="130">
        <f>'Tab. 1 VÝDAJE'!E43+'Tab. 1 VÝDAJE'!E54</f>
        <v>2290956</v>
      </c>
      <c r="F21" s="262"/>
    </row>
    <row r="22" spans="1:8" s="1" customFormat="1" ht="16.5" customHeight="1" x14ac:dyDescent="0.2">
      <c r="A22" s="131" t="s">
        <v>49</v>
      </c>
      <c r="B22" s="208">
        <f>'Tab. 1 VÝDAJE'!B56+'Tab. 1 VÝDAJE'!B68</f>
        <v>4233211</v>
      </c>
      <c r="C22" s="129">
        <f>'Tab. 1 VÝDAJE'!C56+'Tab. 1 VÝDAJE'!C68</f>
        <v>3721626</v>
      </c>
      <c r="D22" s="129">
        <f>'Tab. 1 VÝDAJE'!D56+'Tab. 1 VÝDAJE'!D68</f>
        <v>1030143</v>
      </c>
      <c r="E22" s="130">
        <f>'Tab. 1 VÝDAJE'!E56+'Tab. 1 VÝDAJE'!E68</f>
        <v>104795</v>
      </c>
      <c r="F22" s="262"/>
    </row>
    <row r="23" spans="1:8" s="1" customFormat="1" ht="16.5" customHeight="1" x14ac:dyDescent="0.2">
      <c r="A23" s="131" t="s">
        <v>230</v>
      </c>
      <c r="B23" s="209">
        <f>'Tab. 1 VÝDAJE'!B70</f>
        <v>0</v>
      </c>
      <c r="C23" s="132">
        <f>'Tab. 1 VÝDAJE'!C70</f>
        <v>200000</v>
      </c>
      <c r="D23" s="132">
        <f>'Tab. 1 VÝDAJE'!D70</f>
        <v>200000</v>
      </c>
      <c r="E23" s="133">
        <f>'Tab. 1 VÝDAJE'!E70</f>
        <v>1100000</v>
      </c>
    </row>
    <row r="24" spans="1:8" s="1" customFormat="1" ht="29.25" customHeight="1" thickBot="1" x14ac:dyDescent="0.25">
      <c r="A24" s="134" t="s">
        <v>555</v>
      </c>
      <c r="B24" s="210">
        <f>'Tab. 1 VÝDAJE'!B41</f>
        <v>167683</v>
      </c>
      <c r="C24" s="135">
        <f>'Tab. 1 VÝDAJE'!C41</f>
        <v>108636</v>
      </c>
      <c r="D24" s="135">
        <f>'Tab. 1 VÝDAJE'!D41</f>
        <v>96173</v>
      </c>
      <c r="E24" s="136">
        <f>'Tab. 1 VÝDAJE'!E41</f>
        <v>87763</v>
      </c>
    </row>
    <row r="25" spans="1:8" s="1" customFormat="1" ht="20.100000000000001" hidden="1" customHeight="1" thickBot="1" x14ac:dyDescent="0.25">
      <c r="A25" s="18" t="s">
        <v>11</v>
      </c>
      <c r="B25" s="19">
        <f>B6+B11-B15</f>
        <v>0</v>
      </c>
      <c r="C25" s="19">
        <f>C6+C11-C15</f>
        <v>0</v>
      </c>
      <c r="D25" s="19">
        <f>D6+D11-D15</f>
        <v>0</v>
      </c>
      <c r="E25" s="19">
        <f>E6+E11-E15</f>
        <v>0</v>
      </c>
      <c r="F25" s="379"/>
      <c r="G25" s="379"/>
      <c r="H25" s="379"/>
    </row>
    <row r="26" spans="1:8" ht="12" customHeight="1" x14ac:dyDescent="0.2">
      <c r="A26" s="137"/>
      <c r="B26" s="138"/>
      <c r="C26" s="138"/>
      <c r="D26" s="138"/>
      <c r="E26" s="138"/>
    </row>
    <row r="27" spans="1:8" ht="12" customHeight="1" x14ac:dyDescent="0.2">
      <c r="A27" s="137"/>
      <c r="B27" s="138"/>
      <c r="C27" s="138"/>
      <c r="D27" s="138"/>
      <c r="E27" s="138"/>
    </row>
    <row r="28" spans="1:8" ht="12" customHeight="1" x14ac:dyDescent="0.2">
      <c r="A28" s="137"/>
      <c r="B28" s="139"/>
      <c r="C28" s="140"/>
      <c r="D28" s="140"/>
      <c r="E28" s="140"/>
    </row>
    <row r="29" spans="1:8" ht="16.5" customHeight="1" thickBot="1" x14ac:dyDescent="0.25">
      <c r="A29" s="137"/>
      <c r="B29" s="138"/>
      <c r="C29" s="140"/>
      <c r="D29" s="140"/>
      <c r="E29" s="140"/>
    </row>
    <row r="30" spans="1:8" s="5" customFormat="1" ht="16.5" customHeight="1" x14ac:dyDescent="0.2">
      <c r="A30" s="640" t="s">
        <v>12</v>
      </c>
      <c r="B30" s="211">
        <v>2026</v>
      </c>
      <c r="C30" s="13">
        <v>2027</v>
      </c>
      <c r="D30" s="14">
        <v>2028</v>
      </c>
      <c r="E30" s="13">
        <v>2029</v>
      </c>
      <c r="F30" s="642" t="s">
        <v>574</v>
      </c>
      <c r="G30" s="644" t="s">
        <v>393</v>
      </c>
      <c r="H30" s="646" t="s">
        <v>575</v>
      </c>
    </row>
    <row r="31" spans="1:8" s="5" customFormat="1" ht="36" customHeight="1" thickBot="1" x14ac:dyDescent="0.25">
      <c r="A31" s="641"/>
      <c r="B31" s="212" t="s">
        <v>250</v>
      </c>
      <c r="C31" s="15" t="s">
        <v>42</v>
      </c>
      <c r="D31" s="16" t="s">
        <v>42</v>
      </c>
      <c r="E31" s="15" t="s">
        <v>42</v>
      </c>
      <c r="F31" s="643"/>
      <c r="G31" s="645"/>
      <c r="H31" s="647"/>
    </row>
    <row r="32" spans="1:8" s="3" customFormat="1" ht="17.100000000000001" customHeight="1" x14ac:dyDescent="0.2">
      <c r="A32" s="141" t="s">
        <v>2</v>
      </c>
      <c r="B32" s="213">
        <f>SUM(B33:B38)</f>
        <v>12742200</v>
      </c>
      <c r="C32" s="142">
        <f t="shared" ref="C32:E32" si="6">SUM(C33:C38)</f>
        <v>13182200</v>
      </c>
      <c r="D32" s="142">
        <f t="shared" si="6"/>
        <v>13582200</v>
      </c>
      <c r="E32" s="142">
        <f t="shared" si="6"/>
        <v>13982200</v>
      </c>
      <c r="F32" s="143">
        <f t="shared" ref="F32:H57" si="7">C32/B32*100</f>
        <v>103.4530928725024</v>
      </c>
      <c r="G32" s="144">
        <f t="shared" si="7"/>
        <v>103.03439486580388</v>
      </c>
      <c r="H32" s="145">
        <f t="shared" si="7"/>
        <v>102.94503099645125</v>
      </c>
    </row>
    <row r="33" spans="1:8" s="1" customFormat="1" ht="17.100000000000001" customHeight="1" x14ac:dyDescent="0.2">
      <c r="A33" s="146" t="s">
        <v>13</v>
      </c>
      <c r="B33" s="214">
        <v>12600000</v>
      </c>
      <c r="C33" s="147">
        <v>13050000</v>
      </c>
      <c r="D33" s="147">
        <v>13450000</v>
      </c>
      <c r="E33" s="147">
        <v>13850000</v>
      </c>
      <c r="F33" s="143">
        <f t="shared" si="7"/>
        <v>103.57142857142858</v>
      </c>
      <c r="G33" s="144">
        <f t="shared" si="7"/>
        <v>103.06513409961686</v>
      </c>
      <c r="H33" s="145">
        <f t="shared" si="7"/>
        <v>102.97397769516729</v>
      </c>
    </row>
    <row r="34" spans="1:8" s="1" customFormat="1" ht="17.100000000000001" customHeight="1" x14ac:dyDescent="0.2">
      <c r="A34" s="128" t="s">
        <v>14</v>
      </c>
      <c r="B34" s="215">
        <v>110000</v>
      </c>
      <c r="C34" s="148">
        <v>110000</v>
      </c>
      <c r="D34" s="148">
        <v>110000</v>
      </c>
      <c r="E34" s="148">
        <v>110000</v>
      </c>
      <c r="F34" s="149">
        <f t="shared" si="7"/>
        <v>100</v>
      </c>
      <c r="G34" s="150">
        <f t="shared" si="7"/>
        <v>100</v>
      </c>
      <c r="H34" s="151">
        <f t="shared" si="7"/>
        <v>100</v>
      </c>
    </row>
    <row r="35" spans="1:8" s="1" customFormat="1" ht="17.100000000000001" customHeight="1" x14ac:dyDescent="0.2">
      <c r="A35" s="152" t="s">
        <v>314</v>
      </c>
      <c r="B35" s="215">
        <v>5000</v>
      </c>
      <c r="C35" s="148">
        <v>5000</v>
      </c>
      <c r="D35" s="148">
        <v>5000</v>
      </c>
      <c r="E35" s="148">
        <v>5000</v>
      </c>
      <c r="F35" s="149">
        <f t="shared" si="7"/>
        <v>100</v>
      </c>
      <c r="G35" s="150">
        <f t="shared" si="7"/>
        <v>100</v>
      </c>
      <c r="H35" s="151">
        <f t="shared" si="7"/>
        <v>100</v>
      </c>
    </row>
    <row r="36" spans="1:8" s="1" customFormat="1" ht="17.100000000000001" customHeight="1" x14ac:dyDescent="0.2">
      <c r="A36" s="128" t="s">
        <v>17</v>
      </c>
      <c r="B36" s="215">
        <v>15000</v>
      </c>
      <c r="C36" s="148">
        <v>15000</v>
      </c>
      <c r="D36" s="148">
        <v>15000</v>
      </c>
      <c r="E36" s="148">
        <v>15000</v>
      </c>
      <c r="F36" s="149">
        <f t="shared" si="7"/>
        <v>100</v>
      </c>
      <c r="G36" s="150">
        <f t="shared" si="7"/>
        <v>100</v>
      </c>
      <c r="H36" s="151">
        <f t="shared" si="7"/>
        <v>100</v>
      </c>
    </row>
    <row r="37" spans="1:8" s="1" customFormat="1" ht="17.100000000000001" customHeight="1" x14ac:dyDescent="0.2">
      <c r="A37" s="128" t="s">
        <v>397</v>
      </c>
      <c r="B37" s="215">
        <v>10000</v>
      </c>
      <c r="C37" s="148">
        <v>0</v>
      </c>
      <c r="D37" s="148">
        <v>0</v>
      </c>
      <c r="E37" s="148">
        <v>0</v>
      </c>
      <c r="F37" s="149">
        <f t="shared" si="7"/>
        <v>0</v>
      </c>
      <c r="G37" s="381" t="s">
        <v>313</v>
      </c>
      <c r="H37" s="382" t="s">
        <v>313</v>
      </c>
    </row>
    <row r="38" spans="1:8" s="1" customFormat="1" ht="17.100000000000001" customHeight="1" x14ac:dyDescent="0.2">
      <c r="A38" s="152" t="s">
        <v>15</v>
      </c>
      <c r="B38" s="215">
        <v>2200</v>
      </c>
      <c r="C38" s="148">
        <v>2200</v>
      </c>
      <c r="D38" s="148">
        <v>2200</v>
      </c>
      <c r="E38" s="148">
        <v>2200</v>
      </c>
      <c r="F38" s="149">
        <f t="shared" si="7"/>
        <v>100</v>
      </c>
      <c r="G38" s="150">
        <f t="shared" si="7"/>
        <v>100</v>
      </c>
      <c r="H38" s="151">
        <f t="shared" si="7"/>
        <v>100</v>
      </c>
    </row>
    <row r="39" spans="1:8" s="3" customFormat="1" ht="17.100000000000001" customHeight="1" x14ac:dyDescent="0.2">
      <c r="A39" s="153" t="s">
        <v>3</v>
      </c>
      <c r="B39" s="213">
        <f>SUM(B40:B51)</f>
        <v>790508</v>
      </c>
      <c r="C39" s="142">
        <f>SUM(C40:C51)</f>
        <v>702014</v>
      </c>
      <c r="D39" s="142">
        <f>SUM(D40:D51)</f>
        <v>797128</v>
      </c>
      <c r="E39" s="142">
        <f>SUM(E40:E51)</f>
        <v>612332</v>
      </c>
      <c r="F39" s="143">
        <f t="shared" si="7"/>
        <v>88.805426384046712</v>
      </c>
      <c r="G39" s="144">
        <f t="shared" si="7"/>
        <v>113.54873264635748</v>
      </c>
      <c r="H39" s="145">
        <f t="shared" si="7"/>
        <v>76.817274013709209</v>
      </c>
    </row>
    <row r="40" spans="1:8" s="1" customFormat="1" ht="17.100000000000001" customHeight="1" x14ac:dyDescent="0.2">
      <c r="A40" s="128" t="s">
        <v>16</v>
      </c>
      <c r="B40" s="215">
        <v>80000</v>
      </c>
      <c r="C40" s="148">
        <v>70000</v>
      </c>
      <c r="D40" s="148">
        <v>60000</v>
      </c>
      <c r="E40" s="148">
        <v>50000</v>
      </c>
      <c r="F40" s="149">
        <f t="shared" si="7"/>
        <v>87.5</v>
      </c>
      <c r="G40" s="150">
        <f t="shared" si="7"/>
        <v>85.714285714285708</v>
      </c>
      <c r="H40" s="151">
        <f t="shared" si="7"/>
        <v>83.333333333333343</v>
      </c>
    </row>
    <row r="41" spans="1:8" s="1" customFormat="1" ht="17.100000000000001" customHeight="1" x14ac:dyDescent="0.2">
      <c r="A41" s="128" t="s">
        <v>584</v>
      </c>
      <c r="B41" s="215">
        <v>0</v>
      </c>
      <c r="C41" s="148">
        <v>11500</v>
      </c>
      <c r="D41" s="148">
        <v>0</v>
      </c>
      <c r="E41" s="148">
        <v>0</v>
      </c>
      <c r="F41" s="381" t="s">
        <v>313</v>
      </c>
      <c r="G41" s="150">
        <f t="shared" ref="G41" si="8">D41/C41*100</f>
        <v>0</v>
      </c>
      <c r="H41" s="382" t="s">
        <v>313</v>
      </c>
    </row>
    <row r="42" spans="1:8" s="1" customFormat="1" ht="17.100000000000001" customHeight="1" x14ac:dyDescent="0.2">
      <c r="A42" s="128" t="s">
        <v>231</v>
      </c>
      <c r="B42" s="215">
        <v>344950</v>
      </c>
      <c r="C42" s="148">
        <v>255000</v>
      </c>
      <c r="D42" s="148">
        <v>389075</v>
      </c>
      <c r="E42" s="148">
        <v>245000</v>
      </c>
      <c r="F42" s="149">
        <f t="shared" si="7"/>
        <v>73.923757066241478</v>
      </c>
      <c r="G42" s="150">
        <f t="shared" si="7"/>
        <v>152.57843137254903</v>
      </c>
      <c r="H42" s="151">
        <f t="shared" si="7"/>
        <v>62.969864422026603</v>
      </c>
    </row>
    <row r="43" spans="1:8" s="1" customFormat="1" ht="16.5" customHeight="1" x14ac:dyDescent="0.2">
      <c r="A43" s="131" t="s">
        <v>232</v>
      </c>
      <c r="B43" s="215">
        <v>204943</v>
      </c>
      <c r="C43" s="148">
        <v>201400</v>
      </c>
      <c r="D43" s="148">
        <v>201400</v>
      </c>
      <c r="E43" s="148">
        <v>201400</v>
      </c>
      <c r="F43" s="149">
        <f t="shared" si="7"/>
        <v>98.271226633746949</v>
      </c>
      <c r="G43" s="150">
        <f t="shared" si="7"/>
        <v>100</v>
      </c>
      <c r="H43" s="151">
        <f t="shared" si="7"/>
        <v>100</v>
      </c>
    </row>
    <row r="44" spans="1:8" s="1" customFormat="1" ht="17.100000000000001" customHeight="1" x14ac:dyDescent="0.2">
      <c r="A44" s="128" t="s">
        <v>52</v>
      </c>
      <c r="B44" s="215">
        <v>11699</v>
      </c>
      <c r="C44" s="148">
        <v>11758</v>
      </c>
      <c r="D44" s="148">
        <v>11818</v>
      </c>
      <c r="E44" s="148">
        <v>9385</v>
      </c>
      <c r="F44" s="149">
        <f t="shared" ref="F44:F53" si="9">C44/B44*100</f>
        <v>100.50431660825711</v>
      </c>
      <c r="G44" s="150">
        <f t="shared" ref="G44:G53" si="10">D44/C44*100</f>
        <v>100.51029086579351</v>
      </c>
      <c r="H44" s="151">
        <f t="shared" ref="H44:H53" si="11">E44/D44*100</f>
        <v>79.412760196310714</v>
      </c>
    </row>
    <row r="45" spans="1:8" s="1" customFormat="1" ht="17.100000000000001" customHeight="1" x14ac:dyDescent="0.2">
      <c r="A45" s="128" t="s">
        <v>327</v>
      </c>
      <c r="B45" s="215">
        <v>53305</v>
      </c>
      <c r="C45" s="148">
        <v>18390</v>
      </c>
      <c r="D45" s="148">
        <v>20560</v>
      </c>
      <c r="E45" s="148">
        <v>41961</v>
      </c>
      <c r="F45" s="149">
        <f t="shared" si="9"/>
        <v>34.499577900759782</v>
      </c>
      <c r="G45" s="150">
        <f t="shared" si="10"/>
        <v>111.79989124524199</v>
      </c>
      <c r="H45" s="151">
        <f t="shared" si="11"/>
        <v>204.09046692607004</v>
      </c>
    </row>
    <row r="46" spans="1:8" s="1" customFormat="1" ht="17.100000000000001" customHeight="1" x14ac:dyDescent="0.2">
      <c r="A46" s="128" t="s">
        <v>233</v>
      </c>
      <c r="B46" s="215">
        <v>29661</v>
      </c>
      <c r="C46" s="148">
        <v>29858</v>
      </c>
      <c r="D46" s="148">
        <v>30057</v>
      </c>
      <c r="E46" s="148">
        <v>30258</v>
      </c>
      <c r="F46" s="149">
        <f t="shared" si="9"/>
        <v>100.66417180809817</v>
      </c>
      <c r="G46" s="150">
        <f t="shared" si="10"/>
        <v>100.66648804340545</v>
      </c>
      <c r="H46" s="151">
        <f t="shared" si="11"/>
        <v>100.66872941411317</v>
      </c>
    </row>
    <row r="47" spans="1:8" s="3" customFormat="1" ht="17.100000000000001" customHeight="1" x14ac:dyDescent="0.2">
      <c r="A47" s="128" t="s">
        <v>18</v>
      </c>
      <c r="B47" s="215">
        <v>7000</v>
      </c>
      <c r="C47" s="148">
        <v>7000</v>
      </c>
      <c r="D47" s="148">
        <v>7000</v>
      </c>
      <c r="E47" s="148">
        <v>7000</v>
      </c>
      <c r="F47" s="149">
        <f t="shared" si="9"/>
        <v>100</v>
      </c>
      <c r="G47" s="150">
        <f t="shared" si="10"/>
        <v>100</v>
      </c>
      <c r="H47" s="151">
        <f t="shared" si="11"/>
        <v>100</v>
      </c>
    </row>
    <row r="48" spans="1:8" s="3" customFormat="1" ht="17.100000000000001" customHeight="1" x14ac:dyDescent="0.2">
      <c r="A48" s="128" t="s">
        <v>556</v>
      </c>
      <c r="B48" s="215">
        <v>14000</v>
      </c>
      <c r="C48" s="148">
        <v>50000</v>
      </c>
      <c r="D48" s="148">
        <v>50000</v>
      </c>
      <c r="E48" s="148">
        <v>0</v>
      </c>
      <c r="F48" s="149">
        <f t="shared" ref="F48:F50" si="12">C48/B48*100</f>
        <v>357.14285714285717</v>
      </c>
      <c r="G48" s="150">
        <f t="shared" ref="G48:G49" si="13">D48/C48*100</f>
        <v>100</v>
      </c>
      <c r="H48" s="151">
        <f t="shared" ref="H48" si="14">E48/D48*100</f>
        <v>0</v>
      </c>
    </row>
    <row r="49" spans="1:8" s="3" customFormat="1" ht="27.75" customHeight="1" x14ac:dyDescent="0.2">
      <c r="A49" s="131" t="s">
        <v>328</v>
      </c>
      <c r="B49" s="215">
        <v>0</v>
      </c>
      <c r="C49" s="181">
        <v>20000</v>
      </c>
      <c r="D49" s="148">
        <v>0</v>
      </c>
      <c r="E49" s="148">
        <v>0</v>
      </c>
      <c r="F49" s="381" t="s">
        <v>313</v>
      </c>
      <c r="G49" s="150">
        <f t="shared" si="13"/>
        <v>0</v>
      </c>
      <c r="H49" s="382" t="s">
        <v>313</v>
      </c>
    </row>
    <row r="50" spans="1:8" s="3" customFormat="1" ht="27.75" customHeight="1" x14ac:dyDescent="0.2">
      <c r="A50" s="131" t="s">
        <v>398</v>
      </c>
      <c r="B50" s="215">
        <v>17700</v>
      </c>
      <c r="C50" s="148">
        <v>0</v>
      </c>
      <c r="D50" s="148">
        <v>0</v>
      </c>
      <c r="E50" s="148">
        <v>0</v>
      </c>
      <c r="F50" s="149">
        <f t="shared" si="12"/>
        <v>0</v>
      </c>
      <c r="G50" s="381" t="s">
        <v>313</v>
      </c>
      <c r="H50" s="382" t="s">
        <v>313</v>
      </c>
    </row>
    <row r="51" spans="1:8" s="1" customFormat="1" ht="17.100000000000001" customHeight="1" x14ac:dyDescent="0.2">
      <c r="A51" s="128" t="s">
        <v>19</v>
      </c>
      <c r="B51" s="215">
        <v>27250</v>
      </c>
      <c r="C51" s="148">
        <v>27108</v>
      </c>
      <c r="D51" s="148">
        <v>27218</v>
      </c>
      <c r="E51" s="148">
        <v>27328</v>
      </c>
      <c r="F51" s="149">
        <f t="shared" si="9"/>
        <v>99.478899082568802</v>
      </c>
      <c r="G51" s="150">
        <f t="shared" si="10"/>
        <v>100.40578427032609</v>
      </c>
      <c r="H51" s="151">
        <f t="shared" si="11"/>
        <v>100.40414431626129</v>
      </c>
    </row>
    <row r="52" spans="1:8" s="1" customFormat="1" ht="16.5" customHeight="1" x14ac:dyDescent="0.2">
      <c r="A52" s="153" t="s">
        <v>4</v>
      </c>
      <c r="B52" s="213">
        <f>SUM(B53)</f>
        <v>4391</v>
      </c>
      <c r="C52" s="142">
        <f t="shared" ref="C52:E52" si="15">SUM(C53)</f>
        <v>4386</v>
      </c>
      <c r="D52" s="142">
        <f t="shared" si="15"/>
        <v>4373</v>
      </c>
      <c r="E52" s="142">
        <f t="shared" si="15"/>
        <v>4373</v>
      </c>
      <c r="F52" s="149">
        <f t="shared" si="9"/>
        <v>99.886130721931224</v>
      </c>
      <c r="G52" s="150">
        <f t="shared" si="10"/>
        <v>99.703602371181034</v>
      </c>
      <c r="H52" s="151">
        <f t="shared" si="11"/>
        <v>100</v>
      </c>
    </row>
    <row r="53" spans="1:8" s="3" customFormat="1" ht="17.100000000000001" customHeight="1" x14ac:dyDescent="0.2">
      <c r="A53" s="128" t="s">
        <v>20</v>
      </c>
      <c r="B53" s="215">
        <v>4391</v>
      </c>
      <c r="C53" s="148">
        <v>4386</v>
      </c>
      <c r="D53" s="148">
        <v>4373</v>
      </c>
      <c r="E53" s="148">
        <v>4373</v>
      </c>
      <c r="F53" s="149">
        <f t="shared" si="9"/>
        <v>99.886130721931224</v>
      </c>
      <c r="G53" s="150">
        <f t="shared" si="10"/>
        <v>99.703602371181034</v>
      </c>
      <c r="H53" s="151">
        <f t="shared" si="11"/>
        <v>100</v>
      </c>
    </row>
    <row r="54" spans="1:8" s="1" customFormat="1" ht="16.5" customHeight="1" x14ac:dyDescent="0.2">
      <c r="A54" s="154" t="s">
        <v>21</v>
      </c>
      <c r="B54" s="213">
        <f>SUM(B55:B57)</f>
        <v>26503022</v>
      </c>
      <c r="C54" s="142">
        <f>SUM(C55:C57)</f>
        <v>26329007</v>
      </c>
      <c r="D54" s="142">
        <f>SUM(D55:D57)</f>
        <v>25489404</v>
      </c>
      <c r="E54" s="142">
        <f>SUM(E55:E57)</f>
        <v>24129695</v>
      </c>
      <c r="F54" s="143">
        <f t="shared" si="7"/>
        <v>99.343414498165529</v>
      </c>
      <c r="G54" s="144">
        <f t="shared" si="7"/>
        <v>96.811110270888676</v>
      </c>
      <c r="H54" s="145">
        <f t="shared" si="7"/>
        <v>94.665591239402843</v>
      </c>
    </row>
    <row r="55" spans="1:8" ht="16.5" customHeight="1" x14ac:dyDescent="0.2">
      <c r="A55" s="152" t="s">
        <v>155</v>
      </c>
      <c r="B55" s="215">
        <v>23827882</v>
      </c>
      <c r="C55" s="148">
        <v>23778325</v>
      </c>
      <c r="D55" s="148">
        <v>24056379</v>
      </c>
      <c r="E55" s="148">
        <v>23932796</v>
      </c>
      <c r="F55" s="149">
        <f t="shared" si="7"/>
        <v>99.792020960990158</v>
      </c>
      <c r="G55" s="150">
        <f t="shared" si="7"/>
        <v>101.16935906965692</v>
      </c>
      <c r="H55" s="151">
        <f t="shared" si="7"/>
        <v>99.486277631392483</v>
      </c>
    </row>
    <row r="56" spans="1:8" ht="16.5" customHeight="1" x14ac:dyDescent="0.2">
      <c r="A56" s="152" t="s">
        <v>156</v>
      </c>
      <c r="B56" s="215">
        <v>176619</v>
      </c>
      <c r="C56" s="148">
        <v>277218</v>
      </c>
      <c r="D56" s="148">
        <v>333381</v>
      </c>
      <c r="E56" s="148">
        <v>178635</v>
      </c>
      <c r="F56" s="149">
        <f t="shared" si="7"/>
        <v>156.95819815535134</v>
      </c>
      <c r="G56" s="150">
        <f t="shared" si="7"/>
        <v>120.25950695842262</v>
      </c>
      <c r="H56" s="151">
        <f t="shared" si="7"/>
        <v>53.582837654215446</v>
      </c>
    </row>
    <row r="57" spans="1:8" ht="16.5" customHeight="1" x14ac:dyDescent="0.2">
      <c r="A57" s="155" t="s">
        <v>40</v>
      </c>
      <c r="B57" s="215">
        <v>2498521</v>
      </c>
      <c r="C57" s="148">
        <v>2273464</v>
      </c>
      <c r="D57" s="148">
        <v>1099644</v>
      </c>
      <c r="E57" s="148">
        <v>18264</v>
      </c>
      <c r="F57" s="149">
        <f t="shared" si="7"/>
        <v>90.992391098573918</v>
      </c>
      <c r="G57" s="150">
        <f t="shared" si="7"/>
        <v>48.368656816206453</v>
      </c>
      <c r="H57" s="151">
        <f t="shared" si="7"/>
        <v>1.6609011643768348</v>
      </c>
    </row>
    <row r="58" spans="1:8" s="3" customFormat="1" ht="17.100000000000001" customHeight="1" x14ac:dyDescent="0.2">
      <c r="A58" s="154" t="s">
        <v>394</v>
      </c>
      <c r="B58" s="213">
        <v>167683</v>
      </c>
      <c r="C58" s="142">
        <v>108636</v>
      </c>
      <c r="D58" s="142">
        <v>96173</v>
      </c>
      <c r="E58" s="142">
        <v>87763</v>
      </c>
      <c r="F58" s="143">
        <f t="shared" ref="F58:H61" si="16">C58/B58*100</f>
        <v>64.786531729513428</v>
      </c>
      <c r="G58" s="144">
        <f t="shared" si="16"/>
        <v>88.527744025921436</v>
      </c>
      <c r="H58" s="145">
        <f t="shared" si="16"/>
        <v>91.255341935886364</v>
      </c>
    </row>
    <row r="59" spans="1:8" s="3" customFormat="1" ht="28.5" customHeight="1" x14ac:dyDescent="0.2">
      <c r="A59" s="156" t="s">
        <v>571</v>
      </c>
      <c r="B59" s="216">
        <v>186972</v>
      </c>
      <c r="C59" s="157">
        <v>172092</v>
      </c>
      <c r="D59" s="157">
        <v>154234</v>
      </c>
      <c r="E59" s="157">
        <v>210244</v>
      </c>
      <c r="F59" s="143">
        <f t="shared" ref="F59" si="17">C59/B59*100</f>
        <v>92.041589114947698</v>
      </c>
      <c r="G59" s="144">
        <f t="shared" ref="G59" si="18">D59/C59*100</f>
        <v>89.622992352927497</v>
      </c>
      <c r="H59" s="145">
        <f t="shared" ref="H59" si="19">E59/D59*100</f>
        <v>136.3149500110222</v>
      </c>
    </row>
    <row r="60" spans="1:8" ht="29.25" customHeight="1" thickBot="1" x14ac:dyDescent="0.25">
      <c r="A60" s="156" t="s">
        <v>139</v>
      </c>
      <c r="B60" s="216">
        <v>175931</v>
      </c>
      <c r="C60" s="157">
        <v>168596</v>
      </c>
      <c r="D60" s="157">
        <v>24250</v>
      </c>
      <c r="E60" s="157">
        <v>0</v>
      </c>
      <c r="F60" s="158">
        <f t="shared" si="16"/>
        <v>95.830751828841983</v>
      </c>
      <c r="G60" s="159">
        <f t="shared" si="16"/>
        <v>14.383496642862227</v>
      </c>
      <c r="H60" s="160">
        <f t="shared" si="16"/>
        <v>0</v>
      </c>
    </row>
    <row r="61" spans="1:8" ht="16.5" customHeight="1" thickBot="1" x14ac:dyDescent="0.25">
      <c r="A61" s="161" t="s">
        <v>41</v>
      </c>
      <c r="B61" s="217">
        <f>B32+B39+B52+B54+B58+B59+B60</f>
        <v>40570707</v>
      </c>
      <c r="C61" s="162">
        <f t="shared" ref="C61:E61" si="20">C32+C39+C52+C54+C58+C59+C60</f>
        <v>40666931</v>
      </c>
      <c r="D61" s="162">
        <f t="shared" si="20"/>
        <v>40147762</v>
      </c>
      <c r="E61" s="162">
        <f t="shared" si="20"/>
        <v>39026607</v>
      </c>
      <c r="F61" s="163">
        <f t="shared" si="16"/>
        <v>100.23717604921205</v>
      </c>
      <c r="G61" s="164">
        <f t="shared" si="16"/>
        <v>98.723363216171876</v>
      </c>
      <c r="H61" s="165">
        <f t="shared" si="16"/>
        <v>97.207428399122222</v>
      </c>
    </row>
  </sheetData>
  <mergeCells count="5">
    <mergeCell ref="A3:H3"/>
    <mergeCell ref="A30:A31"/>
    <mergeCell ref="F30:F31"/>
    <mergeCell ref="G30:G31"/>
    <mergeCell ref="H30:H31"/>
  </mergeCells>
  <printOptions horizontalCentered="1"/>
  <pageMargins left="0.31496062992125984" right="0.31496062992125984" top="0.59055118110236227" bottom="0.39370078740157483" header="0.31496062992125984" footer="0.11811023622047245"/>
  <pageSetup paperSize="9" scale="65" firstPageNumber="2" fitToHeight="0" orientation="portrait" useFirstPageNumber="1" r:id="rId1"/>
  <headerFooter>
    <oddHeader>&amp;L&amp;"Tahoma,Kurzíva"Střednědobý výhled rozpočtu Moravskoslezského kraje na léta 2027-2029&amp;R&amp;"Tahoma,Kurzíva"Bilance příjmů a výdajů v letech 2027-2029</oddHeader>
    <oddFooter>&amp;C&amp;"Tahoma,Obyčejné"&amp;P</oddFooter>
  </headerFooter>
  <ignoredErrors>
    <ignoredError sqref="B54:E54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9CE9C6-10BF-477E-BE36-9EC298764CA2}">
  <sheetPr>
    <outlinePr summaryBelow="0"/>
    <pageSetUpPr fitToPage="1"/>
  </sheetPr>
  <dimension ref="A1:H72"/>
  <sheetViews>
    <sheetView zoomScaleNormal="100" zoomScaleSheetLayoutView="100" workbookViewId="0">
      <pane ySplit="3" topLeftCell="A4" activePane="bottomLeft" state="frozen"/>
      <selection activeCell="B26" sqref="B26"/>
      <selection pane="bottomLeft" activeCell="J4" sqref="J4"/>
    </sheetView>
  </sheetViews>
  <sheetFormatPr defaultColWidth="9.140625" defaultRowHeight="12.75" x14ac:dyDescent="0.2"/>
  <cols>
    <col min="1" max="1" width="51.7109375" style="2" customWidth="1"/>
    <col min="2" max="2" width="13.7109375" style="6" customWidth="1"/>
    <col min="3" max="5" width="13.7109375" style="7" customWidth="1"/>
    <col min="6" max="8" width="12" style="2" customWidth="1"/>
    <col min="9" max="12" width="14.7109375" style="2" customWidth="1"/>
    <col min="13" max="16384" width="9.140625" style="2"/>
  </cols>
  <sheetData>
    <row r="1" spans="1:8" ht="13.5" thickBot="1" x14ac:dyDescent="0.25"/>
    <row r="2" spans="1:8" s="1" customFormat="1" ht="16.5" customHeight="1" x14ac:dyDescent="0.2">
      <c r="A2" s="648" t="s">
        <v>22</v>
      </c>
      <c r="B2" s="211">
        <v>2026</v>
      </c>
      <c r="C2" s="13">
        <v>2027</v>
      </c>
      <c r="D2" s="14">
        <v>2028</v>
      </c>
      <c r="E2" s="13">
        <v>2029</v>
      </c>
      <c r="F2" s="642" t="s">
        <v>574</v>
      </c>
      <c r="G2" s="644" t="s">
        <v>393</v>
      </c>
      <c r="H2" s="646" t="s">
        <v>575</v>
      </c>
    </row>
    <row r="3" spans="1:8" s="8" customFormat="1" ht="36" customHeight="1" thickBot="1" x14ac:dyDescent="0.25">
      <c r="A3" s="649"/>
      <c r="B3" s="212" t="s">
        <v>250</v>
      </c>
      <c r="C3" s="15" t="s">
        <v>42</v>
      </c>
      <c r="D3" s="16" t="s">
        <v>42</v>
      </c>
      <c r="E3" s="15" t="s">
        <v>42</v>
      </c>
      <c r="F3" s="643"/>
      <c r="G3" s="645"/>
      <c r="H3" s="647"/>
    </row>
    <row r="4" spans="1:8" s="3" customFormat="1" ht="16.5" customHeight="1" x14ac:dyDescent="0.2">
      <c r="A4" s="166" t="s">
        <v>8</v>
      </c>
      <c r="B4" s="213">
        <v>876809</v>
      </c>
      <c r="C4" s="142">
        <v>879953</v>
      </c>
      <c r="D4" s="142">
        <v>887285</v>
      </c>
      <c r="E4" s="142">
        <v>894214</v>
      </c>
      <c r="F4" s="167">
        <f t="shared" ref="F4:H20" si="0">C4/B4*100</f>
        <v>100.35857296172827</v>
      </c>
      <c r="G4" s="168">
        <f t="shared" si="0"/>
        <v>100.8332263200421</v>
      </c>
      <c r="H4" s="169">
        <f t="shared" si="0"/>
        <v>100.78092157536756</v>
      </c>
    </row>
    <row r="5" spans="1:8" s="3" customFormat="1" ht="16.5" customHeight="1" x14ac:dyDescent="0.2">
      <c r="A5" s="166" t="s">
        <v>9</v>
      </c>
      <c r="B5" s="213">
        <f>SUM(B6:B11)</f>
        <v>598297</v>
      </c>
      <c r="C5" s="142">
        <f>SUM(C6:C11)</f>
        <v>608422</v>
      </c>
      <c r="D5" s="142">
        <f>SUM(D6:D11)</f>
        <v>595117</v>
      </c>
      <c r="E5" s="142">
        <f>SUM(E6:E11)</f>
        <v>585142</v>
      </c>
      <c r="F5" s="170">
        <f t="shared" si="0"/>
        <v>101.69230332092589</v>
      </c>
      <c r="G5" s="170">
        <f t="shared" si="0"/>
        <v>97.813195446581474</v>
      </c>
      <c r="H5" s="171">
        <f t="shared" si="0"/>
        <v>98.323859005876159</v>
      </c>
    </row>
    <row r="6" spans="1:8" s="3" customFormat="1" ht="16.5" customHeight="1" x14ac:dyDescent="0.2">
      <c r="A6" s="172" t="s">
        <v>23</v>
      </c>
      <c r="B6" s="215">
        <v>126503</v>
      </c>
      <c r="C6" s="148">
        <v>126503</v>
      </c>
      <c r="D6" s="148">
        <v>126503</v>
      </c>
      <c r="E6" s="148">
        <v>126503</v>
      </c>
      <c r="F6" s="173">
        <f t="shared" si="0"/>
        <v>100</v>
      </c>
      <c r="G6" s="173">
        <f t="shared" si="0"/>
        <v>100</v>
      </c>
      <c r="H6" s="174">
        <f t="shared" si="0"/>
        <v>100</v>
      </c>
    </row>
    <row r="7" spans="1:8" s="3" customFormat="1" ht="16.5" customHeight="1" x14ac:dyDescent="0.2">
      <c r="A7" s="172" t="s">
        <v>24</v>
      </c>
      <c r="B7" s="215">
        <v>135000</v>
      </c>
      <c r="C7" s="148">
        <v>140000</v>
      </c>
      <c r="D7" s="148">
        <v>130000</v>
      </c>
      <c r="E7" s="148">
        <v>120000</v>
      </c>
      <c r="F7" s="173">
        <f t="shared" si="0"/>
        <v>103.7037037037037</v>
      </c>
      <c r="G7" s="173">
        <f t="shared" si="0"/>
        <v>92.857142857142861</v>
      </c>
      <c r="H7" s="174">
        <f t="shared" si="0"/>
        <v>92.307692307692307</v>
      </c>
    </row>
    <row r="8" spans="1:8" s="3" customFormat="1" ht="16.5" customHeight="1" x14ac:dyDescent="0.2">
      <c r="A8" s="172" t="s">
        <v>312</v>
      </c>
      <c r="B8" s="215">
        <v>1750</v>
      </c>
      <c r="C8" s="148">
        <v>1250</v>
      </c>
      <c r="D8" s="148">
        <v>1250</v>
      </c>
      <c r="E8" s="148">
        <v>1250</v>
      </c>
      <c r="F8" s="173">
        <f t="shared" si="0"/>
        <v>71.428571428571431</v>
      </c>
      <c r="G8" s="173">
        <f t="shared" si="0"/>
        <v>100</v>
      </c>
      <c r="H8" s="174">
        <f t="shared" si="0"/>
        <v>100</v>
      </c>
    </row>
    <row r="9" spans="1:8" s="3" customFormat="1" ht="16.5" customHeight="1" x14ac:dyDescent="0.2">
      <c r="A9" s="172" t="s">
        <v>25</v>
      </c>
      <c r="B9" s="215">
        <v>104000</v>
      </c>
      <c r="C9" s="148">
        <v>108000</v>
      </c>
      <c r="D9" s="148">
        <v>108000</v>
      </c>
      <c r="E9" s="148">
        <v>108000</v>
      </c>
      <c r="F9" s="173">
        <f t="shared" si="0"/>
        <v>103.84615384615385</v>
      </c>
      <c r="G9" s="173">
        <f t="shared" si="0"/>
        <v>100</v>
      </c>
      <c r="H9" s="174">
        <f t="shared" si="0"/>
        <v>100</v>
      </c>
    </row>
    <row r="10" spans="1:8" s="3" customFormat="1" ht="27.75" customHeight="1" x14ac:dyDescent="0.2">
      <c r="A10" s="172" t="s">
        <v>26</v>
      </c>
      <c r="B10" s="215">
        <v>200000</v>
      </c>
      <c r="C10" s="148">
        <v>200000</v>
      </c>
      <c r="D10" s="148">
        <v>200000</v>
      </c>
      <c r="E10" s="148">
        <v>200000</v>
      </c>
      <c r="F10" s="173">
        <f t="shared" si="0"/>
        <v>100</v>
      </c>
      <c r="G10" s="173">
        <f t="shared" si="0"/>
        <v>100</v>
      </c>
      <c r="H10" s="174">
        <f t="shared" si="0"/>
        <v>100</v>
      </c>
    </row>
    <row r="11" spans="1:8" s="3" customFormat="1" ht="16.5" customHeight="1" x14ac:dyDescent="0.2">
      <c r="A11" s="175" t="s">
        <v>27</v>
      </c>
      <c r="B11" s="215">
        <v>31044</v>
      </c>
      <c r="C11" s="148">
        <v>32669</v>
      </c>
      <c r="D11" s="148">
        <v>29364</v>
      </c>
      <c r="E11" s="148">
        <v>29389</v>
      </c>
      <c r="F11" s="173">
        <f t="shared" si="0"/>
        <v>105.23450586264657</v>
      </c>
      <c r="G11" s="173">
        <f t="shared" si="0"/>
        <v>89.883375677247543</v>
      </c>
      <c r="H11" s="174">
        <f t="shared" si="0"/>
        <v>100.08513826454161</v>
      </c>
    </row>
    <row r="12" spans="1:8" s="3" customFormat="1" ht="29.25" customHeight="1" collapsed="1" x14ac:dyDescent="0.2">
      <c r="A12" s="176" t="s">
        <v>47</v>
      </c>
      <c r="B12" s="213">
        <f>SUM(B13:B27)</f>
        <v>21612855</v>
      </c>
      <c r="C12" s="142">
        <f>SUM(C13:C27)</f>
        <v>21338905</v>
      </c>
      <c r="D12" s="142">
        <f t="shared" ref="D12:E12" si="1">SUM(D13:D27)</f>
        <v>21752218</v>
      </c>
      <c r="E12" s="142">
        <f t="shared" si="1"/>
        <v>21662331</v>
      </c>
      <c r="F12" s="170">
        <f t="shared" si="0"/>
        <v>98.732467320953205</v>
      </c>
      <c r="G12" s="170">
        <f t="shared" si="0"/>
        <v>101.93689882400245</v>
      </c>
      <c r="H12" s="171">
        <f t="shared" si="0"/>
        <v>99.586768576887195</v>
      </c>
    </row>
    <row r="13" spans="1:8" s="3" customFormat="1" ht="16.5" customHeight="1" x14ac:dyDescent="0.2">
      <c r="A13" s="175" t="s">
        <v>234</v>
      </c>
      <c r="B13" s="215">
        <v>1930000</v>
      </c>
      <c r="C13" s="148">
        <v>2093300</v>
      </c>
      <c r="D13" s="148">
        <v>2371800</v>
      </c>
      <c r="E13" s="148">
        <v>2271800</v>
      </c>
      <c r="F13" s="173">
        <f t="shared" si="0"/>
        <v>108.46113989637306</v>
      </c>
      <c r="G13" s="173">
        <f t="shared" si="0"/>
        <v>113.30435198012707</v>
      </c>
      <c r="H13" s="174">
        <f t="shared" si="0"/>
        <v>95.78379289990724</v>
      </c>
    </row>
    <row r="14" spans="1:8" s="3" customFormat="1" ht="16.5" customHeight="1" x14ac:dyDescent="0.2">
      <c r="A14" s="175" t="s">
        <v>235</v>
      </c>
      <c r="B14" s="215">
        <v>1400000</v>
      </c>
      <c r="C14" s="148">
        <v>1470000</v>
      </c>
      <c r="D14" s="148">
        <v>1510000</v>
      </c>
      <c r="E14" s="148">
        <v>1650000</v>
      </c>
      <c r="F14" s="173">
        <f t="shared" si="0"/>
        <v>105</v>
      </c>
      <c r="G14" s="173">
        <f t="shared" si="0"/>
        <v>102.72108843537416</v>
      </c>
      <c r="H14" s="174">
        <f t="shared" si="0"/>
        <v>109.27152317880795</v>
      </c>
    </row>
    <row r="15" spans="1:8" s="3" customFormat="1" ht="16.5" customHeight="1" x14ac:dyDescent="0.2">
      <c r="A15" s="175" t="s">
        <v>583</v>
      </c>
      <c r="B15" s="215">
        <v>500</v>
      </c>
      <c r="C15" s="148">
        <v>500</v>
      </c>
      <c r="D15" s="148">
        <v>1000</v>
      </c>
      <c r="E15" s="148">
        <v>1000</v>
      </c>
      <c r="F15" s="173">
        <f t="shared" ref="F15" si="2">C15/B15*100</f>
        <v>100</v>
      </c>
      <c r="G15" s="173">
        <f t="shared" ref="G15" si="3">D15/C15*100</f>
        <v>200</v>
      </c>
      <c r="H15" s="174">
        <f t="shared" ref="H15" si="4">E15/D15*100</f>
        <v>100</v>
      </c>
    </row>
    <row r="16" spans="1:8" s="3" customFormat="1" ht="16.5" customHeight="1" x14ac:dyDescent="0.2">
      <c r="A16" s="175" t="s">
        <v>236</v>
      </c>
      <c r="B16" s="215">
        <v>266387</v>
      </c>
      <c r="C16" s="148">
        <v>147044</v>
      </c>
      <c r="D16" s="148">
        <v>276205</v>
      </c>
      <c r="E16" s="148">
        <v>279237</v>
      </c>
      <c r="F16" s="173">
        <f t="shared" si="0"/>
        <v>55.19939036064072</v>
      </c>
      <c r="G16" s="173">
        <f t="shared" si="0"/>
        <v>187.83833410407769</v>
      </c>
      <c r="H16" s="174">
        <f t="shared" si="0"/>
        <v>101.09773537770859</v>
      </c>
    </row>
    <row r="17" spans="1:8" s="3" customFormat="1" ht="16.5" customHeight="1" x14ac:dyDescent="0.2">
      <c r="A17" s="175" t="s">
        <v>396</v>
      </c>
      <c r="B17" s="215">
        <v>52567</v>
      </c>
      <c r="C17" s="148">
        <v>50249</v>
      </c>
      <c r="D17" s="148">
        <v>54789</v>
      </c>
      <c r="E17" s="148">
        <v>50207</v>
      </c>
      <c r="F17" s="173">
        <f t="shared" si="0"/>
        <v>95.590389407803372</v>
      </c>
      <c r="G17" s="173">
        <f t="shared" si="0"/>
        <v>109.03500567175466</v>
      </c>
      <c r="H17" s="174">
        <f t="shared" si="0"/>
        <v>91.637007428498421</v>
      </c>
    </row>
    <row r="18" spans="1:8" s="3" customFormat="1" ht="16.5" customHeight="1" x14ac:dyDescent="0.2">
      <c r="A18" s="175" t="s">
        <v>28</v>
      </c>
      <c r="B18" s="215">
        <v>207469</v>
      </c>
      <c r="C18" s="148">
        <v>168535</v>
      </c>
      <c r="D18" s="148">
        <v>171411</v>
      </c>
      <c r="E18" s="148">
        <v>143398</v>
      </c>
      <c r="F18" s="173">
        <f t="shared" si="0"/>
        <v>81.233822884382718</v>
      </c>
      <c r="G18" s="173">
        <f t="shared" si="0"/>
        <v>101.7064704660753</v>
      </c>
      <c r="H18" s="174">
        <f t="shared" si="0"/>
        <v>83.657408217675638</v>
      </c>
    </row>
    <row r="19" spans="1:8" s="3" customFormat="1" ht="16.5" customHeight="1" x14ac:dyDescent="0.2">
      <c r="A19" s="175" t="s">
        <v>29</v>
      </c>
      <c r="B19" s="215">
        <v>140094</v>
      </c>
      <c r="C19" s="148">
        <v>116144</v>
      </c>
      <c r="D19" s="148">
        <v>176144</v>
      </c>
      <c r="E19" s="148">
        <v>176144</v>
      </c>
      <c r="F19" s="173">
        <f t="shared" si="0"/>
        <v>82.90433566034234</v>
      </c>
      <c r="G19" s="173">
        <f t="shared" si="0"/>
        <v>151.66000826560133</v>
      </c>
      <c r="H19" s="174">
        <f t="shared" si="0"/>
        <v>100</v>
      </c>
    </row>
    <row r="20" spans="1:8" s="3" customFormat="1" ht="16.5" customHeight="1" x14ac:dyDescent="0.2">
      <c r="A20" s="175" t="s">
        <v>30</v>
      </c>
      <c r="B20" s="215">
        <v>33718</v>
      </c>
      <c r="C20" s="148">
        <v>33718</v>
      </c>
      <c r="D20" s="148">
        <v>33718</v>
      </c>
      <c r="E20" s="148">
        <v>33718</v>
      </c>
      <c r="F20" s="173">
        <f t="shared" si="0"/>
        <v>100</v>
      </c>
      <c r="G20" s="173">
        <f t="shared" si="0"/>
        <v>100</v>
      </c>
      <c r="H20" s="174">
        <f t="shared" si="0"/>
        <v>100</v>
      </c>
    </row>
    <row r="21" spans="1:8" s="3" customFormat="1" ht="16.149999999999999" customHeight="1" x14ac:dyDescent="0.2">
      <c r="A21" s="175" t="s">
        <v>31</v>
      </c>
      <c r="B21" s="215">
        <v>194533</v>
      </c>
      <c r="C21" s="148">
        <v>165557</v>
      </c>
      <c r="D21" s="148">
        <v>157245</v>
      </c>
      <c r="E21" s="148">
        <v>154245</v>
      </c>
      <c r="F21" s="173">
        <f t="shared" ref="F21:H36" si="5">C21/B21*100</f>
        <v>85.104840823921904</v>
      </c>
      <c r="G21" s="173">
        <f t="shared" si="5"/>
        <v>94.979372663191526</v>
      </c>
      <c r="H21" s="174">
        <f t="shared" si="5"/>
        <v>98.092149193933025</v>
      </c>
    </row>
    <row r="22" spans="1:8" s="3" customFormat="1" ht="16.5" customHeight="1" x14ac:dyDescent="0.2">
      <c r="A22" s="175" t="s">
        <v>32</v>
      </c>
      <c r="B22" s="215">
        <v>198170</v>
      </c>
      <c r="C22" s="148">
        <v>116399</v>
      </c>
      <c r="D22" s="148">
        <v>106885</v>
      </c>
      <c r="E22" s="148">
        <v>110135</v>
      </c>
      <c r="F22" s="173">
        <f t="shared" si="5"/>
        <v>58.736943028712716</v>
      </c>
      <c r="G22" s="173">
        <f t="shared" si="5"/>
        <v>91.826390261084725</v>
      </c>
      <c r="H22" s="174">
        <f t="shared" si="5"/>
        <v>103.04065116714224</v>
      </c>
    </row>
    <row r="23" spans="1:8" s="3" customFormat="1" ht="16.5" customHeight="1" x14ac:dyDescent="0.2">
      <c r="A23" s="175" t="s">
        <v>33</v>
      </c>
      <c r="B23" s="215">
        <v>3061716</v>
      </c>
      <c r="C23" s="148">
        <v>2942826</v>
      </c>
      <c r="D23" s="148">
        <v>2842826</v>
      </c>
      <c r="E23" s="148">
        <v>2842826</v>
      </c>
      <c r="F23" s="173">
        <f t="shared" si="5"/>
        <v>96.116883473189546</v>
      </c>
      <c r="G23" s="173">
        <f t="shared" si="5"/>
        <v>96.60190578715833</v>
      </c>
      <c r="H23" s="174">
        <f t="shared" si="5"/>
        <v>100</v>
      </c>
    </row>
    <row r="24" spans="1:8" s="3" customFormat="1" ht="16.5" customHeight="1" x14ac:dyDescent="0.2">
      <c r="A24" s="175" t="s">
        <v>34</v>
      </c>
      <c r="B24" s="215">
        <v>14001483</v>
      </c>
      <c r="C24" s="148">
        <v>13924415</v>
      </c>
      <c r="D24" s="148">
        <v>13939497</v>
      </c>
      <c r="E24" s="148">
        <v>13840598</v>
      </c>
      <c r="F24" s="173">
        <f t="shared" si="5"/>
        <v>99.449572591703316</v>
      </c>
      <c r="G24" s="173">
        <f t="shared" si="5"/>
        <v>100.1083133474548</v>
      </c>
      <c r="H24" s="174">
        <f t="shared" si="5"/>
        <v>99.29051241949405</v>
      </c>
    </row>
    <row r="25" spans="1:8" s="3" customFormat="1" ht="16.5" customHeight="1" x14ac:dyDescent="0.2">
      <c r="A25" s="175" t="s">
        <v>35</v>
      </c>
      <c r="B25" s="215">
        <v>11950</v>
      </c>
      <c r="C25" s="148">
        <v>11950</v>
      </c>
      <c r="D25" s="148">
        <v>13450</v>
      </c>
      <c r="E25" s="148">
        <v>11950</v>
      </c>
      <c r="F25" s="173">
        <f t="shared" si="5"/>
        <v>100</v>
      </c>
      <c r="G25" s="173">
        <f t="shared" si="5"/>
        <v>112.55230125523012</v>
      </c>
      <c r="H25" s="174">
        <f t="shared" si="5"/>
        <v>88.847583643122675</v>
      </c>
    </row>
    <row r="26" spans="1:8" s="3" customFormat="1" ht="16.5" customHeight="1" x14ac:dyDescent="0.2">
      <c r="A26" s="175" t="s">
        <v>36</v>
      </c>
      <c r="B26" s="215">
        <v>64509</v>
      </c>
      <c r="C26" s="148">
        <v>59879</v>
      </c>
      <c r="D26" s="148">
        <v>59979</v>
      </c>
      <c r="E26" s="148">
        <v>59804</v>
      </c>
      <c r="F26" s="173">
        <f t="shared" si="5"/>
        <v>92.822706909113464</v>
      </c>
      <c r="G26" s="173">
        <f t="shared" si="5"/>
        <v>100.16700345697156</v>
      </c>
      <c r="H26" s="174">
        <f t="shared" si="5"/>
        <v>99.708231214258319</v>
      </c>
    </row>
    <row r="27" spans="1:8" s="3" customFormat="1" ht="16.5" customHeight="1" x14ac:dyDescent="0.2">
      <c r="A27" s="175" t="s">
        <v>37</v>
      </c>
      <c r="B27" s="215">
        <v>49759</v>
      </c>
      <c r="C27" s="148">
        <v>38389</v>
      </c>
      <c r="D27" s="148">
        <v>37269</v>
      </c>
      <c r="E27" s="148">
        <v>37269</v>
      </c>
      <c r="F27" s="173">
        <f t="shared" si="5"/>
        <v>77.149862336461752</v>
      </c>
      <c r="G27" s="173">
        <f t="shared" si="5"/>
        <v>97.082497590455603</v>
      </c>
      <c r="H27" s="174">
        <f t="shared" si="5"/>
        <v>100</v>
      </c>
    </row>
    <row r="28" spans="1:8" s="3" customFormat="1" ht="16.5" customHeight="1" x14ac:dyDescent="0.2">
      <c r="A28" s="166" t="s">
        <v>10</v>
      </c>
      <c r="B28" s="213">
        <f>SUM(B29:B35)</f>
        <v>11709723</v>
      </c>
      <c r="C28" s="142">
        <f t="shared" ref="C28:E28" si="6">SUM(C29:C35)</f>
        <v>11816558</v>
      </c>
      <c r="D28" s="142">
        <f t="shared" si="6"/>
        <v>11861264</v>
      </c>
      <c r="E28" s="142">
        <f t="shared" si="6"/>
        <v>11863761</v>
      </c>
      <c r="F28" s="170">
        <f t="shared" si="5"/>
        <v>100.91236146235056</v>
      </c>
      <c r="G28" s="170">
        <f t="shared" si="5"/>
        <v>100.37833352148739</v>
      </c>
      <c r="H28" s="171">
        <f t="shared" si="5"/>
        <v>100.02105171927712</v>
      </c>
    </row>
    <row r="29" spans="1:8" s="3" customFormat="1" ht="16.5" customHeight="1" x14ac:dyDescent="0.2">
      <c r="A29" s="175" t="s">
        <v>237</v>
      </c>
      <c r="B29" s="215">
        <v>890000</v>
      </c>
      <c r="C29" s="148">
        <v>890000</v>
      </c>
      <c r="D29" s="148">
        <v>890000</v>
      </c>
      <c r="E29" s="148">
        <v>890000</v>
      </c>
      <c r="F29" s="173">
        <f t="shared" si="5"/>
        <v>100</v>
      </c>
      <c r="G29" s="173">
        <f t="shared" si="5"/>
        <v>100</v>
      </c>
      <c r="H29" s="174">
        <f t="shared" si="5"/>
        <v>100</v>
      </c>
    </row>
    <row r="30" spans="1:8" s="3" customFormat="1" ht="16.5" customHeight="1" x14ac:dyDescent="0.2">
      <c r="A30" s="175" t="s">
        <v>396</v>
      </c>
      <c r="B30" s="215">
        <v>106480</v>
      </c>
      <c r="C30" s="148">
        <v>90655</v>
      </c>
      <c r="D30" s="148">
        <v>90655</v>
      </c>
      <c r="E30" s="148">
        <v>90655</v>
      </c>
      <c r="F30" s="173">
        <f t="shared" si="5"/>
        <v>85.138054094665662</v>
      </c>
      <c r="G30" s="173">
        <f t="shared" si="5"/>
        <v>100</v>
      </c>
      <c r="H30" s="174">
        <f t="shared" si="5"/>
        <v>100</v>
      </c>
    </row>
    <row r="31" spans="1:8" s="3" customFormat="1" ht="16.5" customHeight="1" x14ac:dyDescent="0.2">
      <c r="A31" s="175" t="s">
        <v>29</v>
      </c>
      <c r="B31" s="215">
        <v>432924</v>
      </c>
      <c r="C31" s="148">
        <v>438479</v>
      </c>
      <c r="D31" s="148">
        <v>481760</v>
      </c>
      <c r="E31" s="148">
        <v>488027</v>
      </c>
      <c r="F31" s="173">
        <f t="shared" si="5"/>
        <v>101.28313514612263</v>
      </c>
      <c r="G31" s="173">
        <f t="shared" si="5"/>
        <v>109.87071216637514</v>
      </c>
      <c r="H31" s="174">
        <f t="shared" si="5"/>
        <v>101.30085519760877</v>
      </c>
    </row>
    <row r="32" spans="1:8" s="3" customFormat="1" ht="16.5" customHeight="1" x14ac:dyDescent="0.2">
      <c r="A32" s="175" t="s">
        <v>33</v>
      </c>
      <c r="B32" s="215">
        <v>939934</v>
      </c>
      <c r="C32" s="148">
        <v>939934</v>
      </c>
      <c r="D32" s="148">
        <v>939934</v>
      </c>
      <c r="E32" s="148">
        <v>939934</v>
      </c>
      <c r="F32" s="173">
        <f t="shared" si="5"/>
        <v>100</v>
      </c>
      <c r="G32" s="173">
        <f t="shared" si="5"/>
        <v>100</v>
      </c>
      <c r="H32" s="174">
        <f t="shared" si="5"/>
        <v>100</v>
      </c>
    </row>
    <row r="33" spans="1:8" s="3" customFormat="1" ht="16.5" customHeight="1" x14ac:dyDescent="0.2">
      <c r="A33" s="175" t="s">
        <v>34</v>
      </c>
      <c r="B33" s="215">
        <v>8542813</v>
      </c>
      <c r="C33" s="148">
        <v>8643283</v>
      </c>
      <c r="D33" s="148">
        <v>8652313</v>
      </c>
      <c r="E33" s="148">
        <v>8652343</v>
      </c>
      <c r="F33" s="173">
        <f t="shared" si="5"/>
        <v>101.17607631116354</v>
      </c>
      <c r="G33" s="173">
        <f t="shared" si="5"/>
        <v>100.10447419111466</v>
      </c>
      <c r="H33" s="174">
        <f t="shared" si="5"/>
        <v>100.00034672809454</v>
      </c>
    </row>
    <row r="34" spans="1:8" s="3" customFormat="1" ht="16.5" customHeight="1" x14ac:dyDescent="0.2">
      <c r="A34" s="175" t="s">
        <v>36</v>
      </c>
      <c r="B34" s="215">
        <v>753102</v>
      </c>
      <c r="C34" s="148">
        <v>777102</v>
      </c>
      <c r="D34" s="148">
        <v>777302</v>
      </c>
      <c r="E34" s="148">
        <v>773502</v>
      </c>
      <c r="F34" s="173">
        <f t="shared" si="5"/>
        <v>103.18681931531187</v>
      </c>
      <c r="G34" s="173">
        <f t="shared" si="5"/>
        <v>100.02573664718402</v>
      </c>
      <c r="H34" s="174">
        <f t="shared" si="5"/>
        <v>99.511129522373537</v>
      </c>
    </row>
    <row r="35" spans="1:8" s="3" customFormat="1" ht="16.5" customHeight="1" x14ac:dyDescent="0.2">
      <c r="A35" s="175" t="s">
        <v>37</v>
      </c>
      <c r="B35" s="215">
        <v>44470</v>
      </c>
      <c r="C35" s="148">
        <v>37105</v>
      </c>
      <c r="D35" s="148">
        <v>29300</v>
      </c>
      <c r="E35" s="148">
        <v>29300</v>
      </c>
      <c r="F35" s="173">
        <f t="shared" ref="F35" si="7">C35/B35*100</f>
        <v>83.438272993029003</v>
      </c>
      <c r="G35" s="173">
        <f t="shared" ref="G35" si="8">D35/C35*100</f>
        <v>78.96509904325562</v>
      </c>
      <c r="H35" s="174">
        <f t="shared" ref="H35" si="9">E35/D35*100</f>
        <v>100</v>
      </c>
    </row>
    <row r="36" spans="1:8" s="3" customFormat="1" ht="16.5" customHeight="1" x14ac:dyDescent="0.2">
      <c r="A36" s="166" t="s">
        <v>50</v>
      </c>
      <c r="B36" s="213">
        <f>SUM(B37:B39)</f>
        <v>313375</v>
      </c>
      <c r="C36" s="142">
        <f>SUM(C37:C39)</f>
        <v>355500</v>
      </c>
      <c r="D36" s="142">
        <f>SUM(D37:D39)</f>
        <v>245000</v>
      </c>
      <c r="E36" s="142">
        <f>SUM(E37:E39)</f>
        <v>245000</v>
      </c>
      <c r="F36" s="170">
        <f t="shared" si="5"/>
        <v>113.44236138811328</v>
      </c>
      <c r="G36" s="170">
        <f t="shared" si="5"/>
        <v>68.917018284106888</v>
      </c>
      <c r="H36" s="171">
        <f t="shared" si="5"/>
        <v>100</v>
      </c>
    </row>
    <row r="37" spans="1:8" s="3" customFormat="1" ht="16.5" customHeight="1" x14ac:dyDescent="0.2">
      <c r="A37" s="175" t="s">
        <v>33</v>
      </c>
      <c r="B37" s="215">
        <v>234800</v>
      </c>
      <c r="C37" s="148">
        <v>210000</v>
      </c>
      <c r="D37" s="148">
        <v>210000</v>
      </c>
      <c r="E37" s="148">
        <v>210000</v>
      </c>
      <c r="F37" s="173">
        <f t="shared" ref="F37:F38" si="10">C37/B37*100</f>
        <v>89.437819420783654</v>
      </c>
      <c r="G37" s="173">
        <f t="shared" ref="G37" si="11">D37/C37*100</f>
        <v>100</v>
      </c>
      <c r="H37" s="174">
        <f t="shared" ref="H37" si="12">E37/D37*100</f>
        <v>100</v>
      </c>
    </row>
    <row r="38" spans="1:8" s="3" customFormat="1" ht="16.5" customHeight="1" x14ac:dyDescent="0.2">
      <c r="A38" s="175" t="s">
        <v>34</v>
      </c>
      <c r="B38" s="215">
        <v>35000</v>
      </c>
      <c r="C38" s="148">
        <v>35000</v>
      </c>
      <c r="D38" s="148">
        <v>35000</v>
      </c>
      <c r="E38" s="148">
        <v>35000</v>
      </c>
      <c r="F38" s="173">
        <f t="shared" si="10"/>
        <v>100</v>
      </c>
      <c r="G38" s="173">
        <f t="shared" ref="G38" si="13">D38/C38*100</f>
        <v>100</v>
      </c>
      <c r="H38" s="174">
        <f t="shared" ref="H38" si="14">E38/D38*100</f>
        <v>100</v>
      </c>
    </row>
    <row r="39" spans="1:8" s="3" customFormat="1" ht="16.5" customHeight="1" x14ac:dyDescent="0.2">
      <c r="A39" s="175" t="s">
        <v>36</v>
      </c>
      <c r="B39" s="215">
        <v>43575</v>
      </c>
      <c r="C39" s="148">
        <v>110500</v>
      </c>
      <c r="D39" s="148">
        <v>0</v>
      </c>
      <c r="E39" s="148">
        <v>0</v>
      </c>
      <c r="F39" s="173">
        <f t="shared" ref="F39" si="15">C39/B39*100</f>
        <v>253.58577165806082</v>
      </c>
      <c r="G39" s="173">
        <f t="shared" ref="G39" si="16">D39/C39*100</f>
        <v>0</v>
      </c>
      <c r="H39" s="383" t="s">
        <v>313</v>
      </c>
    </row>
    <row r="40" spans="1:8" s="3" customFormat="1" ht="6" customHeight="1" x14ac:dyDescent="0.2">
      <c r="A40" s="177"/>
      <c r="B40" s="215"/>
      <c r="C40" s="148"/>
      <c r="D40" s="148"/>
      <c r="E40" s="148"/>
      <c r="F40" s="178"/>
      <c r="G40" s="178"/>
      <c r="H40" s="179"/>
    </row>
    <row r="41" spans="1:8" s="3" customFormat="1" ht="29.25" customHeight="1" x14ac:dyDescent="0.2">
      <c r="A41" s="176" t="s">
        <v>395</v>
      </c>
      <c r="B41" s="213">
        <v>167683</v>
      </c>
      <c r="C41" s="142">
        <v>108636</v>
      </c>
      <c r="D41" s="142">
        <v>96173</v>
      </c>
      <c r="E41" s="142">
        <v>87763</v>
      </c>
      <c r="F41" s="170">
        <f t="shared" ref="F41:H41" si="17">C41/B41*100</f>
        <v>64.786531729513428</v>
      </c>
      <c r="G41" s="170">
        <f t="shared" si="17"/>
        <v>88.527744025921436</v>
      </c>
      <c r="H41" s="171">
        <f t="shared" si="17"/>
        <v>91.255341935886364</v>
      </c>
    </row>
    <row r="42" spans="1:8" s="3" customFormat="1" ht="6" customHeight="1" x14ac:dyDescent="0.2">
      <c r="A42" s="180"/>
      <c r="B42" s="213"/>
      <c r="C42" s="142"/>
      <c r="D42" s="142"/>
      <c r="E42" s="142"/>
      <c r="F42" s="178"/>
      <c r="G42" s="178"/>
      <c r="H42" s="179"/>
    </row>
    <row r="43" spans="1:8" s="3" customFormat="1" ht="29.25" customHeight="1" x14ac:dyDescent="0.2">
      <c r="A43" s="176" t="s">
        <v>38</v>
      </c>
      <c r="B43" s="213">
        <f>SUM(B44:B52)</f>
        <v>3754624</v>
      </c>
      <c r="C43" s="142">
        <f>SUM(C44:C52)</f>
        <v>4861762</v>
      </c>
      <c r="D43" s="142">
        <f>SUM(D44:D52)</f>
        <v>3915749</v>
      </c>
      <c r="E43" s="142">
        <f>SUM(E44:E52)</f>
        <v>2080712</v>
      </c>
      <c r="F43" s="170">
        <f t="shared" ref="F43:H44" si="18">C43/B43*100</f>
        <v>129.487320168411</v>
      </c>
      <c r="G43" s="170">
        <f t="shared" si="18"/>
        <v>80.541766544721852</v>
      </c>
      <c r="H43" s="171">
        <f t="shared" si="18"/>
        <v>53.137011590885933</v>
      </c>
    </row>
    <row r="44" spans="1:8" s="3" customFormat="1" ht="16.5" customHeight="1" x14ac:dyDescent="0.2">
      <c r="A44" s="175" t="s">
        <v>53</v>
      </c>
      <c r="B44" s="215">
        <v>46600</v>
      </c>
      <c r="C44" s="148">
        <v>8000</v>
      </c>
      <c r="D44" s="148">
        <v>8700</v>
      </c>
      <c r="E44" s="148">
        <v>9000</v>
      </c>
      <c r="F44" s="173">
        <f t="shared" si="18"/>
        <v>17.167381974248926</v>
      </c>
      <c r="G44" s="173">
        <f t="shared" si="18"/>
        <v>108.74999999999999</v>
      </c>
      <c r="H44" s="174">
        <f t="shared" si="18"/>
        <v>103.44827586206897</v>
      </c>
    </row>
    <row r="45" spans="1:8" s="1" customFormat="1" ht="16.5" customHeight="1" x14ac:dyDescent="0.2">
      <c r="A45" s="175" t="s">
        <v>39</v>
      </c>
      <c r="B45" s="215">
        <v>53000</v>
      </c>
      <c r="C45" s="148">
        <v>53000</v>
      </c>
      <c r="D45" s="148">
        <v>53000</v>
      </c>
      <c r="E45" s="148">
        <v>53000</v>
      </c>
      <c r="F45" s="173">
        <f t="shared" ref="F45" si="19">C45/B45*100</f>
        <v>100</v>
      </c>
      <c r="G45" s="173">
        <f t="shared" ref="G45" si="20">D45/C45*100</f>
        <v>100</v>
      </c>
      <c r="H45" s="174">
        <f t="shared" ref="H45" si="21">E45/D45*100</f>
        <v>100</v>
      </c>
    </row>
    <row r="46" spans="1:8" s="3" customFormat="1" ht="16.5" customHeight="1" x14ac:dyDescent="0.2">
      <c r="A46" s="175" t="s">
        <v>237</v>
      </c>
      <c r="B46" s="215">
        <v>1349370</v>
      </c>
      <c r="C46" s="148">
        <v>2853682</v>
      </c>
      <c r="D46" s="148">
        <v>2536377</v>
      </c>
      <c r="E46" s="148">
        <v>1404127</v>
      </c>
      <c r="F46" s="173">
        <f t="shared" ref="F46:F52" si="22">C46/B46*100</f>
        <v>211.48254370558112</v>
      </c>
      <c r="G46" s="173">
        <f t="shared" ref="G46:G52" si="23">D46/C46*100</f>
        <v>88.880856381334709</v>
      </c>
      <c r="H46" s="174">
        <f t="shared" ref="H46:H52" si="24">E46/D46*100</f>
        <v>55.359554198764613</v>
      </c>
    </row>
    <row r="47" spans="1:8" s="3" customFormat="1" ht="16.5" customHeight="1" x14ac:dyDescent="0.2">
      <c r="A47" s="175" t="s">
        <v>396</v>
      </c>
      <c r="B47" s="215">
        <v>133166</v>
      </c>
      <c r="C47" s="148">
        <v>28566</v>
      </c>
      <c r="D47" s="148">
        <v>29226</v>
      </c>
      <c r="E47" s="148">
        <v>28926</v>
      </c>
      <c r="F47" s="173">
        <f t="shared" si="22"/>
        <v>21.451421534025204</v>
      </c>
      <c r="G47" s="173">
        <f t="shared" si="23"/>
        <v>102.31043898340684</v>
      </c>
      <c r="H47" s="174">
        <f t="shared" si="24"/>
        <v>98.973516731677265</v>
      </c>
    </row>
    <row r="48" spans="1:8" s="3" customFormat="1" ht="16.5" customHeight="1" x14ac:dyDescent="0.2">
      <c r="A48" s="175" t="s">
        <v>29</v>
      </c>
      <c r="B48" s="215">
        <v>122263</v>
      </c>
      <c r="C48" s="148">
        <v>181988</v>
      </c>
      <c r="D48" s="148">
        <v>150588</v>
      </c>
      <c r="E48" s="148">
        <v>10588</v>
      </c>
      <c r="F48" s="173">
        <f t="shared" si="22"/>
        <v>148.84961108430187</v>
      </c>
      <c r="G48" s="173">
        <f t="shared" si="23"/>
        <v>82.746115128470009</v>
      </c>
      <c r="H48" s="174">
        <f t="shared" si="24"/>
        <v>7.0311047361011498</v>
      </c>
    </row>
    <row r="49" spans="1:8" s="3" customFormat="1" ht="16.5" customHeight="1" x14ac:dyDescent="0.2">
      <c r="A49" s="175" t="s">
        <v>33</v>
      </c>
      <c r="B49" s="215">
        <v>311962</v>
      </c>
      <c r="C49" s="148">
        <v>54400</v>
      </c>
      <c r="D49" s="148">
        <v>20600</v>
      </c>
      <c r="E49" s="148">
        <v>3000</v>
      </c>
      <c r="F49" s="173">
        <f t="shared" si="22"/>
        <v>17.438021297465717</v>
      </c>
      <c r="G49" s="173">
        <f t="shared" si="23"/>
        <v>37.867647058823529</v>
      </c>
      <c r="H49" s="174">
        <f t="shared" si="24"/>
        <v>14.563106796116504</v>
      </c>
    </row>
    <row r="50" spans="1:8" s="3" customFormat="1" ht="16.5" customHeight="1" x14ac:dyDescent="0.2">
      <c r="A50" s="175" t="s">
        <v>34</v>
      </c>
      <c r="B50" s="215">
        <v>1196428</v>
      </c>
      <c r="C50" s="148">
        <v>1341078</v>
      </c>
      <c r="D50" s="148">
        <v>869320</v>
      </c>
      <c r="E50" s="148">
        <v>335550</v>
      </c>
      <c r="F50" s="173">
        <f t="shared" si="22"/>
        <v>112.09015502813375</v>
      </c>
      <c r="G50" s="173">
        <f t="shared" si="23"/>
        <v>64.822478632861021</v>
      </c>
      <c r="H50" s="174">
        <f t="shared" si="24"/>
        <v>38.599134956057604</v>
      </c>
    </row>
    <row r="51" spans="1:8" s="3" customFormat="1" ht="16.5" customHeight="1" x14ac:dyDescent="0.2">
      <c r="A51" s="175" t="s">
        <v>36</v>
      </c>
      <c r="B51" s="215">
        <v>541735</v>
      </c>
      <c r="C51" s="148">
        <v>340948</v>
      </c>
      <c r="D51" s="148">
        <v>197838</v>
      </c>
      <c r="E51" s="148">
        <v>159997</v>
      </c>
      <c r="F51" s="173">
        <f t="shared" si="22"/>
        <v>62.936306496718878</v>
      </c>
      <c r="G51" s="173">
        <f t="shared" si="23"/>
        <v>58.025857315485062</v>
      </c>
      <c r="H51" s="174">
        <f t="shared" si="24"/>
        <v>80.872734257321639</v>
      </c>
    </row>
    <row r="52" spans="1:8" s="3" customFormat="1" ht="16.5" customHeight="1" x14ac:dyDescent="0.2">
      <c r="A52" s="175" t="s">
        <v>37</v>
      </c>
      <c r="B52" s="215">
        <v>100</v>
      </c>
      <c r="C52" s="148">
        <v>100</v>
      </c>
      <c r="D52" s="148">
        <v>50100</v>
      </c>
      <c r="E52" s="148">
        <v>76524</v>
      </c>
      <c r="F52" s="173">
        <f t="shared" si="22"/>
        <v>100</v>
      </c>
      <c r="G52" s="173">
        <f t="shared" si="23"/>
        <v>50100</v>
      </c>
      <c r="H52" s="174">
        <f t="shared" si="24"/>
        <v>152.74251497005989</v>
      </c>
    </row>
    <row r="53" spans="1:8" s="3" customFormat="1" ht="6" customHeight="1" x14ac:dyDescent="0.2">
      <c r="A53" s="182"/>
      <c r="B53" s="215"/>
      <c r="C53" s="148"/>
      <c r="D53" s="148"/>
      <c r="E53" s="148"/>
      <c r="F53" s="261"/>
      <c r="G53" s="178"/>
      <c r="H53" s="179"/>
    </row>
    <row r="54" spans="1:8" s="3" customFormat="1" ht="41.25" customHeight="1" x14ac:dyDescent="0.2">
      <c r="A54" s="176" t="s">
        <v>570</v>
      </c>
      <c r="B54" s="216">
        <v>186972</v>
      </c>
      <c r="C54" s="157">
        <v>172092</v>
      </c>
      <c r="D54" s="157">
        <v>154234</v>
      </c>
      <c r="E54" s="157">
        <v>210244</v>
      </c>
      <c r="F54" s="170">
        <f t="shared" ref="F54" si="25">C54/B54*100</f>
        <v>92.041589114947698</v>
      </c>
      <c r="G54" s="170">
        <f t="shared" ref="G54" si="26">D54/C54*100</f>
        <v>89.622992352927497</v>
      </c>
      <c r="H54" s="171">
        <f t="shared" ref="H54" si="27">E54/D54*100</f>
        <v>136.3149500110222</v>
      </c>
    </row>
    <row r="55" spans="1:8" s="10" customFormat="1" ht="6" customHeight="1" x14ac:dyDescent="0.2">
      <c r="A55" s="378"/>
      <c r="B55" s="216"/>
      <c r="C55" s="157"/>
      <c r="D55" s="157"/>
      <c r="E55" s="157"/>
      <c r="F55" s="185"/>
      <c r="G55" s="185"/>
      <c r="H55" s="186"/>
    </row>
    <row r="56" spans="1:8" s="9" customFormat="1" ht="16.5" customHeight="1" x14ac:dyDescent="0.2">
      <c r="A56" s="183" t="s">
        <v>51</v>
      </c>
      <c r="B56" s="213">
        <f>SUM(B57:B66)</f>
        <v>4057280</v>
      </c>
      <c r="C56" s="142">
        <f>SUM(C57:C66)</f>
        <v>3553030</v>
      </c>
      <c r="D56" s="142">
        <f>SUM(D57:D66)</f>
        <v>1005893</v>
      </c>
      <c r="E56" s="142">
        <f>SUM(E57:E66)</f>
        <v>104795</v>
      </c>
      <c r="F56" s="170">
        <f t="shared" ref="F56:H56" si="28">C56/B56*100</f>
        <v>87.571722927675694</v>
      </c>
      <c r="G56" s="170">
        <f t="shared" si="28"/>
        <v>28.310850175765474</v>
      </c>
      <c r="H56" s="171">
        <f t="shared" si="28"/>
        <v>10.418106100748291</v>
      </c>
    </row>
    <row r="57" spans="1:8" s="9" customFormat="1" ht="16.5" customHeight="1" x14ac:dyDescent="0.2">
      <c r="A57" s="175" t="s">
        <v>237</v>
      </c>
      <c r="B57" s="215">
        <v>483152</v>
      </c>
      <c r="C57" s="148">
        <v>300267</v>
      </c>
      <c r="D57" s="148">
        <v>53717</v>
      </c>
      <c r="E57" s="148">
        <v>40000</v>
      </c>
      <c r="F57" s="173">
        <f t="shared" ref="F57:F58" si="29">C57/B57*100</f>
        <v>62.147522932741659</v>
      </c>
      <c r="G57" s="173">
        <f t="shared" ref="G57" si="30">D57/C57*100</f>
        <v>17.889744793800187</v>
      </c>
      <c r="H57" s="174">
        <f t="shared" ref="H57" si="31">E57/D57*100</f>
        <v>74.464322281586831</v>
      </c>
    </row>
    <row r="58" spans="1:8" s="9" customFormat="1" ht="16.5" customHeight="1" x14ac:dyDescent="0.2">
      <c r="A58" s="175" t="s">
        <v>28</v>
      </c>
      <c r="B58" s="215">
        <v>179000</v>
      </c>
      <c r="C58" s="148">
        <v>0</v>
      </c>
      <c r="D58" s="148">
        <v>0</v>
      </c>
      <c r="E58" s="148">
        <v>0</v>
      </c>
      <c r="F58" s="173">
        <f t="shared" si="29"/>
        <v>0</v>
      </c>
      <c r="G58" s="384" t="s">
        <v>313</v>
      </c>
      <c r="H58" s="383" t="s">
        <v>313</v>
      </c>
    </row>
    <row r="59" spans="1:8" s="9" customFormat="1" ht="16.5" customHeight="1" x14ac:dyDescent="0.2">
      <c r="A59" s="175" t="s">
        <v>29</v>
      </c>
      <c r="B59" s="215">
        <v>1639586</v>
      </c>
      <c r="C59" s="148">
        <v>1178861</v>
      </c>
      <c r="D59" s="148">
        <v>109898</v>
      </c>
      <c r="E59" s="148">
        <v>0</v>
      </c>
      <c r="F59" s="173">
        <f t="shared" ref="F59:F66" si="32">C59/B59*100</f>
        <v>71.899918637997644</v>
      </c>
      <c r="G59" s="173">
        <f t="shared" ref="G59:G66" si="33">D59/C59*100</f>
        <v>9.3223883053218319</v>
      </c>
      <c r="H59" s="174">
        <f t="shared" ref="H59:H66" si="34">E59/D59*100</f>
        <v>0</v>
      </c>
    </row>
    <row r="60" spans="1:8" s="9" customFormat="1" ht="16.5" customHeight="1" x14ac:dyDescent="0.2">
      <c r="A60" s="175" t="s">
        <v>31</v>
      </c>
      <c r="B60" s="215">
        <v>70774</v>
      </c>
      <c r="C60" s="148">
        <v>64006</v>
      </c>
      <c r="D60" s="148">
        <v>30000</v>
      </c>
      <c r="E60" s="148">
        <v>30000</v>
      </c>
      <c r="F60" s="173">
        <f t="shared" si="32"/>
        <v>90.437166190974082</v>
      </c>
      <c r="G60" s="173">
        <f t="shared" si="33"/>
        <v>46.870605880698683</v>
      </c>
      <c r="H60" s="174">
        <f t="shared" si="34"/>
        <v>100</v>
      </c>
    </row>
    <row r="61" spans="1:8" s="9" customFormat="1" ht="16.5" customHeight="1" x14ac:dyDescent="0.2">
      <c r="A61" s="175" t="s">
        <v>32</v>
      </c>
      <c r="B61" s="215">
        <v>1400</v>
      </c>
      <c r="C61" s="148">
        <v>1400</v>
      </c>
      <c r="D61" s="148">
        <v>1125</v>
      </c>
      <c r="E61" s="148">
        <v>0</v>
      </c>
      <c r="F61" s="173">
        <f t="shared" si="32"/>
        <v>100</v>
      </c>
      <c r="G61" s="173">
        <f t="shared" si="33"/>
        <v>80.357142857142861</v>
      </c>
      <c r="H61" s="174">
        <f t="shared" si="34"/>
        <v>0</v>
      </c>
    </row>
    <row r="62" spans="1:8" s="9" customFormat="1" ht="16.5" customHeight="1" x14ac:dyDescent="0.2">
      <c r="A62" s="175" t="s">
        <v>33</v>
      </c>
      <c r="B62" s="215">
        <v>245751</v>
      </c>
      <c r="C62" s="148">
        <v>307131</v>
      </c>
      <c r="D62" s="148">
        <v>105592</v>
      </c>
      <c r="E62" s="148">
        <v>238</v>
      </c>
      <c r="F62" s="173">
        <f t="shared" si="32"/>
        <v>124.97650060427017</v>
      </c>
      <c r="G62" s="173">
        <f t="shared" si="33"/>
        <v>34.380117930134048</v>
      </c>
      <c r="H62" s="174">
        <f t="shared" si="34"/>
        <v>0.22539586332297901</v>
      </c>
    </row>
    <row r="63" spans="1:8" s="9" customFormat="1" ht="16.5" customHeight="1" x14ac:dyDescent="0.2">
      <c r="A63" s="175" t="s">
        <v>34</v>
      </c>
      <c r="B63" s="218">
        <v>950412</v>
      </c>
      <c r="C63" s="181">
        <v>1094340</v>
      </c>
      <c r="D63" s="181">
        <v>355888</v>
      </c>
      <c r="E63" s="181">
        <v>0</v>
      </c>
      <c r="F63" s="173">
        <f t="shared" si="32"/>
        <v>115.14374818499766</v>
      </c>
      <c r="G63" s="173">
        <f t="shared" si="33"/>
        <v>32.520788785934904</v>
      </c>
      <c r="H63" s="174">
        <f t="shared" si="34"/>
        <v>0</v>
      </c>
    </row>
    <row r="64" spans="1:8" s="9" customFormat="1" ht="16.5" customHeight="1" x14ac:dyDescent="0.2">
      <c r="A64" s="175" t="s">
        <v>35</v>
      </c>
      <c r="B64" s="215">
        <v>2500</v>
      </c>
      <c r="C64" s="148">
        <v>0</v>
      </c>
      <c r="D64" s="148">
        <v>0</v>
      </c>
      <c r="E64" s="148">
        <v>0</v>
      </c>
      <c r="F64" s="173">
        <f t="shared" si="32"/>
        <v>0</v>
      </c>
      <c r="G64" s="384" t="s">
        <v>313</v>
      </c>
      <c r="H64" s="383" t="s">
        <v>313</v>
      </c>
    </row>
    <row r="65" spans="1:8" s="9" customFormat="1" ht="16.5" customHeight="1" x14ac:dyDescent="0.2">
      <c r="A65" s="175" t="s">
        <v>36</v>
      </c>
      <c r="B65" s="215">
        <v>301237</v>
      </c>
      <c r="C65" s="148">
        <v>576425</v>
      </c>
      <c r="D65" s="148">
        <v>327199</v>
      </c>
      <c r="E65" s="148">
        <v>0</v>
      </c>
      <c r="F65" s="173">
        <f t="shared" si="32"/>
        <v>191.35265588224556</v>
      </c>
      <c r="G65" s="173">
        <f t="shared" si="33"/>
        <v>56.763499154269844</v>
      </c>
      <c r="H65" s="174">
        <f t="shared" si="34"/>
        <v>0</v>
      </c>
    </row>
    <row r="66" spans="1:8" s="9" customFormat="1" ht="16.5" customHeight="1" x14ac:dyDescent="0.2">
      <c r="A66" s="175" t="s">
        <v>37</v>
      </c>
      <c r="B66" s="215">
        <v>183468</v>
      </c>
      <c r="C66" s="148">
        <v>30600</v>
      </c>
      <c r="D66" s="148">
        <v>22474</v>
      </c>
      <c r="E66" s="148">
        <v>34557</v>
      </c>
      <c r="F66" s="173">
        <f t="shared" si="32"/>
        <v>16.678657858591144</v>
      </c>
      <c r="G66" s="173">
        <f t="shared" si="33"/>
        <v>73.444444444444443</v>
      </c>
      <c r="H66" s="174">
        <f t="shared" si="34"/>
        <v>153.76434991545787</v>
      </c>
    </row>
    <row r="67" spans="1:8" s="3" customFormat="1" ht="6" customHeight="1" x14ac:dyDescent="0.2">
      <c r="A67" s="177"/>
      <c r="B67" s="215"/>
      <c r="C67" s="148"/>
      <c r="D67" s="148"/>
      <c r="E67" s="148"/>
      <c r="F67" s="178"/>
      <c r="G67" s="178"/>
      <c r="H67" s="179"/>
    </row>
    <row r="68" spans="1:8" s="3" customFormat="1" ht="29.25" customHeight="1" x14ac:dyDescent="0.2">
      <c r="A68" s="176" t="s">
        <v>238</v>
      </c>
      <c r="B68" s="216">
        <v>175931</v>
      </c>
      <c r="C68" s="157">
        <v>168596</v>
      </c>
      <c r="D68" s="157">
        <v>24250</v>
      </c>
      <c r="E68" s="157">
        <v>0</v>
      </c>
      <c r="F68" s="170">
        <f t="shared" ref="F68:H68" si="35">C68/B68*100</f>
        <v>95.830751828841983</v>
      </c>
      <c r="G68" s="170">
        <f t="shared" si="35"/>
        <v>14.383496642862227</v>
      </c>
      <c r="H68" s="171">
        <f t="shared" si="35"/>
        <v>0</v>
      </c>
    </row>
    <row r="69" spans="1:8" s="10" customFormat="1" ht="6" customHeight="1" x14ac:dyDescent="0.2">
      <c r="A69" s="184"/>
      <c r="B69" s="216"/>
      <c r="C69" s="157"/>
      <c r="D69" s="157"/>
      <c r="E69" s="157"/>
      <c r="F69" s="185"/>
      <c r="G69" s="185"/>
      <c r="H69" s="186"/>
    </row>
    <row r="70" spans="1:8" s="3" customFormat="1" ht="16.5" customHeight="1" x14ac:dyDescent="0.2">
      <c r="A70" s="176" t="s">
        <v>230</v>
      </c>
      <c r="B70" s="216">
        <v>0</v>
      </c>
      <c r="C70" s="157">
        <v>200000</v>
      </c>
      <c r="D70" s="157">
        <v>200000</v>
      </c>
      <c r="E70" s="157">
        <v>1100000</v>
      </c>
      <c r="F70" s="220" t="s">
        <v>313</v>
      </c>
      <c r="G70" s="170">
        <f t="shared" ref="G70" si="36">D70/C70*100</f>
        <v>100</v>
      </c>
      <c r="H70" s="171">
        <f t="shared" ref="H70" si="37">E70/D70*100</f>
        <v>550</v>
      </c>
    </row>
    <row r="71" spans="1:8" s="10" customFormat="1" ht="6" customHeight="1" thickBot="1" x14ac:dyDescent="0.25">
      <c r="A71" s="184"/>
      <c r="B71" s="216"/>
      <c r="C71" s="157"/>
      <c r="D71" s="157"/>
      <c r="E71" s="157"/>
      <c r="F71" s="185"/>
      <c r="G71" s="185"/>
      <c r="H71" s="186"/>
    </row>
    <row r="72" spans="1:8" s="9" customFormat="1" ht="16.5" customHeight="1" thickBot="1" x14ac:dyDescent="0.25">
      <c r="A72" s="187" t="s">
        <v>7</v>
      </c>
      <c r="B72" s="217">
        <f>B4+B5+B12+B28+B36+B41+B43+B54+B56+B68+B70</f>
        <v>43453549</v>
      </c>
      <c r="C72" s="162">
        <f>C4+C5+C12+C28+C36+C41+C43+C54+C56+C68+C70</f>
        <v>44063454</v>
      </c>
      <c r="D72" s="162">
        <f>D4+D5+D12+D28+D36+D41+D43+D54+D56+D68+D70</f>
        <v>40737183</v>
      </c>
      <c r="E72" s="162">
        <f>E4+E5+E12+E28+E36+E41+E43+E54+E56+E68+E70</f>
        <v>38833962</v>
      </c>
      <c r="F72" s="188">
        <f t="shared" ref="F72:H72" si="38">C72/B72*100</f>
        <v>101.40357925655279</v>
      </c>
      <c r="G72" s="188">
        <f t="shared" si="38"/>
        <v>92.451179610204875</v>
      </c>
      <c r="H72" s="189">
        <f t="shared" si="38"/>
        <v>95.328049561011625</v>
      </c>
    </row>
  </sheetData>
  <mergeCells count="4">
    <mergeCell ref="A2:A3"/>
    <mergeCell ref="F2:F3"/>
    <mergeCell ref="G2:G3"/>
    <mergeCell ref="H2:H3"/>
  </mergeCells>
  <printOptions horizontalCentered="1"/>
  <pageMargins left="0.31496062992125984" right="0.31496062992125984" top="0.59055118110236227" bottom="0.39370078740157483" header="0.31496062992125984" footer="0.11811023622047245"/>
  <pageSetup paperSize="9" scale="69" firstPageNumber="3" fitToHeight="0" orientation="portrait" useFirstPageNumber="1" r:id="rId1"/>
  <headerFooter>
    <oddHeader>&amp;L&amp;"Tahoma,Kurzíva"Střednědobý výhled rozpočtu Moravskoslezského kraje na léta 2027-2029&amp;R&amp;"Tahoma,Kurzíva"Bilance příjmů a výdajů v letech 2027-2029</oddHeader>
    <oddFooter>&amp;C&amp;"Tahoma,Obyčejné"&amp;P</oddFooter>
  </headerFooter>
  <rowBreaks count="1" manualBreakCount="1">
    <brk id="66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B23AC2-2D03-4C09-AA7C-C8A09803F46D}">
  <sheetPr>
    <pageSetUpPr fitToPage="1"/>
  </sheetPr>
  <dimension ref="A1:M70"/>
  <sheetViews>
    <sheetView zoomScaleNormal="100" zoomScaleSheetLayoutView="100" workbookViewId="0">
      <pane ySplit="4" topLeftCell="A5" activePane="bottomLeft" state="frozen"/>
      <selection activeCell="B26" sqref="B26"/>
      <selection pane="bottomLeft" activeCell="H5" sqref="H5"/>
    </sheetView>
  </sheetViews>
  <sheetFormatPr defaultColWidth="9" defaultRowHeight="12.75" x14ac:dyDescent="0.2"/>
  <cols>
    <col min="1" max="1" width="57.42578125" style="34" customWidth="1"/>
    <col min="2" max="2" width="12.42578125" style="34" hidden="1" customWidth="1"/>
    <col min="3" max="6" width="11.28515625" style="34" customWidth="1"/>
    <col min="7" max="16384" width="9" style="34"/>
  </cols>
  <sheetData>
    <row r="1" spans="1:13" ht="15" customHeight="1" x14ac:dyDescent="0.2">
      <c r="A1" s="21" t="s">
        <v>55</v>
      </c>
    </row>
    <row r="2" spans="1:13" ht="30" customHeight="1" thickBot="1" x14ac:dyDescent="0.25">
      <c r="A2" s="650" t="s">
        <v>580</v>
      </c>
      <c r="B2" s="650"/>
      <c r="C2" s="651"/>
      <c r="D2" s="651"/>
      <c r="E2" s="651"/>
      <c r="F2" s="350"/>
    </row>
    <row r="3" spans="1:13" s="35" customFormat="1" ht="27.75" customHeight="1" x14ac:dyDescent="0.2">
      <c r="A3" s="652" t="s">
        <v>65</v>
      </c>
      <c r="B3" s="654" t="s">
        <v>66</v>
      </c>
      <c r="C3" s="656" t="s">
        <v>391</v>
      </c>
      <c r="D3" s="657"/>
      <c r="E3" s="657"/>
      <c r="F3" s="658"/>
    </row>
    <row r="4" spans="1:13" s="35" customFormat="1" ht="18" customHeight="1" thickBot="1" x14ac:dyDescent="0.25">
      <c r="A4" s="653"/>
      <c r="B4" s="655"/>
      <c r="C4" s="202">
        <v>2026</v>
      </c>
      <c r="D4" s="296">
        <v>2027</v>
      </c>
      <c r="E4" s="351">
        <v>2028</v>
      </c>
      <c r="F4" s="363">
        <v>2029</v>
      </c>
    </row>
    <row r="5" spans="1:13" s="35" customFormat="1" ht="16.5" customHeight="1" x14ac:dyDescent="0.2">
      <c r="A5" s="204" t="s">
        <v>67</v>
      </c>
      <c r="B5" s="205"/>
      <c r="C5" s="206">
        <f>C7+C24+C33</f>
        <v>26503022</v>
      </c>
      <c r="D5" s="206">
        <f>D7+D24+D33</f>
        <v>26329007</v>
      </c>
      <c r="E5" s="352">
        <f>E7+E24+E33</f>
        <v>25489404</v>
      </c>
      <c r="F5" s="364">
        <f>F7+F24+F33</f>
        <v>24129695</v>
      </c>
      <c r="J5" s="79"/>
      <c r="K5" s="79"/>
      <c r="L5" s="79"/>
      <c r="M5" s="79"/>
    </row>
    <row r="6" spans="1:13" s="35" customFormat="1" ht="15" customHeight="1" x14ac:dyDescent="0.2">
      <c r="A6" s="240" t="s">
        <v>68</v>
      </c>
      <c r="B6" s="241"/>
      <c r="C6" s="242"/>
      <c r="D6" s="242"/>
      <c r="E6" s="353"/>
      <c r="F6" s="365"/>
    </row>
    <row r="7" spans="1:13" s="35" customFormat="1" ht="15.75" customHeight="1" x14ac:dyDescent="0.2">
      <c r="A7" s="243" t="s">
        <v>157</v>
      </c>
      <c r="B7" s="241"/>
      <c r="C7" s="247">
        <f>SUM(C8:C23)</f>
        <v>23827882</v>
      </c>
      <c r="D7" s="247">
        <f>SUM(D8:D23)</f>
        <v>23778325</v>
      </c>
      <c r="E7" s="354">
        <f>SUM(E8:E23)</f>
        <v>24056379</v>
      </c>
      <c r="F7" s="366">
        <f>SUM(F8:F23)</f>
        <v>23932796</v>
      </c>
    </row>
    <row r="8" spans="1:13" s="35" customFormat="1" ht="15" customHeight="1" x14ac:dyDescent="0.2">
      <c r="A8" s="376" t="s">
        <v>158</v>
      </c>
      <c r="B8" s="241"/>
      <c r="C8" s="252">
        <v>227797</v>
      </c>
      <c r="D8" s="252">
        <v>227797</v>
      </c>
      <c r="E8" s="355">
        <v>227797</v>
      </c>
      <c r="F8" s="367">
        <v>227797</v>
      </c>
    </row>
    <row r="9" spans="1:13" s="35" customFormat="1" ht="25.5" customHeight="1" x14ac:dyDescent="0.2">
      <c r="A9" s="376" t="s">
        <v>159</v>
      </c>
      <c r="B9" s="241">
        <v>27355</v>
      </c>
      <c r="C9" s="252">
        <v>448946</v>
      </c>
      <c r="D9" s="252">
        <v>460170</v>
      </c>
      <c r="E9" s="355">
        <v>617224</v>
      </c>
      <c r="F9" s="367">
        <v>613641</v>
      </c>
    </row>
    <row r="10" spans="1:13" s="35" customFormat="1" ht="25.5" customHeight="1" x14ac:dyDescent="0.2">
      <c r="A10" s="373" t="s">
        <v>383</v>
      </c>
      <c r="B10" s="241">
        <v>13015</v>
      </c>
      <c r="C10" s="244">
        <v>1911</v>
      </c>
      <c r="D10" s="244">
        <v>1911</v>
      </c>
      <c r="E10" s="360">
        <v>1911</v>
      </c>
      <c r="F10" s="246">
        <v>1911</v>
      </c>
    </row>
    <row r="11" spans="1:13" s="35" customFormat="1" ht="36" customHeight="1" x14ac:dyDescent="0.2">
      <c r="A11" s="373" t="s">
        <v>384</v>
      </c>
      <c r="B11" s="241">
        <v>13305</v>
      </c>
      <c r="C11" s="244">
        <v>3118327</v>
      </c>
      <c r="D11" s="244">
        <v>3118327</v>
      </c>
      <c r="E11" s="360">
        <v>3118327</v>
      </c>
      <c r="F11" s="246">
        <v>3118327</v>
      </c>
    </row>
    <row r="12" spans="1:13" s="35" customFormat="1" ht="25.5" customHeight="1" x14ac:dyDescent="0.2">
      <c r="A12" s="373" t="s">
        <v>385</v>
      </c>
      <c r="B12" s="241">
        <v>13307</v>
      </c>
      <c r="C12" s="244">
        <v>27000</v>
      </c>
      <c r="D12" s="244">
        <v>27000</v>
      </c>
      <c r="E12" s="360">
        <v>27000</v>
      </c>
      <c r="F12" s="246">
        <v>27000</v>
      </c>
    </row>
    <row r="13" spans="1:13" s="35" customFormat="1" ht="25.5" customHeight="1" x14ac:dyDescent="0.2">
      <c r="A13" s="376" t="s">
        <v>320</v>
      </c>
      <c r="B13" s="241">
        <v>13501</v>
      </c>
      <c r="C13" s="252">
        <v>34774</v>
      </c>
      <c r="D13" s="252">
        <v>0</v>
      </c>
      <c r="E13" s="355">
        <v>0</v>
      </c>
      <c r="F13" s="367">
        <v>0</v>
      </c>
    </row>
    <row r="14" spans="1:13" s="35" customFormat="1" ht="15" customHeight="1" x14ac:dyDescent="0.2">
      <c r="A14" s="373" t="s">
        <v>386</v>
      </c>
      <c r="B14" s="241">
        <v>33155</v>
      </c>
      <c r="C14" s="244">
        <v>1674683</v>
      </c>
      <c r="D14" s="244">
        <v>1674683</v>
      </c>
      <c r="E14" s="360">
        <v>1674683</v>
      </c>
      <c r="F14" s="246">
        <v>1674683</v>
      </c>
    </row>
    <row r="15" spans="1:13" s="35" customFormat="1" ht="25.5" customHeight="1" x14ac:dyDescent="0.2">
      <c r="A15" s="373" t="s">
        <v>387</v>
      </c>
      <c r="B15" s="241">
        <v>33353</v>
      </c>
      <c r="C15" s="244">
        <v>18268437</v>
      </c>
      <c r="D15" s="244">
        <v>18268437</v>
      </c>
      <c r="E15" s="360">
        <v>18268437</v>
      </c>
      <c r="F15" s="246">
        <v>18268437</v>
      </c>
    </row>
    <row r="16" spans="1:13" s="35" customFormat="1" ht="36" customHeight="1" x14ac:dyDescent="0.2">
      <c r="A16" s="376" t="s">
        <v>568</v>
      </c>
      <c r="B16" s="241">
        <v>17104</v>
      </c>
      <c r="C16" s="252">
        <v>19329</v>
      </c>
      <c r="D16" s="252">
        <v>0</v>
      </c>
      <c r="E16" s="355">
        <v>0</v>
      </c>
      <c r="F16" s="367">
        <v>0</v>
      </c>
    </row>
    <row r="17" spans="1:6" s="35" customFormat="1" ht="36" customHeight="1" x14ac:dyDescent="0.2">
      <c r="A17" s="376" t="s">
        <v>569</v>
      </c>
      <c r="B17" s="241" t="s">
        <v>564</v>
      </c>
      <c r="C17" s="252">
        <v>6178</v>
      </c>
      <c r="D17" s="252">
        <v>0</v>
      </c>
      <c r="E17" s="355">
        <v>0</v>
      </c>
      <c r="F17" s="367">
        <v>0</v>
      </c>
    </row>
    <row r="18" spans="1:6" s="35" customFormat="1" ht="36" customHeight="1" x14ac:dyDescent="0.2">
      <c r="A18" s="376" t="s">
        <v>565</v>
      </c>
      <c r="B18" s="241"/>
      <c r="C18" s="252">
        <v>0</v>
      </c>
      <c r="D18" s="252">
        <v>0</v>
      </c>
      <c r="E18" s="355">
        <v>120000</v>
      </c>
      <c r="F18" s="367">
        <v>0</v>
      </c>
    </row>
    <row r="19" spans="1:6" s="35" customFormat="1" ht="25.5" customHeight="1" x14ac:dyDescent="0.2">
      <c r="A19" s="374" t="s">
        <v>389</v>
      </c>
      <c r="B19" s="203">
        <v>98187</v>
      </c>
      <c r="C19" s="244">
        <v>500</v>
      </c>
      <c r="D19" s="244">
        <v>0</v>
      </c>
      <c r="E19" s="360">
        <v>0</v>
      </c>
      <c r="F19" s="246">
        <v>0</v>
      </c>
    </row>
    <row r="20" spans="1:6" s="35" customFormat="1" ht="25.5" customHeight="1" x14ac:dyDescent="0.2">
      <c r="A20" s="375" t="s">
        <v>390</v>
      </c>
      <c r="B20" s="203">
        <v>98008</v>
      </c>
      <c r="C20" s="244">
        <v>0</v>
      </c>
      <c r="D20" s="244">
        <v>0</v>
      </c>
      <c r="E20" s="360">
        <v>500</v>
      </c>
      <c r="F20" s="246">
        <v>0</v>
      </c>
    </row>
    <row r="21" spans="1:6" s="35" customFormat="1" ht="25.5" customHeight="1" x14ac:dyDescent="0.2">
      <c r="A21" s="375" t="s">
        <v>563</v>
      </c>
      <c r="B21" s="203">
        <v>98193</v>
      </c>
      <c r="C21" s="244">
        <v>0</v>
      </c>
      <c r="D21" s="244">
        <v>0</v>
      </c>
      <c r="E21" s="360">
        <v>500</v>
      </c>
      <c r="F21" s="246">
        <v>0</v>
      </c>
    </row>
    <row r="22" spans="1:6" s="35" customFormat="1" ht="25.5" customHeight="1" x14ac:dyDescent="0.2">
      <c r="A22" s="374" t="s">
        <v>388</v>
      </c>
      <c r="B22" s="203">
        <v>98071</v>
      </c>
      <c r="C22" s="244">
        <v>0</v>
      </c>
      <c r="D22" s="244">
        <v>0</v>
      </c>
      <c r="E22" s="360">
        <v>0</v>
      </c>
      <c r="F22" s="246">
        <v>500</v>
      </c>
    </row>
    <row r="23" spans="1:6" s="35" customFormat="1" ht="25.5" customHeight="1" x14ac:dyDescent="0.2">
      <c r="A23" s="374" t="s">
        <v>562</v>
      </c>
      <c r="B23" s="203">
        <v>98348</v>
      </c>
      <c r="C23" s="244">
        <v>0</v>
      </c>
      <c r="D23" s="244">
        <v>0</v>
      </c>
      <c r="E23" s="360">
        <v>0</v>
      </c>
      <c r="F23" s="246">
        <v>500</v>
      </c>
    </row>
    <row r="24" spans="1:6" s="35" customFormat="1" ht="15.75" customHeight="1" x14ac:dyDescent="0.2">
      <c r="A24" s="219" t="s">
        <v>239</v>
      </c>
      <c r="B24" s="203"/>
      <c r="C24" s="242">
        <f t="shared" ref="C24:E24" si="0">SUM(C25:C32)</f>
        <v>176619</v>
      </c>
      <c r="D24" s="242">
        <f t="shared" si="0"/>
        <v>277218</v>
      </c>
      <c r="E24" s="353">
        <f t="shared" si="0"/>
        <v>333381</v>
      </c>
      <c r="F24" s="365">
        <f t="shared" ref="F24" si="1">SUM(F25:F32)</f>
        <v>178635</v>
      </c>
    </row>
    <row r="25" spans="1:6" s="35" customFormat="1" ht="15" customHeight="1" x14ac:dyDescent="0.2">
      <c r="A25" s="377" t="s">
        <v>171</v>
      </c>
      <c r="B25" s="203"/>
      <c r="C25" s="252">
        <v>93844</v>
      </c>
      <c r="D25" s="252">
        <v>96190</v>
      </c>
      <c r="E25" s="355">
        <v>98595</v>
      </c>
      <c r="F25" s="367">
        <v>101060</v>
      </c>
    </row>
    <row r="26" spans="1:6" s="35" customFormat="1" ht="15" customHeight="1" x14ac:dyDescent="0.2">
      <c r="A26" s="377" t="s">
        <v>160</v>
      </c>
      <c r="B26" s="203"/>
      <c r="C26" s="252">
        <v>23200</v>
      </c>
      <c r="D26" s="252">
        <v>23700</v>
      </c>
      <c r="E26" s="355">
        <v>24200</v>
      </c>
      <c r="F26" s="367">
        <v>24700</v>
      </c>
    </row>
    <row r="27" spans="1:6" s="35" customFormat="1" ht="15" customHeight="1" x14ac:dyDescent="0.2">
      <c r="A27" s="377" t="s">
        <v>273</v>
      </c>
      <c r="B27" s="203"/>
      <c r="C27" s="252">
        <v>49100</v>
      </c>
      <c r="D27" s="252">
        <v>50328</v>
      </c>
      <c r="E27" s="355">
        <v>51586</v>
      </c>
      <c r="F27" s="367">
        <v>52875</v>
      </c>
    </row>
    <row r="28" spans="1:6" s="35" customFormat="1" ht="25.5" customHeight="1" x14ac:dyDescent="0.2">
      <c r="A28" s="377" t="s">
        <v>321</v>
      </c>
      <c r="B28" s="241"/>
      <c r="C28" s="252">
        <v>1300</v>
      </c>
      <c r="D28" s="252">
        <v>0</v>
      </c>
      <c r="E28" s="355">
        <v>0</v>
      </c>
      <c r="F28" s="367">
        <v>0</v>
      </c>
    </row>
    <row r="29" spans="1:6" s="35" customFormat="1" ht="25.5" customHeight="1" x14ac:dyDescent="0.2">
      <c r="A29" s="377" t="s">
        <v>322</v>
      </c>
      <c r="B29" s="241"/>
      <c r="C29" s="252">
        <v>2175</v>
      </c>
      <c r="D29" s="252">
        <v>0</v>
      </c>
      <c r="E29" s="355">
        <v>0</v>
      </c>
      <c r="F29" s="367">
        <v>0</v>
      </c>
    </row>
    <row r="30" spans="1:6" s="35" customFormat="1" ht="48" customHeight="1" x14ac:dyDescent="0.2">
      <c r="A30" s="377" t="s">
        <v>249</v>
      </c>
      <c r="B30" s="241"/>
      <c r="C30" s="252">
        <v>7000</v>
      </c>
      <c r="D30" s="252">
        <v>7000</v>
      </c>
      <c r="E30" s="355">
        <v>9000</v>
      </c>
      <c r="F30" s="367">
        <v>0</v>
      </c>
    </row>
    <row r="31" spans="1:6" s="35" customFormat="1" ht="36" customHeight="1" x14ac:dyDescent="0.2">
      <c r="A31" s="377" t="s">
        <v>566</v>
      </c>
      <c r="B31" s="241"/>
      <c r="C31" s="252">
        <v>0</v>
      </c>
      <c r="D31" s="252">
        <v>0</v>
      </c>
      <c r="E31" s="355">
        <v>100000</v>
      </c>
      <c r="F31" s="367">
        <v>0</v>
      </c>
    </row>
    <row r="32" spans="1:6" s="35" customFormat="1" ht="25.5" customHeight="1" x14ac:dyDescent="0.2">
      <c r="A32" s="377" t="s">
        <v>307</v>
      </c>
      <c r="B32" s="203"/>
      <c r="C32" s="252">
        <v>0</v>
      </c>
      <c r="D32" s="252">
        <v>100000</v>
      </c>
      <c r="E32" s="355">
        <v>50000</v>
      </c>
      <c r="F32" s="367">
        <v>0</v>
      </c>
    </row>
    <row r="33" spans="1:6" s="35" customFormat="1" ht="27" customHeight="1" x14ac:dyDescent="0.2">
      <c r="A33" s="219" t="s">
        <v>161</v>
      </c>
      <c r="B33" s="203"/>
      <c r="C33" s="282">
        <v>2498521</v>
      </c>
      <c r="D33" s="282">
        <v>2273464</v>
      </c>
      <c r="E33" s="356">
        <v>1099644</v>
      </c>
      <c r="F33" s="368">
        <v>18264</v>
      </c>
    </row>
    <row r="34" spans="1:6" s="35" customFormat="1" ht="6" customHeight="1" x14ac:dyDescent="0.2">
      <c r="A34" s="195"/>
      <c r="B34" s="194"/>
      <c r="C34" s="237"/>
      <c r="D34" s="236"/>
      <c r="E34" s="357"/>
      <c r="F34" s="369"/>
    </row>
    <row r="35" spans="1:6" s="35" customFormat="1" ht="16.5" customHeight="1" x14ac:dyDescent="0.2">
      <c r="A35" s="36" t="s">
        <v>382</v>
      </c>
      <c r="B35" s="37"/>
      <c r="C35" s="249">
        <f>C37+C39+C42+C48+C61</f>
        <v>167683</v>
      </c>
      <c r="D35" s="249">
        <f>D37+D39+D42+D48+D61</f>
        <v>108636</v>
      </c>
      <c r="E35" s="358">
        <f>E37+E39+E42+E48+E61</f>
        <v>96173</v>
      </c>
      <c r="F35" s="251">
        <f>F37+F39+F42+F48+F61</f>
        <v>87763</v>
      </c>
    </row>
    <row r="36" spans="1:6" s="35" customFormat="1" ht="15" customHeight="1" x14ac:dyDescent="0.2">
      <c r="A36" s="190" t="s">
        <v>68</v>
      </c>
      <c r="B36" s="191"/>
      <c r="C36" s="235"/>
      <c r="D36" s="234"/>
      <c r="E36" s="359"/>
      <c r="F36" s="370"/>
    </row>
    <row r="37" spans="1:6" s="35" customFormat="1" ht="15.75" customHeight="1" x14ac:dyDescent="0.2">
      <c r="A37" s="192" t="s">
        <v>70</v>
      </c>
      <c r="B37" s="191"/>
      <c r="C37" s="248">
        <f t="shared" ref="C37:F37" si="2">SUM(C38)</f>
        <v>380</v>
      </c>
      <c r="D37" s="247">
        <f t="shared" si="2"/>
        <v>400</v>
      </c>
      <c r="E37" s="354">
        <f t="shared" si="2"/>
        <v>400</v>
      </c>
      <c r="F37" s="366">
        <f t="shared" si="2"/>
        <v>400</v>
      </c>
    </row>
    <row r="38" spans="1:6" s="35" customFormat="1" ht="15" customHeight="1" x14ac:dyDescent="0.2">
      <c r="A38" s="193" t="s">
        <v>69</v>
      </c>
      <c r="B38" s="191">
        <v>4001</v>
      </c>
      <c r="C38" s="245">
        <v>380</v>
      </c>
      <c r="D38" s="244">
        <v>400</v>
      </c>
      <c r="E38" s="360">
        <v>400</v>
      </c>
      <c r="F38" s="246">
        <v>400</v>
      </c>
    </row>
    <row r="39" spans="1:6" s="35" customFormat="1" ht="15.75" customHeight="1" x14ac:dyDescent="0.2">
      <c r="A39" s="192" t="s">
        <v>74</v>
      </c>
      <c r="B39" s="191"/>
      <c r="C39" s="247">
        <f>SUM(C40:C41)</f>
        <v>24340</v>
      </c>
      <c r="D39" s="247">
        <f>SUM(D40:D41)</f>
        <v>18013</v>
      </c>
      <c r="E39" s="354">
        <f>SUM(E40:E41)</f>
        <v>14850</v>
      </c>
      <c r="F39" s="366">
        <f>SUM(F40:F41)</f>
        <v>12340</v>
      </c>
    </row>
    <row r="40" spans="1:6" s="35" customFormat="1" ht="25.5" customHeight="1" x14ac:dyDescent="0.2">
      <c r="A40" s="193" t="s">
        <v>71</v>
      </c>
      <c r="B40" s="191">
        <v>35018</v>
      </c>
      <c r="C40" s="245">
        <v>12000</v>
      </c>
      <c r="D40" s="245">
        <v>12000</v>
      </c>
      <c r="E40" s="245">
        <v>12000</v>
      </c>
      <c r="F40" s="246">
        <v>12000</v>
      </c>
    </row>
    <row r="41" spans="1:6" s="35" customFormat="1" ht="25.5" customHeight="1" x14ac:dyDescent="0.2">
      <c r="A41" s="193" t="s">
        <v>72</v>
      </c>
      <c r="B41" s="191" t="s">
        <v>73</v>
      </c>
      <c r="C41" s="245">
        <v>12340</v>
      </c>
      <c r="D41" s="245">
        <v>6013</v>
      </c>
      <c r="E41" s="245">
        <v>2850</v>
      </c>
      <c r="F41" s="246">
        <v>340</v>
      </c>
    </row>
    <row r="42" spans="1:6" s="35" customFormat="1" ht="15.75" customHeight="1" x14ac:dyDescent="0.2">
      <c r="A42" s="283" t="s">
        <v>246</v>
      </c>
      <c r="B42" s="284"/>
      <c r="C42" s="247">
        <f>SUM(C43:C47)</f>
        <v>6123</v>
      </c>
      <c r="D42" s="247">
        <f>SUM(D43:D47)</f>
        <v>6123</v>
      </c>
      <c r="E42" s="354">
        <f>SUM(E43:E47)</f>
        <v>6123</v>
      </c>
      <c r="F42" s="366">
        <f>SUM(F43:F47)</f>
        <v>6123</v>
      </c>
    </row>
    <row r="43" spans="1:6" s="35" customFormat="1" ht="15" customHeight="1" x14ac:dyDescent="0.2">
      <c r="A43" s="193" t="s">
        <v>75</v>
      </c>
      <c r="B43" s="191">
        <v>33122</v>
      </c>
      <c r="C43" s="245">
        <v>1233</v>
      </c>
      <c r="D43" s="245">
        <v>1233</v>
      </c>
      <c r="E43" s="245">
        <v>1233</v>
      </c>
      <c r="F43" s="246">
        <v>1233</v>
      </c>
    </row>
    <row r="44" spans="1:6" s="35" customFormat="1" ht="15" customHeight="1" x14ac:dyDescent="0.2">
      <c r="A44" s="193" t="s">
        <v>76</v>
      </c>
      <c r="B44" s="191">
        <v>33160</v>
      </c>
      <c r="C44" s="245">
        <v>150</v>
      </c>
      <c r="D44" s="245">
        <v>150</v>
      </c>
      <c r="E44" s="245">
        <v>150</v>
      </c>
      <c r="F44" s="246">
        <v>150</v>
      </c>
    </row>
    <row r="45" spans="1:6" s="35" customFormat="1" ht="15" customHeight="1" x14ac:dyDescent="0.2">
      <c r="A45" s="193" t="s">
        <v>77</v>
      </c>
      <c r="B45" s="191">
        <v>33354</v>
      </c>
      <c r="C45" s="245">
        <v>3000</v>
      </c>
      <c r="D45" s="245">
        <v>3000</v>
      </c>
      <c r="E45" s="245">
        <v>3000</v>
      </c>
      <c r="F45" s="246">
        <v>3000</v>
      </c>
    </row>
    <row r="46" spans="1:6" s="35" customFormat="1" ht="15" customHeight="1" x14ac:dyDescent="0.2">
      <c r="A46" s="193" t="s">
        <v>78</v>
      </c>
      <c r="B46" s="191">
        <v>33166</v>
      </c>
      <c r="C46" s="245">
        <v>1600</v>
      </c>
      <c r="D46" s="245">
        <v>1600</v>
      </c>
      <c r="E46" s="245">
        <v>1600</v>
      </c>
      <c r="F46" s="246">
        <v>1600</v>
      </c>
    </row>
    <row r="47" spans="1:6" s="35" customFormat="1" ht="15" customHeight="1" x14ac:dyDescent="0.2">
      <c r="A47" s="193" t="s">
        <v>79</v>
      </c>
      <c r="B47" s="191">
        <v>33192</v>
      </c>
      <c r="C47" s="245">
        <v>140</v>
      </c>
      <c r="D47" s="245">
        <v>140</v>
      </c>
      <c r="E47" s="245">
        <v>140</v>
      </c>
      <c r="F47" s="246">
        <v>140</v>
      </c>
    </row>
    <row r="48" spans="1:6" s="35" customFormat="1" ht="15.75" customHeight="1" x14ac:dyDescent="0.2">
      <c r="A48" s="192" t="s">
        <v>85</v>
      </c>
      <c r="B48" s="191"/>
      <c r="C48" s="248">
        <f>SUM(C49:C60)</f>
        <v>16840</v>
      </c>
      <c r="D48" s="247">
        <f>SUM(D49:D60)</f>
        <v>16100</v>
      </c>
      <c r="E48" s="354">
        <f>SUM(E49:E60)</f>
        <v>16800</v>
      </c>
      <c r="F48" s="366">
        <f>SUM(F49:F60)</f>
        <v>15900</v>
      </c>
    </row>
    <row r="49" spans="1:6" s="35" customFormat="1" ht="15" customHeight="1" x14ac:dyDescent="0.2">
      <c r="A49" s="285" t="s">
        <v>80</v>
      </c>
      <c r="B49" s="284" t="s">
        <v>248</v>
      </c>
      <c r="C49" s="286">
        <v>800</v>
      </c>
      <c r="D49" s="286">
        <v>850</v>
      </c>
      <c r="E49" s="286">
        <v>1000</v>
      </c>
      <c r="F49" s="287">
        <v>800</v>
      </c>
    </row>
    <row r="50" spans="1:6" s="35" customFormat="1" ht="15" customHeight="1" x14ac:dyDescent="0.2">
      <c r="A50" s="285" t="s">
        <v>240</v>
      </c>
      <c r="B50" s="284">
        <v>34021</v>
      </c>
      <c r="C50" s="286">
        <v>200</v>
      </c>
      <c r="D50" s="286">
        <v>150</v>
      </c>
      <c r="E50" s="286">
        <v>300</v>
      </c>
      <c r="F50" s="287">
        <v>0</v>
      </c>
    </row>
    <row r="51" spans="1:6" s="35" customFormat="1" ht="25.5" customHeight="1" x14ac:dyDescent="0.2">
      <c r="A51" s="285" t="s">
        <v>241</v>
      </c>
      <c r="B51" s="284">
        <v>34031</v>
      </c>
      <c r="C51" s="286">
        <v>500</v>
      </c>
      <c r="D51" s="286">
        <v>600</v>
      </c>
      <c r="E51" s="286">
        <v>400</v>
      </c>
      <c r="F51" s="287">
        <v>500</v>
      </c>
    </row>
    <row r="52" spans="1:6" s="35" customFormat="1" ht="15" customHeight="1" x14ac:dyDescent="0.2">
      <c r="A52" s="285" t="s">
        <v>323</v>
      </c>
      <c r="B52" s="284" t="s">
        <v>325</v>
      </c>
      <c r="C52" s="286">
        <v>500</v>
      </c>
      <c r="D52" s="286">
        <v>500</v>
      </c>
      <c r="E52" s="286">
        <v>500</v>
      </c>
      <c r="F52" s="287">
        <v>500</v>
      </c>
    </row>
    <row r="53" spans="1:6" s="35" customFormat="1" ht="15" customHeight="1" x14ac:dyDescent="0.2">
      <c r="A53" s="193" t="s">
        <v>243</v>
      </c>
      <c r="B53" s="284">
        <v>34017</v>
      </c>
      <c r="C53" s="286">
        <v>650</v>
      </c>
      <c r="D53" s="286">
        <v>250</v>
      </c>
      <c r="E53" s="286">
        <v>750</v>
      </c>
      <c r="F53" s="287">
        <v>250</v>
      </c>
    </row>
    <row r="54" spans="1:6" s="35" customFormat="1" ht="15" customHeight="1" x14ac:dyDescent="0.2">
      <c r="A54" s="193" t="s">
        <v>581</v>
      </c>
      <c r="B54" s="191">
        <v>34502</v>
      </c>
      <c r="C54" s="286">
        <v>500</v>
      </c>
      <c r="D54" s="286">
        <v>500</v>
      </c>
      <c r="E54" s="286">
        <v>500</v>
      </c>
      <c r="F54" s="287">
        <v>500</v>
      </c>
    </row>
    <row r="55" spans="1:6" s="35" customFormat="1" ht="15" customHeight="1" x14ac:dyDescent="0.2">
      <c r="A55" s="288" t="s">
        <v>242</v>
      </c>
      <c r="B55" s="191">
        <v>34503</v>
      </c>
      <c r="C55" s="286">
        <v>1150</v>
      </c>
      <c r="D55" s="286">
        <v>1150</v>
      </c>
      <c r="E55" s="286">
        <v>1250</v>
      </c>
      <c r="F55" s="287">
        <v>1250</v>
      </c>
    </row>
    <row r="56" spans="1:6" s="35" customFormat="1" ht="25.5" customHeight="1" x14ac:dyDescent="0.2">
      <c r="A56" s="193" t="s">
        <v>582</v>
      </c>
      <c r="B56" s="191">
        <v>34949</v>
      </c>
      <c r="C56" s="286">
        <v>500</v>
      </c>
      <c r="D56" s="286">
        <v>500</v>
      </c>
      <c r="E56" s="286">
        <v>500</v>
      </c>
      <c r="F56" s="287">
        <v>500</v>
      </c>
    </row>
    <row r="57" spans="1:6" s="35" customFormat="1" ht="15" customHeight="1" x14ac:dyDescent="0.2">
      <c r="A57" s="193" t="s">
        <v>81</v>
      </c>
      <c r="B57" s="191" t="s">
        <v>82</v>
      </c>
      <c r="C57" s="286">
        <v>200</v>
      </c>
      <c r="D57" s="286">
        <v>400</v>
      </c>
      <c r="E57" s="286">
        <v>200</v>
      </c>
      <c r="F57" s="287">
        <v>200</v>
      </c>
    </row>
    <row r="58" spans="1:6" s="35" customFormat="1" ht="15" customHeight="1" x14ac:dyDescent="0.2">
      <c r="A58" s="193" t="s">
        <v>83</v>
      </c>
      <c r="B58" s="191">
        <v>34090</v>
      </c>
      <c r="C58" s="286">
        <v>400</v>
      </c>
      <c r="D58" s="286">
        <v>400</v>
      </c>
      <c r="E58" s="286">
        <v>400</v>
      </c>
      <c r="F58" s="287">
        <v>400</v>
      </c>
    </row>
    <row r="59" spans="1:6" s="35" customFormat="1" ht="25.5" customHeight="1" x14ac:dyDescent="0.2">
      <c r="A59" s="193" t="s">
        <v>84</v>
      </c>
      <c r="B59" s="191">
        <v>34352</v>
      </c>
      <c r="C59" s="286">
        <v>7840</v>
      </c>
      <c r="D59" s="286">
        <v>7800</v>
      </c>
      <c r="E59" s="286">
        <v>8000</v>
      </c>
      <c r="F59" s="287">
        <v>8000</v>
      </c>
    </row>
    <row r="60" spans="1:6" s="35" customFormat="1" ht="15" customHeight="1" x14ac:dyDescent="0.2">
      <c r="A60" s="193" t="s">
        <v>162</v>
      </c>
      <c r="B60" s="191">
        <v>34341</v>
      </c>
      <c r="C60" s="286">
        <v>3600</v>
      </c>
      <c r="D60" s="286">
        <v>3000</v>
      </c>
      <c r="E60" s="286">
        <v>3000</v>
      </c>
      <c r="F60" s="287">
        <v>3000</v>
      </c>
    </row>
    <row r="61" spans="1:6" s="35" customFormat="1" ht="15.75" customHeight="1" x14ac:dyDescent="0.2">
      <c r="A61" s="192" t="s">
        <v>172</v>
      </c>
      <c r="B61" s="191"/>
      <c r="C61" s="247">
        <f>SUM(C62:C64)</f>
        <v>120000</v>
      </c>
      <c r="D61" s="247">
        <f>SUM(D62:D64)</f>
        <v>68000</v>
      </c>
      <c r="E61" s="354">
        <f>SUM(E62:E64)</f>
        <v>58000</v>
      </c>
      <c r="F61" s="366">
        <f>SUM(F62:F64)</f>
        <v>53000</v>
      </c>
    </row>
    <row r="62" spans="1:6" s="35" customFormat="1" ht="15" customHeight="1" x14ac:dyDescent="0.2">
      <c r="A62" s="193" t="s">
        <v>247</v>
      </c>
      <c r="B62" s="191"/>
      <c r="C62" s="245">
        <v>30000</v>
      </c>
      <c r="D62" s="245">
        <v>20000</v>
      </c>
      <c r="E62" s="245">
        <v>10000</v>
      </c>
      <c r="F62" s="246">
        <v>5000</v>
      </c>
    </row>
    <row r="63" spans="1:6" s="35" customFormat="1" ht="15" customHeight="1" x14ac:dyDescent="0.2">
      <c r="A63" s="289" t="s">
        <v>324</v>
      </c>
      <c r="B63" s="194"/>
      <c r="C63" s="297">
        <v>80000</v>
      </c>
      <c r="D63" s="297">
        <v>40000</v>
      </c>
      <c r="E63" s="297">
        <v>40000</v>
      </c>
      <c r="F63" s="298">
        <v>40000</v>
      </c>
    </row>
    <row r="64" spans="1:6" s="35" customFormat="1" ht="15" customHeight="1" x14ac:dyDescent="0.2">
      <c r="A64" s="289" t="s">
        <v>274</v>
      </c>
      <c r="B64" s="194"/>
      <c r="C64" s="297">
        <v>10000</v>
      </c>
      <c r="D64" s="297">
        <v>8000</v>
      </c>
      <c r="E64" s="297">
        <v>8000</v>
      </c>
      <c r="F64" s="298">
        <v>8000</v>
      </c>
    </row>
    <row r="65" spans="1:6" s="35" customFormat="1" ht="6" customHeight="1" x14ac:dyDescent="0.2">
      <c r="A65" s="195"/>
      <c r="B65" s="194"/>
      <c r="C65" s="237"/>
      <c r="D65" s="236"/>
      <c r="E65" s="357"/>
      <c r="F65" s="369"/>
    </row>
    <row r="66" spans="1:6" s="35" customFormat="1" ht="29.25" customHeight="1" x14ac:dyDescent="0.2">
      <c r="A66" s="36" t="s">
        <v>567</v>
      </c>
      <c r="B66" s="37"/>
      <c r="C66" s="250">
        <v>186972</v>
      </c>
      <c r="D66" s="250">
        <v>172092</v>
      </c>
      <c r="E66" s="250">
        <v>154234</v>
      </c>
      <c r="F66" s="251">
        <v>210244</v>
      </c>
    </row>
    <row r="67" spans="1:6" s="35" customFormat="1" ht="6" customHeight="1" x14ac:dyDescent="0.2">
      <c r="A67" s="195"/>
      <c r="B67" s="194"/>
      <c r="C67" s="237"/>
      <c r="D67" s="236"/>
      <c r="E67" s="357"/>
      <c r="F67" s="369"/>
    </row>
    <row r="68" spans="1:6" s="35" customFormat="1" ht="29.25" customHeight="1" x14ac:dyDescent="0.2">
      <c r="A68" s="36" t="s">
        <v>163</v>
      </c>
      <c r="B68" s="37"/>
      <c r="C68" s="250">
        <f>0+175931</f>
        <v>175931</v>
      </c>
      <c r="D68" s="250">
        <f>0+168596</f>
        <v>168596</v>
      </c>
      <c r="E68" s="250">
        <f>0+24250</f>
        <v>24250</v>
      </c>
      <c r="F68" s="251">
        <f>0+0</f>
        <v>0</v>
      </c>
    </row>
    <row r="69" spans="1:6" s="35" customFormat="1" ht="6" customHeight="1" x14ac:dyDescent="0.2">
      <c r="A69" s="196"/>
      <c r="B69" s="194"/>
      <c r="C69" s="239"/>
      <c r="D69" s="238"/>
      <c r="E69" s="361"/>
      <c r="F69" s="371"/>
    </row>
    <row r="70" spans="1:6" s="35" customFormat="1" ht="16.5" customHeight="1" thickBot="1" x14ac:dyDescent="0.25">
      <c r="A70" s="38" t="s">
        <v>86</v>
      </c>
      <c r="B70" s="39"/>
      <c r="C70" s="259">
        <f>C5+C35+C66+C68</f>
        <v>27033608</v>
      </c>
      <c r="D70" s="258">
        <f>D5+D35+D66+D68</f>
        <v>26778331</v>
      </c>
      <c r="E70" s="362">
        <f>E5+E35+E66+E68</f>
        <v>25764061</v>
      </c>
      <c r="F70" s="372">
        <f>F5+F35+F66+F68</f>
        <v>24427702</v>
      </c>
    </row>
  </sheetData>
  <mergeCells count="4">
    <mergeCell ref="A2:E2"/>
    <mergeCell ref="A3:A4"/>
    <mergeCell ref="B3:B4"/>
    <mergeCell ref="C3:F3"/>
  </mergeCells>
  <printOptions horizontalCentered="1"/>
  <pageMargins left="0.39370078740157483" right="0.39370078740157483" top="0.59055118110236227" bottom="0.39370078740157483" header="0.31496062992125984" footer="0.11811023622047245"/>
  <pageSetup paperSize="9" scale="94" firstPageNumber="5" fitToHeight="0" orientation="portrait" useFirstPageNumber="1" r:id="rId1"/>
  <headerFooter>
    <oddHeader>&amp;L&amp;"Tahoma,Kurzíva"&amp;9Střednědobý výhled rozpočtu Moravskoslezského kraje na léta 2027-2029&amp;R&amp;"Tahoma,Kurzíva"&amp;9Přehled očekávaných účelových dotací v letech 2027-2029</oddHeader>
    <oddFooter>&amp;C&amp;"Tahoma,Obyčejné"&amp;P</oddFooter>
  </headerFooter>
  <rowBreaks count="1" manualBreakCount="1">
    <brk id="33" max="5" man="1"/>
  </rowBreaks>
  <ignoredErrors>
    <ignoredError sqref="C24:E24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6A566F-3EB3-4D02-B8A0-C99320493CFF}">
  <sheetPr>
    <pageSetUpPr fitToPage="1"/>
  </sheetPr>
  <dimension ref="A1:K93"/>
  <sheetViews>
    <sheetView zoomScaleNormal="100" zoomScaleSheetLayoutView="100" workbookViewId="0">
      <pane ySplit="5" topLeftCell="A6" activePane="bottomLeft" state="frozen"/>
      <selection activeCell="B26" sqref="B26"/>
      <selection pane="bottomLeft" activeCell="J6" sqref="J6"/>
    </sheetView>
  </sheetViews>
  <sheetFormatPr defaultRowHeight="15" x14ac:dyDescent="0.25"/>
  <cols>
    <col min="1" max="1" width="42.7109375" style="389" customWidth="1"/>
    <col min="2" max="2" width="10.5703125" style="389" hidden="1" customWidth="1"/>
    <col min="3" max="7" width="10.7109375" style="389" customWidth="1"/>
    <col min="8" max="8" width="44.7109375" style="389" customWidth="1"/>
    <col min="9" max="16384" width="9.140625" style="391"/>
  </cols>
  <sheetData>
    <row r="1" spans="1:9" s="387" customFormat="1" x14ac:dyDescent="0.25">
      <c r="A1" s="385" t="s">
        <v>56</v>
      </c>
      <c r="B1" s="386"/>
      <c r="C1" s="386"/>
      <c r="D1" s="386"/>
      <c r="E1" s="386"/>
      <c r="F1" s="386"/>
      <c r="G1" s="386"/>
      <c r="H1" s="386"/>
    </row>
    <row r="2" spans="1:9" s="53" customFormat="1" ht="30" customHeight="1" x14ac:dyDescent="0.2">
      <c r="A2" s="659" t="s">
        <v>150</v>
      </c>
      <c r="B2" s="660"/>
      <c r="C2" s="660"/>
      <c r="D2" s="660"/>
      <c r="E2" s="660"/>
      <c r="F2" s="660"/>
      <c r="G2" s="660"/>
      <c r="H2" s="660"/>
    </row>
    <row r="3" spans="1:9" s="53" customFormat="1" ht="13.5" thickBot="1" x14ac:dyDescent="0.25">
      <c r="A3" s="54"/>
      <c r="B3" s="54"/>
      <c r="C3" s="324"/>
      <c r="D3" s="324"/>
      <c r="E3" s="324"/>
      <c r="F3" s="324"/>
      <c r="G3" s="324"/>
      <c r="H3" s="55" t="s">
        <v>88</v>
      </c>
    </row>
    <row r="4" spans="1:9" s="53" customFormat="1" ht="21" customHeight="1" x14ac:dyDescent="0.2">
      <c r="A4" s="661" t="s">
        <v>114</v>
      </c>
      <c r="B4" s="663" t="s">
        <v>477</v>
      </c>
      <c r="C4" s="665" t="s">
        <v>116</v>
      </c>
      <c r="D4" s="669" t="s">
        <v>138</v>
      </c>
      <c r="E4" s="670"/>
      <c r="F4" s="670"/>
      <c r="G4" s="671"/>
      <c r="H4" s="667" t="s">
        <v>478</v>
      </c>
    </row>
    <row r="5" spans="1:9" s="53" customFormat="1" ht="21" customHeight="1" x14ac:dyDescent="0.2">
      <c r="A5" s="662"/>
      <c r="B5" s="664"/>
      <c r="C5" s="666"/>
      <c r="D5" s="432">
        <v>2027</v>
      </c>
      <c r="E5" s="433">
        <v>2028</v>
      </c>
      <c r="F5" s="433">
        <v>2029</v>
      </c>
      <c r="G5" s="325" t="s">
        <v>619</v>
      </c>
      <c r="H5" s="668"/>
    </row>
    <row r="6" spans="1:9" s="56" customFormat="1" ht="18" customHeight="1" x14ac:dyDescent="0.2">
      <c r="A6" s="326" t="s">
        <v>214</v>
      </c>
      <c r="B6" s="327"/>
      <c r="C6" s="327"/>
      <c r="D6" s="327"/>
      <c r="E6" s="327"/>
      <c r="F6" s="327"/>
      <c r="G6" s="327"/>
      <c r="H6" s="328"/>
    </row>
    <row r="7" spans="1:9" s="56" customFormat="1" ht="45" customHeight="1" x14ac:dyDescent="0.2">
      <c r="A7" s="222" t="s">
        <v>479</v>
      </c>
      <c r="B7" s="94">
        <v>3522</v>
      </c>
      <c r="C7" s="86">
        <f>SUM(D7:G7)</f>
        <v>196</v>
      </c>
      <c r="D7" s="86">
        <v>196</v>
      </c>
      <c r="E7" s="86">
        <v>0</v>
      </c>
      <c r="F7" s="86">
        <v>0</v>
      </c>
      <c r="G7" s="329">
        <v>0</v>
      </c>
      <c r="H7" s="255" t="s">
        <v>585</v>
      </c>
      <c r="I7" s="409"/>
    </row>
    <row r="8" spans="1:9" s="56" customFormat="1" ht="45" customHeight="1" x14ac:dyDescent="0.2">
      <c r="A8" s="222" t="s">
        <v>629</v>
      </c>
      <c r="B8" s="94">
        <v>3583</v>
      </c>
      <c r="C8" s="86">
        <f t="shared" ref="C8:C12" si="0">SUM(D8:G8)</f>
        <v>1717</v>
      </c>
      <c r="D8" s="86">
        <v>1500</v>
      </c>
      <c r="E8" s="86">
        <v>217</v>
      </c>
      <c r="F8" s="86">
        <v>0</v>
      </c>
      <c r="G8" s="329">
        <v>0</v>
      </c>
      <c r="H8" s="255" t="s">
        <v>482</v>
      </c>
      <c r="I8" s="409"/>
    </row>
    <row r="9" spans="1:9" s="56" customFormat="1" ht="24" customHeight="1" x14ac:dyDescent="0.2">
      <c r="A9" s="222" t="s">
        <v>586</v>
      </c>
      <c r="B9" s="94">
        <v>3676</v>
      </c>
      <c r="C9" s="86">
        <f t="shared" si="0"/>
        <v>15000</v>
      </c>
      <c r="D9" s="86">
        <v>15000</v>
      </c>
      <c r="E9" s="86">
        <v>0</v>
      </c>
      <c r="F9" s="86">
        <v>0</v>
      </c>
      <c r="G9" s="329">
        <v>0</v>
      </c>
      <c r="H9" s="255" t="s">
        <v>621</v>
      </c>
    </row>
    <row r="10" spans="1:9" s="56" customFormat="1" ht="45" customHeight="1" x14ac:dyDescent="0.2">
      <c r="A10" s="222" t="s">
        <v>480</v>
      </c>
      <c r="B10" s="94">
        <v>3668</v>
      </c>
      <c r="C10" s="86">
        <f t="shared" si="0"/>
        <v>99750</v>
      </c>
      <c r="D10" s="86">
        <v>86250</v>
      </c>
      <c r="E10" s="86">
        <v>13500</v>
      </c>
      <c r="F10" s="86">
        <v>0</v>
      </c>
      <c r="G10" s="329">
        <v>0</v>
      </c>
      <c r="H10" s="255" t="s">
        <v>587</v>
      </c>
    </row>
    <row r="11" spans="1:9" s="56" customFormat="1" ht="45" customHeight="1" x14ac:dyDescent="0.2">
      <c r="A11" s="222" t="s">
        <v>481</v>
      </c>
      <c r="B11" s="94">
        <v>3669</v>
      </c>
      <c r="C11" s="86">
        <f t="shared" si="0"/>
        <v>87181</v>
      </c>
      <c r="D11" s="86">
        <v>87181</v>
      </c>
      <c r="E11" s="86">
        <v>0</v>
      </c>
      <c r="F11" s="86">
        <v>0</v>
      </c>
      <c r="G11" s="329">
        <v>0</v>
      </c>
      <c r="H11" s="255" t="s">
        <v>588</v>
      </c>
    </row>
    <row r="12" spans="1:9" s="56" customFormat="1" ht="24.75" customHeight="1" thickBot="1" x14ac:dyDescent="0.25">
      <c r="A12" s="222" t="s">
        <v>379</v>
      </c>
      <c r="B12" s="94">
        <v>3576</v>
      </c>
      <c r="C12" s="86">
        <f t="shared" si="0"/>
        <v>70140</v>
      </c>
      <c r="D12" s="86">
        <v>70140</v>
      </c>
      <c r="E12" s="86">
        <v>0</v>
      </c>
      <c r="F12" s="86">
        <v>0</v>
      </c>
      <c r="G12" s="329">
        <v>0</v>
      </c>
      <c r="H12" s="255" t="s">
        <v>483</v>
      </c>
    </row>
    <row r="13" spans="1:9" s="56" customFormat="1" ht="16.5" customHeight="1" thickBot="1" x14ac:dyDescent="0.25">
      <c r="A13" s="57" t="s">
        <v>229</v>
      </c>
      <c r="B13" s="80">
        <f>COUNT(B7:B12)</f>
        <v>6</v>
      </c>
      <c r="C13" s="58">
        <f>SUM(C7:C12)</f>
        <v>273984</v>
      </c>
      <c r="D13" s="58">
        <f>SUM(D7:D12)</f>
        <v>260267</v>
      </c>
      <c r="E13" s="58">
        <f>SUM(E7:E12)</f>
        <v>13717</v>
      </c>
      <c r="F13" s="58">
        <f>SUM(F7:F12)</f>
        <v>0</v>
      </c>
      <c r="G13" s="58">
        <f>SUM(G7:G12)</f>
        <v>0</v>
      </c>
      <c r="H13" s="59"/>
    </row>
    <row r="14" spans="1:9" s="56" customFormat="1" ht="18" customHeight="1" x14ac:dyDescent="0.2">
      <c r="A14" s="279" t="s">
        <v>93</v>
      </c>
      <c r="B14" s="280"/>
      <c r="C14" s="280"/>
      <c r="D14" s="280"/>
      <c r="E14" s="280"/>
      <c r="F14" s="280"/>
      <c r="G14" s="280"/>
      <c r="H14" s="281"/>
    </row>
    <row r="15" spans="1:9" s="56" customFormat="1" ht="24" customHeight="1" x14ac:dyDescent="0.2">
      <c r="A15" s="222" t="s">
        <v>276</v>
      </c>
      <c r="B15" s="94">
        <v>3505</v>
      </c>
      <c r="C15" s="86">
        <f t="shared" ref="C15:C18" si="1">SUM(D15:G15)</f>
        <v>792629</v>
      </c>
      <c r="D15" s="86">
        <v>792629</v>
      </c>
      <c r="E15" s="86">
        <v>0</v>
      </c>
      <c r="F15" s="86">
        <v>0</v>
      </c>
      <c r="G15" s="329">
        <v>0</v>
      </c>
      <c r="H15" s="255" t="s">
        <v>485</v>
      </c>
    </row>
    <row r="16" spans="1:9" s="56" customFormat="1" ht="45" customHeight="1" x14ac:dyDescent="0.2">
      <c r="A16" s="222" t="s">
        <v>277</v>
      </c>
      <c r="B16" s="94">
        <v>3523</v>
      </c>
      <c r="C16" s="86">
        <f t="shared" si="1"/>
        <v>20130</v>
      </c>
      <c r="D16" s="86">
        <v>20130</v>
      </c>
      <c r="E16" s="86">
        <v>0</v>
      </c>
      <c r="F16" s="86">
        <v>0</v>
      </c>
      <c r="G16" s="329">
        <v>0</v>
      </c>
      <c r="H16" s="255" t="s">
        <v>589</v>
      </c>
    </row>
    <row r="17" spans="1:8" s="56" customFormat="1" ht="45" customHeight="1" x14ac:dyDescent="0.2">
      <c r="A17" s="222" t="s">
        <v>278</v>
      </c>
      <c r="B17" s="94">
        <v>3555</v>
      </c>
      <c r="C17" s="86">
        <f t="shared" si="1"/>
        <v>1000</v>
      </c>
      <c r="D17" s="86">
        <v>1000</v>
      </c>
      <c r="E17" s="86">
        <v>0</v>
      </c>
      <c r="F17" s="86">
        <v>0</v>
      </c>
      <c r="G17" s="329">
        <v>0</v>
      </c>
      <c r="H17" s="255" t="s">
        <v>590</v>
      </c>
    </row>
    <row r="18" spans="1:8" s="56" customFormat="1" ht="45.75" customHeight="1" thickBot="1" x14ac:dyDescent="0.25">
      <c r="A18" s="222" t="s">
        <v>275</v>
      </c>
      <c r="B18" s="94">
        <v>3556</v>
      </c>
      <c r="C18" s="86">
        <f t="shared" si="1"/>
        <v>475000</v>
      </c>
      <c r="D18" s="86">
        <v>365102</v>
      </c>
      <c r="E18" s="86">
        <v>109898</v>
      </c>
      <c r="F18" s="86">
        <v>0</v>
      </c>
      <c r="G18" s="329">
        <v>0</v>
      </c>
      <c r="H18" s="255" t="s">
        <v>591</v>
      </c>
    </row>
    <row r="19" spans="1:8" s="56" customFormat="1" ht="16.5" customHeight="1" thickBot="1" x14ac:dyDescent="0.25">
      <c r="A19" s="57" t="s">
        <v>94</v>
      </c>
      <c r="B19" s="80">
        <f>COUNT(B15:B18)</f>
        <v>4</v>
      </c>
      <c r="C19" s="58">
        <f>SUM(C15:C18)</f>
        <v>1288759</v>
      </c>
      <c r="D19" s="58">
        <f t="shared" ref="D19:G19" si="2">SUM(D15:D18)</f>
        <v>1178861</v>
      </c>
      <c r="E19" s="58">
        <f t="shared" si="2"/>
        <v>109898</v>
      </c>
      <c r="F19" s="58">
        <f t="shared" si="2"/>
        <v>0</v>
      </c>
      <c r="G19" s="58">
        <f t="shared" si="2"/>
        <v>0</v>
      </c>
      <c r="H19" s="59"/>
    </row>
    <row r="20" spans="1:8" s="56" customFormat="1" ht="18" customHeight="1" x14ac:dyDescent="0.2">
      <c r="A20" s="279" t="s">
        <v>95</v>
      </c>
      <c r="B20" s="280"/>
      <c r="C20" s="280"/>
      <c r="D20" s="280"/>
      <c r="E20" s="280"/>
      <c r="F20" s="280"/>
      <c r="G20" s="280"/>
      <c r="H20" s="281"/>
    </row>
    <row r="21" spans="1:8" s="56" customFormat="1" ht="24.75" customHeight="1" thickBot="1" x14ac:dyDescent="0.25">
      <c r="A21" s="222" t="s">
        <v>592</v>
      </c>
      <c r="B21" s="94">
        <v>3665</v>
      </c>
      <c r="C21" s="86">
        <f t="shared" ref="C21" si="3">SUM(D21:G21)</f>
        <v>2525</v>
      </c>
      <c r="D21" s="86">
        <v>1400</v>
      </c>
      <c r="E21" s="86">
        <v>1125</v>
      </c>
      <c r="F21" s="86">
        <v>0</v>
      </c>
      <c r="G21" s="330">
        <v>0</v>
      </c>
      <c r="H21" s="331" t="s">
        <v>486</v>
      </c>
    </row>
    <row r="22" spans="1:8" s="56" customFormat="1" ht="16.5" customHeight="1" thickBot="1" x14ac:dyDescent="0.25">
      <c r="A22" s="57" t="s">
        <v>96</v>
      </c>
      <c r="B22" s="80">
        <f>COUNT(B21:B21)</f>
        <v>1</v>
      </c>
      <c r="C22" s="58">
        <f>SUM(C21:C21)</f>
        <v>2525</v>
      </c>
      <c r="D22" s="58">
        <f>SUM(D21:D21)</f>
        <v>1400</v>
      </c>
      <c r="E22" s="58">
        <f>SUM(E21:E21)</f>
        <v>1125</v>
      </c>
      <c r="F22" s="58">
        <f>SUM(F21:F21)</f>
        <v>0</v>
      </c>
      <c r="G22" s="58">
        <f>SUM(G21:G21)</f>
        <v>0</v>
      </c>
      <c r="H22" s="59"/>
    </row>
    <row r="23" spans="1:8" s="56" customFormat="1" ht="18" customHeight="1" x14ac:dyDescent="0.2">
      <c r="A23" s="279" t="s">
        <v>97</v>
      </c>
      <c r="B23" s="280"/>
      <c r="C23" s="280"/>
      <c r="D23" s="280"/>
      <c r="E23" s="280"/>
      <c r="F23" s="280"/>
      <c r="G23" s="280"/>
      <c r="H23" s="281"/>
    </row>
    <row r="24" spans="1:8" s="56" customFormat="1" ht="24" customHeight="1" x14ac:dyDescent="0.2">
      <c r="A24" s="222" t="s">
        <v>593</v>
      </c>
      <c r="B24" s="94">
        <v>3688</v>
      </c>
      <c r="C24" s="86">
        <f t="shared" ref="C24:C26" si="4">SUM(D24:G24)</f>
        <v>2666.61</v>
      </c>
      <c r="D24" s="86">
        <v>2666.61</v>
      </c>
      <c r="E24" s="86">
        <v>0</v>
      </c>
      <c r="F24" s="86">
        <v>0</v>
      </c>
      <c r="G24" s="330">
        <v>0</v>
      </c>
      <c r="H24" s="331" t="s">
        <v>594</v>
      </c>
    </row>
    <row r="25" spans="1:8" s="56" customFormat="1" ht="24" customHeight="1" x14ac:dyDescent="0.2">
      <c r="A25" s="222" t="s">
        <v>595</v>
      </c>
      <c r="B25" s="94">
        <v>3689</v>
      </c>
      <c r="C25" s="86">
        <f t="shared" si="4"/>
        <v>6300</v>
      </c>
      <c r="D25" s="86">
        <v>6300</v>
      </c>
      <c r="E25" s="86">
        <v>0</v>
      </c>
      <c r="F25" s="86">
        <v>0</v>
      </c>
      <c r="G25" s="330">
        <v>0</v>
      </c>
      <c r="H25" s="331" t="s">
        <v>596</v>
      </c>
    </row>
    <row r="26" spans="1:8" s="56" customFormat="1" ht="35.25" customHeight="1" thickBot="1" x14ac:dyDescent="0.25">
      <c r="A26" s="222" t="s">
        <v>597</v>
      </c>
      <c r="B26" s="94">
        <v>3649</v>
      </c>
      <c r="C26" s="86">
        <f t="shared" si="4"/>
        <v>25040</v>
      </c>
      <c r="D26" s="86">
        <v>25040</v>
      </c>
      <c r="E26" s="86">
        <v>0</v>
      </c>
      <c r="F26" s="86">
        <v>0</v>
      </c>
      <c r="G26" s="330">
        <v>0</v>
      </c>
      <c r="H26" s="107" t="s">
        <v>598</v>
      </c>
    </row>
    <row r="27" spans="1:8" s="56" customFormat="1" ht="16.5" customHeight="1" thickBot="1" x14ac:dyDescent="0.25">
      <c r="A27" s="57" t="s">
        <v>98</v>
      </c>
      <c r="B27" s="80">
        <f>COUNT(B24:B26)</f>
        <v>3</v>
      </c>
      <c r="C27" s="58">
        <f>SUM(C24:C26)</f>
        <v>34006.61</v>
      </c>
      <c r="D27" s="58">
        <f>SUM(D24:D26)</f>
        <v>34006.61</v>
      </c>
      <c r="E27" s="58">
        <f>SUM(E24:E26)</f>
        <v>0</v>
      </c>
      <c r="F27" s="58">
        <f>SUM(F24:F26)</f>
        <v>0</v>
      </c>
      <c r="G27" s="58">
        <f>SUM(G24:G26)</f>
        <v>0</v>
      </c>
      <c r="H27" s="59"/>
    </row>
    <row r="28" spans="1:8" s="56" customFormat="1" ht="18" customHeight="1" x14ac:dyDescent="0.2">
      <c r="A28" s="279" t="s">
        <v>99</v>
      </c>
      <c r="B28" s="280"/>
      <c r="C28" s="280"/>
      <c r="D28" s="280"/>
      <c r="E28" s="280"/>
      <c r="F28" s="280"/>
      <c r="G28" s="280"/>
      <c r="H28" s="281"/>
    </row>
    <row r="29" spans="1:8" s="56" customFormat="1" ht="34.5" customHeight="1" x14ac:dyDescent="0.2">
      <c r="A29" s="222" t="s">
        <v>599</v>
      </c>
      <c r="B29" s="94">
        <v>3678</v>
      </c>
      <c r="C29" s="86">
        <f t="shared" ref="C29:C35" si="5">SUM(D29:G29)</f>
        <v>7559</v>
      </c>
      <c r="D29" s="86">
        <v>7559</v>
      </c>
      <c r="E29" s="86">
        <v>0</v>
      </c>
      <c r="F29" s="86">
        <v>0</v>
      </c>
      <c r="G29" s="329">
        <v>0</v>
      </c>
      <c r="H29" s="255" t="s">
        <v>600</v>
      </c>
    </row>
    <row r="30" spans="1:8" s="56" customFormat="1" ht="34.5" customHeight="1" x14ac:dyDescent="0.2">
      <c r="A30" s="222" t="s">
        <v>489</v>
      </c>
      <c r="B30" s="94">
        <v>3631</v>
      </c>
      <c r="C30" s="86">
        <f t="shared" si="5"/>
        <v>9400</v>
      </c>
      <c r="D30" s="86">
        <f>750+4250</f>
        <v>5000</v>
      </c>
      <c r="E30" s="86">
        <f>830+3570</f>
        <v>4400</v>
      </c>
      <c r="F30" s="86">
        <v>0</v>
      </c>
      <c r="G30" s="329">
        <v>0</v>
      </c>
      <c r="H30" s="255" t="s">
        <v>492</v>
      </c>
    </row>
    <row r="31" spans="1:8" s="56" customFormat="1" ht="24" customHeight="1" x14ac:dyDescent="0.2">
      <c r="A31" s="222" t="s">
        <v>490</v>
      </c>
      <c r="B31" s="94">
        <v>3545</v>
      </c>
      <c r="C31" s="86">
        <f t="shared" si="5"/>
        <v>61600</v>
      </c>
      <c r="D31" s="86">
        <v>40500</v>
      </c>
      <c r="E31" s="86">
        <v>21100</v>
      </c>
      <c r="F31" s="86">
        <v>0</v>
      </c>
      <c r="G31" s="329">
        <v>0</v>
      </c>
      <c r="H31" s="255" t="s">
        <v>601</v>
      </c>
    </row>
    <row r="32" spans="1:8" s="56" customFormat="1" ht="34.5" customHeight="1" x14ac:dyDescent="0.2">
      <c r="A32" s="222" t="s">
        <v>496</v>
      </c>
      <c r="B32" s="94">
        <v>3663</v>
      </c>
      <c r="C32" s="86">
        <f t="shared" si="5"/>
        <v>7746</v>
      </c>
      <c r="D32" s="86">
        <f>1746+6000</f>
        <v>7746</v>
      </c>
      <c r="E32" s="86">
        <v>0</v>
      </c>
      <c r="F32" s="86">
        <v>0</v>
      </c>
      <c r="G32" s="329">
        <v>0</v>
      </c>
      <c r="H32" s="255" t="s">
        <v>492</v>
      </c>
    </row>
    <row r="33" spans="1:8" s="56" customFormat="1" ht="34.5" customHeight="1" x14ac:dyDescent="0.2">
      <c r="A33" s="222" t="s">
        <v>491</v>
      </c>
      <c r="B33" s="94">
        <v>3662</v>
      </c>
      <c r="C33" s="86">
        <f t="shared" si="5"/>
        <v>12128</v>
      </c>
      <c r="D33" s="86">
        <f>2838+9290</f>
        <v>12128</v>
      </c>
      <c r="E33" s="86">
        <v>0</v>
      </c>
      <c r="F33" s="86">
        <v>0</v>
      </c>
      <c r="G33" s="329">
        <v>0</v>
      </c>
      <c r="H33" s="255" t="s">
        <v>492</v>
      </c>
    </row>
    <row r="34" spans="1:8" s="56" customFormat="1" ht="45" customHeight="1" x14ac:dyDescent="0.2">
      <c r="A34" s="222" t="s">
        <v>493</v>
      </c>
      <c r="B34" s="94">
        <v>3664</v>
      </c>
      <c r="C34" s="86">
        <f t="shared" si="5"/>
        <v>2038</v>
      </c>
      <c r="D34" s="86">
        <v>900</v>
      </c>
      <c r="E34" s="86">
        <v>900</v>
      </c>
      <c r="F34" s="86">
        <v>238</v>
      </c>
      <c r="G34" s="329">
        <v>0</v>
      </c>
      <c r="H34" s="255" t="s">
        <v>622</v>
      </c>
    </row>
    <row r="35" spans="1:8" s="56" customFormat="1" ht="24.75" customHeight="1" thickBot="1" x14ac:dyDescent="0.25">
      <c r="A35" s="222" t="s">
        <v>495</v>
      </c>
      <c r="B35" s="94">
        <v>3582</v>
      </c>
      <c r="C35" s="86">
        <f t="shared" si="5"/>
        <v>54473</v>
      </c>
      <c r="D35" s="86">
        <v>54473</v>
      </c>
      <c r="E35" s="86">
        <v>0</v>
      </c>
      <c r="F35" s="86">
        <v>0</v>
      </c>
      <c r="G35" s="329">
        <v>0</v>
      </c>
      <c r="H35" s="255" t="s">
        <v>602</v>
      </c>
    </row>
    <row r="36" spans="1:8" s="56" customFormat="1" ht="16.5" customHeight="1" thickBot="1" x14ac:dyDescent="0.25">
      <c r="A36" s="57" t="s">
        <v>100</v>
      </c>
      <c r="B36" s="80">
        <f>COUNT(B29:B35)</f>
        <v>7</v>
      </c>
      <c r="C36" s="58">
        <f>SUM(C29:C35)</f>
        <v>154944</v>
      </c>
      <c r="D36" s="58">
        <f>SUM(D29:D35)</f>
        <v>128306</v>
      </c>
      <c r="E36" s="58">
        <f>SUM(E29:E35)</f>
        <v>26400</v>
      </c>
      <c r="F36" s="58">
        <f>SUM(F29:F35)</f>
        <v>238</v>
      </c>
      <c r="G36" s="58">
        <f>SUM(G29:G35)</f>
        <v>0</v>
      </c>
      <c r="H36" s="59"/>
    </row>
    <row r="37" spans="1:8" s="56" customFormat="1" ht="18" customHeight="1" x14ac:dyDescent="0.2">
      <c r="A37" s="279" t="s">
        <v>101</v>
      </c>
      <c r="B37" s="280"/>
      <c r="C37" s="280"/>
      <c r="D37" s="280"/>
      <c r="E37" s="280"/>
      <c r="F37" s="280"/>
      <c r="G37" s="280"/>
      <c r="H37" s="281"/>
    </row>
    <row r="38" spans="1:8" s="56" customFormat="1" ht="24" customHeight="1" x14ac:dyDescent="0.2">
      <c r="A38" s="222" t="s">
        <v>603</v>
      </c>
      <c r="B38" s="94">
        <v>3643</v>
      </c>
      <c r="C38" s="86">
        <f t="shared" ref="C38:C57" si="6">SUM(D38:G38)</f>
        <v>16031</v>
      </c>
      <c r="D38" s="86">
        <v>12933</v>
      </c>
      <c r="E38" s="86">
        <v>3098</v>
      </c>
      <c r="F38" s="86">
        <v>0</v>
      </c>
      <c r="G38" s="329">
        <v>0</v>
      </c>
      <c r="H38" s="255" t="s">
        <v>604</v>
      </c>
    </row>
    <row r="39" spans="1:8" s="56" customFormat="1" ht="24" customHeight="1" x14ac:dyDescent="0.2">
      <c r="A39" s="222" t="s">
        <v>605</v>
      </c>
      <c r="B39" s="94">
        <v>3636</v>
      </c>
      <c r="C39" s="86">
        <f t="shared" si="6"/>
        <v>37936</v>
      </c>
      <c r="D39" s="86">
        <v>30626</v>
      </c>
      <c r="E39" s="86">
        <v>7310</v>
      </c>
      <c r="F39" s="86">
        <v>0</v>
      </c>
      <c r="G39" s="329">
        <v>0</v>
      </c>
      <c r="H39" s="255" t="s">
        <v>606</v>
      </c>
    </row>
    <row r="40" spans="1:8" s="56" customFormat="1" ht="24" customHeight="1" x14ac:dyDescent="0.2">
      <c r="A40" s="222" t="s">
        <v>504</v>
      </c>
      <c r="B40" s="94">
        <v>3571</v>
      </c>
      <c r="C40" s="86">
        <f t="shared" si="6"/>
        <v>34650</v>
      </c>
      <c r="D40" s="86">
        <v>31000</v>
      </c>
      <c r="E40" s="86">
        <v>3650</v>
      </c>
      <c r="F40" s="86">
        <v>0</v>
      </c>
      <c r="G40" s="329">
        <v>0</v>
      </c>
      <c r="H40" s="255" t="s">
        <v>607</v>
      </c>
    </row>
    <row r="41" spans="1:8" s="56" customFormat="1" ht="24" customHeight="1" x14ac:dyDescent="0.2">
      <c r="A41" s="222" t="s">
        <v>509</v>
      </c>
      <c r="B41" s="94">
        <v>3624</v>
      </c>
      <c r="C41" s="86">
        <f t="shared" si="6"/>
        <v>1000</v>
      </c>
      <c r="D41" s="86">
        <v>0</v>
      </c>
      <c r="E41" s="86">
        <v>1000</v>
      </c>
      <c r="F41" s="86">
        <v>0</v>
      </c>
      <c r="G41" s="329">
        <v>0</v>
      </c>
      <c r="H41" s="255" t="s">
        <v>512</v>
      </c>
    </row>
    <row r="42" spans="1:8" s="56" customFormat="1" ht="45" customHeight="1" x14ac:dyDescent="0.2">
      <c r="A42" s="222" t="s">
        <v>497</v>
      </c>
      <c r="B42" s="94">
        <v>3618</v>
      </c>
      <c r="C42" s="86">
        <f t="shared" si="6"/>
        <v>10300</v>
      </c>
      <c r="D42" s="86">
        <v>10300</v>
      </c>
      <c r="E42" s="86">
        <v>0</v>
      </c>
      <c r="F42" s="86">
        <v>0</v>
      </c>
      <c r="G42" s="329">
        <v>0</v>
      </c>
      <c r="H42" s="255" t="s">
        <v>608</v>
      </c>
    </row>
    <row r="43" spans="1:8" s="56" customFormat="1" ht="24" customHeight="1" x14ac:dyDescent="0.2">
      <c r="A43" s="222" t="s">
        <v>499</v>
      </c>
      <c r="B43" s="94">
        <v>3626</v>
      </c>
      <c r="C43" s="86">
        <f t="shared" si="6"/>
        <v>40949</v>
      </c>
      <c r="D43" s="86">
        <v>26500</v>
      </c>
      <c r="E43" s="86">
        <v>14449</v>
      </c>
      <c r="F43" s="86">
        <v>0</v>
      </c>
      <c r="G43" s="329">
        <v>0</v>
      </c>
      <c r="H43" s="255" t="s">
        <v>607</v>
      </c>
    </row>
    <row r="44" spans="1:8" s="56" customFormat="1" ht="24" customHeight="1" x14ac:dyDescent="0.2">
      <c r="A44" s="222" t="s">
        <v>498</v>
      </c>
      <c r="B44" s="94">
        <v>3620</v>
      </c>
      <c r="C44" s="86">
        <f t="shared" si="6"/>
        <v>67657</v>
      </c>
      <c r="D44" s="86">
        <v>67657</v>
      </c>
      <c r="E44" s="86">
        <v>0</v>
      </c>
      <c r="F44" s="86">
        <v>0</v>
      </c>
      <c r="G44" s="329">
        <v>0</v>
      </c>
      <c r="H44" s="255" t="s">
        <v>607</v>
      </c>
    </row>
    <row r="45" spans="1:8" s="56" customFormat="1" ht="24" customHeight="1" x14ac:dyDescent="0.2">
      <c r="A45" s="222" t="s">
        <v>508</v>
      </c>
      <c r="B45" s="94">
        <v>3622</v>
      </c>
      <c r="C45" s="86">
        <f t="shared" si="6"/>
        <v>8088</v>
      </c>
      <c r="D45" s="86">
        <v>8088</v>
      </c>
      <c r="E45" s="86">
        <v>0</v>
      </c>
      <c r="F45" s="86">
        <v>0</v>
      </c>
      <c r="G45" s="329">
        <v>0</v>
      </c>
      <c r="H45" s="255" t="s">
        <v>607</v>
      </c>
    </row>
    <row r="46" spans="1:8" s="56" customFormat="1" ht="24" customHeight="1" x14ac:dyDescent="0.2">
      <c r="A46" s="222" t="s">
        <v>500</v>
      </c>
      <c r="B46" s="94">
        <v>3615</v>
      </c>
      <c r="C46" s="86">
        <f t="shared" si="6"/>
        <v>63098</v>
      </c>
      <c r="D46" s="86">
        <v>25500</v>
      </c>
      <c r="E46" s="86">
        <v>37598</v>
      </c>
      <c r="F46" s="86">
        <v>0</v>
      </c>
      <c r="G46" s="329">
        <v>0</v>
      </c>
      <c r="H46" s="255" t="s">
        <v>607</v>
      </c>
    </row>
    <row r="47" spans="1:8" s="56" customFormat="1" ht="24.75" customHeight="1" x14ac:dyDescent="0.2">
      <c r="A47" s="222" t="s">
        <v>501</v>
      </c>
      <c r="B47" s="94">
        <v>3611</v>
      </c>
      <c r="C47" s="86">
        <f t="shared" si="6"/>
        <v>141026</v>
      </c>
      <c r="D47" s="86">
        <v>91000</v>
      </c>
      <c r="E47" s="86">
        <v>50026</v>
      </c>
      <c r="F47" s="86">
        <v>0</v>
      </c>
      <c r="G47" s="329">
        <v>0</v>
      </c>
      <c r="H47" s="255" t="s">
        <v>607</v>
      </c>
    </row>
    <row r="48" spans="1:8" s="56" customFormat="1" ht="24" customHeight="1" x14ac:dyDescent="0.2">
      <c r="A48" s="222" t="s">
        <v>502</v>
      </c>
      <c r="B48" s="94">
        <v>3619</v>
      </c>
      <c r="C48" s="86">
        <f t="shared" si="6"/>
        <v>95927</v>
      </c>
      <c r="D48" s="86">
        <v>36900</v>
      </c>
      <c r="E48" s="86">
        <v>59027</v>
      </c>
      <c r="F48" s="86">
        <v>0</v>
      </c>
      <c r="G48" s="329">
        <v>0</v>
      </c>
      <c r="H48" s="255" t="s">
        <v>607</v>
      </c>
    </row>
    <row r="49" spans="1:8" s="56" customFormat="1" ht="24" customHeight="1" x14ac:dyDescent="0.2">
      <c r="A49" s="222" t="s">
        <v>510</v>
      </c>
      <c r="B49" s="94">
        <v>3625</v>
      </c>
      <c r="C49" s="86">
        <f t="shared" si="6"/>
        <v>42000</v>
      </c>
      <c r="D49" s="86">
        <v>0</v>
      </c>
      <c r="E49" s="86">
        <v>42000</v>
      </c>
      <c r="F49" s="86">
        <v>0</v>
      </c>
      <c r="G49" s="329">
        <v>0</v>
      </c>
      <c r="H49" s="255" t="s">
        <v>607</v>
      </c>
    </row>
    <row r="50" spans="1:8" s="56" customFormat="1" ht="24" customHeight="1" x14ac:dyDescent="0.2">
      <c r="A50" s="222" t="s">
        <v>503</v>
      </c>
      <c r="B50" s="94">
        <v>3607</v>
      </c>
      <c r="C50" s="86">
        <f t="shared" si="6"/>
        <v>56000</v>
      </c>
      <c r="D50" s="86">
        <v>27990</v>
      </c>
      <c r="E50" s="86">
        <v>28010</v>
      </c>
      <c r="F50" s="86">
        <v>0</v>
      </c>
      <c r="G50" s="329">
        <v>0</v>
      </c>
      <c r="H50" s="255" t="s">
        <v>607</v>
      </c>
    </row>
    <row r="51" spans="1:8" s="56" customFormat="1" ht="34.5" customHeight="1" x14ac:dyDescent="0.2">
      <c r="A51" s="222" t="s">
        <v>380</v>
      </c>
      <c r="B51" s="94">
        <v>3596</v>
      </c>
      <c r="C51" s="86">
        <f t="shared" si="6"/>
        <v>82080</v>
      </c>
      <c r="D51" s="86">
        <f>5500+49500</f>
        <v>55000</v>
      </c>
      <c r="E51" s="86">
        <f>6400+20680</f>
        <v>27080</v>
      </c>
      <c r="F51" s="86">
        <v>0</v>
      </c>
      <c r="G51" s="329">
        <v>0</v>
      </c>
      <c r="H51" s="108" t="s">
        <v>513</v>
      </c>
    </row>
    <row r="52" spans="1:8" s="56" customFormat="1" ht="24" customHeight="1" x14ac:dyDescent="0.2">
      <c r="A52" s="222" t="s">
        <v>609</v>
      </c>
      <c r="B52" s="94">
        <v>3666</v>
      </c>
      <c r="C52" s="86">
        <f t="shared" si="6"/>
        <v>27720</v>
      </c>
      <c r="D52" s="86">
        <v>27720</v>
      </c>
      <c r="E52" s="86">
        <v>0</v>
      </c>
      <c r="F52" s="86">
        <v>0</v>
      </c>
      <c r="G52" s="329">
        <v>0</v>
      </c>
      <c r="H52" s="255" t="s">
        <v>610</v>
      </c>
    </row>
    <row r="53" spans="1:8" s="56" customFormat="1" ht="24" customHeight="1" x14ac:dyDescent="0.2">
      <c r="A53" s="222" t="s">
        <v>611</v>
      </c>
      <c r="B53" s="94">
        <v>3515</v>
      </c>
      <c r="C53" s="86">
        <f t="shared" si="6"/>
        <v>24119</v>
      </c>
      <c r="D53" s="86">
        <v>24119</v>
      </c>
      <c r="E53" s="86">
        <v>0</v>
      </c>
      <c r="F53" s="86">
        <v>0</v>
      </c>
      <c r="G53" s="329">
        <v>0</v>
      </c>
      <c r="H53" s="255" t="s">
        <v>612</v>
      </c>
    </row>
    <row r="54" spans="1:8" s="56" customFormat="1" ht="24" customHeight="1" x14ac:dyDescent="0.2">
      <c r="A54" s="222" t="s">
        <v>332</v>
      </c>
      <c r="B54" s="94">
        <v>3516</v>
      </c>
      <c r="C54" s="86">
        <f t="shared" si="6"/>
        <v>60000</v>
      </c>
      <c r="D54" s="86">
        <v>60000</v>
      </c>
      <c r="E54" s="86">
        <v>0</v>
      </c>
      <c r="F54" s="86">
        <v>0</v>
      </c>
      <c r="G54" s="329">
        <v>0</v>
      </c>
      <c r="H54" s="255" t="s">
        <v>612</v>
      </c>
    </row>
    <row r="55" spans="1:8" s="56" customFormat="1" ht="24" customHeight="1" x14ac:dyDescent="0.2">
      <c r="A55" s="222" t="s">
        <v>505</v>
      </c>
      <c r="B55" s="94">
        <v>3517</v>
      </c>
      <c r="C55" s="86">
        <f t="shared" si="6"/>
        <v>44822</v>
      </c>
      <c r="D55" s="86">
        <v>44822</v>
      </c>
      <c r="E55" s="86">
        <v>0</v>
      </c>
      <c r="F55" s="86">
        <v>0</v>
      </c>
      <c r="G55" s="329">
        <v>0</v>
      </c>
      <c r="H55" s="255" t="s">
        <v>610</v>
      </c>
    </row>
    <row r="56" spans="1:8" s="56" customFormat="1" ht="24" customHeight="1" x14ac:dyDescent="0.2">
      <c r="A56" s="222" t="s">
        <v>281</v>
      </c>
      <c r="B56" s="94">
        <v>3502</v>
      </c>
      <c r="C56" s="86">
        <f t="shared" si="6"/>
        <v>490600</v>
      </c>
      <c r="D56" s="86">
        <v>490600</v>
      </c>
      <c r="E56" s="86">
        <v>0</v>
      </c>
      <c r="F56" s="86">
        <v>0</v>
      </c>
      <c r="G56" s="329">
        <v>0</v>
      </c>
      <c r="H56" s="255" t="s">
        <v>613</v>
      </c>
    </row>
    <row r="57" spans="1:8" s="56" customFormat="1" ht="35.25" customHeight="1" thickBot="1" x14ac:dyDescent="0.25">
      <c r="A57" s="222" t="s">
        <v>614</v>
      </c>
      <c r="B57" s="94">
        <v>3675</v>
      </c>
      <c r="C57" s="86">
        <f t="shared" si="6"/>
        <v>50000</v>
      </c>
      <c r="D57" s="86">
        <v>20000</v>
      </c>
      <c r="E57" s="86">
        <v>30000</v>
      </c>
      <c r="F57" s="86">
        <v>0</v>
      </c>
      <c r="G57" s="330">
        <v>0</v>
      </c>
      <c r="H57" s="107" t="s">
        <v>598</v>
      </c>
    </row>
    <row r="58" spans="1:8" s="56" customFormat="1" ht="16.5" customHeight="1" thickBot="1" x14ac:dyDescent="0.25">
      <c r="A58" s="57" t="s">
        <v>102</v>
      </c>
      <c r="B58" s="80">
        <f>COUNT(B38:B57)</f>
        <v>20</v>
      </c>
      <c r="C58" s="58">
        <f>SUM(C38:C57)</f>
        <v>1394003</v>
      </c>
      <c r="D58" s="58">
        <f>SUM(D38:D57)</f>
        <v>1090755</v>
      </c>
      <c r="E58" s="58">
        <f>SUM(E38:E57)</f>
        <v>303248</v>
      </c>
      <c r="F58" s="58">
        <f>SUM(F38:F57)</f>
        <v>0</v>
      </c>
      <c r="G58" s="58">
        <f>SUM(G38:G57)</f>
        <v>0</v>
      </c>
      <c r="H58" s="59"/>
    </row>
    <row r="59" spans="1:8" s="56" customFormat="1" ht="18" customHeight="1" x14ac:dyDescent="0.2">
      <c r="A59" s="279" t="s">
        <v>103</v>
      </c>
      <c r="B59" s="280"/>
      <c r="C59" s="280"/>
      <c r="D59" s="280"/>
      <c r="E59" s="280"/>
      <c r="F59" s="280"/>
      <c r="G59" s="280"/>
      <c r="H59" s="281"/>
    </row>
    <row r="60" spans="1:8" s="56" customFormat="1" ht="24" customHeight="1" x14ac:dyDescent="0.2">
      <c r="A60" s="222" t="s">
        <v>924</v>
      </c>
      <c r="B60" s="94">
        <v>3684</v>
      </c>
      <c r="C60" s="86">
        <f t="shared" ref="C60:C62" si="7">SUM(D60:G60)</f>
        <v>792799</v>
      </c>
      <c r="D60" s="86">
        <v>500000</v>
      </c>
      <c r="E60" s="86">
        <v>292799</v>
      </c>
      <c r="F60" s="86">
        <v>0</v>
      </c>
      <c r="G60" s="330">
        <v>0</v>
      </c>
      <c r="H60" s="331" t="s">
        <v>615</v>
      </c>
    </row>
    <row r="61" spans="1:8" s="56" customFormat="1" ht="45.75" customHeight="1" x14ac:dyDescent="0.2">
      <c r="A61" s="222" t="s">
        <v>282</v>
      </c>
      <c r="B61" s="94">
        <v>3292</v>
      </c>
      <c r="C61" s="86">
        <f t="shared" ref="C61" si="8">SUM(D61:G61)</f>
        <v>31000</v>
      </c>
      <c r="D61" s="86">
        <v>31000</v>
      </c>
      <c r="E61" s="86">
        <v>0</v>
      </c>
      <c r="F61" s="86">
        <v>0</v>
      </c>
      <c r="G61" s="329">
        <v>0</v>
      </c>
      <c r="H61" s="255" t="s">
        <v>616</v>
      </c>
    </row>
    <row r="62" spans="1:8" s="56" customFormat="1" ht="35.25" customHeight="1" thickBot="1" x14ac:dyDescent="0.25">
      <c r="A62" s="222" t="s">
        <v>630</v>
      </c>
      <c r="B62" s="94">
        <v>3292</v>
      </c>
      <c r="C62" s="86">
        <f t="shared" si="7"/>
        <v>79825</v>
      </c>
      <c r="D62" s="86">
        <v>45425</v>
      </c>
      <c r="E62" s="86">
        <v>34400</v>
      </c>
      <c r="F62" s="86">
        <v>0</v>
      </c>
      <c r="G62" s="329">
        <v>0</v>
      </c>
      <c r="H62" s="255" t="s">
        <v>631</v>
      </c>
    </row>
    <row r="63" spans="1:8" s="56" customFormat="1" ht="16.5" customHeight="1" thickBot="1" x14ac:dyDescent="0.25">
      <c r="A63" s="57" t="s">
        <v>104</v>
      </c>
      <c r="B63" s="80">
        <f>COUNT(B60:B62)</f>
        <v>3</v>
      </c>
      <c r="C63" s="58">
        <f>SUM(C60:C62)</f>
        <v>903624</v>
      </c>
      <c r="D63" s="58">
        <f>SUM(D60:D62)</f>
        <v>576425</v>
      </c>
      <c r="E63" s="58">
        <f>SUM(E60:E62)</f>
        <v>327199</v>
      </c>
      <c r="F63" s="58">
        <f>SUM(F60:F62)</f>
        <v>0</v>
      </c>
      <c r="G63" s="58">
        <f>SUM(G60:G62)</f>
        <v>0</v>
      </c>
      <c r="H63" s="59"/>
    </row>
    <row r="64" spans="1:8" s="56" customFormat="1" ht="18" customHeight="1" x14ac:dyDescent="0.2">
      <c r="A64" s="279" t="s">
        <v>121</v>
      </c>
      <c r="B64" s="280"/>
      <c r="C64" s="280"/>
      <c r="D64" s="280"/>
      <c r="E64" s="280"/>
      <c r="F64" s="280"/>
      <c r="G64" s="280"/>
      <c r="H64" s="281"/>
    </row>
    <row r="65" spans="1:11" s="56" customFormat="1" ht="34.5" customHeight="1" x14ac:dyDescent="0.2">
      <c r="A65" s="222" t="s">
        <v>283</v>
      </c>
      <c r="B65" s="94">
        <v>3452</v>
      </c>
      <c r="C65" s="86">
        <f t="shared" ref="C65:C66" si="9">SUM(D65:G65)</f>
        <v>250784</v>
      </c>
      <c r="D65" s="86">
        <f>29000+98806</f>
        <v>127806</v>
      </c>
      <c r="E65" s="86">
        <v>21294</v>
      </c>
      <c r="F65" s="86">
        <v>33000</v>
      </c>
      <c r="G65" s="329">
        <v>68684</v>
      </c>
      <c r="H65" s="255" t="s">
        <v>511</v>
      </c>
    </row>
    <row r="66" spans="1:11" s="56" customFormat="1" ht="45.75" customHeight="1" thickBot="1" x14ac:dyDescent="0.25">
      <c r="A66" s="222" t="s">
        <v>333</v>
      </c>
      <c r="B66" s="94">
        <v>3599</v>
      </c>
      <c r="C66" s="86">
        <f t="shared" si="9"/>
        <v>8615</v>
      </c>
      <c r="D66" s="86">
        <f>1600+750</f>
        <v>2350</v>
      </c>
      <c r="E66" s="86">
        <v>1180</v>
      </c>
      <c r="F66" s="86">
        <v>1557</v>
      </c>
      <c r="G66" s="329">
        <v>3528</v>
      </c>
      <c r="H66" s="108" t="s">
        <v>617</v>
      </c>
    </row>
    <row r="67" spans="1:11" s="56" customFormat="1" ht="16.5" customHeight="1" thickBot="1" x14ac:dyDescent="0.3">
      <c r="A67" s="57" t="s">
        <v>105</v>
      </c>
      <c r="B67" s="80">
        <f>COUNT(B65:B66)</f>
        <v>2</v>
      </c>
      <c r="C67" s="58">
        <f>SUM(C65:C66)</f>
        <v>259399</v>
      </c>
      <c r="D67" s="58">
        <f>SUM(D65:D66)</f>
        <v>130156</v>
      </c>
      <c r="E67" s="58">
        <f>SUM(E65:E66)</f>
        <v>22474</v>
      </c>
      <c r="F67" s="58">
        <f>SUM(F65:F66)</f>
        <v>34557</v>
      </c>
      <c r="G67" s="58">
        <f>SUM(G65:G66)</f>
        <v>72212</v>
      </c>
      <c r="H67" s="59"/>
      <c r="I67" s="388"/>
      <c r="J67" s="388"/>
      <c r="K67" s="388"/>
    </row>
    <row r="68" spans="1:11" s="56" customFormat="1" ht="9" customHeight="1" thickBot="1" x14ac:dyDescent="0.25">
      <c r="A68" s="117"/>
      <c r="B68" s="74"/>
      <c r="C68" s="332"/>
      <c r="D68" s="74"/>
      <c r="E68" s="74"/>
      <c r="F68" s="74"/>
      <c r="G68" s="74"/>
      <c r="H68" s="118"/>
    </row>
    <row r="69" spans="1:11" s="56" customFormat="1" ht="18" customHeight="1" thickBot="1" x14ac:dyDescent="0.25">
      <c r="A69" s="63" t="s">
        <v>106</v>
      </c>
      <c r="B69" s="84">
        <f>B67+B63+B58+B36+B27+B22+B19</f>
        <v>40</v>
      </c>
      <c r="C69" s="58">
        <f>C67+C63+C58+C36+C27+C22+C19+C13</f>
        <v>4311244.6099999994</v>
      </c>
      <c r="D69" s="58">
        <f>D67+D63+D58+D36+D27+D22+D19+D13</f>
        <v>3400176.6100000003</v>
      </c>
      <c r="E69" s="58">
        <f>E67+E63+E58+E36+E27+E22+E19+E13</f>
        <v>804061</v>
      </c>
      <c r="F69" s="58">
        <f>F67+F63+F58+F36+F27+F22+F19+F13</f>
        <v>34795</v>
      </c>
      <c r="G69" s="58">
        <f>G67+G63+G58+G36+G27+G22+G19+G13</f>
        <v>72212</v>
      </c>
      <c r="H69" s="64"/>
    </row>
    <row r="70" spans="1:11" ht="15" customHeight="1" x14ac:dyDescent="0.25">
      <c r="C70" s="390"/>
    </row>
    <row r="71" spans="1:11" x14ac:dyDescent="0.25">
      <c r="B71" s="392"/>
      <c r="C71" s="388"/>
      <c r="D71" s="393"/>
      <c r="E71" s="393"/>
    </row>
    <row r="72" spans="1:11" s="389" customFormat="1" x14ac:dyDescent="0.25">
      <c r="B72" s="392"/>
      <c r="C72" s="393"/>
      <c r="D72" s="393"/>
      <c r="E72" s="393"/>
    </row>
    <row r="73" spans="1:11" s="389" customFormat="1" x14ac:dyDescent="0.25">
      <c r="B73" s="392"/>
      <c r="C73" s="393"/>
      <c r="D73" s="393"/>
      <c r="E73" s="393"/>
    </row>
    <row r="74" spans="1:11" s="389" customFormat="1" x14ac:dyDescent="0.25">
      <c r="B74" s="392"/>
      <c r="C74" s="393"/>
      <c r="D74" s="393"/>
      <c r="E74" s="393"/>
    </row>
    <row r="75" spans="1:11" s="389" customFormat="1" x14ac:dyDescent="0.25">
      <c r="B75" s="392"/>
      <c r="C75" s="393"/>
      <c r="D75" s="393"/>
      <c r="E75" s="393"/>
    </row>
    <row r="76" spans="1:11" s="389" customFormat="1" x14ac:dyDescent="0.25">
      <c r="B76" s="392"/>
      <c r="C76" s="393"/>
      <c r="D76" s="393"/>
      <c r="E76" s="393"/>
    </row>
    <row r="77" spans="1:11" s="389" customFormat="1" x14ac:dyDescent="0.25">
      <c r="B77" s="392"/>
      <c r="C77" s="393"/>
      <c r="D77" s="393"/>
      <c r="E77" s="393"/>
    </row>
    <row r="78" spans="1:11" s="389" customFormat="1" x14ac:dyDescent="0.25">
      <c r="B78" s="392"/>
      <c r="C78" s="393"/>
      <c r="D78" s="393"/>
      <c r="E78" s="393"/>
    </row>
    <row r="79" spans="1:11" s="389" customFormat="1" x14ac:dyDescent="0.25">
      <c r="B79" s="392"/>
      <c r="C79" s="393"/>
      <c r="D79" s="393"/>
      <c r="E79" s="393"/>
    </row>
    <row r="80" spans="1:11" s="389" customFormat="1" x14ac:dyDescent="0.25">
      <c r="B80" s="392"/>
      <c r="C80" s="393"/>
      <c r="D80" s="393"/>
      <c r="E80" s="393"/>
    </row>
    <row r="81" spans="2:5" s="389" customFormat="1" x14ac:dyDescent="0.25">
      <c r="B81" s="392"/>
      <c r="C81" s="393"/>
      <c r="D81" s="393"/>
      <c r="E81" s="393"/>
    </row>
    <row r="82" spans="2:5" s="389" customFormat="1" x14ac:dyDescent="0.25">
      <c r="B82" s="392"/>
      <c r="C82" s="393"/>
      <c r="D82" s="393"/>
      <c r="E82" s="393"/>
    </row>
    <row r="83" spans="2:5" s="389" customFormat="1" x14ac:dyDescent="0.25">
      <c r="B83" s="392"/>
      <c r="C83" s="393"/>
      <c r="D83" s="393"/>
      <c r="E83" s="393"/>
    </row>
    <row r="84" spans="2:5" s="389" customFormat="1" x14ac:dyDescent="0.25">
      <c r="B84" s="392"/>
      <c r="C84" s="393"/>
      <c r="D84" s="393"/>
      <c r="E84" s="393"/>
    </row>
    <row r="85" spans="2:5" s="389" customFormat="1" x14ac:dyDescent="0.25">
      <c r="B85" s="392"/>
      <c r="C85" s="393"/>
      <c r="D85" s="393"/>
      <c r="E85" s="393"/>
    </row>
    <row r="86" spans="2:5" s="389" customFormat="1" x14ac:dyDescent="0.25">
      <c r="B86" s="392"/>
      <c r="C86" s="393"/>
      <c r="D86" s="393"/>
      <c r="E86" s="393"/>
    </row>
    <row r="87" spans="2:5" s="389" customFormat="1" x14ac:dyDescent="0.25">
      <c r="B87" s="392"/>
      <c r="C87" s="393"/>
      <c r="D87" s="393"/>
      <c r="E87" s="393"/>
    </row>
    <row r="88" spans="2:5" s="389" customFormat="1" x14ac:dyDescent="0.25">
      <c r="B88" s="392"/>
      <c r="C88" s="393"/>
      <c r="D88" s="393"/>
      <c r="E88" s="393"/>
    </row>
    <row r="89" spans="2:5" s="389" customFormat="1" x14ac:dyDescent="0.25">
      <c r="B89" s="392"/>
      <c r="C89" s="393"/>
      <c r="D89" s="393"/>
      <c r="E89" s="393"/>
    </row>
    <row r="90" spans="2:5" s="389" customFormat="1" x14ac:dyDescent="0.25">
      <c r="B90" s="392"/>
      <c r="C90" s="393"/>
      <c r="D90" s="393"/>
      <c r="E90" s="393"/>
    </row>
    <row r="91" spans="2:5" s="389" customFormat="1" x14ac:dyDescent="0.25">
      <c r="B91" s="392"/>
      <c r="C91" s="393"/>
      <c r="D91" s="393"/>
      <c r="E91" s="393"/>
    </row>
    <row r="92" spans="2:5" s="389" customFormat="1" x14ac:dyDescent="0.25">
      <c r="B92" s="392"/>
      <c r="C92" s="393"/>
      <c r="D92" s="393"/>
      <c r="E92" s="393"/>
    </row>
    <row r="93" spans="2:5" s="389" customFormat="1" x14ac:dyDescent="0.25">
      <c r="B93" s="392"/>
      <c r="C93" s="393"/>
      <c r="D93" s="393"/>
      <c r="E93" s="393"/>
    </row>
  </sheetData>
  <mergeCells count="6">
    <mergeCell ref="A2:H2"/>
    <mergeCell ref="A4:A5"/>
    <mergeCell ref="B4:B5"/>
    <mergeCell ref="C4:C5"/>
    <mergeCell ref="H4:H5"/>
    <mergeCell ref="D4:G4"/>
  </mergeCells>
  <printOptions horizontalCentered="1"/>
  <pageMargins left="0.39370078740157483" right="0.39370078740157483" top="0.59055118110236227" bottom="0.39370078740157483" header="0.31496062992125984" footer="0.11811023622047245"/>
  <pageSetup paperSize="9" firstPageNumber="7" fitToHeight="0" orientation="landscape" useFirstPageNumber="1" r:id="rId1"/>
  <headerFooter>
    <oddHeader>&amp;L&amp;"Tahoma,Kurzíva"&amp;9Střednědobý výhled rozpočtu Moravskoslezského kraje na léta 2027-2029&amp;R&amp;"Tahoma,Kurzíva"&amp;9Přehled závazků kraje u akcí spolufinancovaných z evropských finančních zdrojů</oddHeader>
    <oddFooter>&amp;C&amp;"Tahoma,Obyčejné"&amp;P</oddFooter>
  </headerFooter>
  <rowBreaks count="2" manualBreakCount="2">
    <brk id="17" max="7" man="1"/>
    <brk id="52" max="7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7B63DD-2960-45F4-A2FF-AF428B925534}">
  <sheetPr>
    <pageSetUpPr fitToPage="1"/>
  </sheetPr>
  <dimension ref="A1:O101"/>
  <sheetViews>
    <sheetView topLeftCell="C1" zoomScaleNormal="100" zoomScaleSheetLayoutView="100" workbookViewId="0">
      <pane ySplit="5" topLeftCell="A6" activePane="bottomLeft" state="frozen"/>
      <selection activeCell="B26" sqref="B26"/>
      <selection pane="bottomLeft" activeCell="O6" sqref="O6"/>
    </sheetView>
  </sheetViews>
  <sheetFormatPr defaultColWidth="9.28515625" defaultRowHeight="10.5" x14ac:dyDescent="0.15"/>
  <cols>
    <col min="1" max="1" width="3.28515625" style="538" hidden="1" customWidth="1"/>
    <col min="2" max="2" width="6.42578125" style="538" hidden="1" customWidth="1"/>
    <col min="3" max="3" width="42.7109375" style="539" customWidth="1"/>
    <col min="4" max="4" width="6.5703125" style="540" hidden="1" customWidth="1"/>
    <col min="5" max="5" width="8.28515625" style="538" hidden="1" customWidth="1"/>
    <col min="6" max="6" width="9.7109375" style="541" hidden="1" customWidth="1"/>
    <col min="7" max="7" width="9.7109375" style="542" hidden="1" customWidth="1"/>
    <col min="8" max="8" width="10.7109375" style="543" customWidth="1"/>
    <col min="9" max="12" width="10.7109375" style="538" customWidth="1"/>
    <col min="13" max="13" width="44.7109375" style="538" customWidth="1"/>
    <col min="14" max="16384" width="9.28515625" style="538"/>
  </cols>
  <sheetData>
    <row r="1" spans="1:13" ht="15" customHeight="1" x14ac:dyDescent="0.2">
      <c r="C1" s="620" t="s">
        <v>57</v>
      </c>
    </row>
    <row r="2" spans="1:13" ht="30" customHeight="1" x14ac:dyDescent="0.15">
      <c r="B2" s="672" t="s">
        <v>153</v>
      </c>
      <c r="C2" s="673"/>
      <c r="D2" s="673"/>
      <c r="E2" s="673"/>
      <c r="F2" s="673"/>
      <c r="G2" s="673"/>
      <c r="H2" s="673"/>
      <c r="I2" s="673"/>
      <c r="J2" s="673"/>
      <c r="K2" s="673"/>
      <c r="L2" s="673"/>
      <c r="M2" s="673"/>
    </row>
    <row r="3" spans="1:13" ht="13.5" customHeight="1" thickBot="1" x14ac:dyDescent="0.2">
      <c r="M3" s="119" t="s">
        <v>88</v>
      </c>
    </row>
    <row r="4" spans="1:13" s="544" customFormat="1" ht="21" customHeight="1" x14ac:dyDescent="0.15">
      <c r="A4" s="674" t="s">
        <v>251</v>
      </c>
      <c r="B4" s="676" t="s">
        <v>827</v>
      </c>
      <c r="C4" s="678" t="s">
        <v>114</v>
      </c>
      <c r="D4" s="680" t="s">
        <v>828</v>
      </c>
      <c r="E4" s="680" t="s">
        <v>516</v>
      </c>
      <c r="F4" s="680" t="s">
        <v>517</v>
      </c>
      <c r="G4" s="682"/>
      <c r="H4" s="683" t="s">
        <v>116</v>
      </c>
      <c r="I4" s="685" t="s">
        <v>138</v>
      </c>
      <c r="J4" s="686"/>
      <c r="K4" s="686"/>
      <c r="L4" s="687"/>
      <c r="M4" s="688" t="s">
        <v>478</v>
      </c>
    </row>
    <row r="5" spans="1:13" s="544" customFormat="1" ht="21" customHeight="1" thickBot="1" x14ac:dyDescent="0.2">
      <c r="A5" s="675"/>
      <c r="B5" s="677"/>
      <c r="C5" s="679"/>
      <c r="D5" s="681"/>
      <c r="E5" s="681"/>
      <c r="F5" s="545" t="s">
        <v>518</v>
      </c>
      <c r="G5" s="546" t="s">
        <v>519</v>
      </c>
      <c r="H5" s="684"/>
      <c r="I5" s="545">
        <v>2027</v>
      </c>
      <c r="J5" s="545">
        <v>2028</v>
      </c>
      <c r="K5" s="545">
        <v>2029</v>
      </c>
      <c r="L5" s="254" t="s">
        <v>819</v>
      </c>
      <c r="M5" s="689"/>
    </row>
    <row r="6" spans="1:13" s="555" customFormat="1" ht="18" customHeight="1" x14ac:dyDescent="0.2">
      <c r="A6" s="547"/>
      <c r="B6" s="548" t="s">
        <v>522</v>
      </c>
      <c r="C6" s="548" t="s">
        <v>522</v>
      </c>
      <c r="D6" s="550"/>
      <c r="E6" s="551"/>
      <c r="F6" s="552"/>
      <c r="G6" s="553"/>
      <c r="H6" s="549"/>
      <c r="I6" s="549"/>
      <c r="J6" s="549"/>
      <c r="K6" s="549"/>
      <c r="L6" s="549"/>
      <c r="M6" s="554"/>
    </row>
    <row r="7" spans="1:13" s="560" customFormat="1" ht="24" customHeight="1" x14ac:dyDescent="0.2">
      <c r="A7" s="556">
        <v>7</v>
      </c>
      <c r="B7" s="612"/>
      <c r="C7" s="614" t="s">
        <v>523</v>
      </c>
      <c r="D7" s="557">
        <v>5344</v>
      </c>
      <c r="E7" s="589" t="s">
        <v>829</v>
      </c>
      <c r="F7" s="690" t="s">
        <v>227</v>
      </c>
      <c r="G7" s="691"/>
      <c r="H7" s="558">
        <v>150000</v>
      </c>
      <c r="I7" s="558">
        <v>50000</v>
      </c>
      <c r="J7" s="558">
        <v>50000</v>
      </c>
      <c r="K7" s="558">
        <v>50000</v>
      </c>
      <c r="L7" s="86" t="s">
        <v>6</v>
      </c>
      <c r="M7" s="559" t="s">
        <v>369</v>
      </c>
    </row>
    <row r="8" spans="1:13" s="560" customFormat="1" ht="15.75" customHeight="1" x14ac:dyDescent="0.2">
      <c r="A8" s="561"/>
      <c r="B8" s="611" t="s">
        <v>525</v>
      </c>
      <c r="C8" s="562" t="s">
        <v>525</v>
      </c>
      <c r="D8" s="563"/>
      <c r="E8" s="564"/>
      <c r="F8" s="565"/>
      <c r="G8" s="566"/>
      <c r="H8" s="586">
        <f>SUM(H7:H7)</f>
        <v>150000</v>
      </c>
      <c r="I8" s="586">
        <f>SUM(I7:I7)</f>
        <v>50000</v>
      </c>
      <c r="J8" s="586">
        <f t="shared" ref="J8:L8" si="0">SUM(J7:J7)</f>
        <v>50000</v>
      </c>
      <c r="K8" s="586">
        <f t="shared" si="0"/>
        <v>50000</v>
      </c>
      <c r="L8" s="586">
        <f t="shared" si="0"/>
        <v>0</v>
      </c>
      <c r="M8" s="567"/>
    </row>
    <row r="9" spans="1:13" s="555" customFormat="1" ht="18" customHeight="1" x14ac:dyDescent="0.2">
      <c r="A9" s="551"/>
      <c r="B9" s="568" t="s">
        <v>214</v>
      </c>
      <c r="C9" s="568" t="s">
        <v>214</v>
      </c>
      <c r="D9" s="550"/>
      <c r="E9" s="551"/>
      <c r="F9" s="552"/>
      <c r="G9" s="553"/>
      <c r="H9" s="549"/>
      <c r="I9" s="549"/>
      <c r="J9" s="549"/>
      <c r="K9" s="549"/>
      <c r="L9" s="549"/>
      <c r="M9" s="554"/>
    </row>
    <row r="10" spans="1:13" s="560" customFormat="1" ht="34.5" customHeight="1" x14ac:dyDescent="0.2">
      <c r="A10" s="569">
        <v>16</v>
      </c>
      <c r="B10" s="612"/>
      <c r="C10" s="614" t="s">
        <v>526</v>
      </c>
      <c r="D10" s="557">
        <v>4334</v>
      </c>
      <c r="E10" s="589" t="s">
        <v>527</v>
      </c>
      <c r="F10" s="690" t="s">
        <v>227</v>
      </c>
      <c r="G10" s="691"/>
      <c r="H10" s="558">
        <v>65000</v>
      </c>
      <c r="I10" s="592">
        <v>30000</v>
      </c>
      <c r="J10" s="592">
        <v>35000</v>
      </c>
      <c r="K10" s="592">
        <v>0</v>
      </c>
      <c r="L10" s="592">
        <v>0</v>
      </c>
      <c r="M10" s="559" t="s">
        <v>909</v>
      </c>
    </row>
    <row r="11" spans="1:13" s="560" customFormat="1" ht="34.5" customHeight="1" x14ac:dyDescent="0.2">
      <c r="A11" s="569">
        <v>16</v>
      </c>
      <c r="B11" s="612"/>
      <c r="C11" s="614" t="s">
        <v>830</v>
      </c>
      <c r="D11" s="557">
        <v>4809</v>
      </c>
      <c r="E11" s="589" t="s">
        <v>521</v>
      </c>
      <c r="F11" s="616">
        <v>83000</v>
      </c>
      <c r="G11" s="591" t="s">
        <v>831</v>
      </c>
      <c r="H11" s="558">
        <v>80000</v>
      </c>
      <c r="I11" s="592">
        <v>0</v>
      </c>
      <c r="J11" s="592">
        <v>20000</v>
      </c>
      <c r="K11" s="592">
        <v>60000</v>
      </c>
      <c r="L11" s="592">
        <v>0</v>
      </c>
      <c r="M11" s="559" t="s">
        <v>910</v>
      </c>
    </row>
    <row r="12" spans="1:13" s="560" customFormat="1" ht="34.5" customHeight="1" x14ac:dyDescent="0.2">
      <c r="A12" s="569">
        <v>16</v>
      </c>
      <c r="B12" s="612"/>
      <c r="C12" s="614" t="s">
        <v>832</v>
      </c>
      <c r="D12" s="557">
        <v>4571</v>
      </c>
      <c r="E12" s="589" t="s">
        <v>527</v>
      </c>
      <c r="F12" s="690" t="s">
        <v>227</v>
      </c>
      <c r="G12" s="691"/>
      <c r="H12" s="558">
        <v>390000</v>
      </c>
      <c r="I12" s="592">
        <v>40000</v>
      </c>
      <c r="J12" s="592">
        <v>50000</v>
      </c>
      <c r="K12" s="592">
        <v>300000</v>
      </c>
      <c r="L12" s="592">
        <v>0</v>
      </c>
      <c r="M12" s="559" t="s">
        <v>911</v>
      </c>
    </row>
    <row r="13" spans="1:13" s="560" customFormat="1" ht="34.5" customHeight="1" x14ac:dyDescent="0.2">
      <c r="A13" s="569">
        <v>7</v>
      </c>
      <c r="B13" s="612"/>
      <c r="C13" s="614" t="s">
        <v>530</v>
      </c>
      <c r="D13" s="557">
        <v>4341</v>
      </c>
      <c r="E13" s="589" t="s">
        <v>521</v>
      </c>
      <c r="F13" s="616">
        <v>303820</v>
      </c>
      <c r="G13" s="591" t="s">
        <v>833</v>
      </c>
      <c r="H13" s="558">
        <v>255310</v>
      </c>
      <c r="I13" s="592">
        <v>50000</v>
      </c>
      <c r="J13" s="592">
        <v>50000</v>
      </c>
      <c r="K13" s="592">
        <v>155310</v>
      </c>
      <c r="L13" s="592">
        <v>0</v>
      </c>
      <c r="M13" s="559" t="s">
        <v>912</v>
      </c>
    </row>
    <row r="14" spans="1:13" s="560" customFormat="1" ht="52.5" x14ac:dyDescent="0.2">
      <c r="A14" s="569">
        <v>7</v>
      </c>
      <c r="B14" s="612"/>
      <c r="C14" s="614" t="s">
        <v>834</v>
      </c>
      <c r="D14" s="557">
        <v>5954</v>
      </c>
      <c r="E14" s="589" t="s">
        <v>520</v>
      </c>
      <c r="F14" s="616">
        <v>4053100</v>
      </c>
      <c r="G14" s="615" t="s">
        <v>835</v>
      </c>
      <c r="H14" s="558">
        <v>3480000</v>
      </c>
      <c r="I14" s="592">
        <v>1888000</v>
      </c>
      <c r="J14" s="592">
        <v>1592000</v>
      </c>
      <c r="K14" s="592">
        <v>0</v>
      </c>
      <c r="L14" s="592">
        <v>0</v>
      </c>
      <c r="M14" s="559" t="s">
        <v>913</v>
      </c>
    </row>
    <row r="15" spans="1:13" s="560" customFormat="1" ht="42" x14ac:dyDescent="0.2">
      <c r="A15" s="569">
        <v>7</v>
      </c>
      <c r="B15" s="612"/>
      <c r="C15" s="614" t="s">
        <v>528</v>
      </c>
      <c r="D15" s="557">
        <v>4343</v>
      </c>
      <c r="E15" s="589" t="s">
        <v>836</v>
      </c>
      <c r="F15" s="616">
        <v>125000</v>
      </c>
      <c r="G15" s="615" t="s">
        <v>837</v>
      </c>
      <c r="H15" s="558">
        <v>54600</v>
      </c>
      <c r="I15" s="592">
        <v>54600</v>
      </c>
      <c r="J15" s="592">
        <v>0</v>
      </c>
      <c r="K15" s="592">
        <v>0</v>
      </c>
      <c r="L15" s="592">
        <v>0</v>
      </c>
      <c r="M15" s="559" t="s">
        <v>838</v>
      </c>
    </row>
    <row r="16" spans="1:13" s="560" customFormat="1" ht="42" x14ac:dyDescent="0.2">
      <c r="A16" s="569">
        <v>7</v>
      </c>
      <c r="B16" s="612"/>
      <c r="C16" s="614" t="s">
        <v>927</v>
      </c>
      <c r="D16" s="557">
        <v>4342</v>
      </c>
      <c r="E16" s="589" t="s">
        <v>836</v>
      </c>
      <c r="F16" s="616">
        <v>13900</v>
      </c>
      <c r="G16" s="615" t="s">
        <v>529</v>
      </c>
      <c r="H16" s="558">
        <v>1000</v>
      </c>
      <c r="I16" s="592">
        <v>1000</v>
      </c>
      <c r="J16" s="592">
        <v>0</v>
      </c>
      <c r="K16" s="592">
        <v>0</v>
      </c>
      <c r="L16" s="592">
        <v>0</v>
      </c>
      <c r="M16" s="559" t="s">
        <v>914</v>
      </c>
    </row>
    <row r="17" spans="1:13" s="560" customFormat="1" ht="15" customHeight="1" x14ac:dyDescent="0.2">
      <c r="A17" s="569">
        <v>14</v>
      </c>
      <c r="B17" s="612"/>
      <c r="C17" s="614" t="s">
        <v>839</v>
      </c>
      <c r="D17" s="570">
        <v>4778</v>
      </c>
      <c r="E17" s="571" t="s">
        <v>521</v>
      </c>
      <c r="F17" s="572">
        <v>317000</v>
      </c>
      <c r="G17" s="573" t="s">
        <v>840</v>
      </c>
      <c r="H17" s="558">
        <v>160944</v>
      </c>
      <c r="I17" s="592">
        <v>0</v>
      </c>
      <c r="J17" s="592">
        <v>62400</v>
      </c>
      <c r="K17" s="592">
        <v>98544</v>
      </c>
      <c r="L17" s="574">
        <v>0</v>
      </c>
      <c r="M17" s="692" t="s">
        <v>841</v>
      </c>
    </row>
    <row r="18" spans="1:13" s="560" customFormat="1" ht="24" customHeight="1" x14ac:dyDescent="0.2">
      <c r="A18" s="569">
        <v>14</v>
      </c>
      <c r="B18" s="612"/>
      <c r="C18" s="614" t="s">
        <v>842</v>
      </c>
      <c r="D18" s="570">
        <v>4780</v>
      </c>
      <c r="E18" s="589" t="s">
        <v>521</v>
      </c>
      <c r="F18" s="616">
        <v>140999</v>
      </c>
      <c r="G18" s="615" t="s">
        <v>840</v>
      </c>
      <c r="H18" s="558">
        <v>45803</v>
      </c>
      <c r="I18" s="592">
        <v>24320</v>
      </c>
      <c r="J18" s="592">
        <v>0</v>
      </c>
      <c r="K18" s="592">
        <v>21483</v>
      </c>
      <c r="L18" s="592">
        <v>0</v>
      </c>
      <c r="M18" s="693"/>
    </row>
    <row r="19" spans="1:13" s="560" customFormat="1" ht="24" customHeight="1" x14ac:dyDescent="0.2">
      <c r="A19" s="569">
        <v>14</v>
      </c>
      <c r="B19" s="612"/>
      <c r="C19" s="614" t="s">
        <v>843</v>
      </c>
      <c r="D19" s="570">
        <v>4779</v>
      </c>
      <c r="E19" s="589" t="s">
        <v>521</v>
      </c>
      <c r="F19" s="616">
        <v>307001</v>
      </c>
      <c r="G19" s="615" t="s">
        <v>840</v>
      </c>
      <c r="H19" s="558">
        <v>156720</v>
      </c>
      <c r="I19" s="592">
        <v>31200</v>
      </c>
      <c r="J19" s="592">
        <v>62400</v>
      </c>
      <c r="K19" s="592">
        <v>63120</v>
      </c>
      <c r="L19" s="592">
        <v>0</v>
      </c>
      <c r="M19" s="693"/>
    </row>
    <row r="20" spans="1:13" s="560" customFormat="1" ht="15" customHeight="1" x14ac:dyDescent="0.2">
      <c r="A20" s="569">
        <v>14</v>
      </c>
      <c r="B20" s="612"/>
      <c r="C20" s="614" t="s">
        <v>844</v>
      </c>
      <c r="D20" s="570">
        <v>4790</v>
      </c>
      <c r="E20" s="589" t="s">
        <v>521</v>
      </c>
      <c r="F20" s="616">
        <v>35999</v>
      </c>
      <c r="G20" s="615" t="s">
        <v>840</v>
      </c>
      <c r="H20" s="558">
        <v>6106</v>
      </c>
      <c r="I20" s="592">
        <v>0</v>
      </c>
      <c r="J20" s="592">
        <v>0</v>
      </c>
      <c r="K20" s="592">
        <v>6106</v>
      </c>
      <c r="L20" s="592">
        <v>0</v>
      </c>
      <c r="M20" s="693"/>
    </row>
    <row r="21" spans="1:13" s="560" customFormat="1" ht="24" customHeight="1" x14ac:dyDescent="0.2">
      <c r="A21" s="569">
        <v>14</v>
      </c>
      <c r="B21" s="612"/>
      <c r="C21" s="614" t="s">
        <v>845</v>
      </c>
      <c r="D21" s="570">
        <v>4784</v>
      </c>
      <c r="E21" s="589" t="s">
        <v>521</v>
      </c>
      <c r="F21" s="616">
        <v>78001</v>
      </c>
      <c r="G21" s="615" t="s">
        <v>840</v>
      </c>
      <c r="H21" s="558">
        <v>33600</v>
      </c>
      <c r="I21" s="592">
        <v>21000</v>
      </c>
      <c r="J21" s="592">
        <v>12600</v>
      </c>
      <c r="K21" s="592">
        <v>0</v>
      </c>
      <c r="L21" s="592">
        <v>0</v>
      </c>
      <c r="M21" s="693"/>
    </row>
    <row r="22" spans="1:13" s="560" customFormat="1" ht="15" customHeight="1" x14ac:dyDescent="0.2">
      <c r="A22" s="569">
        <v>14</v>
      </c>
      <c r="B22" s="612"/>
      <c r="C22" s="614" t="s">
        <v>846</v>
      </c>
      <c r="D22" s="570">
        <v>4786</v>
      </c>
      <c r="E22" s="589" t="s">
        <v>521</v>
      </c>
      <c r="F22" s="616">
        <v>47999</v>
      </c>
      <c r="G22" s="615" t="s">
        <v>840</v>
      </c>
      <c r="H22" s="558">
        <v>8836</v>
      </c>
      <c r="I22" s="592">
        <v>0</v>
      </c>
      <c r="J22" s="592">
        <v>0</v>
      </c>
      <c r="K22" s="592">
        <v>8836</v>
      </c>
      <c r="L22" s="592">
        <v>0</v>
      </c>
      <c r="M22" s="693"/>
    </row>
    <row r="23" spans="1:13" s="560" customFormat="1" ht="15" customHeight="1" x14ac:dyDescent="0.2">
      <c r="A23" s="569">
        <v>14</v>
      </c>
      <c r="B23" s="612"/>
      <c r="C23" s="614" t="s">
        <v>847</v>
      </c>
      <c r="D23" s="570">
        <v>4789</v>
      </c>
      <c r="E23" s="589" t="s">
        <v>521</v>
      </c>
      <c r="F23" s="616">
        <v>36000</v>
      </c>
      <c r="G23" s="615" t="s">
        <v>840</v>
      </c>
      <c r="H23" s="558">
        <v>6120</v>
      </c>
      <c r="I23" s="592">
        <v>6120</v>
      </c>
      <c r="J23" s="592">
        <v>0</v>
      </c>
      <c r="K23" s="592">
        <v>0</v>
      </c>
      <c r="L23" s="592">
        <v>0</v>
      </c>
      <c r="M23" s="693"/>
    </row>
    <row r="24" spans="1:13" s="560" customFormat="1" ht="15" customHeight="1" x14ac:dyDescent="0.2">
      <c r="A24" s="569">
        <v>14</v>
      </c>
      <c r="B24" s="612"/>
      <c r="C24" s="614" t="s">
        <v>848</v>
      </c>
      <c r="D24" s="570">
        <v>4785</v>
      </c>
      <c r="E24" s="589" t="s">
        <v>521</v>
      </c>
      <c r="F24" s="616">
        <v>69999</v>
      </c>
      <c r="G24" s="615" t="s">
        <v>840</v>
      </c>
      <c r="H24" s="558">
        <v>35515</v>
      </c>
      <c r="I24" s="592">
        <v>26000</v>
      </c>
      <c r="J24" s="592">
        <v>9515</v>
      </c>
      <c r="K24" s="592">
        <v>0</v>
      </c>
      <c r="L24" s="592">
        <v>0</v>
      </c>
      <c r="M24" s="693"/>
    </row>
    <row r="25" spans="1:13" s="560" customFormat="1" ht="15" customHeight="1" x14ac:dyDescent="0.2">
      <c r="A25" s="569">
        <v>14</v>
      </c>
      <c r="B25" s="612"/>
      <c r="C25" s="614" t="s">
        <v>849</v>
      </c>
      <c r="D25" s="570">
        <v>4803</v>
      </c>
      <c r="E25" s="589" t="s">
        <v>521</v>
      </c>
      <c r="F25" s="616">
        <v>30000</v>
      </c>
      <c r="G25" s="615" t="s">
        <v>840</v>
      </c>
      <c r="H25" s="558">
        <v>5280</v>
      </c>
      <c r="I25" s="592">
        <v>0</v>
      </c>
      <c r="J25" s="592">
        <v>0</v>
      </c>
      <c r="K25" s="592">
        <v>5280</v>
      </c>
      <c r="L25" s="592">
        <v>0</v>
      </c>
      <c r="M25" s="693"/>
    </row>
    <row r="26" spans="1:13" s="560" customFormat="1" ht="15" customHeight="1" x14ac:dyDescent="0.2">
      <c r="A26" s="569">
        <v>14</v>
      </c>
      <c r="B26" s="612"/>
      <c r="C26" s="614" t="s">
        <v>850</v>
      </c>
      <c r="D26" s="570">
        <v>4782</v>
      </c>
      <c r="E26" s="589" t="s">
        <v>521</v>
      </c>
      <c r="F26" s="616">
        <v>113000</v>
      </c>
      <c r="G26" s="615" t="s">
        <v>840</v>
      </c>
      <c r="H26" s="558">
        <v>16656</v>
      </c>
      <c r="I26" s="592">
        <v>0</v>
      </c>
      <c r="J26" s="592">
        <v>0</v>
      </c>
      <c r="K26" s="592">
        <v>16656</v>
      </c>
      <c r="L26" s="592">
        <v>0</v>
      </c>
      <c r="M26" s="693"/>
    </row>
    <row r="27" spans="1:13" s="560" customFormat="1" ht="15" customHeight="1" x14ac:dyDescent="0.2">
      <c r="A27" s="569">
        <v>14</v>
      </c>
      <c r="B27" s="612"/>
      <c r="C27" s="614" t="s">
        <v>851</v>
      </c>
      <c r="D27" s="570">
        <v>4806</v>
      </c>
      <c r="E27" s="589" t="s">
        <v>521</v>
      </c>
      <c r="F27" s="616">
        <v>15000</v>
      </c>
      <c r="G27" s="615" t="s">
        <v>840</v>
      </c>
      <c r="H27" s="558">
        <v>3200</v>
      </c>
      <c r="I27" s="592">
        <v>0</v>
      </c>
      <c r="J27" s="592">
        <v>0</v>
      </c>
      <c r="K27" s="592">
        <v>3200</v>
      </c>
      <c r="L27" s="592">
        <v>0</v>
      </c>
      <c r="M27" s="693"/>
    </row>
    <row r="28" spans="1:13" s="560" customFormat="1" ht="24" customHeight="1" x14ac:dyDescent="0.15">
      <c r="A28" s="538">
        <v>14</v>
      </c>
      <c r="B28" s="612"/>
      <c r="C28" s="614" t="s">
        <v>852</v>
      </c>
      <c r="D28" s="575">
        <v>4781</v>
      </c>
      <c r="E28" s="589" t="s">
        <v>521</v>
      </c>
      <c r="F28" s="576">
        <v>141000</v>
      </c>
      <c r="G28" s="615" t="s">
        <v>840</v>
      </c>
      <c r="H28" s="558">
        <v>72126</v>
      </c>
      <c r="I28" s="577">
        <v>28488</v>
      </c>
      <c r="J28" s="577">
        <v>0</v>
      </c>
      <c r="K28" s="577">
        <v>43638</v>
      </c>
      <c r="L28" s="577">
        <v>0</v>
      </c>
      <c r="M28" s="694"/>
    </row>
    <row r="29" spans="1:13" s="560" customFormat="1" ht="15" customHeight="1" x14ac:dyDescent="0.15">
      <c r="A29" s="538">
        <v>14</v>
      </c>
      <c r="B29" s="612"/>
      <c r="C29" s="614" t="s">
        <v>853</v>
      </c>
      <c r="D29" s="575">
        <v>4783</v>
      </c>
      <c r="E29" s="589" t="s">
        <v>521</v>
      </c>
      <c r="F29" s="576">
        <v>100000</v>
      </c>
      <c r="G29" s="615" t="s">
        <v>840</v>
      </c>
      <c r="H29" s="558">
        <v>51508</v>
      </c>
      <c r="I29" s="577">
        <v>31000</v>
      </c>
      <c r="J29" s="577">
        <v>20508</v>
      </c>
      <c r="K29" s="577">
        <v>0</v>
      </c>
      <c r="L29" s="577">
        <v>0</v>
      </c>
      <c r="M29" s="695"/>
    </row>
    <row r="30" spans="1:13" s="560" customFormat="1" ht="15.75" customHeight="1" x14ac:dyDescent="0.2">
      <c r="A30" s="578"/>
      <c r="B30" s="611" t="s">
        <v>229</v>
      </c>
      <c r="C30" s="562" t="s">
        <v>229</v>
      </c>
      <c r="D30" s="563"/>
      <c r="E30" s="564"/>
      <c r="F30" s="617"/>
      <c r="G30" s="566"/>
      <c r="H30" s="586">
        <f>SUM(H10:H29)</f>
        <v>4928324</v>
      </c>
      <c r="I30" s="586">
        <f>SUM(I10:I29)</f>
        <v>2231728</v>
      </c>
      <c r="J30" s="586">
        <f t="shared" ref="J30:L30" si="1">SUM(J10:J29)</f>
        <v>1914423</v>
      </c>
      <c r="K30" s="586">
        <f t="shared" si="1"/>
        <v>782173</v>
      </c>
      <c r="L30" s="586">
        <f t="shared" si="1"/>
        <v>0</v>
      </c>
      <c r="M30" s="567"/>
    </row>
    <row r="31" spans="1:13" s="555" customFormat="1" ht="18" customHeight="1" x14ac:dyDescent="0.2">
      <c r="A31" s="551"/>
      <c r="B31" s="548" t="s">
        <v>424</v>
      </c>
      <c r="C31" s="548" t="s">
        <v>424</v>
      </c>
      <c r="D31" s="550"/>
      <c r="E31" s="551"/>
      <c r="F31" s="552"/>
      <c r="G31" s="553"/>
      <c r="H31" s="549"/>
      <c r="I31" s="549"/>
      <c r="J31" s="549"/>
      <c r="K31" s="549"/>
      <c r="L31" s="549"/>
      <c r="M31" s="554"/>
    </row>
    <row r="32" spans="1:13" s="560" customFormat="1" ht="34.5" customHeight="1" x14ac:dyDescent="0.2">
      <c r="A32" s="569">
        <v>5</v>
      </c>
      <c r="B32" s="612"/>
      <c r="C32" s="614" t="s">
        <v>308</v>
      </c>
      <c r="D32" s="557">
        <v>5878</v>
      </c>
      <c r="E32" s="589" t="s">
        <v>527</v>
      </c>
      <c r="F32" s="690" t="s">
        <v>207</v>
      </c>
      <c r="G32" s="691"/>
      <c r="H32" s="558">
        <v>48378</v>
      </c>
      <c r="I32" s="592">
        <v>16126</v>
      </c>
      <c r="J32" s="592">
        <v>16126</v>
      </c>
      <c r="K32" s="592">
        <v>16126</v>
      </c>
      <c r="L32" s="593">
        <v>0</v>
      </c>
      <c r="M32" s="559" t="s">
        <v>908</v>
      </c>
    </row>
    <row r="33" spans="1:13" s="560" customFormat="1" ht="26.25" customHeight="1" x14ac:dyDescent="0.2">
      <c r="A33" s="578"/>
      <c r="B33" s="610" t="s">
        <v>484</v>
      </c>
      <c r="C33" s="610" t="s">
        <v>484</v>
      </c>
      <c r="D33" s="563"/>
      <c r="E33" s="564"/>
      <c r="F33" s="565"/>
      <c r="G33" s="566"/>
      <c r="H33" s="586">
        <f>SUM(H32:H32)</f>
        <v>48378</v>
      </c>
      <c r="I33" s="586">
        <f>SUM(I32:I32)</f>
        <v>16126</v>
      </c>
      <c r="J33" s="586">
        <f>SUM(J32:J32)</f>
        <v>16126</v>
      </c>
      <c r="K33" s="586">
        <f>SUM(K32:K32)</f>
        <v>16126</v>
      </c>
      <c r="L33" s="586">
        <f>SUM(L32:L32)</f>
        <v>0</v>
      </c>
      <c r="M33" s="567"/>
    </row>
    <row r="34" spans="1:13" s="555" customFormat="1" ht="18" customHeight="1" x14ac:dyDescent="0.2">
      <c r="A34" s="551"/>
      <c r="B34" s="548" t="s">
        <v>93</v>
      </c>
      <c r="C34" s="548" t="s">
        <v>93</v>
      </c>
      <c r="D34" s="550"/>
      <c r="E34" s="551"/>
      <c r="F34" s="552"/>
      <c r="G34" s="553"/>
      <c r="H34" s="549"/>
      <c r="I34" s="579"/>
      <c r="J34" s="579"/>
      <c r="K34" s="579"/>
      <c r="L34" s="549"/>
      <c r="M34" s="554"/>
    </row>
    <row r="35" spans="1:13" s="560" customFormat="1" ht="42" x14ac:dyDescent="0.2">
      <c r="A35" s="580">
        <v>7</v>
      </c>
      <c r="B35" s="613"/>
      <c r="C35" s="618" t="s">
        <v>370</v>
      </c>
      <c r="D35" s="588">
        <v>4416</v>
      </c>
      <c r="E35" s="589" t="s">
        <v>520</v>
      </c>
      <c r="F35" s="590">
        <v>30000</v>
      </c>
      <c r="G35" s="591" t="s">
        <v>529</v>
      </c>
      <c r="H35" s="558">
        <v>23500</v>
      </c>
      <c r="I35" s="592">
        <v>23500</v>
      </c>
      <c r="J35" s="592">
        <v>0</v>
      </c>
      <c r="K35" s="592">
        <v>0</v>
      </c>
      <c r="L35" s="593">
        <v>0</v>
      </c>
      <c r="M35" s="559" t="s">
        <v>873</v>
      </c>
    </row>
    <row r="36" spans="1:13" s="560" customFormat="1" ht="34.5" customHeight="1" x14ac:dyDescent="0.2">
      <c r="A36" s="580">
        <v>7</v>
      </c>
      <c r="B36" s="613"/>
      <c r="C36" s="618" t="s">
        <v>371</v>
      </c>
      <c r="D36" s="588">
        <v>4347</v>
      </c>
      <c r="E36" s="589" t="s">
        <v>520</v>
      </c>
      <c r="F36" s="590">
        <v>177000</v>
      </c>
      <c r="G36" s="591" t="s">
        <v>855</v>
      </c>
      <c r="H36" s="558">
        <v>162250</v>
      </c>
      <c r="I36" s="592">
        <v>62250</v>
      </c>
      <c r="J36" s="592">
        <v>100000</v>
      </c>
      <c r="K36" s="592">
        <v>0</v>
      </c>
      <c r="L36" s="593">
        <v>0</v>
      </c>
      <c r="M36" s="559" t="s">
        <v>856</v>
      </c>
    </row>
    <row r="37" spans="1:13" s="560" customFormat="1" ht="42" x14ac:dyDescent="0.2">
      <c r="A37" s="580">
        <v>7</v>
      </c>
      <c r="B37" s="613"/>
      <c r="C37" s="618" t="s">
        <v>372</v>
      </c>
      <c r="D37" s="588">
        <v>4419</v>
      </c>
      <c r="E37" s="589" t="s">
        <v>520</v>
      </c>
      <c r="F37" s="590">
        <v>50000</v>
      </c>
      <c r="G37" s="591" t="s">
        <v>531</v>
      </c>
      <c r="H37" s="558">
        <v>20000</v>
      </c>
      <c r="I37" s="592">
        <v>20000</v>
      </c>
      <c r="J37" s="592">
        <v>0</v>
      </c>
      <c r="K37" s="592">
        <v>0</v>
      </c>
      <c r="L37" s="593">
        <v>0</v>
      </c>
      <c r="M37" s="559" t="s">
        <v>873</v>
      </c>
    </row>
    <row r="38" spans="1:13" s="560" customFormat="1" ht="34.5" customHeight="1" x14ac:dyDescent="0.2">
      <c r="A38" s="580">
        <v>7</v>
      </c>
      <c r="B38" s="613"/>
      <c r="C38" s="618" t="s">
        <v>532</v>
      </c>
      <c r="D38" s="588">
        <v>4472</v>
      </c>
      <c r="E38" s="589" t="s">
        <v>520</v>
      </c>
      <c r="F38" s="590">
        <v>31150</v>
      </c>
      <c r="G38" s="591" t="s">
        <v>857</v>
      </c>
      <c r="H38" s="558">
        <v>21000</v>
      </c>
      <c r="I38" s="592">
        <v>21000</v>
      </c>
      <c r="J38" s="592">
        <v>0</v>
      </c>
      <c r="K38" s="592">
        <v>0</v>
      </c>
      <c r="L38" s="593">
        <v>0</v>
      </c>
      <c r="M38" s="559" t="s">
        <v>858</v>
      </c>
    </row>
    <row r="39" spans="1:13" s="560" customFormat="1" ht="34.5" customHeight="1" x14ac:dyDescent="0.2">
      <c r="A39" s="580">
        <v>17</v>
      </c>
      <c r="B39" s="613"/>
      <c r="C39" s="618" t="s">
        <v>533</v>
      </c>
      <c r="D39" s="588">
        <v>4415</v>
      </c>
      <c r="E39" s="589" t="s">
        <v>521</v>
      </c>
      <c r="F39" s="590">
        <v>15500</v>
      </c>
      <c r="G39" s="591" t="s">
        <v>859</v>
      </c>
      <c r="H39" s="558">
        <v>10000</v>
      </c>
      <c r="I39" s="592">
        <v>10000</v>
      </c>
      <c r="J39" s="592">
        <v>0</v>
      </c>
      <c r="K39" s="592">
        <v>0</v>
      </c>
      <c r="L39" s="593">
        <v>0</v>
      </c>
      <c r="M39" s="559" t="s">
        <v>856</v>
      </c>
    </row>
    <row r="40" spans="1:13" s="560" customFormat="1" ht="27.75" customHeight="1" x14ac:dyDescent="0.2">
      <c r="A40" s="580">
        <v>17</v>
      </c>
      <c r="B40" s="613"/>
      <c r="C40" s="618" t="s">
        <v>534</v>
      </c>
      <c r="D40" s="588">
        <v>4469</v>
      </c>
      <c r="E40" s="589" t="s">
        <v>521</v>
      </c>
      <c r="F40" s="590">
        <v>30000</v>
      </c>
      <c r="G40" s="591" t="s">
        <v>857</v>
      </c>
      <c r="H40" s="558">
        <v>24850</v>
      </c>
      <c r="I40" s="592">
        <v>24850</v>
      </c>
      <c r="J40" s="592">
        <v>0</v>
      </c>
      <c r="K40" s="592">
        <v>0</v>
      </c>
      <c r="L40" s="593">
        <v>0</v>
      </c>
      <c r="M40" s="559" t="s">
        <v>860</v>
      </c>
    </row>
    <row r="41" spans="1:13" s="560" customFormat="1" ht="45" customHeight="1" x14ac:dyDescent="0.2">
      <c r="A41" s="580">
        <v>7</v>
      </c>
      <c r="B41" s="613"/>
      <c r="C41" s="618" t="s">
        <v>861</v>
      </c>
      <c r="D41" s="588">
        <v>4724</v>
      </c>
      <c r="E41" s="589" t="s">
        <v>521</v>
      </c>
      <c r="F41" s="590">
        <v>51543</v>
      </c>
      <c r="G41" s="591" t="s">
        <v>862</v>
      </c>
      <c r="H41" s="558">
        <v>45000</v>
      </c>
      <c r="I41" s="592">
        <v>5000</v>
      </c>
      <c r="J41" s="592">
        <v>40000</v>
      </c>
      <c r="K41" s="592">
        <v>0</v>
      </c>
      <c r="L41" s="593">
        <v>0</v>
      </c>
      <c r="M41" s="559" t="s">
        <v>863</v>
      </c>
    </row>
    <row r="42" spans="1:13" s="560" customFormat="1" ht="37.5" customHeight="1" x14ac:dyDescent="0.2">
      <c r="A42" s="580">
        <v>7</v>
      </c>
      <c r="B42" s="613"/>
      <c r="C42" s="618" t="s">
        <v>864</v>
      </c>
      <c r="D42" s="588">
        <v>4553</v>
      </c>
      <c r="E42" s="589" t="s">
        <v>527</v>
      </c>
      <c r="F42" s="690" t="s">
        <v>207</v>
      </c>
      <c r="G42" s="691"/>
      <c r="H42" s="558">
        <v>4800</v>
      </c>
      <c r="I42" s="592">
        <v>4800</v>
      </c>
      <c r="J42" s="592">
        <v>0</v>
      </c>
      <c r="K42" s="592">
        <v>0</v>
      </c>
      <c r="L42" s="593">
        <v>0</v>
      </c>
      <c r="M42" s="559" t="s">
        <v>631</v>
      </c>
    </row>
    <row r="43" spans="1:13" s="560" customFormat="1" ht="15.75" customHeight="1" x14ac:dyDescent="0.2">
      <c r="A43" s="578"/>
      <c r="B43" s="611" t="s">
        <v>94</v>
      </c>
      <c r="C43" s="562" t="s">
        <v>94</v>
      </c>
      <c r="D43" s="563"/>
      <c r="E43" s="564"/>
      <c r="F43" s="565"/>
      <c r="G43" s="566"/>
      <c r="H43" s="586">
        <f>SUM(H35:H42)</f>
        <v>311400</v>
      </c>
      <c r="I43" s="586">
        <f t="shared" ref="I43:L43" si="2">SUM(I35:I42)</f>
        <v>171400</v>
      </c>
      <c r="J43" s="586">
        <f t="shared" si="2"/>
        <v>140000</v>
      </c>
      <c r="K43" s="586">
        <f t="shared" si="2"/>
        <v>0</v>
      </c>
      <c r="L43" s="586">
        <f t="shared" si="2"/>
        <v>0</v>
      </c>
      <c r="M43" s="567"/>
    </row>
    <row r="44" spans="1:13" s="555" customFormat="1" ht="18" customHeight="1" x14ac:dyDescent="0.2">
      <c r="A44" s="551"/>
      <c r="B44" s="548" t="s">
        <v>93</v>
      </c>
      <c r="C44" s="548" t="s">
        <v>99</v>
      </c>
      <c r="D44" s="550"/>
      <c r="E44" s="551"/>
      <c r="F44" s="552"/>
      <c r="G44" s="553"/>
      <c r="H44" s="549"/>
      <c r="I44" s="579"/>
      <c r="J44" s="579"/>
      <c r="K44" s="579"/>
      <c r="L44" s="549"/>
      <c r="M44" s="554"/>
    </row>
    <row r="45" spans="1:13" s="560" customFormat="1" ht="34.5" customHeight="1" x14ac:dyDescent="0.2">
      <c r="A45" s="569">
        <v>7</v>
      </c>
      <c r="B45" s="613"/>
      <c r="C45" s="618" t="s">
        <v>373</v>
      </c>
      <c r="D45" s="588">
        <v>4424</v>
      </c>
      <c r="E45" s="589" t="s">
        <v>520</v>
      </c>
      <c r="F45" s="590">
        <v>64000</v>
      </c>
      <c r="G45" s="591" t="s">
        <v>855</v>
      </c>
      <c r="H45" s="558">
        <v>57500</v>
      </c>
      <c r="I45" s="592">
        <v>39900</v>
      </c>
      <c r="J45" s="592">
        <v>17600</v>
      </c>
      <c r="K45" s="592">
        <v>0</v>
      </c>
      <c r="L45" s="593">
        <v>0</v>
      </c>
      <c r="M45" s="559" t="s">
        <v>856</v>
      </c>
    </row>
    <row r="46" spans="1:13" s="560" customFormat="1" ht="34.5" customHeight="1" x14ac:dyDescent="0.2">
      <c r="A46" s="569">
        <v>7</v>
      </c>
      <c r="B46" s="613"/>
      <c r="C46" s="618" t="s">
        <v>865</v>
      </c>
      <c r="D46" s="588">
        <v>4618</v>
      </c>
      <c r="E46" s="589" t="s">
        <v>527</v>
      </c>
      <c r="F46" s="690" t="s">
        <v>207</v>
      </c>
      <c r="G46" s="691"/>
      <c r="H46" s="558">
        <v>11500</v>
      </c>
      <c r="I46" s="592">
        <v>11500</v>
      </c>
      <c r="J46" s="592">
        <v>0</v>
      </c>
      <c r="K46" s="592">
        <v>0</v>
      </c>
      <c r="L46" s="593">
        <v>0</v>
      </c>
      <c r="M46" s="559" t="s">
        <v>631</v>
      </c>
    </row>
    <row r="47" spans="1:13" s="560" customFormat="1" ht="15.75" customHeight="1" x14ac:dyDescent="0.2">
      <c r="A47" s="578"/>
      <c r="B47" s="611" t="s">
        <v>100</v>
      </c>
      <c r="C47" s="562" t="s">
        <v>100</v>
      </c>
      <c r="D47" s="563"/>
      <c r="E47" s="564"/>
      <c r="F47" s="565"/>
      <c r="G47" s="566"/>
      <c r="H47" s="586">
        <f>SUM(H45:H46)</f>
        <v>69000</v>
      </c>
      <c r="I47" s="586">
        <f t="shared" ref="I47:L47" si="3">SUM(I45:I46)</f>
        <v>51400</v>
      </c>
      <c r="J47" s="586">
        <f t="shared" si="3"/>
        <v>17600</v>
      </c>
      <c r="K47" s="586">
        <f t="shared" si="3"/>
        <v>0</v>
      </c>
      <c r="L47" s="586">
        <f t="shared" si="3"/>
        <v>0</v>
      </c>
      <c r="M47" s="567"/>
    </row>
    <row r="48" spans="1:13" s="555" customFormat="1" ht="18" customHeight="1" x14ac:dyDescent="0.2">
      <c r="A48" s="551"/>
      <c r="B48" s="548" t="s">
        <v>101</v>
      </c>
      <c r="C48" s="548" t="s">
        <v>101</v>
      </c>
      <c r="D48" s="550"/>
      <c r="E48" s="551"/>
      <c r="F48" s="552"/>
      <c r="G48" s="553"/>
      <c r="H48" s="549"/>
      <c r="I48" s="549"/>
      <c r="J48" s="549"/>
      <c r="K48" s="549"/>
      <c r="L48" s="549"/>
      <c r="M48" s="554"/>
    </row>
    <row r="49" spans="1:13" s="560" customFormat="1" ht="34.5" customHeight="1" x14ac:dyDescent="0.2">
      <c r="A49" s="581">
        <v>7</v>
      </c>
      <c r="B49" s="613"/>
      <c r="C49" s="618" t="s">
        <v>310</v>
      </c>
      <c r="D49" s="588">
        <v>4289</v>
      </c>
      <c r="E49" s="589" t="s">
        <v>520</v>
      </c>
      <c r="F49" s="582">
        <v>100000</v>
      </c>
      <c r="G49" s="591" t="s">
        <v>859</v>
      </c>
      <c r="H49" s="558">
        <v>97050</v>
      </c>
      <c r="I49" s="592">
        <v>20000</v>
      </c>
      <c r="J49" s="592">
        <v>77050</v>
      </c>
      <c r="K49" s="592">
        <v>0</v>
      </c>
      <c r="L49" s="593">
        <v>0</v>
      </c>
      <c r="M49" s="559" t="s">
        <v>866</v>
      </c>
    </row>
    <row r="50" spans="1:13" s="560" customFormat="1" ht="42" x14ac:dyDescent="0.2">
      <c r="A50" s="581">
        <v>7</v>
      </c>
      <c r="B50" s="613"/>
      <c r="C50" s="618" t="s">
        <v>547</v>
      </c>
      <c r="D50" s="588">
        <v>4646</v>
      </c>
      <c r="E50" s="589" t="s">
        <v>524</v>
      </c>
      <c r="F50" s="690" t="s">
        <v>227</v>
      </c>
      <c r="G50" s="691"/>
      <c r="H50" s="558">
        <v>17850</v>
      </c>
      <c r="I50" s="592">
        <v>0</v>
      </c>
      <c r="J50" s="592">
        <v>17850</v>
      </c>
      <c r="K50" s="592">
        <v>0</v>
      </c>
      <c r="L50" s="593">
        <v>0</v>
      </c>
      <c r="M50" s="559" t="s">
        <v>867</v>
      </c>
    </row>
    <row r="51" spans="1:13" s="560" customFormat="1" ht="45" customHeight="1" x14ac:dyDescent="0.2">
      <c r="A51" s="581">
        <v>7</v>
      </c>
      <c r="B51" s="613"/>
      <c r="C51" s="618" t="s">
        <v>271</v>
      </c>
      <c r="D51" s="588">
        <v>5868</v>
      </c>
      <c r="E51" s="589" t="s">
        <v>520</v>
      </c>
      <c r="F51" s="590">
        <v>80000</v>
      </c>
      <c r="G51" s="591" t="s">
        <v>529</v>
      </c>
      <c r="H51" s="558">
        <v>24000</v>
      </c>
      <c r="I51" s="592">
        <v>24000</v>
      </c>
      <c r="J51" s="592">
        <v>0</v>
      </c>
      <c r="K51" s="592">
        <v>0</v>
      </c>
      <c r="L51" s="593">
        <v>0</v>
      </c>
      <c r="M51" s="559" t="s">
        <v>868</v>
      </c>
    </row>
    <row r="52" spans="1:13" s="560" customFormat="1" ht="34.5" customHeight="1" x14ac:dyDescent="0.2">
      <c r="A52" s="581">
        <v>7</v>
      </c>
      <c r="B52" s="613"/>
      <c r="C52" s="618" t="s">
        <v>309</v>
      </c>
      <c r="D52" s="588">
        <v>4263</v>
      </c>
      <c r="E52" s="589" t="s">
        <v>520</v>
      </c>
      <c r="F52" s="590">
        <v>110000</v>
      </c>
      <c r="G52" s="591" t="s">
        <v>536</v>
      </c>
      <c r="H52" s="558">
        <v>15500</v>
      </c>
      <c r="I52" s="592">
        <v>15500</v>
      </c>
      <c r="J52" s="592">
        <v>0</v>
      </c>
      <c r="K52" s="592">
        <v>0</v>
      </c>
      <c r="L52" s="593">
        <v>0</v>
      </c>
      <c r="M52" s="559" t="s">
        <v>869</v>
      </c>
    </row>
    <row r="53" spans="1:13" s="560" customFormat="1" ht="40.5" customHeight="1" x14ac:dyDescent="0.2">
      <c r="A53" s="581">
        <v>7</v>
      </c>
      <c r="B53" s="613"/>
      <c r="C53" s="618" t="s">
        <v>374</v>
      </c>
      <c r="D53" s="588">
        <v>4095</v>
      </c>
      <c r="E53" s="589" t="s">
        <v>520</v>
      </c>
      <c r="F53" s="590">
        <v>135000</v>
      </c>
      <c r="G53" s="591" t="s">
        <v>539</v>
      </c>
      <c r="H53" s="558">
        <v>47500</v>
      </c>
      <c r="I53" s="592">
        <v>47500</v>
      </c>
      <c r="J53" s="592">
        <v>0</v>
      </c>
      <c r="K53" s="592">
        <v>0</v>
      </c>
      <c r="L53" s="593">
        <v>0</v>
      </c>
      <c r="M53" s="559" t="s">
        <v>870</v>
      </c>
    </row>
    <row r="54" spans="1:13" s="560" customFormat="1" ht="42" customHeight="1" x14ac:dyDescent="0.2">
      <c r="A54" s="581">
        <v>7</v>
      </c>
      <c r="B54" s="613"/>
      <c r="C54" s="618" t="s">
        <v>537</v>
      </c>
      <c r="D54" s="588">
        <v>4376</v>
      </c>
      <c r="E54" s="589" t="s">
        <v>524</v>
      </c>
      <c r="F54" s="690" t="s">
        <v>227</v>
      </c>
      <c r="G54" s="691"/>
      <c r="H54" s="558">
        <v>17000</v>
      </c>
      <c r="I54" s="592">
        <v>17000</v>
      </c>
      <c r="J54" s="592">
        <v>0</v>
      </c>
      <c r="K54" s="592">
        <v>0</v>
      </c>
      <c r="L54" s="593">
        <v>0</v>
      </c>
      <c r="M54" s="559" t="s">
        <v>871</v>
      </c>
    </row>
    <row r="55" spans="1:13" s="560" customFormat="1" ht="39" customHeight="1" x14ac:dyDescent="0.2">
      <c r="A55" s="581">
        <v>7</v>
      </c>
      <c r="B55" s="613"/>
      <c r="C55" s="618" t="s">
        <v>557</v>
      </c>
      <c r="D55" s="588">
        <v>4392</v>
      </c>
      <c r="E55" s="589" t="s">
        <v>524</v>
      </c>
      <c r="F55" s="690" t="s">
        <v>227</v>
      </c>
      <c r="G55" s="691"/>
      <c r="H55" s="558">
        <v>9000</v>
      </c>
      <c r="I55" s="592">
        <v>9000</v>
      </c>
      <c r="J55" s="592">
        <v>0</v>
      </c>
      <c r="K55" s="592">
        <v>0</v>
      </c>
      <c r="L55" s="593">
        <v>0</v>
      </c>
      <c r="M55" s="559" t="s">
        <v>871</v>
      </c>
    </row>
    <row r="56" spans="1:13" s="560" customFormat="1" ht="41.25" customHeight="1" x14ac:dyDescent="0.2">
      <c r="A56" s="581">
        <v>7</v>
      </c>
      <c r="B56" s="613"/>
      <c r="C56" s="618" t="s">
        <v>375</v>
      </c>
      <c r="D56" s="588">
        <v>4393</v>
      </c>
      <c r="E56" s="589" t="s">
        <v>524</v>
      </c>
      <c r="F56" s="690" t="s">
        <v>227</v>
      </c>
      <c r="G56" s="691"/>
      <c r="H56" s="558">
        <v>25000</v>
      </c>
      <c r="I56" s="592">
        <v>25000</v>
      </c>
      <c r="J56" s="592">
        <v>0</v>
      </c>
      <c r="K56" s="592">
        <v>0</v>
      </c>
      <c r="L56" s="593">
        <v>0</v>
      </c>
      <c r="M56" s="559" t="s">
        <v>871</v>
      </c>
    </row>
    <row r="57" spans="1:13" s="560" customFormat="1" ht="34.5" customHeight="1" x14ac:dyDescent="0.2">
      <c r="A57" s="581">
        <v>7</v>
      </c>
      <c r="B57" s="613"/>
      <c r="C57" s="618" t="s">
        <v>538</v>
      </c>
      <c r="D57" s="588">
        <v>4397</v>
      </c>
      <c r="E57" s="589" t="s">
        <v>524</v>
      </c>
      <c r="F57" s="690" t="s">
        <v>227</v>
      </c>
      <c r="G57" s="691"/>
      <c r="H57" s="558">
        <v>34350</v>
      </c>
      <c r="I57" s="592">
        <v>34350</v>
      </c>
      <c r="J57" s="592">
        <v>0</v>
      </c>
      <c r="K57" s="592">
        <v>0</v>
      </c>
      <c r="L57" s="593">
        <v>0</v>
      </c>
      <c r="M57" s="559" t="s">
        <v>871</v>
      </c>
    </row>
    <row r="58" spans="1:13" s="560" customFormat="1" ht="34.5" customHeight="1" x14ac:dyDescent="0.2">
      <c r="A58" s="581">
        <v>7</v>
      </c>
      <c r="B58" s="613"/>
      <c r="C58" s="618" t="s">
        <v>376</v>
      </c>
      <c r="D58" s="588">
        <v>4401</v>
      </c>
      <c r="E58" s="589" t="s">
        <v>524</v>
      </c>
      <c r="F58" s="690" t="s">
        <v>227</v>
      </c>
      <c r="G58" s="691"/>
      <c r="H58" s="558">
        <v>7728</v>
      </c>
      <c r="I58" s="592">
        <v>7728</v>
      </c>
      <c r="J58" s="592">
        <v>0</v>
      </c>
      <c r="K58" s="592">
        <v>0</v>
      </c>
      <c r="L58" s="593">
        <v>0</v>
      </c>
      <c r="M58" s="559" t="s">
        <v>871</v>
      </c>
    </row>
    <row r="59" spans="1:13" s="560" customFormat="1" ht="34.5" customHeight="1" x14ac:dyDescent="0.2">
      <c r="A59" s="581">
        <v>7</v>
      </c>
      <c r="B59" s="613"/>
      <c r="C59" s="618" t="s">
        <v>561</v>
      </c>
      <c r="D59" s="588">
        <v>4412</v>
      </c>
      <c r="E59" s="589" t="s">
        <v>524</v>
      </c>
      <c r="F59" s="690" t="s">
        <v>227</v>
      </c>
      <c r="G59" s="691"/>
      <c r="H59" s="558">
        <v>11000</v>
      </c>
      <c r="I59" s="592">
        <v>11000</v>
      </c>
      <c r="J59" s="592">
        <v>0</v>
      </c>
      <c r="K59" s="592">
        <v>0</v>
      </c>
      <c r="L59" s="593">
        <v>0</v>
      </c>
      <c r="M59" s="559" t="s">
        <v>871</v>
      </c>
    </row>
    <row r="60" spans="1:13" s="560" customFormat="1" ht="42" x14ac:dyDescent="0.2">
      <c r="A60" s="581">
        <v>7</v>
      </c>
      <c r="B60" s="613"/>
      <c r="C60" s="618" t="s">
        <v>872</v>
      </c>
      <c r="D60" s="588">
        <v>4427</v>
      </c>
      <c r="E60" s="589" t="s">
        <v>524</v>
      </c>
      <c r="F60" s="690" t="s">
        <v>227</v>
      </c>
      <c r="G60" s="691"/>
      <c r="H60" s="558">
        <v>20000</v>
      </c>
      <c r="I60" s="592">
        <v>10000</v>
      </c>
      <c r="J60" s="592">
        <v>10000</v>
      </c>
      <c r="K60" s="592">
        <v>0</v>
      </c>
      <c r="L60" s="593">
        <v>0</v>
      </c>
      <c r="M60" s="559" t="s">
        <v>873</v>
      </c>
    </row>
    <row r="61" spans="1:13" s="560" customFormat="1" ht="34.5" customHeight="1" x14ac:dyDescent="0.2">
      <c r="A61" s="581">
        <v>7</v>
      </c>
      <c r="B61" s="613"/>
      <c r="C61" s="618" t="s">
        <v>558</v>
      </c>
      <c r="D61" s="588">
        <v>5837</v>
      </c>
      <c r="E61" s="589" t="s">
        <v>520</v>
      </c>
      <c r="F61" s="590">
        <v>135000</v>
      </c>
      <c r="G61" s="591" t="s">
        <v>835</v>
      </c>
      <c r="H61" s="558">
        <v>126339</v>
      </c>
      <c r="I61" s="592">
        <v>50000</v>
      </c>
      <c r="J61" s="592">
        <v>76339</v>
      </c>
      <c r="K61" s="592">
        <v>0</v>
      </c>
      <c r="L61" s="593">
        <v>0</v>
      </c>
      <c r="M61" s="559" t="s">
        <v>854</v>
      </c>
    </row>
    <row r="62" spans="1:13" s="560" customFormat="1" ht="34.5" customHeight="1" x14ac:dyDescent="0.2">
      <c r="A62" s="581">
        <v>7</v>
      </c>
      <c r="B62" s="613"/>
      <c r="C62" s="618" t="s">
        <v>925</v>
      </c>
      <c r="D62" s="588">
        <v>4430</v>
      </c>
      <c r="E62" s="589" t="s">
        <v>520</v>
      </c>
      <c r="F62" s="590">
        <v>115500</v>
      </c>
      <c r="G62" s="591" t="s">
        <v>833</v>
      </c>
      <c r="H62" s="558">
        <v>114200</v>
      </c>
      <c r="I62" s="592">
        <v>6500</v>
      </c>
      <c r="J62" s="592">
        <v>81000</v>
      </c>
      <c r="K62" s="592">
        <v>26700</v>
      </c>
      <c r="L62" s="593">
        <v>0</v>
      </c>
      <c r="M62" s="559" t="s">
        <v>854</v>
      </c>
    </row>
    <row r="63" spans="1:13" s="560" customFormat="1" ht="36" customHeight="1" x14ac:dyDescent="0.2">
      <c r="A63" s="581">
        <v>7</v>
      </c>
      <c r="B63" s="613"/>
      <c r="C63" s="618" t="s">
        <v>377</v>
      </c>
      <c r="D63" s="588">
        <v>4438</v>
      </c>
      <c r="E63" s="589" t="s">
        <v>524</v>
      </c>
      <c r="F63" s="690" t="s">
        <v>227</v>
      </c>
      <c r="G63" s="691"/>
      <c r="H63" s="558">
        <v>28500</v>
      </c>
      <c r="I63" s="592">
        <v>28500</v>
      </c>
      <c r="J63" s="592">
        <v>0</v>
      </c>
      <c r="K63" s="592">
        <v>0</v>
      </c>
      <c r="L63" s="593">
        <v>0</v>
      </c>
      <c r="M63" s="559" t="s">
        <v>854</v>
      </c>
    </row>
    <row r="64" spans="1:13" s="560" customFormat="1" ht="34.5" customHeight="1" x14ac:dyDescent="0.2">
      <c r="A64" s="581">
        <v>7</v>
      </c>
      <c r="B64" s="613"/>
      <c r="C64" s="618" t="s">
        <v>540</v>
      </c>
      <c r="D64" s="588">
        <v>4439</v>
      </c>
      <c r="E64" s="589" t="s">
        <v>520</v>
      </c>
      <c r="F64" s="590">
        <v>55500</v>
      </c>
      <c r="G64" s="591" t="s">
        <v>874</v>
      </c>
      <c r="H64" s="558">
        <v>33991</v>
      </c>
      <c r="I64" s="592">
        <v>33991</v>
      </c>
      <c r="J64" s="592">
        <v>0</v>
      </c>
      <c r="K64" s="592">
        <v>0</v>
      </c>
      <c r="L64" s="593">
        <v>0</v>
      </c>
      <c r="M64" s="559" t="s">
        <v>873</v>
      </c>
    </row>
    <row r="65" spans="1:13" s="560" customFormat="1" ht="34.5" customHeight="1" x14ac:dyDescent="0.2">
      <c r="A65" s="581">
        <v>7</v>
      </c>
      <c r="B65" s="613"/>
      <c r="C65" s="618" t="s">
        <v>875</v>
      </c>
      <c r="D65" s="588">
        <v>4364</v>
      </c>
      <c r="E65" s="589" t="s">
        <v>524</v>
      </c>
      <c r="F65" s="690" t="s">
        <v>227</v>
      </c>
      <c r="G65" s="691"/>
      <c r="H65" s="558">
        <v>5600</v>
      </c>
      <c r="I65" s="592">
        <v>5600</v>
      </c>
      <c r="J65" s="592">
        <v>0</v>
      </c>
      <c r="K65" s="592">
        <v>0</v>
      </c>
      <c r="L65" s="593">
        <v>0</v>
      </c>
      <c r="M65" s="559" t="s">
        <v>876</v>
      </c>
    </row>
    <row r="66" spans="1:13" s="560" customFormat="1" ht="34.5" customHeight="1" x14ac:dyDescent="0.2">
      <c r="A66" s="581">
        <v>7</v>
      </c>
      <c r="B66" s="613"/>
      <c r="C66" s="618" t="s">
        <v>541</v>
      </c>
      <c r="D66" s="588">
        <v>4511</v>
      </c>
      <c r="E66" s="589" t="s">
        <v>524</v>
      </c>
      <c r="F66" s="690" t="s">
        <v>227</v>
      </c>
      <c r="G66" s="691"/>
      <c r="H66" s="558">
        <v>27800</v>
      </c>
      <c r="I66" s="592">
        <v>27800</v>
      </c>
      <c r="J66" s="592">
        <v>0</v>
      </c>
      <c r="K66" s="592">
        <v>0</v>
      </c>
      <c r="L66" s="593">
        <v>0</v>
      </c>
      <c r="M66" s="559" t="s">
        <v>877</v>
      </c>
    </row>
    <row r="67" spans="1:13" s="560" customFormat="1" ht="34.5" customHeight="1" x14ac:dyDescent="0.2">
      <c r="A67" s="581">
        <v>7</v>
      </c>
      <c r="B67" s="613"/>
      <c r="C67" s="618" t="s">
        <v>542</v>
      </c>
      <c r="D67" s="588">
        <v>4536</v>
      </c>
      <c r="E67" s="589" t="s">
        <v>543</v>
      </c>
      <c r="F67" s="590">
        <v>290000</v>
      </c>
      <c r="G67" s="591" t="s">
        <v>859</v>
      </c>
      <c r="H67" s="558">
        <v>160500</v>
      </c>
      <c r="I67" s="592">
        <v>95000</v>
      </c>
      <c r="J67" s="592">
        <v>65500</v>
      </c>
      <c r="K67" s="592">
        <v>0</v>
      </c>
      <c r="L67" s="593">
        <v>0</v>
      </c>
      <c r="M67" s="559" t="s">
        <v>878</v>
      </c>
    </row>
    <row r="68" spans="1:13" s="560" customFormat="1" ht="35.25" customHeight="1" x14ac:dyDescent="0.2">
      <c r="A68" s="581">
        <v>7</v>
      </c>
      <c r="B68" s="613"/>
      <c r="C68" s="618" t="s">
        <v>544</v>
      </c>
      <c r="D68" s="588">
        <v>4551</v>
      </c>
      <c r="E68" s="589" t="s">
        <v>524</v>
      </c>
      <c r="F68" s="690" t="s">
        <v>227</v>
      </c>
      <c r="G68" s="691"/>
      <c r="H68" s="558">
        <v>13000</v>
      </c>
      <c r="I68" s="592">
        <v>13000</v>
      </c>
      <c r="J68" s="592">
        <v>0</v>
      </c>
      <c r="K68" s="592">
        <v>0</v>
      </c>
      <c r="L68" s="593">
        <v>0</v>
      </c>
      <c r="M68" s="559" t="s">
        <v>879</v>
      </c>
    </row>
    <row r="69" spans="1:13" s="560" customFormat="1" ht="42" x14ac:dyDescent="0.2">
      <c r="A69" s="581">
        <v>7</v>
      </c>
      <c r="B69" s="613"/>
      <c r="C69" s="618" t="s">
        <v>545</v>
      </c>
      <c r="D69" s="588">
        <v>4576</v>
      </c>
      <c r="E69" s="589" t="s">
        <v>524</v>
      </c>
      <c r="F69" s="690" t="s">
        <v>227</v>
      </c>
      <c r="G69" s="691"/>
      <c r="H69" s="558">
        <v>20000</v>
      </c>
      <c r="I69" s="592">
        <v>10000</v>
      </c>
      <c r="J69" s="592">
        <v>10000</v>
      </c>
      <c r="K69" s="592">
        <v>0</v>
      </c>
      <c r="L69" s="593">
        <v>0</v>
      </c>
      <c r="M69" s="559" t="s">
        <v>867</v>
      </c>
    </row>
    <row r="70" spans="1:13" s="560" customFormat="1" ht="34.5" customHeight="1" x14ac:dyDescent="0.2">
      <c r="A70" s="581">
        <v>7</v>
      </c>
      <c r="B70" s="613"/>
      <c r="C70" s="618" t="s">
        <v>880</v>
      </c>
      <c r="D70" s="588">
        <v>4582</v>
      </c>
      <c r="E70" s="589" t="s">
        <v>524</v>
      </c>
      <c r="F70" s="690" t="s">
        <v>227</v>
      </c>
      <c r="G70" s="691"/>
      <c r="H70" s="558">
        <v>7000</v>
      </c>
      <c r="I70" s="592">
        <v>7000</v>
      </c>
      <c r="J70" s="592">
        <v>0</v>
      </c>
      <c r="K70" s="592">
        <v>0</v>
      </c>
      <c r="L70" s="593">
        <v>0</v>
      </c>
      <c r="M70" s="559" t="s">
        <v>881</v>
      </c>
    </row>
    <row r="71" spans="1:13" s="560" customFormat="1" ht="33" customHeight="1" x14ac:dyDescent="0.2">
      <c r="A71" s="581">
        <v>7</v>
      </c>
      <c r="B71" s="613"/>
      <c r="C71" s="618" t="s">
        <v>546</v>
      </c>
      <c r="D71" s="588">
        <v>4588</v>
      </c>
      <c r="E71" s="589" t="s">
        <v>524</v>
      </c>
      <c r="F71" s="690" t="s">
        <v>227</v>
      </c>
      <c r="G71" s="691"/>
      <c r="H71" s="558">
        <v>25000</v>
      </c>
      <c r="I71" s="592">
        <v>25000</v>
      </c>
      <c r="J71" s="592">
        <v>0</v>
      </c>
      <c r="K71" s="592">
        <v>0</v>
      </c>
      <c r="L71" s="593">
        <v>0</v>
      </c>
      <c r="M71" s="559" t="s">
        <v>867</v>
      </c>
    </row>
    <row r="72" spans="1:13" s="560" customFormat="1" ht="34.5" customHeight="1" x14ac:dyDescent="0.2">
      <c r="A72" s="581">
        <v>7</v>
      </c>
      <c r="B72" s="613"/>
      <c r="C72" s="618" t="s">
        <v>882</v>
      </c>
      <c r="D72" s="588">
        <v>4630</v>
      </c>
      <c r="E72" s="589" t="s">
        <v>524</v>
      </c>
      <c r="F72" s="690" t="s">
        <v>227</v>
      </c>
      <c r="G72" s="691"/>
      <c r="H72" s="558">
        <v>24000</v>
      </c>
      <c r="I72" s="592">
        <v>13000</v>
      </c>
      <c r="J72" s="592">
        <v>11000</v>
      </c>
      <c r="K72" s="592">
        <v>0</v>
      </c>
      <c r="L72" s="593">
        <v>0</v>
      </c>
      <c r="M72" s="559" t="s">
        <v>881</v>
      </c>
    </row>
    <row r="73" spans="1:13" s="560" customFormat="1" ht="34.5" customHeight="1" x14ac:dyDescent="0.2">
      <c r="A73" s="581">
        <v>7</v>
      </c>
      <c r="B73" s="613"/>
      <c r="C73" s="618" t="s">
        <v>548</v>
      </c>
      <c r="D73" s="588">
        <v>4647</v>
      </c>
      <c r="E73" s="589" t="s">
        <v>524</v>
      </c>
      <c r="F73" s="690" t="s">
        <v>227</v>
      </c>
      <c r="G73" s="691"/>
      <c r="H73" s="558">
        <v>4500</v>
      </c>
      <c r="I73" s="592">
        <v>4500</v>
      </c>
      <c r="J73" s="592">
        <v>0</v>
      </c>
      <c r="K73" s="592">
        <v>0</v>
      </c>
      <c r="L73" s="593">
        <v>0</v>
      </c>
      <c r="M73" s="559" t="s">
        <v>881</v>
      </c>
    </row>
    <row r="74" spans="1:13" s="560" customFormat="1" ht="34.5" customHeight="1" x14ac:dyDescent="0.2">
      <c r="A74" s="581">
        <v>7</v>
      </c>
      <c r="B74" s="613"/>
      <c r="C74" s="618" t="s">
        <v>549</v>
      </c>
      <c r="D74" s="588">
        <v>4664</v>
      </c>
      <c r="E74" s="589" t="s">
        <v>524</v>
      </c>
      <c r="F74" s="690" t="s">
        <v>227</v>
      </c>
      <c r="G74" s="691"/>
      <c r="H74" s="558">
        <v>11500</v>
      </c>
      <c r="I74" s="592">
        <v>11500</v>
      </c>
      <c r="J74" s="592">
        <v>0</v>
      </c>
      <c r="K74" s="592">
        <v>0</v>
      </c>
      <c r="L74" s="593">
        <v>0</v>
      </c>
      <c r="M74" s="559" t="s">
        <v>881</v>
      </c>
    </row>
    <row r="75" spans="1:13" s="560" customFormat="1" ht="34.5" customHeight="1" x14ac:dyDescent="0.2">
      <c r="A75" s="581"/>
      <c r="B75" s="613"/>
      <c r="C75" s="618" t="s">
        <v>883</v>
      </c>
      <c r="D75" s="588">
        <v>4667</v>
      </c>
      <c r="E75" s="589" t="s">
        <v>521</v>
      </c>
      <c r="F75" s="590">
        <v>60000</v>
      </c>
      <c r="G75" s="591" t="s">
        <v>857</v>
      </c>
      <c r="H75" s="558">
        <v>53400</v>
      </c>
      <c r="I75" s="592">
        <v>20000</v>
      </c>
      <c r="J75" s="592">
        <v>33400</v>
      </c>
      <c r="K75" s="592">
        <v>0</v>
      </c>
      <c r="L75" s="593">
        <v>0</v>
      </c>
      <c r="M75" s="559" t="s">
        <v>884</v>
      </c>
    </row>
    <row r="76" spans="1:13" s="560" customFormat="1" ht="34.5" customHeight="1" x14ac:dyDescent="0.2">
      <c r="A76" s="581"/>
      <c r="B76" s="613"/>
      <c r="C76" s="618" t="s">
        <v>885</v>
      </c>
      <c r="D76" s="588">
        <v>4705</v>
      </c>
      <c r="E76" s="589" t="s">
        <v>521</v>
      </c>
      <c r="F76" s="590">
        <v>235000</v>
      </c>
      <c r="G76" s="591" t="s">
        <v>859</v>
      </c>
      <c r="H76" s="558">
        <v>226850</v>
      </c>
      <c r="I76" s="592">
        <v>50000</v>
      </c>
      <c r="J76" s="592">
        <v>176850</v>
      </c>
      <c r="K76" s="592">
        <v>0</v>
      </c>
      <c r="L76" s="593">
        <v>0</v>
      </c>
      <c r="M76" s="559" t="s">
        <v>886</v>
      </c>
    </row>
    <row r="77" spans="1:13" s="560" customFormat="1" ht="24" customHeight="1" x14ac:dyDescent="0.2">
      <c r="A77" s="581"/>
      <c r="B77" s="613"/>
      <c r="C77" s="618" t="s">
        <v>887</v>
      </c>
      <c r="D77" s="588">
        <v>4704</v>
      </c>
      <c r="E77" s="589" t="s">
        <v>521</v>
      </c>
      <c r="F77" s="590">
        <v>65000</v>
      </c>
      <c r="G77" s="591" t="s">
        <v>857</v>
      </c>
      <c r="H77" s="558">
        <v>59850</v>
      </c>
      <c r="I77" s="592">
        <v>20000</v>
      </c>
      <c r="J77" s="592">
        <v>39850</v>
      </c>
      <c r="K77" s="592">
        <v>0</v>
      </c>
      <c r="L77" s="593">
        <v>0</v>
      </c>
      <c r="M77" s="559" t="s">
        <v>886</v>
      </c>
    </row>
    <row r="78" spans="1:13" s="560" customFormat="1" ht="34.5" customHeight="1" x14ac:dyDescent="0.2">
      <c r="A78" s="581"/>
      <c r="B78" s="613"/>
      <c r="C78" s="618" t="s">
        <v>888</v>
      </c>
      <c r="D78" s="588">
        <v>4706</v>
      </c>
      <c r="E78" s="589" t="s">
        <v>521</v>
      </c>
      <c r="F78" s="590">
        <v>350000</v>
      </c>
      <c r="G78" s="591" t="s">
        <v>840</v>
      </c>
      <c r="H78" s="558">
        <v>341850</v>
      </c>
      <c r="I78" s="592">
        <v>3000</v>
      </c>
      <c r="J78" s="592">
        <v>100000</v>
      </c>
      <c r="K78" s="592">
        <v>238850</v>
      </c>
      <c r="L78" s="593">
        <v>0</v>
      </c>
      <c r="M78" s="559" t="s">
        <v>886</v>
      </c>
    </row>
    <row r="79" spans="1:13" s="560" customFormat="1" ht="45" customHeight="1" x14ac:dyDescent="0.2">
      <c r="A79" s="581">
        <v>7</v>
      </c>
      <c r="B79" s="613"/>
      <c r="C79" s="618" t="s">
        <v>926</v>
      </c>
      <c r="D79" s="588">
        <v>5915</v>
      </c>
      <c r="E79" s="589" t="s">
        <v>520</v>
      </c>
      <c r="F79" s="590">
        <v>190000</v>
      </c>
      <c r="G79" s="591" t="s">
        <v>889</v>
      </c>
      <c r="H79" s="558">
        <v>135481</v>
      </c>
      <c r="I79" s="592">
        <v>100000</v>
      </c>
      <c r="J79" s="592">
        <v>35481</v>
      </c>
      <c r="K79" s="592">
        <v>0</v>
      </c>
      <c r="L79" s="593">
        <v>0</v>
      </c>
      <c r="M79" s="559" t="s">
        <v>890</v>
      </c>
    </row>
    <row r="80" spans="1:13" s="560" customFormat="1" ht="45" customHeight="1" x14ac:dyDescent="0.2">
      <c r="A80" s="581">
        <v>14</v>
      </c>
      <c r="B80" s="613"/>
      <c r="C80" s="618" t="s">
        <v>559</v>
      </c>
      <c r="D80" s="588">
        <v>4264</v>
      </c>
      <c r="E80" s="589" t="s">
        <v>521</v>
      </c>
      <c r="F80" s="590">
        <v>480000</v>
      </c>
      <c r="G80" s="591" t="s">
        <v>535</v>
      </c>
      <c r="H80" s="558">
        <v>367805</v>
      </c>
      <c r="I80" s="592">
        <v>367805</v>
      </c>
      <c r="J80" s="592">
        <v>0</v>
      </c>
      <c r="K80" s="592">
        <v>0</v>
      </c>
      <c r="L80" s="593">
        <v>0</v>
      </c>
      <c r="M80" s="559" t="s">
        <v>891</v>
      </c>
    </row>
    <row r="81" spans="1:13" s="560" customFormat="1" ht="24" customHeight="1" x14ac:dyDescent="0.2">
      <c r="A81" s="581">
        <v>13</v>
      </c>
      <c r="B81" s="613"/>
      <c r="C81" s="618" t="s">
        <v>892</v>
      </c>
      <c r="D81" s="588">
        <v>4709</v>
      </c>
      <c r="E81" s="589" t="s">
        <v>527</v>
      </c>
      <c r="F81" s="690" t="s">
        <v>227</v>
      </c>
      <c r="G81" s="691"/>
      <c r="H81" s="558">
        <v>84104</v>
      </c>
      <c r="I81" s="592">
        <v>14104</v>
      </c>
      <c r="J81" s="592">
        <v>35000</v>
      </c>
      <c r="K81" s="592">
        <v>35000</v>
      </c>
      <c r="L81" s="593">
        <v>0</v>
      </c>
      <c r="M81" s="559" t="s">
        <v>893</v>
      </c>
    </row>
    <row r="82" spans="1:13" s="560" customFormat="1" ht="34.5" customHeight="1" x14ac:dyDescent="0.2">
      <c r="A82" s="581">
        <v>7</v>
      </c>
      <c r="B82" s="613"/>
      <c r="C82" s="618" t="s">
        <v>894</v>
      </c>
      <c r="D82" s="588">
        <v>4729</v>
      </c>
      <c r="E82" s="589" t="s">
        <v>527</v>
      </c>
      <c r="F82" s="690" t="s">
        <v>207</v>
      </c>
      <c r="G82" s="691"/>
      <c r="H82" s="558">
        <v>273700</v>
      </c>
      <c r="I82" s="592">
        <v>188700</v>
      </c>
      <c r="J82" s="592">
        <v>75000</v>
      </c>
      <c r="K82" s="592">
        <v>10000</v>
      </c>
      <c r="L82" s="593">
        <v>0</v>
      </c>
      <c r="M82" s="559" t="s">
        <v>631</v>
      </c>
    </row>
    <row r="83" spans="1:13" s="560" customFormat="1" ht="15.75" customHeight="1" x14ac:dyDescent="0.2">
      <c r="A83" s="583"/>
      <c r="B83" s="611" t="s">
        <v>102</v>
      </c>
      <c r="C83" s="562" t="s">
        <v>102</v>
      </c>
      <c r="D83" s="563"/>
      <c r="E83" s="564"/>
      <c r="F83" s="565"/>
      <c r="G83" s="566"/>
      <c r="H83" s="586">
        <f>SUM(H49:H82)</f>
        <v>2470948</v>
      </c>
      <c r="I83" s="586">
        <f t="shared" ref="I83:L83" si="4">SUM(I49:I82)</f>
        <v>1316078</v>
      </c>
      <c r="J83" s="586">
        <f t="shared" si="4"/>
        <v>844320</v>
      </c>
      <c r="K83" s="586">
        <f t="shared" si="4"/>
        <v>310550</v>
      </c>
      <c r="L83" s="586">
        <f t="shared" si="4"/>
        <v>0</v>
      </c>
      <c r="M83" s="567"/>
    </row>
    <row r="84" spans="1:13" s="555" customFormat="1" ht="18" customHeight="1" x14ac:dyDescent="0.2">
      <c r="A84" s="551"/>
      <c r="B84" s="548" t="s">
        <v>103</v>
      </c>
      <c r="C84" s="548" t="s">
        <v>103</v>
      </c>
      <c r="D84" s="550"/>
      <c r="E84" s="551"/>
      <c r="F84" s="552"/>
      <c r="G84" s="553"/>
      <c r="H84" s="549"/>
      <c r="I84" s="549"/>
      <c r="J84" s="549"/>
      <c r="K84" s="549"/>
      <c r="L84" s="549"/>
      <c r="M84" s="554"/>
    </row>
    <row r="85" spans="1:13" s="560" customFormat="1" ht="45" customHeight="1" x14ac:dyDescent="0.2">
      <c r="A85" s="584">
        <v>7</v>
      </c>
      <c r="B85" s="613"/>
      <c r="C85" s="618" t="s">
        <v>550</v>
      </c>
      <c r="D85" s="588">
        <v>5100</v>
      </c>
      <c r="E85" s="589" t="s">
        <v>829</v>
      </c>
      <c r="F85" s="590">
        <v>120443</v>
      </c>
      <c r="G85" s="591" t="s">
        <v>895</v>
      </c>
      <c r="H85" s="558">
        <v>120443</v>
      </c>
      <c r="I85" s="592">
        <v>19673</v>
      </c>
      <c r="J85" s="592">
        <v>19838</v>
      </c>
      <c r="K85" s="592">
        <v>19997</v>
      </c>
      <c r="L85" s="593">
        <v>60935</v>
      </c>
      <c r="M85" s="559" t="s">
        <v>896</v>
      </c>
    </row>
    <row r="86" spans="1:13" s="560" customFormat="1" ht="34.5" customHeight="1" x14ac:dyDescent="0.2">
      <c r="A86" s="584">
        <v>7</v>
      </c>
      <c r="B86" s="613"/>
      <c r="C86" s="618" t="s">
        <v>551</v>
      </c>
      <c r="D86" s="588">
        <v>4215</v>
      </c>
      <c r="E86" s="589" t="s">
        <v>524</v>
      </c>
      <c r="F86" s="690" t="s">
        <v>227</v>
      </c>
      <c r="G86" s="691"/>
      <c r="H86" s="558">
        <v>45500</v>
      </c>
      <c r="I86" s="592">
        <v>45500</v>
      </c>
      <c r="J86" s="592">
        <v>0</v>
      </c>
      <c r="K86" s="592">
        <v>0</v>
      </c>
      <c r="L86" s="593">
        <v>0</v>
      </c>
      <c r="M86" s="559" t="s">
        <v>897</v>
      </c>
    </row>
    <row r="87" spans="1:13" s="560" customFormat="1" ht="45" customHeight="1" x14ac:dyDescent="0.2">
      <c r="A87" s="584">
        <v>7</v>
      </c>
      <c r="B87" s="613"/>
      <c r="C87" s="618" t="s">
        <v>898</v>
      </c>
      <c r="D87" s="588">
        <v>4298</v>
      </c>
      <c r="E87" s="589" t="s">
        <v>899</v>
      </c>
      <c r="F87" s="690" t="s">
        <v>227</v>
      </c>
      <c r="G87" s="691"/>
      <c r="H87" s="558">
        <v>6000</v>
      </c>
      <c r="I87" s="592">
        <v>6000</v>
      </c>
      <c r="J87" s="592">
        <v>0</v>
      </c>
      <c r="K87" s="592">
        <v>0</v>
      </c>
      <c r="L87" s="593">
        <v>0</v>
      </c>
      <c r="M87" s="559" t="s">
        <v>900</v>
      </c>
    </row>
    <row r="88" spans="1:13" s="560" customFormat="1" ht="34.5" customHeight="1" x14ac:dyDescent="0.2">
      <c r="A88" s="584">
        <v>7</v>
      </c>
      <c r="B88" s="613"/>
      <c r="C88" s="618" t="s">
        <v>552</v>
      </c>
      <c r="D88" s="588">
        <v>4408</v>
      </c>
      <c r="E88" s="589" t="s">
        <v>524</v>
      </c>
      <c r="F88" s="690" t="s">
        <v>227</v>
      </c>
      <c r="G88" s="691"/>
      <c r="H88" s="558">
        <v>10000</v>
      </c>
      <c r="I88" s="592">
        <v>10000</v>
      </c>
      <c r="J88" s="592">
        <v>0</v>
      </c>
      <c r="K88" s="592">
        <v>0</v>
      </c>
      <c r="L88" s="593">
        <v>0</v>
      </c>
      <c r="M88" s="559" t="s">
        <v>901</v>
      </c>
    </row>
    <row r="89" spans="1:13" s="560" customFormat="1" ht="34.5" customHeight="1" x14ac:dyDescent="0.2">
      <c r="A89" s="584">
        <v>7</v>
      </c>
      <c r="B89" s="613"/>
      <c r="C89" s="618" t="s">
        <v>553</v>
      </c>
      <c r="D89" s="588">
        <v>4687</v>
      </c>
      <c r="E89" s="589" t="s">
        <v>524</v>
      </c>
      <c r="F89" s="690" t="s">
        <v>227</v>
      </c>
      <c r="G89" s="691"/>
      <c r="H89" s="558">
        <v>7500</v>
      </c>
      <c r="I89" s="592">
        <v>7500</v>
      </c>
      <c r="J89" s="592">
        <v>0</v>
      </c>
      <c r="K89" s="592">
        <v>0</v>
      </c>
      <c r="L89" s="593">
        <v>0</v>
      </c>
      <c r="M89" s="559" t="s">
        <v>902</v>
      </c>
    </row>
    <row r="90" spans="1:13" s="560" customFormat="1" ht="34.5" customHeight="1" x14ac:dyDescent="0.2">
      <c r="A90" s="584">
        <v>7</v>
      </c>
      <c r="B90" s="613"/>
      <c r="C90" s="618" t="s">
        <v>903</v>
      </c>
      <c r="D90" s="588" t="s">
        <v>6</v>
      </c>
      <c r="E90" s="589" t="s">
        <v>527</v>
      </c>
      <c r="F90" s="690" t="s">
        <v>207</v>
      </c>
      <c r="G90" s="691"/>
      <c r="H90" s="558">
        <v>20000</v>
      </c>
      <c r="I90" s="577">
        <v>10000</v>
      </c>
      <c r="J90" s="577">
        <v>10000</v>
      </c>
      <c r="K90" s="577">
        <v>0</v>
      </c>
      <c r="L90" s="577">
        <v>0</v>
      </c>
      <c r="M90" s="559" t="s">
        <v>904</v>
      </c>
    </row>
    <row r="91" spans="1:13" s="560" customFormat="1" ht="34.5" customHeight="1" x14ac:dyDescent="0.2">
      <c r="A91" s="584">
        <v>9</v>
      </c>
      <c r="B91" s="613"/>
      <c r="C91" s="618" t="s">
        <v>554</v>
      </c>
      <c r="D91" s="589">
        <v>5912</v>
      </c>
      <c r="E91" s="589" t="s">
        <v>527</v>
      </c>
      <c r="F91" s="690" t="s">
        <v>227</v>
      </c>
      <c r="G91" s="691"/>
      <c r="H91" s="593">
        <v>225000</v>
      </c>
      <c r="I91" s="577">
        <v>75000</v>
      </c>
      <c r="J91" s="577">
        <v>75000</v>
      </c>
      <c r="K91" s="577">
        <v>75000</v>
      </c>
      <c r="L91" s="635" t="s">
        <v>6</v>
      </c>
      <c r="M91" s="559" t="s">
        <v>631</v>
      </c>
    </row>
    <row r="92" spans="1:13" s="560" customFormat="1" ht="34.5" customHeight="1" x14ac:dyDescent="0.2">
      <c r="A92" s="584">
        <v>7</v>
      </c>
      <c r="B92" s="613"/>
      <c r="C92" s="618" t="s">
        <v>905</v>
      </c>
      <c r="D92" s="588">
        <v>4751</v>
      </c>
      <c r="E92" s="589" t="s">
        <v>527</v>
      </c>
      <c r="F92" s="690" t="s">
        <v>227</v>
      </c>
      <c r="G92" s="691"/>
      <c r="H92" s="558">
        <v>134700</v>
      </c>
      <c r="I92" s="592">
        <v>106700</v>
      </c>
      <c r="J92" s="592">
        <v>28000</v>
      </c>
      <c r="K92" s="592">
        <v>0</v>
      </c>
      <c r="L92" s="593">
        <v>0</v>
      </c>
      <c r="M92" s="559" t="s">
        <v>631</v>
      </c>
    </row>
    <row r="93" spans="1:13" s="560" customFormat="1" ht="15.75" customHeight="1" x14ac:dyDescent="0.2">
      <c r="A93" s="585"/>
      <c r="B93" s="611" t="s">
        <v>104</v>
      </c>
      <c r="C93" s="562" t="s">
        <v>104</v>
      </c>
      <c r="D93" s="563"/>
      <c r="E93" s="564"/>
      <c r="F93" s="565"/>
      <c r="G93" s="566"/>
      <c r="H93" s="586">
        <f>SUM(H85:H92)</f>
        <v>569143</v>
      </c>
      <c r="I93" s="586">
        <f t="shared" ref="I93:L93" si="5">SUM(I85:I92)</f>
        <v>280373</v>
      </c>
      <c r="J93" s="586">
        <f t="shared" si="5"/>
        <v>132838</v>
      </c>
      <c r="K93" s="586">
        <f t="shared" si="5"/>
        <v>94997</v>
      </c>
      <c r="L93" s="586">
        <f t="shared" si="5"/>
        <v>60935</v>
      </c>
      <c r="M93" s="567"/>
    </row>
    <row r="94" spans="1:13" s="555" customFormat="1" ht="18" customHeight="1" x14ac:dyDescent="0.2">
      <c r="A94" s="551"/>
      <c r="B94" s="548" t="s">
        <v>121</v>
      </c>
      <c r="C94" s="548" t="s">
        <v>121</v>
      </c>
      <c r="D94" s="550"/>
      <c r="E94" s="551"/>
      <c r="F94" s="552"/>
      <c r="G94" s="553"/>
      <c r="H94" s="549"/>
      <c r="I94" s="549"/>
      <c r="J94" s="549"/>
      <c r="K94" s="549"/>
      <c r="L94" s="549"/>
      <c r="M94" s="554"/>
    </row>
    <row r="95" spans="1:13" s="560" customFormat="1" ht="45" customHeight="1" x14ac:dyDescent="0.2">
      <c r="A95" s="587">
        <v>12</v>
      </c>
      <c r="B95" s="613"/>
      <c r="C95" s="618" t="s">
        <v>906</v>
      </c>
      <c r="D95" s="588">
        <v>5349</v>
      </c>
      <c r="E95" s="589" t="s">
        <v>521</v>
      </c>
      <c r="F95" s="590">
        <v>4315</v>
      </c>
      <c r="G95" s="591" t="s">
        <v>907</v>
      </c>
      <c r="H95" s="558">
        <v>300</v>
      </c>
      <c r="I95" s="592">
        <v>100</v>
      </c>
      <c r="J95" s="592">
        <v>100</v>
      </c>
      <c r="K95" s="592">
        <v>100</v>
      </c>
      <c r="L95" s="593">
        <v>0</v>
      </c>
      <c r="M95" s="559" t="s">
        <v>311</v>
      </c>
    </row>
    <row r="96" spans="1:13" s="560" customFormat="1" ht="15.75" customHeight="1" x14ac:dyDescent="0.2">
      <c r="A96" s="594"/>
      <c r="B96" s="611" t="s">
        <v>105</v>
      </c>
      <c r="C96" s="562" t="s">
        <v>105</v>
      </c>
      <c r="D96" s="563"/>
      <c r="E96" s="564"/>
      <c r="F96" s="565"/>
      <c r="G96" s="566"/>
      <c r="H96" s="586">
        <f t="shared" ref="H96:L96" si="6">SUM(H95:H95)</f>
        <v>300</v>
      </c>
      <c r="I96" s="586">
        <f t="shared" si="6"/>
        <v>100</v>
      </c>
      <c r="J96" s="586">
        <f t="shared" si="6"/>
        <v>100</v>
      </c>
      <c r="K96" s="586">
        <f t="shared" si="6"/>
        <v>100</v>
      </c>
      <c r="L96" s="586">
        <f t="shared" si="6"/>
        <v>0</v>
      </c>
      <c r="M96" s="567"/>
    </row>
    <row r="97" spans="1:15" s="560" customFormat="1" ht="9.75" customHeight="1" thickBot="1" x14ac:dyDescent="0.25">
      <c r="A97" s="594"/>
      <c r="B97" s="595"/>
      <c r="C97" s="619"/>
      <c r="D97" s="596"/>
      <c r="E97" s="597"/>
      <c r="F97" s="598"/>
      <c r="G97" s="599"/>
      <c r="H97" s="600"/>
      <c r="I97" s="600"/>
      <c r="J97" s="600"/>
      <c r="K97" s="600"/>
      <c r="L97" s="600"/>
      <c r="M97" s="601"/>
    </row>
    <row r="98" spans="1:15" s="560" customFormat="1" ht="18" customHeight="1" thickBot="1" x14ac:dyDescent="0.25">
      <c r="A98" s="594"/>
      <c r="B98" s="349" t="s">
        <v>106</v>
      </c>
      <c r="C98" s="349" t="s">
        <v>106</v>
      </c>
      <c r="D98" s="602"/>
      <c r="E98" s="603"/>
      <c r="F98" s="604"/>
      <c r="G98" s="605"/>
      <c r="H98" s="606">
        <f>H96+H93+H83+H47+H43+H33+H30+H8</f>
        <v>8547493</v>
      </c>
      <c r="I98" s="606">
        <f>I96+I93+I83+I47+I43+I33+I30+I8</f>
        <v>4117205</v>
      </c>
      <c r="J98" s="606">
        <f>J96+J93+J83+J47+J43+J33+J30+J8</f>
        <v>3115407</v>
      </c>
      <c r="K98" s="606">
        <f>K96+K93+K83+K47+K43+K33+K30+K8</f>
        <v>1253946</v>
      </c>
      <c r="L98" s="606">
        <f>L96+L93+L83+L47+L43+L33+L30+L8</f>
        <v>60935</v>
      </c>
      <c r="M98" s="607"/>
    </row>
    <row r="99" spans="1:15" s="521" customFormat="1" ht="15" x14ac:dyDescent="0.25">
      <c r="A99" s="530"/>
      <c r="B99" s="436"/>
      <c r="C99" s="436"/>
      <c r="D99" s="436"/>
      <c r="E99" s="437"/>
      <c r="F99" s="437"/>
      <c r="G99" s="437"/>
      <c r="H99" s="437"/>
      <c r="I99" s="436"/>
      <c r="J99" s="436"/>
      <c r="K99" s="436"/>
      <c r="L99" s="436"/>
      <c r="M99" s="438"/>
      <c r="N99" s="436"/>
      <c r="O99" s="436"/>
    </row>
    <row r="100" spans="1:15" s="521" customFormat="1" ht="15" x14ac:dyDescent="0.25">
      <c r="A100" s="531"/>
      <c r="B100" s="532" t="s">
        <v>825</v>
      </c>
      <c r="C100" s="532" t="s">
        <v>825</v>
      </c>
      <c r="D100" s="436"/>
      <c r="E100" s="437"/>
      <c r="F100" s="437"/>
      <c r="G100" s="437"/>
      <c r="H100" s="437"/>
      <c r="I100" s="436"/>
      <c r="J100" s="436"/>
      <c r="K100" s="436"/>
      <c r="L100" s="436"/>
      <c r="M100" s="438"/>
      <c r="N100" s="436"/>
      <c r="O100" s="436"/>
    </row>
    <row r="101" spans="1:15" x14ac:dyDescent="0.15">
      <c r="H101" s="608"/>
      <c r="I101" s="609"/>
      <c r="J101" s="609"/>
      <c r="K101" s="609"/>
      <c r="L101" s="609"/>
    </row>
  </sheetData>
  <mergeCells count="44">
    <mergeCell ref="F88:G88"/>
    <mergeCell ref="F89:G89"/>
    <mergeCell ref="F90:G90"/>
    <mergeCell ref="F91:G91"/>
    <mergeCell ref="F92:G92"/>
    <mergeCell ref="F87:G87"/>
    <mergeCell ref="F66:G66"/>
    <mergeCell ref="F68:G68"/>
    <mergeCell ref="F69:G69"/>
    <mergeCell ref="F70:G70"/>
    <mergeCell ref="F71:G71"/>
    <mergeCell ref="F72:G72"/>
    <mergeCell ref="F73:G73"/>
    <mergeCell ref="F74:G74"/>
    <mergeCell ref="F81:G81"/>
    <mergeCell ref="F82:G82"/>
    <mergeCell ref="F86:G86"/>
    <mergeCell ref="F65:G65"/>
    <mergeCell ref="F42:G42"/>
    <mergeCell ref="F46:G46"/>
    <mergeCell ref="F50:G50"/>
    <mergeCell ref="F54:G54"/>
    <mergeCell ref="F55:G55"/>
    <mergeCell ref="F56:G56"/>
    <mergeCell ref="F57:G57"/>
    <mergeCell ref="F58:G58"/>
    <mergeCell ref="F59:G59"/>
    <mergeCell ref="F60:G60"/>
    <mergeCell ref="F63:G63"/>
    <mergeCell ref="F7:G7"/>
    <mergeCell ref="F10:G10"/>
    <mergeCell ref="F12:G12"/>
    <mergeCell ref="M17:M29"/>
    <mergeCell ref="F32:G32"/>
    <mergeCell ref="B2:M2"/>
    <mergeCell ref="A4:A5"/>
    <mergeCell ref="B4:B5"/>
    <mergeCell ref="C4:C5"/>
    <mergeCell ref="D4:D5"/>
    <mergeCell ref="E4:E5"/>
    <mergeCell ref="F4:G4"/>
    <mergeCell ref="H4:H5"/>
    <mergeCell ref="I4:L4"/>
    <mergeCell ref="M4:M5"/>
  </mergeCells>
  <pageMargins left="0.39370078740157483" right="0.39370078740157483" top="0.78740157480314965" bottom="0.39370078740157483" header="0.31496062992125984" footer="0.11811023622047245"/>
  <pageSetup paperSize="9" firstPageNumber="11" fitToHeight="0" orientation="landscape" useFirstPageNumber="1" r:id="rId1"/>
  <headerFooter>
    <oddHeader>&amp;L&amp;"Tahoma,Kurzíva"&amp;9Střednědobý výhled rozpočtu Moravskoslezského kraje na léta 2027-2029&amp;R&amp;"Tahoma,Kurzíva"&amp;9Přehled závazků kraje u akcí reprodukce majetku kraje</oddHeader>
    <oddFooter>&amp;C&amp;"Tahoma,Obyčejné"&amp;P</oddFooter>
  </headerFooter>
  <rowBreaks count="2" manualBreakCount="2">
    <brk id="38" max="12" man="1"/>
    <brk id="90" max="12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02C326-1F7C-4C9C-B4CE-A7DB3D92A706}">
  <sheetPr>
    <pageSetUpPr fitToPage="1"/>
  </sheetPr>
  <dimension ref="A1:O167"/>
  <sheetViews>
    <sheetView topLeftCell="B1" zoomScaleNormal="100" zoomScaleSheetLayoutView="100" workbookViewId="0">
      <pane ySplit="5" topLeftCell="A6" activePane="bottomLeft" state="frozen"/>
      <selection activeCell="B26" sqref="B26"/>
      <selection pane="bottomLeft" activeCell="O6" sqref="O6"/>
    </sheetView>
  </sheetViews>
  <sheetFormatPr defaultColWidth="9.140625" defaultRowHeight="15" x14ac:dyDescent="0.25"/>
  <cols>
    <col min="1" max="1" width="4.140625" style="530" hidden="1" customWidth="1"/>
    <col min="2" max="2" width="30.7109375" style="436" customWidth="1"/>
    <col min="3" max="3" width="0" style="436" hidden="1" customWidth="1"/>
    <col min="4" max="4" width="10.7109375" style="436" customWidth="1"/>
    <col min="5" max="5" width="9.85546875" style="437" customWidth="1"/>
    <col min="6" max="6" width="10.42578125" style="437" customWidth="1"/>
    <col min="7" max="8" width="10" style="437" customWidth="1"/>
    <col min="9" max="9" width="14.7109375" style="436" customWidth="1"/>
    <col min="10" max="10" width="14.42578125" style="436" customWidth="1"/>
    <col min="11" max="11" width="44.7109375" style="436" customWidth="1"/>
    <col min="12" max="12" width="9" style="436" hidden="1" customWidth="1"/>
    <col min="13" max="13" width="42.5703125" style="438" customWidth="1"/>
    <col min="14" max="14" width="31.85546875" style="436" customWidth="1"/>
    <col min="15" max="15" width="13.28515625" style="436" customWidth="1"/>
    <col min="16" max="16384" width="9.140625" style="436"/>
  </cols>
  <sheetData>
    <row r="1" spans="1:14" x14ac:dyDescent="0.25">
      <c r="A1" s="434"/>
      <c r="B1" s="435" t="s">
        <v>58</v>
      </c>
    </row>
    <row r="2" spans="1:14" s="440" customFormat="1" ht="30" customHeight="1" x14ac:dyDescent="0.2">
      <c r="A2" s="439"/>
      <c r="B2" s="712" t="s">
        <v>284</v>
      </c>
      <c r="C2" s="712"/>
      <c r="D2" s="712"/>
      <c r="E2" s="712"/>
      <c r="F2" s="712"/>
      <c r="G2" s="712"/>
      <c r="H2" s="712"/>
      <c r="I2" s="712"/>
      <c r="J2" s="712"/>
      <c r="K2" s="712"/>
      <c r="M2" s="441"/>
      <c r="N2" s="442"/>
    </row>
    <row r="3" spans="1:14" s="440" customFormat="1" ht="13.5" customHeight="1" thickBot="1" x14ac:dyDescent="0.3">
      <c r="A3" s="439"/>
      <c r="B3" s="536"/>
      <c r="C3" s="536"/>
      <c r="D3" s="536"/>
      <c r="E3" s="536"/>
      <c r="F3" s="536"/>
      <c r="G3" s="536"/>
      <c r="H3" s="536"/>
      <c r="I3" s="536"/>
      <c r="J3" s="536"/>
      <c r="K3" s="119" t="s">
        <v>88</v>
      </c>
      <c r="M3" s="441"/>
    </row>
    <row r="4" spans="1:14" ht="18" customHeight="1" thickBot="1" x14ac:dyDescent="0.3">
      <c r="A4" s="713" t="s">
        <v>251</v>
      </c>
      <c r="B4" s="661" t="s">
        <v>334</v>
      </c>
      <c r="C4" s="715" t="s">
        <v>115</v>
      </c>
      <c r="D4" s="715" t="s">
        <v>116</v>
      </c>
      <c r="E4" s="699" t="s">
        <v>138</v>
      </c>
      <c r="F4" s="700"/>
      <c r="G4" s="700"/>
      <c r="H4" s="701"/>
      <c r="I4" s="715" t="s">
        <v>173</v>
      </c>
      <c r="J4" s="715" t="s">
        <v>475</v>
      </c>
      <c r="K4" s="717" t="s">
        <v>228</v>
      </c>
      <c r="L4" s="701" t="s">
        <v>251</v>
      </c>
    </row>
    <row r="5" spans="1:14" ht="21.75" customHeight="1" thickBot="1" x14ac:dyDescent="0.3">
      <c r="A5" s="713"/>
      <c r="B5" s="714"/>
      <c r="C5" s="716"/>
      <c r="D5" s="716"/>
      <c r="E5" s="323">
        <v>2027</v>
      </c>
      <c r="F5" s="323">
        <v>2028</v>
      </c>
      <c r="G5" s="323">
        <v>2029</v>
      </c>
      <c r="H5" s="254" t="s">
        <v>819</v>
      </c>
      <c r="I5" s="716"/>
      <c r="J5" s="716"/>
      <c r="K5" s="718"/>
      <c r="L5" s="701"/>
    </row>
    <row r="6" spans="1:14" ht="18" customHeight="1" x14ac:dyDescent="0.25">
      <c r="A6" s="443"/>
      <c r="B6" s="710" t="s">
        <v>119</v>
      </c>
      <c r="C6" s="710"/>
      <c r="D6" s="710"/>
      <c r="E6" s="710"/>
      <c r="F6" s="710"/>
      <c r="G6" s="710"/>
      <c r="H6" s="710"/>
      <c r="I6" s="710"/>
      <c r="J6" s="710"/>
      <c r="K6" s="711"/>
      <c r="L6" s="225"/>
    </row>
    <row r="7" spans="1:14" s="444" customFormat="1" ht="126" x14ac:dyDescent="0.2">
      <c r="A7" s="316">
        <v>1</v>
      </c>
      <c r="B7" s="96" t="s">
        <v>164</v>
      </c>
      <c r="C7" s="85" t="s">
        <v>174</v>
      </c>
      <c r="D7" s="83">
        <f>SUM(E7:G7)</f>
        <v>3600</v>
      </c>
      <c r="E7" s="86">
        <v>1200</v>
      </c>
      <c r="F7" s="86">
        <v>1200</v>
      </c>
      <c r="G7" s="86">
        <v>1200</v>
      </c>
      <c r="H7" s="86" t="s">
        <v>6</v>
      </c>
      <c r="I7" s="87" t="s">
        <v>208</v>
      </c>
      <c r="J7" s="87" t="s">
        <v>632</v>
      </c>
      <c r="K7" s="89" t="s">
        <v>406</v>
      </c>
      <c r="L7" s="225">
        <v>1</v>
      </c>
      <c r="M7" s="438"/>
    </row>
    <row r="8" spans="1:14" s="444" customFormat="1" ht="67.5" customHeight="1" x14ac:dyDescent="0.2">
      <c r="A8" s="316">
        <v>18</v>
      </c>
      <c r="B8" s="96" t="s">
        <v>407</v>
      </c>
      <c r="C8" s="85" t="s">
        <v>408</v>
      </c>
      <c r="D8" s="83">
        <f t="shared" ref="D8:D9" si="0">SUM(E8:G8)</f>
        <v>150</v>
      </c>
      <c r="E8" s="86">
        <v>50</v>
      </c>
      <c r="F8" s="86">
        <v>50</v>
      </c>
      <c r="G8" s="86">
        <v>50</v>
      </c>
      <c r="H8" s="86" t="s">
        <v>6</v>
      </c>
      <c r="I8" s="87" t="s">
        <v>409</v>
      </c>
      <c r="J8" s="88" t="s">
        <v>410</v>
      </c>
      <c r="K8" s="89" t="s">
        <v>826</v>
      </c>
      <c r="L8" s="225"/>
      <c r="M8" s="438"/>
    </row>
    <row r="9" spans="1:14" ht="63.75" thickBot="1" x14ac:dyDescent="0.3">
      <c r="A9" s="445">
        <v>2</v>
      </c>
      <c r="B9" s="446" t="s">
        <v>335</v>
      </c>
      <c r="C9" s="85" t="s">
        <v>633</v>
      </c>
      <c r="D9" s="83">
        <f t="shared" si="0"/>
        <v>144576</v>
      </c>
      <c r="E9" s="86">
        <v>47558</v>
      </c>
      <c r="F9" s="86">
        <v>48509</v>
      </c>
      <c r="G9" s="86">
        <v>48509</v>
      </c>
      <c r="H9" s="86" t="s">
        <v>6</v>
      </c>
      <c r="I9" s="87" t="s">
        <v>223</v>
      </c>
      <c r="J9" s="87" t="s">
        <v>200</v>
      </c>
      <c r="K9" s="89" t="s">
        <v>920</v>
      </c>
      <c r="L9" s="225"/>
    </row>
    <row r="10" spans="1:14" ht="37.5" customHeight="1" thickBot="1" x14ac:dyDescent="0.3">
      <c r="A10" s="315"/>
      <c r="B10" s="57" t="s">
        <v>120</v>
      </c>
      <c r="C10" s="84"/>
      <c r="D10" s="58">
        <f>SUM(D7:D9)</f>
        <v>148326</v>
      </c>
      <c r="E10" s="58">
        <f>SUM(E7:E9)</f>
        <v>48808</v>
      </c>
      <c r="F10" s="58">
        <f t="shared" ref="F10:H10" si="1">SUM(F7:F9)</f>
        <v>49759</v>
      </c>
      <c r="G10" s="58">
        <f t="shared" si="1"/>
        <v>49759</v>
      </c>
      <c r="H10" s="58">
        <f t="shared" si="1"/>
        <v>0</v>
      </c>
      <c r="I10" s="58"/>
      <c r="J10" s="93"/>
      <c r="K10" s="59"/>
      <c r="L10" s="225"/>
    </row>
    <row r="11" spans="1:14" ht="18" customHeight="1" x14ac:dyDescent="0.25">
      <c r="A11" s="443"/>
      <c r="B11" s="706" t="s">
        <v>91</v>
      </c>
      <c r="C11" s="706"/>
      <c r="D11" s="706"/>
      <c r="E11" s="706"/>
      <c r="F11" s="706"/>
      <c r="G11" s="706"/>
      <c r="H11" s="706"/>
      <c r="I11" s="706"/>
      <c r="J11" s="706"/>
      <c r="K11" s="707"/>
      <c r="L11" s="225"/>
    </row>
    <row r="12" spans="1:14" ht="55.5" customHeight="1" x14ac:dyDescent="0.25">
      <c r="A12" s="447">
        <v>7</v>
      </c>
      <c r="B12" s="448" t="s">
        <v>123</v>
      </c>
      <c r="C12" s="278">
        <v>704</v>
      </c>
      <c r="D12" s="83">
        <f>SUM(E12:H12)</f>
        <v>486000</v>
      </c>
      <c r="E12" s="276">
        <v>108000</v>
      </c>
      <c r="F12" s="276">
        <v>108000</v>
      </c>
      <c r="G12" s="276">
        <v>108000</v>
      </c>
      <c r="H12" s="276">
        <v>162000</v>
      </c>
      <c r="I12" s="112" t="s">
        <v>634</v>
      </c>
      <c r="J12" s="85" t="s">
        <v>635</v>
      </c>
      <c r="K12" s="105" t="s">
        <v>636</v>
      </c>
      <c r="L12" s="225">
        <v>7</v>
      </c>
    </row>
    <row r="13" spans="1:14" ht="84" x14ac:dyDescent="0.25">
      <c r="A13" s="445">
        <v>7</v>
      </c>
      <c r="B13" s="449" t="s">
        <v>306</v>
      </c>
      <c r="C13" s="94">
        <v>705</v>
      </c>
      <c r="D13" s="83">
        <f>SUM(E13:H13)</f>
        <v>8985</v>
      </c>
      <c r="E13" s="95">
        <v>2995</v>
      </c>
      <c r="F13" s="95">
        <v>2995</v>
      </c>
      <c r="G13" s="95">
        <v>2995</v>
      </c>
      <c r="H13" s="95" t="s">
        <v>6</v>
      </c>
      <c r="I13" s="87" t="s">
        <v>223</v>
      </c>
      <c r="J13" s="87" t="s">
        <v>637</v>
      </c>
      <c r="K13" s="89" t="s">
        <v>921</v>
      </c>
      <c r="L13" s="226" t="s">
        <v>253</v>
      </c>
    </row>
    <row r="14" spans="1:14" ht="109.5" customHeight="1" x14ac:dyDescent="0.25">
      <c r="A14" s="450">
        <v>7</v>
      </c>
      <c r="B14" s="451" t="s">
        <v>209</v>
      </c>
      <c r="C14" s="94" t="s">
        <v>411</v>
      </c>
      <c r="D14" s="83">
        <f t="shared" ref="D14:D22" si="2">SUM(E14:H14)</f>
        <v>3378</v>
      </c>
      <c r="E14" s="95">
        <f>1066+70</f>
        <v>1136</v>
      </c>
      <c r="F14" s="95">
        <f>1136-15</f>
        <v>1121</v>
      </c>
      <c r="G14" s="95">
        <v>1121</v>
      </c>
      <c r="H14" s="95" t="s">
        <v>6</v>
      </c>
      <c r="I14" s="87" t="s">
        <v>638</v>
      </c>
      <c r="J14" s="87" t="s">
        <v>639</v>
      </c>
      <c r="K14" s="89" t="s">
        <v>640</v>
      </c>
      <c r="L14" s="226" t="s">
        <v>253</v>
      </c>
    </row>
    <row r="15" spans="1:14" ht="67.5" customHeight="1" x14ac:dyDescent="0.25">
      <c r="A15" s="316">
        <v>8</v>
      </c>
      <c r="B15" s="96" t="s">
        <v>122</v>
      </c>
      <c r="C15" s="94">
        <v>804</v>
      </c>
      <c r="D15" s="83">
        <f t="shared" si="2"/>
        <v>2490</v>
      </c>
      <c r="E15" s="95">
        <v>815</v>
      </c>
      <c r="F15" s="95">
        <v>830</v>
      </c>
      <c r="G15" s="95">
        <v>845</v>
      </c>
      <c r="H15" s="95" t="s">
        <v>6</v>
      </c>
      <c r="I15" s="87" t="s">
        <v>254</v>
      </c>
      <c r="J15" s="88" t="s">
        <v>175</v>
      </c>
      <c r="K15" s="89" t="s">
        <v>641</v>
      </c>
      <c r="L15" s="225">
        <v>8</v>
      </c>
    </row>
    <row r="16" spans="1:14" ht="89.25" customHeight="1" x14ac:dyDescent="0.25">
      <c r="A16" s="445">
        <v>8</v>
      </c>
      <c r="B16" s="449" t="s">
        <v>285</v>
      </c>
      <c r="C16" s="94">
        <v>807</v>
      </c>
      <c r="D16" s="83">
        <f t="shared" si="2"/>
        <v>3750</v>
      </c>
      <c r="E16" s="95">
        <v>1250</v>
      </c>
      <c r="F16" s="95">
        <v>1250</v>
      </c>
      <c r="G16" s="95">
        <v>1250</v>
      </c>
      <c r="H16" s="95" t="s">
        <v>6</v>
      </c>
      <c r="I16" s="87" t="s">
        <v>642</v>
      </c>
      <c r="J16" s="87" t="s">
        <v>200</v>
      </c>
      <c r="K16" s="452" t="s">
        <v>643</v>
      </c>
      <c r="L16" s="225">
        <v>8</v>
      </c>
    </row>
    <row r="17" spans="1:15" s="444" customFormat="1" ht="78" customHeight="1" x14ac:dyDescent="0.2">
      <c r="A17" s="445">
        <v>8</v>
      </c>
      <c r="B17" s="449" t="s">
        <v>821</v>
      </c>
      <c r="C17" s="98" t="s">
        <v>227</v>
      </c>
      <c r="D17" s="83">
        <f t="shared" si="2"/>
        <v>2700000</v>
      </c>
      <c r="E17" s="95">
        <v>300000</v>
      </c>
      <c r="F17" s="95">
        <v>300000</v>
      </c>
      <c r="G17" s="95">
        <v>300000</v>
      </c>
      <c r="H17" s="95">
        <v>1800000</v>
      </c>
      <c r="I17" s="87" t="s">
        <v>272</v>
      </c>
      <c r="J17" s="87" t="s">
        <v>212</v>
      </c>
      <c r="K17" s="100" t="s">
        <v>213</v>
      </c>
      <c r="L17" s="225">
        <v>8</v>
      </c>
      <c r="M17" s="438"/>
    </row>
    <row r="18" spans="1:15" ht="78" customHeight="1" x14ac:dyDescent="0.25">
      <c r="A18" s="445">
        <v>8</v>
      </c>
      <c r="B18" s="449" t="s">
        <v>822</v>
      </c>
      <c r="C18" s="98">
        <v>808</v>
      </c>
      <c r="D18" s="83">
        <f t="shared" si="2"/>
        <v>450000</v>
      </c>
      <c r="E18" s="95">
        <v>90000</v>
      </c>
      <c r="F18" s="95">
        <v>80000</v>
      </c>
      <c r="G18" s="95">
        <v>70000</v>
      </c>
      <c r="H18" s="95">
        <v>210000</v>
      </c>
      <c r="I18" s="87" t="s">
        <v>272</v>
      </c>
      <c r="J18" s="87" t="s">
        <v>212</v>
      </c>
      <c r="K18" s="100" t="s">
        <v>213</v>
      </c>
      <c r="L18" s="227">
        <v>8</v>
      </c>
    </row>
    <row r="19" spans="1:15" ht="89.25" customHeight="1" x14ac:dyDescent="0.25">
      <c r="A19" s="445">
        <v>8</v>
      </c>
      <c r="B19" s="537" t="s">
        <v>823</v>
      </c>
      <c r="C19" s="94" t="s">
        <v>6</v>
      </c>
      <c r="D19" s="83">
        <f t="shared" si="2"/>
        <v>3287506</v>
      </c>
      <c r="E19" s="99">
        <v>2063208</v>
      </c>
      <c r="F19" s="99">
        <v>1217745</v>
      </c>
      <c r="G19" s="99">
        <v>6500</v>
      </c>
      <c r="H19" s="453">
        <v>53</v>
      </c>
      <c r="I19" s="97" t="s">
        <v>211</v>
      </c>
      <c r="J19" s="87" t="s">
        <v>412</v>
      </c>
      <c r="K19" s="100" t="s">
        <v>413</v>
      </c>
      <c r="L19" s="227"/>
    </row>
    <row r="20" spans="1:15" ht="89.25" customHeight="1" x14ac:dyDescent="0.25">
      <c r="A20" s="445">
        <v>8</v>
      </c>
      <c r="B20" s="449" t="s">
        <v>824</v>
      </c>
      <c r="C20" s="94">
        <v>808</v>
      </c>
      <c r="D20" s="83">
        <f t="shared" si="2"/>
        <v>175000</v>
      </c>
      <c r="E20" s="95">
        <v>50000</v>
      </c>
      <c r="F20" s="95">
        <v>50000</v>
      </c>
      <c r="G20" s="95">
        <v>50000</v>
      </c>
      <c r="H20" s="453">
        <v>25000</v>
      </c>
      <c r="I20" s="97" t="s">
        <v>211</v>
      </c>
      <c r="J20" s="87" t="s">
        <v>412</v>
      </c>
      <c r="K20" s="100" t="s">
        <v>413</v>
      </c>
      <c r="L20" s="227"/>
    </row>
    <row r="21" spans="1:15" ht="63" x14ac:dyDescent="0.25">
      <c r="A21" s="450">
        <v>8</v>
      </c>
      <c r="B21" s="449" t="s">
        <v>414</v>
      </c>
      <c r="C21" s="94">
        <v>1864</v>
      </c>
      <c r="D21" s="83">
        <f t="shared" si="2"/>
        <v>30</v>
      </c>
      <c r="E21" s="95">
        <v>30</v>
      </c>
      <c r="F21" s="95">
        <v>0</v>
      </c>
      <c r="G21" s="95">
        <v>0</v>
      </c>
      <c r="H21" s="95">
        <v>0</v>
      </c>
      <c r="I21" s="87" t="s">
        <v>210</v>
      </c>
      <c r="J21" s="88" t="s">
        <v>415</v>
      </c>
      <c r="K21" s="89" t="s">
        <v>560</v>
      </c>
      <c r="L21" s="227"/>
    </row>
    <row r="22" spans="1:15" ht="68.25" customHeight="1" thickBot="1" x14ac:dyDescent="0.3">
      <c r="A22" s="454">
        <v>5.3</v>
      </c>
      <c r="B22" s="455" t="s">
        <v>252</v>
      </c>
      <c r="C22" s="264">
        <v>301</v>
      </c>
      <c r="D22" s="83">
        <f t="shared" si="2"/>
        <v>1650</v>
      </c>
      <c r="E22" s="221">
        <v>550</v>
      </c>
      <c r="F22" s="221">
        <v>550</v>
      </c>
      <c r="G22" s="221">
        <v>550</v>
      </c>
      <c r="H22" s="221" t="s">
        <v>6</v>
      </c>
      <c r="I22" s="256" t="s">
        <v>223</v>
      </c>
      <c r="J22" s="265" t="s">
        <v>200</v>
      </c>
      <c r="K22" s="253" t="s">
        <v>476</v>
      </c>
      <c r="L22" s="227"/>
      <c r="N22" s="456"/>
    </row>
    <row r="23" spans="1:15" ht="27" customHeight="1" thickBot="1" x14ac:dyDescent="0.3">
      <c r="A23" s="315"/>
      <c r="B23" s="60" t="s">
        <v>92</v>
      </c>
      <c r="C23" s="80"/>
      <c r="D23" s="62">
        <f t="shared" ref="D23:H23" si="3">SUM(D12:D22)</f>
        <v>7118789</v>
      </c>
      <c r="E23" s="62">
        <f t="shared" si="3"/>
        <v>2617984</v>
      </c>
      <c r="F23" s="62">
        <f t="shared" si="3"/>
        <v>1762491</v>
      </c>
      <c r="G23" s="62">
        <f t="shared" si="3"/>
        <v>541261</v>
      </c>
      <c r="H23" s="62">
        <f t="shared" si="3"/>
        <v>2197053</v>
      </c>
      <c r="I23" s="93"/>
      <c r="J23" s="93"/>
      <c r="K23" s="59"/>
      <c r="L23" s="225"/>
    </row>
    <row r="24" spans="1:15" ht="18" customHeight="1" x14ac:dyDescent="0.25">
      <c r="A24" s="443"/>
      <c r="B24" s="704" t="s">
        <v>214</v>
      </c>
      <c r="C24" s="704"/>
      <c r="D24" s="704"/>
      <c r="E24" s="704"/>
      <c r="F24" s="704"/>
      <c r="G24" s="704"/>
      <c r="H24" s="704"/>
      <c r="I24" s="704"/>
      <c r="J24" s="704"/>
      <c r="K24" s="705"/>
      <c r="L24" s="225"/>
    </row>
    <row r="25" spans="1:15" ht="94.5" x14ac:dyDescent="0.25">
      <c r="A25" s="445">
        <v>16</v>
      </c>
      <c r="B25" s="449" t="s">
        <v>644</v>
      </c>
      <c r="C25" s="94">
        <v>1603</v>
      </c>
      <c r="D25" s="83">
        <f>E25+F25+G25+H25</f>
        <v>11424900</v>
      </c>
      <c r="E25" s="457">
        <v>1660307</v>
      </c>
      <c r="F25" s="457">
        <v>1707771</v>
      </c>
      <c r="G25" s="457">
        <v>1626843</v>
      </c>
      <c r="H25" s="457">
        <v>6429979</v>
      </c>
      <c r="I25" s="458" t="s">
        <v>215</v>
      </c>
      <c r="J25" s="458" t="s">
        <v>336</v>
      </c>
      <c r="K25" s="452" t="s">
        <v>645</v>
      </c>
      <c r="L25" s="225">
        <v>16</v>
      </c>
      <c r="M25" s="459"/>
    </row>
    <row r="26" spans="1:15" s="444" customFormat="1" ht="89.25" customHeight="1" x14ac:dyDescent="0.2">
      <c r="A26" s="445">
        <v>16</v>
      </c>
      <c r="B26" s="449" t="s">
        <v>337</v>
      </c>
      <c r="C26" s="94">
        <v>1603</v>
      </c>
      <c r="D26" s="83">
        <f t="shared" ref="D26:D34" si="4">E26+F26+G26+H26</f>
        <v>55060</v>
      </c>
      <c r="E26" s="457">
        <v>55060</v>
      </c>
      <c r="F26" s="457">
        <v>0</v>
      </c>
      <c r="G26" s="457">
        <v>0</v>
      </c>
      <c r="H26" s="457">
        <v>0</v>
      </c>
      <c r="I26" s="458" t="s">
        <v>215</v>
      </c>
      <c r="J26" s="458" t="s">
        <v>336</v>
      </c>
      <c r="K26" s="452" t="s">
        <v>646</v>
      </c>
      <c r="L26" s="225">
        <v>16</v>
      </c>
      <c r="M26" s="438"/>
    </row>
    <row r="27" spans="1:15" ht="115.5" x14ac:dyDescent="0.25">
      <c r="A27" s="445">
        <v>16</v>
      </c>
      <c r="B27" s="449" t="s">
        <v>647</v>
      </c>
      <c r="C27" s="94">
        <v>1603</v>
      </c>
      <c r="D27" s="83">
        <f t="shared" si="4"/>
        <v>222360</v>
      </c>
      <c r="E27" s="457">
        <v>21512</v>
      </c>
      <c r="F27" s="457">
        <v>20874</v>
      </c>
      <c r="G27" s="457">
        <v>21965</v>
      </c>
      <c r="H27" s="457">
        <v>158009</v>
      </c>
      <c r="I27" s="460" t="s">
        <v>648</v>
      </c>
      <c r="J27" s="458" t="s">
        <v>649</v>
      </c>
      <c r="K27" s="452" t="s">
        <v>650</v>
      </c>
      <c r="L27" s="225"/>
      <c r="M27" s="459"/>
      <c r="N27" s="461"/>
      <c r="O27" s="456"/>
    </row>
    <row r="28" spans="1:15" ht="132" customHeight="1" x14ac:dyDescent="0.25">
      <c r="A28" s="445">
        <v>16</v>
      </c>
      <c r="B28" s="449" t="s">
        <v>651</v>
      </c>
      <c r="C28" s="94">
        <v>1603</v>
      </c>
      <c r="D28" s="83">
        <f t="shared" si="4"/>
        <v>1192696</v>
      </c>
      <c r="E28" s="457">
        <v>115336</v>
      </c>
      <c r="F28" s="457">
        <v>299071</v>
      </c>
      <c r="G28" s="457">
        <v>279932</v>
      </c>
      <c r="H28" s="457">
        <v>498357</v>
      </c>
      <c r="I28" s="458" t="s">
        <v>339</v>
      </c>
      <c r="J28" s="462" t="s">
        <v>652</v>
      </c>
      <c r="K28" s="452" t="s">
        <v>653</v>
      </c>
      <c r="L28" s="225"/>
      <c r="N28" s="463"/>
      <c r="O28" s="456"/>
    </row>
    <row r="29" spans="1:15" ht="115.5" x14ac:dyDescent="0.25">
      <c r="A29" s="445">
        <v>16</v>
      </c>
      <c r="B29" s="449" t="s">
        <v>654</v>
      </c>
      <c r="C29" s="94">
        <v>1603</v>
      </c>
      <c r="D29" s="83">
        <f t="shared" si="4"/>
        <v>227242</v>
      </c>
      <c r="E29" s="457">
        <v>227242</v>
      </c>
      <c r="F29" s="457">
        <v>0</v>
      </c>
      <c r="G29" s="457">
        <v>0</v>
      </c>
      <c r="H29" s="457">
        <v>0</v>
      </c>
      <c r="I29" s="458" t="s">
        <v>215</v>
      </c>
      <c r="J29" s="464" t="s">
        <v>655</v>
      </c>
      <c r="K29" s="465" t="s">
        <v>656</v>
      </c>
      <c r="L29" s="225">
        <v>16</v>
      </c>
      <c r="M29" s="466"/>
    </row>
    <row r="30" spans="1:15" ht="132" customHeight="1" x14ac:dyDescent="0.25">
      <c r="A30" s="445">
        <v>16</v>
      </c>
      <c r="B30" s="449" t="s">
        <v>657</v>
      </c>
      <c r="C30" s="94">
        <v>1603</v>
      </c>
      <c r="D30" s="83">
        <f t="shared" si="4"/>
        <v>2582580</v>
      </c>
      <c r="E30" s="457">
        <v>215</v>
      </c>
      <c r="F30" s="457">
        <f>430430</f>
        <v>430430</v>
      </c>
      <c r="G30" s="457">
        <v>430430</v>
      </c>
      <c r="H30" s="457">
        <v>1721505</v>
      </c>
      <c r="I30" s="458" t="s">
        <v>634</v>
      </c>
      <c r="J30" s="464" t="s">
        <v>658</v>
      </c>
      <c r="K30" s="465" t="s">
        <v>659</v>
      </c>
      <c r="L30" s="225"/>
      <c r="M30" s="466"/>
    </row>
    <row r="31" spans="1:15" ht="120" customHeight="1" x14ac:dyDescent="0.25">
      <c r="A31" s="445">
        <v>16</v>
      </c>
      <c r="B31" s="449" t="s">
        <v>660</v>
      </c>
      <c r="C31" s="94">
        <v>1603</v>
      </c>
      <c r="D31" s="83">
        <f t="shared" si="4"/>
        <v>93084</v>
      </c>
      <c r="E31" s="457">
        <v>16376</v>
      </c>
      <c r="F31" s="457">
        <v>18939</v>
      </c>
      <c r="G31" s="457">
        <v>19168</v>
      </c>
      <c r="H31" s="457">
        <v>38601</v>
      </c>
      <c r="I31" s="458" t="s">
        <v>661</v>
      </c>
      <c r="J31" s="458" t="s">
        <v>662</v>
      </c>
      <c r="K31" s="465" t="s">
        <v>663</v>
      </c>
      <c r="L31" s="225">
        <v>16</v>
      </c>
    </row>
    <row r="32" spans="1:15" ht="120" customHeight="1" x14ac:dyDescent="0.25">
      <c r="A32" s="445">
        <v>16</v>
      </c>
      <c r="B32" s="449" t="s">
        <v>664</v>
      </c>
      <c r="C32" s="94">
        <v>1603</v>
      </c>
      <c r="D32" s="83">
        <f t="shared" si="4"/>
        <v>8268</v>
      </c>
      <c r="E32" s="457">
        <v>2067</v>
      </c>
      <c r="F32" s="457">
        <v>2067</v>
      </c>
      <c r="G32" s="457">
        <v>2067</v>
      </c>
      <c r="H32" s="457">
        <v>2067</v>
      </c>
      <c r="I32" s="458" t="s">
        <v>665</v>
      </c>
      <c r="J32" s="462" t="s">
        <v>658</v>
      </c>
      <c r="K32" s="465" t="s">
        <v>666</v>
      </c>
      <c r="L32" s="225"/>
    </row>
    <row r="33" spans="1:15" s="444" customFormat="1" ht="99" customHeight="1" x14ac:dyDescent="0.2">
      <c r="A33" s="445">
        <v>16</v>
      </c>
      <c r="B33" s="449" t="s">
        <v>255</v>
      </c>
      <c r="C33" s="94">
        <v>1603</v>
      </c>
      <c r="D33" s="83">
        <f t="shared" si="4"/>
        <v>6000</v>
      </c>
      <c r="E33" s="457">
        <v>3000</v>
      </c>
      <c r="F33" s="457">
        <v>3000</v>
      </c>
      <c r="G33" s="457">
        <v>0</v>
      </c>
      <c r="H33" s="457">
        <v>0</v>
      </c>
      <c r="I33" s="458" t="s">
        <v>256</v>
      </c>
      <c r="J33" s="462" t="s">
        <v>286</v>
      </c>
      <c r="K33" s="452" t="s">
        <v>667</v>
      </c>
      <c r="L33" s="225">
        <v>16</v>
      </c>
      <c r="M33" s="466"/>
      <c r="N33" s="466"/>
      <c r="O33" s="466"/>
    </row>
    <row r="34" spans="1:15" s="444" customFormat="1" ht="78" customHeight="1" x14ac:dyDescent="0.2">
      <c r="A34" s="445">
        <v>16</v>
      </c>
      <c r="B34" s="449" t="s">
        <v>255</v>
      </c>
      <c r="C34" s="94">
        <v>1603</v>
      </c>
      <c r="D34" s="83">
        <f t="shared" si="4"/>
        <v>6000</v>
      </c>
      <c r="E34" s="467">
        <v>6000</v>
      </c>
      <c r="F34" s="467">
        <v>0</v>
      </c>
      <c r="G34" s="467">
        <v>0</v>
      </c>
      <c r="H34" s="467">
        <v>0</v>
      </c>
      <c r="I34" s="458" t="s">
        <v>216</v>
      </c>
      <c r="J34" s="462" t="s">
        <v>257</v>
      </c>
      <c r="K34" s="452" t="s">
        <v>668</v>
      </c>
      <c r="L34" s="225">
        <v>16</v>
      </c>
      <c r="M34" s="468"/>
    </row>
    <row r="35" spans="1:15" ht="24" customHeight="1" x14ac:dyDescent="0.25">
      <c r="A35" s="469"/>
      <c r="B35" s="470" t="s">
        <v>217</v>
      </c>
      <c r="C35" s="471"/>
      <c r="D35" s="103">
        <f>E35+F35+G35+H35</f>
        <v>15818190</v>
      </c>
      <c r="E35" s="103">
        <f>SUM(E25:E34)</f>
        <v>2107115</v>
      </c>
      <c r="F35" s="103">
        <f t="shared" ref="F35:H35" si="5">SUM(F25:F34)</f>
        <v>2482152</v>
      </c>
      <c r="G35" s="103">
        <f t="shared" si="5"/>
        <v>2380405</v>
      </c>
      <c r="H35" s="103">
        <f t="shared" si="5"/>
        <v>8848518</v>
      </c>
      <c r="I35" s="471"/>
      <c r="J35" s="472"/>
      <c r="K35" s="473"/>
      <c r="L35" s="228"/>
    </row>
    <row r="36" spans="1:15" ht="105" x14ac:dyDescent="0.25">
      <c r="A36" s="445">
        <v>16</v>
      </c>
      <c r="B36" s="449" t="s">
        <v>340</v>
      </c>
      <c r="C36" s="94">
        <v>1604</v>
      </c>
      <c r="D36" s="83">
        <f>E36+F36+G36+H36</f>
        <v>890615</v>
      </c>
      <c r="E36" s="474">
        <v>98957</v>
      </c>
      <c r="F36" s="474">
        <v>98957</v>
      </c>
      <c r="G36" s="474">
        <v>98957</v>
      </c>
      <c r="H36" s="474">
        <v>593744</v>
      </c>
      <c r="I36" s="458" t="s">
        <v>669</v>
      </c>
      <c r="J36" s="458" t="s">
        <v>670</v>
      </c>
      <c r="K36" s="89" t="s">
        <v>671</v>
      </c>
      <c r="L36" s="225"/>
    </row>
    <row r="37" spans="1:15" ht="99" customHeight="1" x14ac:dyDescent="0.25">
      <c r="A37" s="445">
        <v>16</v>
      </c>
      <c r="B37" s="449" t="s">
        <v>416</v>
      </c>
      <c r="C37" s="94">
        <v>1604</v>
      </c>
      <c r="D37" s="83">
        <f t="shared" ref="D37:D61" si="6">E37+F37+G37+H37</f>
        <v>1444900</v>
      </c>
      <c r="E37" s="475">
        <f>144590-1000</f>
        <v>143590</v>
      </c>
      <c r="F37" s="475">
        <v>144590</v>
      </c>
      <c r="G37" s="475">
        <v>144590</v>
      </c>
      <c r="H37" s="475">
        <v>1012130</v>
      </c>
      <c r="I37" s="476" t="s">
        <v>672</v>
      </c>
      <c r="J37" s="462" t="s">
        <v>673</v>
      </c>
      <c r="K37" s="452" t="s">
        <v>674</v>
      </c>
      <c r="L37" s="225"/>
    </row>
    <row r="38" spans="1:15" ht="99" customHeight="1" x14ac:dyDescent="0.25">
      <c r="A38" s="445">
        <v>16</v>
      </c>
      <c r="B38" s="449" t="s">
        <v>125</v>
      </c>
      <c r="C38" s="94">
        <v>1604</v>
      </c>
      <c r="D38" s="83">
        <f t="shared" si="6"/>
        <v>87171</v>
      </c>
      <c r="E38" s="475">
        <v>58116</v>
      </c>
      <c r="F38" s="475">
        <v>29055</v>
      </c>
      <c r="G38" s="475">
        <v>0</v>
      </c>
      <c r="H38" s="475">
        <v>0</v>
      </c>
      <c r="I38" s="458" t="s">
        <v>675</v>
      </c>
      <c r="J38" s="462" t="s">
        <v>180</v>
      </c>
      <c r="K38" s="452" t="s">
        <v>676</v>
      </c>
      <c r="L38" s="225">
        <v>16</v>
      </c>
    </row>
    <row r="39" spans="1:15" ht="99" customHeight="1" x14ac:dyDescent="0.25">
      <c r="A39" s="445">
        <v>16</v>
      </c>
      <c r="B39" s="449" t="s">
        <v>126</v>
      </c>
      <c r="C39" s="94">
        <v>1604</v>
      </c>
      <c r="D39" s="83">
        <f t="shared" si="6"/>
        <v>119222</v>
      </c>
      <c r="E39" s="475">
        <v>79480</v>
      </c>
      <c r="F39" s="475">
        <v>39742</v>
      </c>
      <c r="G39" s="475">
        <v>0</v>
      </c>
      <c r="H39" s="475">
        <v>0</v>
      </c>
      <c r="I39" s="458" t="s">
        <v>675</v>
      </c>
      <c r="J39" s="462" t="s">
        <v>181</v>
      </c>
      <c r="K39" s="452" t="s">
        <v>917</v>
      </c>
      <c r="L39" s="225">
        <v>16</v>
      </c>
    </row>
    <row r="40" spans="1:15" s="624" customFormat="1" ht="99" customHeight="1" x14ac:dyDescent="0.25">
      <c r="A40" s="622">
        <v>16</v>
      </c>
      <c r="B40" s="627" t="s">
        <v>915</v>
      </c>
      <c r="C40" s="628">
        <v>1604</v>
      </c>
      <c r="D40" s="629">
        <f t="shared" si="6"/>
        <v>4059397</v>
      </c>
      <c r="E40" s="630">
        <v>0</v>
      </c>
      <c r="F40" s="630">
        <v>202970</v>
      </c>
      <c r="G40" s="630">
        <v>405940</v>
      </c>
      <c r="H40" s="630">
        <f>3450490-3</f>
        <v>3450487</v>
      </c>
      <c r="I40" s="631" t="s">
        <v>916</v>
      </c>
      <c r="J40" s="632" t="s">
        <v>207</v>
      </c>
      <c r="K40" s="633" t="s">
        <v>918</v>
      </c>
      <c r="L40" s="225"/>
      <c r="M40" s="623"/>
    </row>
    <row r="41" spans="1:15" ht="120" customHeight="1" x14ac:dyDescent="0.25">
      <c r="A41" s="445">
        <v>16</v>
      </c>
      <c r="B41" s="449" t="s">
        <v>127</v>
      </c>
      <c r="C41" s="94">
        <v>1604</v>
      </c>
      <c r="D41" s="83">
        <f t="shared" si="6"/>
        <v>62426</v>
      </c>
      <c r="E41" s="475">
        <v>31216</v>
      </c>
      <c r="F41" s="475">
        <v>31210</v>
      </c>
      <c r="G41" s="475">
        <v>0</v>
      </c>
      <c r="H41" s="475">
        <v>0</v>
      </c>
      <c r="I41" s="458" t="s">
        <v>675</v>
      </c>
      <c r="J41" s="462" t="s">
        <v>182</v>
      </c>
      <c r="K41" s="452" t="s">
        <v>677</v>
      </c>
      <c r="L41" s="225">
        <v>16</v>
      </c>
    </row>
    <row r="42" spans="1:15" ht="120" customHeight="1" x14ac:dyDescent="0.25">
      <c r="A42" s="445">
        <v>16</v>
      </c>
      <c r="B42" s="449" t="s">
        <v>128</v>
      </c>
      <c r="C42" s="94">
        <v>1604</v>
      </c>
      <c r="D42" s="83">
        <f t="shared" si="6"/>
        <v>298214</v>
      </c>
      <c r="E42" s="475">
        <v>149107</v>
      </c>
      <c r="F42" s="475">
        <v>149107</v>
      </c>
      <c r="G42" s="475">
        <v>0</v>
      </c>
      <c r="H42" s="475">
        <v>0</v>
      </c>
      <c r="I42" s="458" t="s">
        <v>678</v>
      </c>
      <c r="J42" s="462" t="s">
        <v>183</v>
      </c>
      <c r="K42" s="452" t="s">
        <v>679</v>
      </c>
      <c r="L42" s="225">
        <v>16</v>
      </c>
    </row>
    <row r="43" spans="1:15" ht="120" customHeight="1" x14ac:dyDescent="0.25">
      <c r="A43" s="445">
        <v>16</v>
      </c>
      <c r="B43" s="449" t="s">
        <v>129</v>
      </c>
      <c r="C43" s="94">
        <v>1604</v>
      </c>
      <c r="D43" s="83">
        <f t="shared" si="6"/>
        <v>232230</v>
      </c>
      <c r="E43" s="475">
        <v>116116</v>
      </c>
      <c r="F43" s="475">
        <v>116114</v>
      </c>
      <c r="G43" s="475">
        <v>0</v>
      </c>
      <c r="H43" s="475">
        <v>0</v>
      </c>
      <c r="I43" s="458" t="s">
        <v>258</v>
      </c>
      <c r="J43" s="462" t="s">
        <v>184</v>
      </c>
      <c r="K43" s="452" t="s">
        <v>680</v>
      </c>
      <c r="L43" s="225">
        <v>16</v>
      </c>
    </row>
    <row r="44" spans="1:15" ht="120" customHeight="1" x14ac:dyDescent="0.25">
      <c r="A44" s="445">
        <v>16</v>
      </c>
      <c r="B44" s="449" t="s">
        <v>130</v>
      </c>
      <c r="C44" s="94">
        <v>1604</v>
      </c>
      <c r="D44" s="83">
        <f t="shared" si="6"/>
        <v>227532</v>
      </c>
      <c r="E44" s="475">
        <v>91015</v>
      </c>
      <c r="F44" s="475">
        <v>91015</v>
      </c>
      <c r="G44" s="475">
        <v>45502</v>
      </c>
      <c r="H44" s="475">
        <v>0</v>
      </c>
      <c r="I44" s="458" t="s">
        <v>258</v>
      </c>
      <c r="J44" s="462" t="s">
        <v>186</v>
      </c>
      <c r="K44" s="452" t="s">
        <v>681</v>
      </c>
      <c r="L44" s="225">
        <v>16</v>
      </c>
    </row>
    <row r="45" spans="1:15" ht="120" customHeight="1" x14ac:dyDescent="0.25">
      <c r="A45" s="445">
        <v>16</v>
      </c>
      <c r="B45" s="449" t="s">
        <v>135</v>
      </c>
      <c r="C45" s="94">
        <v>1604</v>
      </c>
      <c r="D45" s="83">
        <f t="shared" si="6"/>
        <v>136795</v>
      </c>
      <c r="E45" s="475">
        <v>54719</v>
      </c>
      <c r="F45" s="475">
        <v>54719</v>
      </c>
      <c r="G45" s="475">
        <v>27357</v>
      </c>
      <c r="H45" s="475">
        <v>0</v>
      </c>
      <c r="I45" s="458" t="s">
        <v>678</v>
      </c>
      <c r="J45" s="462" t="s">
        <v>187</v>
      </c>
      <c r="K45" s="104" t="s">
        <v>682</v>
      </c>
      <c r="L45" s="225">
        <v>16</v>
      </c>
    </row>
    <row r="46" spans="1:15" ht="120" customHeight="1" x14ac:dyDescent="0.25">
      <c r="A46" s="445">
        <v>16</v>
      </c>
      <c r="B46" s="449" t="s">
        <v>133</v>
      </c>
      <c r="C46" s="94">
        <v>1604</v>
      </c>
      <c r="D46" s="83">
        <f t="shared" si="6"/>
        <v>328948</v>
      </c>
      <c r="E46" s="475">
        <v>131582</v>
      </c>
      <c r="F46" s="475">
        <v>131582</v>
      </c>
      <c r="G46" s="475">
        <v>65784</v>
      </c>
      <c r="H46" s="475">
        <v>0</v>
      </c>
      <c r="I46" s="458" t="s">
        <v>678</v>
      </c>
      <c r="J46" s="462" t="s">
        <v>188</v>
      </c>
      <c r="K46" s="104" t="s">
        <v>683</v>
      </c>
      <c r="L46" s="225">
        <v>16</v>
      </c>
    </row>
    <row r="47" spans="1:15" ht="84" x14ac:dyDescent="0.25">
      <c r="A47" s="445">
        <v>16</v>
      </c>
      <c r="B47" s="449" t="s">
        <v>259</v>
      </c>
      <c r="C47" s="94">
        <v>1604</v>
      </c>
      <c r="D47" s="83">
        <f t="shared" si="6"/>
        <v>40352</v>
      </c>
      <c r="E47" s="475">
        <v>32282</v>
      </c>
      <c r="F47" s="475">
        <v>8070</v>
      </c>
      <c r="G47" s="475">
        <v>0</v>
      </c>
      <c r="H47" s="475">
        <v>0</v>
      </c>
      <c r="I47" s="458" t="s">
        <v>678</v>
      </c>
      <c r="J47" s="462" t="s">
        <v>188</v>
      </c>
      <c r="K47" s="104" t="s">
        <v>684</v>
      </c>
      <c r="L47" s="225">
        <v>16</v>
      </c>
    </row>
    <row r="48" spans="1:15" ht="120" customHeight="1" x14ac:dyDescent="0.25">
      <c r="A48" s="445">
        <v>16</v>
      </c>
      <c r="B48" s="449" t="s">
        <v>132</v>
      </c>
      <c r="C48" s="94">
        <v>1604</v>
      </c>
      <c r="D48" s="83">
        <f t="shared" si="6"/>
        <v>74283</v>
      </c>
      <c r="E48" s="475">
        <v>37140</v>
      </c>
      <c r="F48" s="475">
        <v>37143</v>
      </c>
      <c r="G48" s="475">
        <v>0</v>
      </c>
      <c r="H48" s="475">
        <v>0</v>
      </c>
      <c r="I48" s="458" t="s">
        <v>185</v>
      </c>
      <c r="J48" s="462" t="s">
        <v>189</v>
      </c>
      <c r="K48" s="104" t="s">
        <v>685</v>
      </c>
      <c r="L48" s="225">
        <v>16</v>
      </c>
    </row>
    <row r="49" spans="1:15" ht="120" customHeight="1" x14ac:dyDescent="0.25">
      <c r="A49" s="445">
        <v>16</v>
      </c>
      <c r="B49" s="449" t="s">
        <v>136</v>
      </c>
      <c r="C49" s="94">
        <v>1604</v>
      </c>
      <c r="D49" s="83">
        <f t="shared" si="6"/>
        <v>138037</v>
      </c>
      <c r="E49" s="475">
        <v>69022</v>
      </c>
      <c r="F49" s="475">
        <v>69015</v>
      </c>
      <c r="G49" s="475">
        <v>0</v>
      </c>
      <c r="H49" s="475">
        <v>0</v>
      </c>
      <c r="I49" s="458" t="s">
        <v>258</v>
      </c>
      <c r="J49" s="462" t="s">
        <v>190</v>
      </c>
      <c r="K49" s="104" t="s">
        <v>686</v>
      </c>
      <c r="L49" s="225">
        <v>16</v>
      </c>
    </row>
    <row r="50" spans="1:15" ht="120" customHeight="1" x14ac:dyDescent="0.25">
      <c r="A50" s="445">
        <v>16</v>
      </c>
      <c r="B50" s="449" t="s">
        <v>134</v>
      </c>
      <c r="C50" s="94">
        <v>1604</v>
      </c>
      <c r="D50" s="83">
        <f t="shared" si="6"/>
        <v>113798</v>
      </c>
      <c r="E50" s="475">
        <v>56899</v>
      </c>
      <c r="F50" s="475">
        <v>56899</v>
      </c>
      <c r="G50" s="475">
        <v>0</v>
      </c>
      <c r="H50" s="475">
        <v>0</v>
      </c>
      <c r="I50" s="458" t="s">
        <v>258</v>
      </c>
      <c r="J50" s="462" t="s">
        <v>191</v>
      </c>
      <c r="K50" s="104" t="s">
        <v>687</v>
      </c>
      <c r="L50" s="225">
        <v>16</v>
      </c>
    </row>
    <row r="51" spans="1:15" ht="99" customHeight="1" x14ac:dyDescent="0.25">
      <c r="A51" s="445">
        <v>16</v>
      </c>
      <c r="B51" s="449" t="s">
        <v>169</v>
      </c>
      <c r="C51" s="94">
        <v>1604</v>
      </c>
      <c r="D51" s="83">
        <f t="shared" si="6"/>
        <v>197046</v>
      </c>
      <c r="E51" s="475">
        <v>78820</v>
      </c>
      <c r="F51" s="475">
        <v>78820</v>
      </c>
      <c r="G51" s="475">
        <v>39406</v>
      </c>
      <c r="H51" s="475">
        <v>0</v>
      </c>
      <c r="I51" s="458" t="s">
        <v>675</v>
      </c>
      <c r="J51" s="462" t="s">
        <v>192</v>
      </c>
      <c r="K51" s="452" t="s">
        <v>688</v>
      </c>
      <c r="L51" s="225">
        <v>16</v>
      </c>
    </row>
    <row r="52" spans="1:15" ht="139.5" customHeight="1" x14ac:dyDescent="0.25">
      <c r="A52" s="445">
        <v>16</v>
      </c>
      <c r="B52" s="449" t="s">
        <v>131</v>
      </c>
      <c r="C52" s="94">
        <v>1604</v>
      </c>
      <c r="D52" s="83">
        <f t="shared" si="6"/>
        <v>353666</v>
      </c>
      <c r="E52" s="475">
        <v>101048</v>
      </c>
      <c r="F52" s="475">
        <v>101048</v>
      </c>
      <c r="G52" s="475">
        <v>101048</v>
      </c>
      <c r="H52" s="475">
        <v>50522</v>
      </c>
      <c r="I52" s="458" t="s">
        <v>689</v>
      </c>
      <c r="J52" s="462" t="s">
        <v>193</v>
      </c>
      <c r="K52" s="104" t="s">
        <v>690</v>
      </c>
      <c r="L52" s="225">
        <v>16</v>
      </c>
    </row>
    <row r="53" spans="1:15" ht="89.25" customHeight="1" x14ac:dyDescent="0.25">
      <c r="A53" s="445">
        <v>16</v>
      </c>
      <c r="B53" s="449" t="s">
        <v>166</v>
      </c>
      <c r="C53" s="94">
        <v>1604</v>
      </c>
      <c r="D53" s="83">
        <f t="shared" si="6"/>
        <v>59340</v>
      </c>
      <c r="E53" s="477">
        <v>29670</v>
      </c>
      <c r="F53" s="477">
        <v>29670</v>
      </c>
      <c r="G53" s="475">
        <v>0</v>
      </c>
      <c r="H53" s="475"/>
      <c r="I53" s="458" t="s">
        <v>194</v>
      </c>
      <c r="J53" s="462" t="s">
        <v>195</v>
      </c>
      <c r="K53" s="452" t="s">
        <v>691</v>
      </c>
      <c r="L53" s="225">
        <v>16</v>
      </c>
    </row>
    <row r="54" spans="1:15" ht="81" customHeight="1" x14ac:dyDescent="0.25">
      <c r="A54" s="445">
        <v>16</v>
      </c>
      <c r="B54" s="449" t="s">
        <v>167</v>
      </c>
      <c r="C54" s="94">
        <v>1604</v>
      </c>
      <c r="D54" s="83">
        <f t="shared" si="6"/>
        <v>5820</v>
      </c>
      <c r="E54" s="477">
        <v>2910</v>
      </c>
      <c r="F54" s="477">
        <v>2910</v>
      </c>
      <c r="G54" s="475">
        <v>0</v>
      </c>
      <c r="H54" s="475"/>
      <c r="I54" s="458" t="s">
        <v>260</v>
      </c>
      <c r="J54" s="462" t="s">
        <v>196</v>
      </c>
      <c r="K54" s="452" t="s">
        <v>692</v>
      </c>
      <c r="L54" s="225">
        <v>16</v>
      </c>
    </row>
    <row r="55" spans="1:15" ht="81" customHeight="1" x14ac:dyDescent="0.25">
      <c r="A55" s="445">
        <v>16</v>
      </c>
      <c r="B55" s="449" t="s">
        <v>341</v>
      </c>
      <c r="C55" s="94">
        <v>1604</v>
      </c>
      <c r="D55" s="83">
        <f t="shared" si="6"/>
        <v>6825</v>
      </c>
      <c r="E55" s="477">
        <v>975</v>
      </c>
      <c r="F55" s="477">
        <v>975</v>
      </c>
      <c r="G55" s="477">
        <v>975</v>
      </c>
      <c r="H55" s="477">
        <v>3900</v>
      </c>
      <c r="I55" s="458" t="s">
        <v>342</v>
      </c>
      <c r="J55" s="462" t="s">
        <v>417</v>
      </c>
      <c r="K55" s="452" t="s">
        <v>693</v>
      </c>
      <c r="L55" s="225"/>
    </row>
    <row r="56" spans="1:15" ht="81" customHeight="1" x14ac:dyDescent="0.25">
      <c r="A56" s="445">
        <v>16</v>
      </c>
      <c r="B56" s="449" t="s">
        <v>343</v>
      </c>
      <c r="C56" s="94">
        <v>1604</v>
      </c>
      <c r="D56" s="83">
        <f t="shared" si="6"/>
        <v>1715</v>
      </c>
      <c r="E56" s="477">
        <v>245</v>
      </c>
      <c r="F56" s="477">
        <v>245</v>
      </c>
      <c r="G56" s="477">
        <v>245</v>
      </c>
      <c r="H56" s="477">
        <v>980</v>
      </c>
      <c r="I56" s="458" t="s">
        <v>344</v>
      </c>
      <c r="J56" s="462" t="s">
        <v>418</v>
      </c>
      <c r="K56" s="452" t="s">
        <v>694</v>
      </c>
      <c r="L56" s="225"/>
    </row>
    <row r="57" spans="1:15" ht="81" customHeight="1" x14ac:dyDescent="0.25">
      <c r="A57" s="445">
        <v>16</v>
      </c>
      <c r="B57" s="449" t="s">
        <v>419</v>
      </c>
      <c r="C57" s="94">
        <v>1604</v>
      </c>
      <c r="D57" s="83">
        <f t="shared" si="6"/>
        <v>257600</v>
      </c>
      <c r="E57" s="477">
        <v>32200</v>
      </c>
      <c r="F57" s="477">
        <v>32200</v>
      </c>
      <c r="G57" s="477">
        <v>32200</v>
      </c>
      <c r="H57" s="477">
        <v>161000</v>
      </c>
      <c r="I57" s="458" t="s">
        <v>261</v>
      </c>
      <c r="J57" s="462" t="s">
        <v>695</v>
      </c>
      <c r="K57" s="452" t="s">
        <v>696</v>
      </c>
      <c r="L57" s="225"/>
    </row>
    <row r="58" spans="1:15" ht="110.25" customHeight="1" x14ac:dyDescent="0.25">
      <c r="A58" s="445">
        <v>16</v>
      </c>
      <c r="B58" s="96" t="s">
        <v>124</v>
      </c>
      <c r="C58" s="94">
        <v>1604</v>
      </c>
      <c r="D58" s="83">
        <f t="shared" si="6"/>
        <v>13500</v>
      </c>
      <c r="E58" s="474">
        <v>13500</v>
      </c>
      <c r="F58" s="477">
        <v>0</v>
      </c>
      <c r="G58" s="477">
        <v>0</v>
      </c>
      <c r="H58" s="477">
        <v>0</v>
      </c>
      <c r="I58" s="458" t="s">
        <v>218</v>
      </c>
      <c r="J58" s="462" t="s">
        <v>697</v>
      </c>
      <c r="K58" s="105" t="s">
        <v>698</v>
      </c>
      <c r="L58" s="225">
        <v>16</v>
      </c>
    </row>
    <row r="59" spans="1:15" ht="115.5" x14ac:dyDescent="0.25">
      <c r="A59" s="445">
        <v>16</v>
      </c>
      <c r="B59" s="96" t="s">
        <v>168</v>
      </c>
      <c r="C59" s="94">
        <v>1604</v>
      </c>
      <c r="D59" s="83">
        <f t="shared" si="6"/>
        <v>11000</v>
      </c>
      <c r="E59" s="475">
        <v>5500</v>
      </c>
      <c r="F59" s="475">
        <v>5500</v>
      </c>
      <c r="G59" s="477">
        <v>0</v>
      </c>
      <c r="H59" s="475">
        <v>0</v>
      </c>
      <c r="I59" s="458" t="s">
        <v>262</v>
      </c>
      <c r="J59" s="462" t="s">
        <v>699</v>
      </c>
      <c r="K59" s="105" t="s">
        <v>700</v>
      </c>
      <c r="L59" s="225">
        <v>16</v>
      </c>
    </row>
    <row r="60" spans="1:15" ht="120" customHeight="1" x14ac:dyDescent="0.25">
      <c r="A60" s="445">
        <v>16</v>
      </c>
      <c r="B60" s="449" t="s">
        <v>701</v>
      </c>
      <c r="C60" s="94">
        <v>1604</v>
      </c>
      <c r="D60" s="83">
        <f t="shared" si="6"/>
        <v>428540</v>
      </c>
      <c r="E60" s="475">
        <v>107135</v>
      </c>
      <c r="F60" s="475">
        <v>107135</v>
      </c>
      <c r="G60" s="475">
        <v>107135</v>
      </c>
      <c r="H60" s="475">
        <v>107135</v>
      </c>
      <c r="I60" s="458" t="s">
        <v>689</v>
      </c>
      <c r="J60" s="462" t="s">
        <v>219</v>
      </c>
      <c r="K60" s="108" t="s">
        <v>702</v>
      </c>
      <c r="L60" s="225">
        <v>16</v>
      </c>
      <c r="M60" s="478"/>
      <c r="N60" s="478"/>
      <c r="O60" s="478"/>
    </row>
    <row r="61" spans="1:15" ht="126" x14ac:dyDescent="0.25">
      <c r="A61" s="445">
        <v>16</v>
      </c>
      <c r="B61" s="449" t="s">
        <v>420</v>
      </c>
      <c r="C61" s="106">
        <v>1604</v>
      </c>
      <c r="D61" s="629">
        <f t="shared" si="6"/>
        <v>671051</v>
      </c>
      <c r="E61" s="634">
        <v>1000</v>
      </c>
      <c r="F61" s="634">
        <f>67106-E61</f>
        <v>66106</v>
      </c>
      <c r="G61" s="634">
        <v>67106</v>
      </c>
      <c r="H61" s="634">
        <v>536839</v>
      </c>
      <c r="I61" s="631" t="s">
        <v>207</v>
      </c>
      <c r="J61" s="631" t="s">
        <v>207</v>
      </c>
      <c r="K61" s="89" t="s">
        <v>703</v>
      </c>
      <c r="L61" s="225">
        <v>16</v>
      </c>
      <c r="M61" s="466"/>
    </row>
    <row r="62" spans="1:15" ht="24" customHeight="1" x14ac:dyDescent="0.25">
      <c r="A62" s="469"/>
      <c r="B62" s="470" t="s">
        <v>220</v>
      </c>
      <c r="C62" s="102"/>
      <c r="D62" s="103">
        <f t="shared" ref="D62" si="7">SUM(D36:D61)</f>
        <v>10260023</v>
      </c>
      <c r="E62" s="103">
        <f>SUM(E36:E61)</f>
        <v>1522244</v>
      </c>
      <c r="F62" s="103">
        <f t="shared" ref="F62:H62" si="8">SUM(F36:F61)</f>
        <v>1684797</v>
      </c>
      <c r="G62" s="103">
        <f t="shared" si="8"/>
        <v>1136245</v>
      </c>
      <c r="H62" s="103">
        <f t="shared" si="8"/>
        <v>5916737</v>
      </c>
      <c r="I62" s="471"/>
      <c r="J62" s="472"/>
      <c r="K62" s="473"/>
      <c r="L62" s="228"/>
    </row>
    <row r="63" spans="1:15" ht="45" customHeight="1" x14ac:dyDescent="0.25">
      <c r="A63" s="445">
        <v>16</v>
      </c>
      <c r="B63" s="449" t="s">
        <v>176</v>
      </c>
      <c r="C63" s="94">
        <v>1616</v>
      </c>
      <c r="D63" s="83">
        <f>E63+F63+G63</f>
        <v>12000</v>
      </c>
      <c r="E63" s="479">
        <v>4000</v>
      </c>
      <c r="F63" s="479">
        <v>4000</v>
      </c>
      <c r="G63" s="479">
        <v>4000</v>
      </c>
      <c r="H63" s="479" t="s">
        <v>6</v>
      </c>
      <c r="I63" s="458" t="s">
        <v>287</v>
      </c>
      <c r="J63" s="462" t="s">
        <v>177</v>
      </c>
      <c r="K63" s="452" t="s">
        <v>704</v>
      </c>
      <c r="L63" s="225">
        <v>16</v>
      </c>
    </row>
    <row r="64" spans="1:15" ht="67.5" customHeight="1" x14ac:dyDescent="0.25">
      <c r="A64" s="445">
        <v>16</v>
      </c>
      <c r="B64" s="449" t="s">
        <v>705</v>
      </c>
      <c r="C64" s="94">
        <v>1867</v>
      </c>
      <c r="D64" s="83">
        <f>E64+F64+G64+H64</f>
        <v>20000</v>
      </c>
      <c r="E64" s="479">
        <v>20000</v>
      </c>
      <c r="F64" s="479">
        <v>0</v>
      </c>
      <c r="G64" s="479">
        <v>0</v>
      </c>
      <c r="H64" s="479">
        <v>0</v>
      </c>
      <c r="I64" s="458" t="s">
        <v>706</v>
      </c>
      <c r="J64" s="458" t="s">
        <v>707</v>
      </c>
      <c r="K64" s="452" t="s">
        <v>708</v>
      </c>
      <c r="L64" s="225"/>
    </row>
    <row r="65" spans="1:14" s="444" customFormat="1" ht="67.5" customHeight="1" x14ac:dyDescent="0.2">
      <c r="A65" s="445">
        <v>12</v>
      </c>
      <c r="B65" s="449" t="s">
        <v>709</v>
      </c>
      <c r="C65" s="94">
        <v>8005</v>
      </c>
      <c r="D65" s="83">
        <f t="shared" ref="D65:D68" si="9">E65+F65+G65+H65</f>
        <v>24000</v>
      </c>
      <c r="E65" s="474">
        <v>12000</v>
      </c>
      <c r="F65" s="474">
        <v>12000</v>
      </c>
      <c r="G65" s="474">
        <v>0</v>
      </c>
      <c r="H65" s="474">
        <v>0</v>
      </c>
      <c r="I65" s="458" t="s">
        <v>710</v>
      </c>
      <c r="J65" s="458" t="s">
        <v>632</v>
      </c>
      <c r="K65" s="480" t="s">
        <v>711</v>
      </c>
      <c r="L65" s="225"/>
      <c r="M65" s="468"/>
    </row>
    <row r="66" spans="1:14" ht="55.5" customHeight="1" x14ac:dyDescent="0.25">
      <c r="A66" s="445">
        <v>16</v>
      </c>
      <c r="B66" s="625" t="s">
        <v>165</v>
      </c>
      <c r="C66" s="278" t="s">
        <v>6</v>
      </c>
      <c r="D66" s="83">
        <f t="shared" si="9"/>
        <v>125760</v>
      </c>
      <c r="E66" s="481">
        <v>0</v>
      </c>
      <c r="F66" s="481">
        <v>0</v>
      </c>
      <c r="G66" s="481">
        <v>0</v>
      </c>
      <c r="H66" s="479">
        <v>125760</v>
      </c>
      <c r="I66" s="476" t="s">
        <v>263</v>
      </c>
      <c r="J66" s="462" t="s">
        <v>178</v>
      </c>
      <c r="K66" s="480" t="s">
        <v>179</v>
      </c>
      <c r="L66" s="225">
        <v>16</v>
      </c>
    </row>
    <row r="67" spans="1:14" ht="55.5" customHeight="1" x14ac:dyDescent="0.25">
      <c r="A67" s="445">
        <v>16</v>
      </c>
      <c r="B67" s="448" t="s">
        <v>346</v>
      </c>
      <c r="C67" s="278">
        <v>1624</v>
      </c>
      <c r="D67" s="83">
        <f t="shared" si="9"/>
        <v>4766</v>
      </c>
      <c r="E67" s="481">
        <v>1883</v>
      </c>
      <c r="F67" s="481">
        <v>1883</v>
      </c>
      <c r="G67" s="481">
        <v>1000</v>
      </c>
      <c r="H67" s="479">
        <v>0</v>
      </c>
      <c r="I67" s="476" t="s">
        <v>290</v>
      </c>
      <c r="J67" s="458" t="s">
        <v>632</v>
      </c>
      <c r="K67" s="480" t="s">
        <v>712</v>
      </c>
      <c r="L67" s="225">
        <v>19</v>
      </c>
      <c r="M67" s="466"/>
      <c r="N67" s="482"/>
    </row>
    <row r="68" spans="1:14" ht="99.75" customHeight="1" x14ac:dyDescent="0.25">
      <c r="A68" s="316">
        <v>5</v>
      </c>
      <c r="B68" s="96" t="s">
        <v>421</v>
      </c>
      <c r="C68" s="85" t="s">
        <v>289</v>
      </c>
      <c r="D68" s="83">
        <f t="shared" si="9"/>
        <v>21132</v>
      </c>
      <c r="E68" s="467">
        <v>7044</v>
      </c>
      <c r="F68" s="467">
        <v>7044</v>
      </c>
      <c r="G68" s="467">
        <v>7044</v>
      </c>
      <c r="H68" s="483">
        <v>0</v>
      </c>
      <c r="I68" s="266" t="s">
        <v>422</v>
      </c>
      <c r="J68" s="266" t="s">
        <v>423</v>
      </c>
      <c r="K68" s="108" t="s">
        <v>713</v>
      </c>
      <c r="L68" s="229">
        <v>16</v>
      </c>
    </row>
    <row r="69" spans="1:14" ht="15.75" thickBot="1" x14ac:dyDescent="0.3">
      <c r="A69" s="484"/>
      <c r="B69" s="485" t="s">
        <v>221</v>
      </c>
      <c r="C69" s="486"/>
      <c r="D69" s="487">
        <f>SUM(D63:D68)</f>
        <v>207658</v>
      </c>
      <c r="E69" s="487">
        <f>SUM(E63:E68)</f>
        <v>44927</v>
      </c>
      <c r="F69" s="487">
        <f t="shared" ref="F69:H69" si="10">SUM(F63:F68)</f>
        <v>24927</v>
      </c>
      <c r="G69" s="487">
        <f t="shared" si="10"/>
        <v>12044</v>
      </c>
      <c r="H69" s="487">
        <f t="shared" si="10"/>
        <v>125760</v>
      </c>
      <c r="I69" s="488"/>
      <c r="J69" s="489"/>
      <c r="K69" s="490"/>
      <c r="L69" s="228"/>
    </row>
    <row r="70" spans="1:14" ht="15.75" thickBot="1" x14ac:dyDescent="0.3">
      <c r="A70" s="315"/>
      <c r="B70" s="60" t="s">
        <v>229</v>
      </c>
      <c r="C70" s="80"/>
      <c r="D70" s="62">
        <f>D69+D62+D35</f>
        <v>26285871</v>
      </c>
      <c r="E70" s="62">
        <f>E69+E62+E35</f>
        <v>3674286</v>
      </c>
      <c r="F70" s="62">
        <f t="shared" ref="F70:H70" si="11">F69+F62+F35</f>
        <v>4191876</v>
      </c>
      <c r="G70" s="62">
        <f t="shared" si="11"/>
        <v>3528694</v>
      </c>
      <c r="H70" s="62">
        <f t="shared" si="11"/>
        <v>14891015</v>
      </c>
      <c r="I70" s="93"/>
      <c r="J70" s="93"/>
      <c r="K70" s="59"/>
      <c r="L70" s="225"/>
    </row>
    <row r="71" spans="1:14" ht="18" customHeight="1" x14ac:dyDescent="0.25">
      <c r="A71" s="443"/>
      <c r="B71" s="710" t="s">
        <v>424</v>
      </c>
      <c r="C71" s="710"/>
      <c r="D71" s="710"/>
      <c r="E71" s="710"/>
      <c r="F71" s="710"/>
      <c r="G71" s="710"/>
      <c r="H71" s="710"/>
      <c r="I71" s="710"/>
      <c r="J71" s="710"/>
      <c r="K71" s="711"/>
      <c r="L71" s="225"/>
    </row>
    <row r="72" spans="1:14" ht="89.25" customHeight="1" x14ac:dyDescent="0.25">
      <c r="A72" s="445">
        <v>5</v>
      </c>
      <c r="B72" s="446" t="s">
        <v>425</v>
      </c>
      <c r="C72" s="491">
        <v>504</v>
      </c>
      <c r="D72" s="83">
        <f>E72+F72+G72</f>
        <v>115371</v>
      </c>
      <c r="E72" s="86">
        <v>38457</v>
      </c>
      <c r="F72" s="86">
        <v>38457</v>
      </c>
      <c r="G72" s="86">
        <v>38457</v>
      </c>
      <c r="H72" s="86" t="s">
        <v>6</v>
      </c>
      <c r="I72" s="87" t="s">
        <v>223</v>
      </c>
      <c r="J72" s="87" t="s">
        <v>200</v>
      </c>
      <c r="K72" s="108" t="s">
        <v>714</v>
      </c>
      <c r="L72" s="225"/>
    </row>
    <row r="73" spans="1:14" ht="45" customHeight="1" x14ac:dyDescent="0.25">
      <c r="A73" s="492" t="s">
        <v>427</v>
      </c>
      <c r="B73" s="449" t="s">
        <v>715</v>
      </c>
      <c r="C73" s="85" t="s">
        <v>428</v>
      </c>
      <c r="D73" s="83">
        <f>E73+F73+G73+H73</f>
        <v>4236</v>
      </c>
      <c r="E73" s="457">
        <v>2118</v>
      </c>
      <c r="F73" s="457">
        <v>2118</v>
      </c>
      <c r="G73" s="457">
        <v>0</v>
      </c>
      <c r="H73" s="493">
        <v>0</v>
      </c>
      <c r="I73" s="460" t="s">
        <v>634</v>
      </c>
      <c r="J73" s="494" t="s">
        <v>716</v>
      </c>
      <c r="K73" s="108" t="s">
        <v>717</v>
      </c>
      <c r="L73" s="225"/>
      <c r="N73" s="495"/>
    </row>
    <row r="74" spans="1:14" ht="45" customHeight="1" x14ac:dyDescent="0.25">
      <c r="A74" s="492" t="s">
        <v>427</v>
      </c>
      <c r="B74" s="449" t="s">
        <v>718</v>
      </c>
      <c r="C74" s="85" t="s">
        <v>428</v>
      </c>
      <c r="D74" s="83">
        <f t="shared" ref="D74:D75" si="12">E74+F74+G74+H74</f>
        <v>19324</v>
      </c>
      <c r="E74" s="457">
        <v>9662</v>
      </c>
      <c r="F74" s="457">
        <v>9662</v>
      </c>
      <c r="G74" s="457">
        <v>0</v>
      </c>
      <c r="H74" s="493">
        <v>0</v>
      </c>
      <c r="I74" s="460" t="s">
        <v>634</v>
      </c>
      <c r="J74" s="494" t="s">
        <v>719</v>
      </c>
      <c r="K74" s="108" t="s">
        <v>919</v>
      </c>
      <c r="L74" s="225"/>
    </row>
    <row r="75" spans="1:14" ht="78.75" customHeight="1" thickBot="1" x14ac:dyDescent="0.3">
      <c r="A75" s="450">
        <v>5</v>
      </c>
      <c r="B75" s="446" t="s">
        <v>426</v>
      </c>
      <c r="C75" s="491">
        <v>505</v>
      </c>
      <c r="D75" s="83">
        <f t="shared" si="12"/>
        <v>5750</v>
      </c>
      <c r="E75" s="91">
        <v>2170</v>
      </c>
      <c r="F75" s="91">
        <v>2170</v>
      </c>
      <c r="G75" s="91">
        <f t="shared" ref="G75" si="13">1630-220</f>
        <v>1410</v>
      </c>
      <c r="H75" s="86">
        <v>0</v>
      </c>
      <c r="I75" s="87" t="s">
        <v>223</v>
      </c>
      <c r="J75" s="87" t="s">
        <v>720</v>
      </c>
      <c r="K75" s="108" t="s">
        <v>721</v>
      </c>
      <c r="L75" s="225"/>
    </row>
    <row r="76" spans="1:14" ht="27" customHeight="1" thickBot="1" x14ac:dyDescent="0.3">
      <c r="A76" s="315"/>
      <c r="B76" s="60" t="s">
        <v>429</v>
      </c>
      <c r="C76" s="80"/>
      <c r="D76" s="62">
        <f>SUM(DX76+E76+F76+G76+H76)</f>
        <v>144681</v>
      </c>
      <c r="E76" s="62">
        <f>SUM(E72:E75)</f>
        <v>52407</v>
      </c>
      <c r="F76" s="62">
        <f t="shared" ref="F76:H76" si="14">SUM(F72:F75)</f>
        <v>52407</v>
      </c>
      <c r="G76" s="62">
        <f t="shared" si="14"/>
        <v>39867</v>
      </c>
      <c r="H76" s="62">
        <f t="shared" si="14"/>
        <v>0</v>
      </c>
      <c r="I76" s="93"/>
      <c r="J76" s="93"/>
      <c r="K76" s="59"/>
      <c r="L76" s="225"/>
    </row>
    <row r="77" spans="1:14" ht="18" customHeight="1" x14ac:dyDescent="0.25">
      <c r="A77" s="443"/>
      <c r="B77" s="702" t="s">
        <v>117</v>
      </c>
      <c r="C77" s="706"/>
      <c r="D77" s="706"/>
      <c r="E77" s="702"/>
      <c r="F77" s="702"/>
      <c r="G77" s="702"/>
      <c r="H77" s="706"/>
      <c r="I77" s="706"/>
      <c r="J77" s="706"/>
      <c r="K77" s="707"/>
      <c r="L77" s="225"/>
    </row>
    <row r="78" spans="1:14" ht="63" x14ac:dyDescent="0.25">
      <c r="A78" s="450">
        <v>1.5</v>
      </c>
      <c r="B78" s="449" t="s">
        <v>347</v>
      </c>
      <c r="C78" s="496" t="s">
        <v>197</v>
      </c>
      <c r="D78" s="497">
        <f>E78+F78+G78+H78</f>
        <v>1365</v>
      </c>
      <c r="E78" s="86">
        <v>455</v>
      </c>
      <c r="F78" s="86">
        <v>455</v>
      </c>
      <c r="G78" s="86">
        <v>455</v>
      </c>
      <c r="H78" s="86">
        <v>0</v>
      </c>
      <c r="I78" s="87" t="s">
        <v>223</v>
      </c>
      <c r="J78" s="87" t="s">
        <v>200</v>
      </c>
      <c r="K78" s="89" t="s">
        <v>722</v>
      </c>
      <c r="L78" s="225"/>
      <c r="N78" s="438"/>
    </row>
    <row r="79" spans="1:14" ht="68.25" customHeight="1" thickBot="1" x14ac:dyDescent="0.3">
      <c r="A79" s="450">
        <v>1</v>
      </c>
      <c r="B79" s="498" t="s">
        <v>364</v>
      </c>
      <c r="C79" s="85" t="s">
        <v>430</v>
      </c>
      <c r="D79" s="497">
        <f>E79+F79+G79+H79</f>
        <v>53150</v>
      </c>
      <c r="E79" s="499">
        <v>25137</v>
      </c>
      <c r="F79" s="499">
        <v>28013</v>
      </c>
      <c r="G79" s="500">
        <v>0</v>
      </c>
      <c r="H79" s="91">
        <v>0</v>
      </c>
      <c r="I79" s="87" t="s">
        <v>263</v>
      </c>
      <c r="J79" s="88" t="s">
        <v>431</v>
      </c>
      <c r="K79" s="89" t="s">
        <v>723</v>
      </c>
      <c r="L79" s="225">
        <v>5</v>
      </c>
    </row>
    <row r="80" spans="1:14" ht="15.75" thickBot="1" x14ac:dyDescent="0.3">
      <c r="A80" s="315"/>
      <c r="B80" s="60" t="s">
        <v>118</v>
      </c>
      <c r="C80" s="80"/>
      <c r="D80" s="62">
        <f>E80+F80+G80+H80</f>
        <v>54515</v>
      </c>
      <c r="E80" s="62">
        <f>SUM(E78:E79)</f>
        <v>25592</v>
      </c>
      <c r="F80" s="62">
        <f t="shared" ref="F80:H80" si="15">SUM(F78:F79)</f>
        <v>28468</v>
      </c>
      <c r="G80" s="62">
        <f t="shared" si="15"/>
        <v>455</v>
      </c>
      <c r="H80" s="62">
        <f t="shared" si="15"/>
        <v>0</v>
      </c>
      <c r="I80" s="93"/>
      <c r="J80" s="93"/>
      <c r="K80" s="59"/>
      <c r="L80" s="225"/>
    </row>
    <row r="81" spans="1:14" ht="18" customHeight="1" x14ac:dyDescent="0.25">
      <c r="A81" s="443"/>
      <c r="B81" s="702" t="s">
        <v>93</v>
      </c>
      <c r="C81" s="702"/>
      <c r="D81" s="702"/>
      <c r="E81" s="702"/>
      <c r="F81" s="702"/>
      <c r="G81" s="702"/>
      <c r="H81" s="702"/>
      <c r="I81" s="702"/>
      <c r="J81" s="702"/>
      <c r="K81" s="703"/>
      <c r="L81" s="225"/>
    </row>
    <row r="82" spans="1:14" ht="67.5" customHeight="1" x14ac:dyDescent="0.25">
      <c r="A82" s="316">
        <v>17</v>
      </c>
      <c r="B82" s="113" t="s">
        <v>291</v>
      </c>
      <c r="C82" s="94">
        <v>1863</v>
      </c>
      <c r="D82" s="83">
        <f>E82+F82+G82+H82</f>
        <v>100000</v>
      </c>
      <c r="E82" s="95">
        <v>0</v>
      </c>
      <c r="F82" s="95">
        <v>50000</v>
      </c>
      <c r="G82" s="95">
        <v>50000</v>
      </c>
      <c r="H82" s="115">
        <v>0</v>
      </c>
      <c r="I82" s="87" t="s">
        <v>261</v>
      </c>
      <c r="J82" s="87" t="s">
        <v>432</v>
      </c>
      <c r="K82" s="108" t="s">
        <v>724</v>
      </c>
      <c r="L82" s="225">
        <v>17</v>
      </c>
      <c r="M82" s="501"/>
      <c r="N82" s="502"/>
    </row>
    <row r="83" spans="1:14" ht="34.5" customHeight="1" x14ac:dyDescent="0.25">
      <c r="A83" s="450">
        <v>17</v>
      </c>
      <c r="B83" s="451" t="s">
        <v>345</v>
      </c>
      <c r="C83" s="106">
        <v>1627</v>
      </c>
      <c r="D83" s="83">
        <f>E83+F83+G83</f>
        <v>17000</v>
      </c>
      <c r="E83" s="503">
        <v>1000</v>
      </c>
      <c r="F83" s="503">
        <v>8000</v>
      </c>
      <c r="G83" s="503">
        <v>8000</v>
      </c>
      <c r="H83" s="504" t="s">
        <v>6</v>
      </c>
      <c r="I83" s="505" t="s">
        <v>725</v>
      </c>
      <c r="J83" s="505" t="s">
        <v>726</v>
      </c>
      <c r="K83" s="108" t="s">
        <v>727</v>
      </c>
      <c r="L83" s="225"/>
    </row>
    <row r="84" spans="1:14" ht="63.75" thickBot="1" x14ac:dyDescent="0.3">
      <c r="A84" s="317">
        <v>5.3</v>
      </c>
      <c r="B84" s="318" t="s">
        <v>348</v>
      </c>
      <c r="C84" s="106">
        <v>515</v>
      </c>
      <c r="D84" s="83">
        <f t="shared" ref="D84" si="16">E84+F84+G84+H84</f>
        <v>2292</v>
      </c>
      <c r="E84" s="109">
        <v>764</v>
      </c>
      <c r="F84" s="109">
        <v>764</v>
      </c>
      <c r="G84" s="109">
        <v>764</v>
      </c>
      <c r="H84" s="109">
        <v>0</v>
      </c>
      <c r="I84" s="322" t="s">
        <v>223</v>
      </c>
      <c r="J84" s="322" t="s">
        <v>200</v>
      </c>
      <c r="K84" s="107" t="s">
        <v>728</v>
      </c>
      <c r="L84" s="225"/>
      <c r="M84" s="468"/>
      <c r="N84" s="456"/>
    </row>
    <row r="85" spans="1:14" ht="15.75" thickBot="1" x14ac:dyDescent="0.3">
      <c r="A85" s="315"/>
      <c r="B85" s="60" t="s">
        <v>94</v>
      </c>
      <c r="C85" s="84"/>
      <c r="D85" s="62">
        <f>E85+F85+G85+H85</f>
        <v>119292</v>
      </c>
      <c r="E85" s="62">
        <f>SUM(E82:E84)</f>
        <v>1764</v>
      </c>
      <c r="F85" s="62">
        <f t="shared" ref="F85:H85" si="17">SUM(F82:F84)</f>
        <v>58764</v>
      </c>
      <c r="G85" s="62">
        <f t="shared" si="17"/>
        <v>58764</v>
      </c>
      <c r="H85" s="62">
        <f t="shared" si="17"/>
        <v>0</v>
      </c>
      <c r="I85" s="62"/>
      <c r="J85" s="82"/>
      <c r="K85" s="61"/>
      <c r="L85" s="228"/>
    </row>
    <row r="86" spans="1:14" ht="18" customHeight="1" x14ac:dyDescent="0.25">
      <c r="A86" s="443"/>
      <c r="B86" s="704" t="s">
        <v>820</v>
      </c>
      <c r="C86" s="704"/>
      <c r="D86" s="704"/>
      <c r="E86" s="704"/>
      <c r="F86" s="704"/>
      <c r="G86" s="704"/>
      <c r="H86" s="704"/>
      <c r="I86" s="704"/>
      <c r="J86" s="704"/>
      <c r="K86" s="705"/>
      <c r="L86" s="225"/>
    </row>
    <row r="87" spans="1:14" ht="57" customHeight="1" thickBot="1" x14ac:dyDescent="0.3">
      <c r="A87" s="316">
        <v>1</v>
      </c>
      <c r="B87" s="96" t="s">
        <v>264</v>
      </c>
      <c r="C87" s="85" t="s">
        <v>265</v>
      </c>
      <c r="D87" s="83">
        <f>E87+F87+G87+H87</f>
        <v>134</v>
      </c>
      <c r="E87" s="86">
        <v>134</v>
      </c>
      <c r="F87" s="86">
        <v>0</v>
      </c>
      <c r="G87" s="86">
        <v>0</v>
      </c>
      <c r="H87" s="86">
        <v>0</v>
      </c>
      <c r="I87" s="87" t="s">
        <v>266</v>
      </c>
      <c r="J87" s="88" t="s">
        <v>433</v>
      </c>
      <c r="K87" s="89" t="s">
        <v>434</v>
      </c>
      <c r="L87" s="225">
        <v>1</v>
      </c>
    </row>
    <row r="88" spans="1:14" ht="27" customHeight="1" thickBot="1" x14ac:dyDescent="0.3">
      <c r="A88" s="315"/>
      <c r="B88" s="57" t="s">
        <v>267</v>
      </c>
      <c r="C88" s="84"/>
      <c r="D88" s="58">
        <f t="shared" ref="D88:H88" si="18">SUM(D87)</f>
        <v>134</v>
      </c>
      <c r="E88" s="58">
        <f t="shared" si="18"/>
        <v>134</v>
      </c>
      <c r="F88" s="58">
        <f t="shared" si="18"/>
        <v>0</v>
      </c>
      <c r="G88" s="58">
        <f t="shared" si="18"/>
        <v>0</v>
      </c>
      <c r="H88" s="58">
        <f t="shared" si="18"/>
        <v>0</v>
      </c>
      <c r="I88" s="58"/>
      <c r="J88" s="93"/>
      <c r="K88" s="59"/>
      <c r="L88" s="225"/>
    </row>
    <row r="89" spans="1:14" ht="18" customHeight="1" thickBot="1" x14ac:dyDescent="0.3">
      <c r="A89" s="506"/>
      <c r="B89" s="706" t="s">
        <v>97</v>
      </c>
      <c r="C89" s="706"/>
      <c r="D89" s="706"/>
      <c r="E89" s="706"/>
      <c r="F89" s="706"/>
      <c r="G89" s="706"/>
      <c r="H89" s="706"/>
      <c r="I89" s="706"/>
      <c r="J89" s="706"/>
      <c r="K89" s="707"/>
      <c r="L89" s="225"/>
    </row>
    <row r="90" spans="1:14" ht="55.5" customHeight="1" x14ac:dyDescent="0.25">
      <c r="A90" s="447">
        <v>11</v>
      </c>
      <c r="B90" s="448" t="s">
        <v>140</v>
      </c>
      <c r="C90" s="267">
        <v>1116</v>
      </c>
      <c r="D90" s="268">
        <f>E90+F90+G90</f>
        <v>18000</v>
      </c>
      <c r="E90" s="269">
        <v>6000</v>
      </c>
      <c r="F90" s="269">
        <v>6000</v>
      </c>
      <c r="G90" s="269">
        <v>6000</v>
      </c>
      <c r="H90" s="269" t="s">
        <v>6</v>
      </c>
      <c r="I90" s="112" t="s">
        <v>268</v>
      </c>
      <c r="J90" s="112" t="s">
        <v>726</v>
      </c>
      <c r="K90" s="105" t="s">
        <v>729</v>
      </c>
      <c r="L90" s="225">
        <v>11</v>
      </c>
    </row>
    <row r="91" spans="1:14" s="444" customFormat="1" ht="34.5" customHeight="1" x14ac:dyDescent="0.2">
      <c r="A91" s="445">
        <v>11</v>
      </c>
      <c r="B91" s="446" t="s">
        <v>435</v>
      </c>
      <c r="C91" s="110">
        <v>1886</v>
      </c>
      <c r="D91" s="268">
        <f>E91+F91+G91+H91</f>
        <v>6250</v>
      </c>
      <c r="E91" s="86">
        <v>6250</v>
      </c>
      <c r="F91" s="86">
        <v>0</v>
      </c>
      <c r="G91" s="86">
        <v>0</v>
      </c>
      <c r="H91" s="86">
        <v>0</v>
      </c>
      <c r="I91" s="87" t="s">
        <v>436</v>
      </c>
      <c r="J91" s="88" t="s">
        <v>437</v>
      </c>
      <c r="K91" s="89" t="s">
        <v>438</v>
      </c>
      <c r="L91" s="225"/>
      <c r="M91" s="438"/>
    </row>
    <row r="92" spans="1:14" s="444" customFormat="1" ht="34.5" customHeight="1" x14ac:dyDescent="0.2">
      <c r="A92" s="445">
        <v>11</v>
      </c>
      <c r="B92" s="446" t="s">
        <v>730</v>
      </c>
      <c r="C92" s="110">
        <v>1887</v>
      </c>
      <c r="D92" s="268">
        <f t="shared" ref="D92:D104" si="19">E92+F92+G92+H92</f>
        <v>64000</v>
      </c>
      <c r="E92" s="86">
        <v>16000</v>
      </c>
      <c r="F92" s="86">
        <v>16000</v>
      </c>
      <c r="G92" s="86">
        <v>16000</v>
      </c>
      <c r="H92" s="86">
        <v>16000</v>
      </c>
      <c r="I92" s="87" t="s">
        <v>731</v>
      </c>
      <c r="J92" s="88" t="s">
        <v>658</v>
      </c>
      <c r="K92" s="89" t="s">
        <v>732</v>
      </c>
      <c r="L92" s="225">
        <v>11</v>
      </c>
      <c r="M92" s="438"/>
      <c r="N92" s="507"/>
    </row>
    <row r="93" spans="1:14" s="444" customFormat="1" ht="55.5" customHeight="1" x14ac:dyDescent="0.2">
      <c r="A93" s="316">
        <v>11</v>
      </c>
      <c r="B93" s="518" t="s">
        <v>365</v>
      </c>
      <c r="C93" s="94">
        <v>1889</v>
      </c>
      <c r="D93" s="268">
        <f t="shared" si="19"/>
        <v>15500</v>
      </c>
      <c r="E93" s="83">
        <v>3100</v>
      </c>
      <c r="F93" s="83">
        <v>3100</v>
      </c>
      <c r="G93" s="83">
        <v>3100</v>
      </c>
      <c r="H93" s="86">
        <v>6200</v>
      </c>
      <c r="I93" s="87" t="s">
        <v>357</v>
      </c>
      <c r="J93" s="87" t="s">
        <v>439</v>
      </c>
      <c r="K93" s="89" t="s">
        <v>733</v>
      </c>
      <c r="L93" s="225"/>
      <c r="M93" s="438"/>
    </row>
    <row r="94" spans="1:14" s="444" customFormat="1" ht="55.5" customHeight="1" x14ac:dyDescent="0.2">
      <c r="A94" s="316">
        <v>11</v>
      </c>
      <c r="B94" s="518" t="s">
        <v>365</v>
      </c>
      <c r="C94" s="94">
        <v>1889</v>
      </c>
      <c r="D94" s="268">
        <f t="shared" si="19"/>
        <v>3000</v>
      </c>
      <c r="E94" s="86">
        <v>0</v>
      </c>
      <c r="F94" s="86">
        <v>3000</v>
      </c>
      <c r="G94" s="86">
        <v>0</v>
      </c>
      <c r="H94" s="86">
        <v>0</v>
      </c>
      <c r="I94" s="87" t="s">
        <v>210</v>
      </c>
      <c r="J94" s="87" t="s">
        <v>440</v>
      </c>
      <c r="K94" s="89" t="s">
        <v>734</v>
      </c>
      <c r="L94" s="225"/>
      <c r="M94" s="438"/>
    </row>
    <row r="95" spans="1:14" s="444" customFormat="1" ht="34.5" customHeight="1" x14ac:dyDescent="0.2">
      <c r="A95" s="316">
        <v>11</v>
      </c>
      <c r="B95" s="518" t="s">
        <v>735</v>
      </c>
      <c r="C95" s="94">
        <v>1730</v>
      </c>
      <c r="D95" s="268">
        <f t="shared" si="19"/>
        <v>5000</v>
      </c>
      <c r="E95" s="86">
        <v>5000</v>
      </c>
      <c r="F95" s="86">
        <v>0</v>
      </c>
      <c r="G95" s="86">
        <v>0</v>
      </c>
      <c r="H95" s="86">
        <v>0</v>
      </c>
      <c r="I95" s="87" t="s">
        <v>223</v>
      </c>
      <c r="J95" s="87" t="s">
        <v>200</v>
      </c>
      <c r="K95" s="89" t="s">
        <v>736</v>
      </c>
      <c r="L95" s="225">
        <v>11</v>
      </c>
      <c r="M95" s="438"/>
    </row>
    <row r="96" spans="1:14" s="444" customFormat="1" ht="34.5" customHeight="1" x14ac:dyDescent="0.2">
      <c r="A96" s="319">
        <v>11</v>
      </c>
      <c r="B96" s="518" t="s">
        <v>737</v>
      </c>
      <c r="C96" s="94">
        <v>1731</v>
      </c>
      <c r="D96" s="268">
        <f t="shared" si="19"/>
        <v>80</v>
      </c>
      <c r="E96" s="86">
        <v>80</v>
      </c>
      <c r="F96" s="86">
        <v>0</v>
      </c>
      <c r="G96" s="86">
        <v>0</v>
      </c>
      <c r="H96" s="86">
        <v>0</v>
      </c>
      <c r="I96" s="87" t="s">
        <v>199</v>
      </c>
      <c r="J96" s="87" t="s">
        <v>200</v>
      </c>
      <c r="K96" s="89" t="s">
        <v>738</v>
      </c>
      <c r="L96" s="225"/>
      <c r="M96" s="438"/>
    </row>
    <row r="97" spans="1:15" ht="45" customHeight="1" x14ac:dyDescent="0.25">
      <c r="A97" s="316">
        <v>11</v>
      </c>
      <c r="B97" s="518" t="s">
        <v>441</v>
      </c>
      <c r="C97" s="94">
        <v>1731</v>
      </c>
      <c r="D97" s="268">
        <f t="shared" si="19"/>
        <v>2809</v>
      </c>
      <c r="E97" s="86">
        <v>2809</v>
      </c>
      <c r="F97" s="86">
        <v>0</v>
      </c>
      <c r="G97" s="86">
        <v>0</v>
      </c>
      <c r="H97" s="86">
        <v>0</v>
      </c>
      <c r="I97" s="87" t="s">
        <v>199</v>
      </c>
      <c r="J97" s="87" t="s">
        <v>200</v>
      </c>
      <c r="K97" s="89" t="s">
        <v>739</v>
      </c>
      <c r="L97" s="225">
        <v>11</v>
      </c>
    </row>
    <row r="98" spans="1:15" ht="34.5" customHeight="1" x14ac:dyDescent="0.25">
      <c r="A98" s="316">
        <v>11</v>
      </c>
      <c r="B98" s="518" t="s">
        <v>740</v>
      </c>
      <c r="C98" s="94">
        <v>1731</v>
      </c>
      <c r="D98" s="268">
        <f t="shared" si="19"/>
        <v>3094</v>
      </c>
      <c r="E98" s="86">
        <v>0</v>
      </c>
      <c r="F98" s="86">
        <v>3094</v>
      </c>
      <c r="G98" s="86">
        <v>0</v>
      </c>
      <c r="H98" s="86">
        <v>0</v>
      </c>
      <c r="I98" s="87" t="s">
        <v>199</v>
      </c>
      <c r="J98" s="87" t="s">
        <v>200</v>
      </c>
      <c r="K98" s="89" t="s">
        <v>741</v>
      </c>
      <c r="L98" s="225">
        <v>11</v>
      </c>
    </row>
    <row r="99" spans="1:15" s="444" customFormat="1" ht="89.25" customHeight="1" x14ac:dyDescent="0.2">
      <c r="A99" s="316">
        <v>11</v>
      </c>
      <c r="B99" s="518" t="s">
        <v>442</v>
      </c>
      <c r="C99" s="94">
        <v>1733</v>
      </c>
      <c r="D99" s="268">
        <f t="shared" si="19"/>
        <v>2430</v>
      </c>
      <c r="E99" s="86">
        <v>2430</v>
      </c>
      <c r="F99" s="86">
        <v>0</v>
      </c>
      <c r="G99" s="86">
        <v>0</v>
      </c>
      <c r="H99" s="86">
        <v>0</v>
      </c>
      <c r="I99" s="87" t="s">
        <v>269</v>
      </c>
      <c r="J99" s="87" t="s">
        <v>200</v>
      </c>
      <c r="K99" s="89" t="s">
        <v>742</v>
      </c>
      <c r="L99" s="225">
        <v>11</v>
      </c>
      <c r="M99" s="438"/>
    </row>
    <row r="100" spans="1:15" s="444" customFormat="1" ht="34.5" customHeight="1" x14ac:dyDescent="0.2">
      <c r="A100" s="316">
        <v>11</v>
      </c>
      <c r="B100" s="111" t="s">
        <v>743</v>
      </c>
      <c r="C100" s="94">
        <v>1733</v>
      </c>
      <c r="D100" s="268">
        <f t="shared" si="19"/>
        <v>2250</v>
      </c>
      <c r="E100" s="86">
        <v>0</v>
      </c>
      <c r="F100" s="86">
        <v>0</v>
      </c>
      <c r="G100" s="86">
        <v>2250</v>
      </c>
      <c r="H100" s="86">
        <v>0</v>
      </c>
      <c r="I100" s="87" t="s">
        <v>223</v>
      </c>
      <c r="J100" s="87" t="s">
        <v>200</v>
      </c>
      <c r="K100" s="89" t="s">
        <v>744</v>
      </c>
      <c r="L100" s="225">
        <v>11</v>
      </c>
      <c r="M100" s="438"/>
    </row>
    <row r="101" spans="1:15" s="444" customFormat="1" ht="34.5" customHeight="1" x14ac:dyDescent="0.2">
      <c r="A101" s="316">
        <v>11</v>
      </c>
      <c r="B101" s="518" t="s">
        <v>745</v>
      </c>
      <c r="C101" s="94">
        <v>1735</v>
      </c>
      <c r="D101" s="268">
        <f t="shared" si="19"/>
        <v>2000</v>
      </c>
      <c r="E101" s="86">
        <v>2000</v>
      </c>
      <c r="F101" s="86">
        <v>0</v>
      </c>
      <c r="G101" s="86">
        <v>0</v>
      </c>
      <c r="H101" s="86">
        <v>0</v>
      </c>
      <c r="I101" s="87" t="s">
        <v>223</v>
      </c>
      <c r="J101" s="87" t="s">
        <v>200</v>
      </c>
      <c r="K101" s="89" t="s">
        <v>736</v>
      </c>
      <c r="L101" s="225">
        <v>11</v>
      </c>
      <c r="M101" s="438"/>
    </row>
    <row r="102" spans="1:15" ht="34.5" customHeight="1" x14ac:dyDescent="0.25">
      <c r="A102" s="316">
        <v>11</v>
      </c>
      <c r="B102" s="518" t="s">
        <v>746</v>
      </c>
      <c r="C102" s="94">
        <v>1739</v>
      </c>
      <c r="D102" s="268">
        <f t="shared" si="19"/>
        <v>600</v>
      </c>
      <c r="E102" s="86">
        <v>600</v>
      </c>
      <c r="F102" s="86">
        <v>0</v>
      </c>
      <c r="G102" s="86">
        <v>0</v>
      </c>
      <c r="H102" s="86">
        <v>0</v>
      </c>
      <c r="I102" s="87" t="s">
        <v>747</v>
      </c>
      <c r="J102" s="87" t="s">
        <v>748</v>
      </c>
      <c r="K102" s="89" t="s">
        <v>749</v>
      </c>
      <c r="L102" s="225">
        <v>11</v>
      </c>
    </row>
    <row r="103" spans="1:15" ht="34.5" customHeight="1" x14ac:dyDescent="0.25">
      <c r="A103" s="316">
        <v>11</v>
      </c>
      <c r="B103" s="518" t="s">
        <v>750</v>
      </c>
      <c r="C103" s="94">
        <v>1739</v>
      </c>
      <c r="D103" s="268">
        <f t="shared" si="19"/>
        <v>4800</v>
      </c>
      <c r="E103" s="83">
        <v>0</v>
      </c>
      <c r="F103" s="86">
        <v>4800</v>
      </c>
      <c r="G103" s="86">
        <v>0</v>
      </c>
      <c r="H103" s="86">
        <v>0</v>
      </c>
      <c r="I103" s="87" t="s">
        <v>199</v>
      </c>
      <c r="J103" s="87" t="s">
        <v>200</v>
      </c>
      <c r="K103" s="89" t="s">
        <v>741</v>
      </c>
      <c r="L103" s="225">
        <v>11</v>
      </c>
    </row>
    <row r="104" spans="1:15" ht="35.25" customHeight="1" thickBot="1" x14ac:dyDescent="0.3">
      <c r="A104" s="316">
        <v>11</v>
      </c>
      <c r="B104" s="518" t="s">
        <v>751</v>
      </c>
      <c r="C104" s="94">
        <v>1748</v>
      </c>
      <c r="D104" s="268">
        <f t="shared" si="19"/>
        <v>3800</v>
      </c>
      <c r="E104" s="83">
        <v>3800</v>
      </c>
      <c r="F104" s="86">
        <v>0</v>
      </c>
      <c r="G104" s="86">
        <v>0</v>
      </c>
      <c r="H104" s="86">
        <v>0</v>
      </c>
      <c r="I104" s="87" t="s">
        <v>223</v>
      </c>
      <c r="J104" s="87" t="s">
        <v>200</v>
      </c>
      <c r="K104" s="89" t="s">
        <v>752</v>
      </c>
      <c r="L104" s="225"/>
      <c r="M104" s="508"/>
    </row>
    <row r="105" spans="1:15" ht="27" customHeight="1" thickBot="1" x14ac:dyDescent="0.3">
      <c r="A105" s="315"/>
      <c r="B105" s="57" t="s">
        <v>98</v>
      </c>
      <c r="C105" s="80"/>
      <c r="D105" s="62">
        <f>E105+F105+G105+H105</f>
        <v>133613</v>
      </c>
      <c r="E105" s="62">
        <f>SUM(E90:E104)</f>
        <v>48069</v>
      </c>
      <c r="F105" s="62">
        <f>SUM(F90:F104)</f>
        <v>35994</v>
      </c>
      <c r="G105" s="62">
        <f>SUM(G90:G104)</f>
        <v>27350</v>
      </c>
      <c r="H105" s="62">
        <f>SUM(H90:H104)</f>
        <v>22200</v>
      </c>
      <c r="I105" s="93"/>
      <c r="J105" s="93"/>
      <c r="K105" s="59"/>
      <c r="L105" s="225"/>
    </row>
    <row r="106" spans="1:15" ht="18" customHeight="1" x14ac:dyDescent="0.25">
      <c r="A106" s="443"/>
      <c r="B106" s="706" t="s">
        <v>95</v>
      </c>
      <c r="C106" s="708"/>
      <c r="D106" s="708"/>
      <c r="E106" s="708"/>
      <c r="F106" s="708"/>
      <c r="G106" s="708"/>
      <c r="H106" s="708"/>
      <c r="I106" s="708"/>
      <c r="J106" s="708"/>
      <c r="K106" s="709"/>
      <c r="L106" s="225"/>
    </row>
    <row r="107" spans="1:15" s="444" customFormat="1" ht="84" x14ac:dyDescent="0.2">
      <c r="A107" s="316">
        <v>11</v>
      </c>
      <c r="B107" s="113" t="s">
        <v>141</v>
      </c>
      <c r="C107" s="114">
        <v>1128</v>
      </c>
      <c r="D107" s="83">
        <f>E107+F107+G107+H108</f>
        <v>510</v>
      </c>
      <c r="E107" s="95">
        <v>170</v>
      </c>
      <c r="F107" s="95">
        <v>170</v>
      </c>
      <c r="G107" s="95">
        <v>170</v>
      </c>
      <c r="H107" s="95" t="s">
        <v>6</v>
      </c>
      <c r="I107" s="87" t="s">
        <v>224</v>
      </c>
      <c r="J107" s="87" t="s">
        <v>632</v>
      </c>
      <c r="K107" s="89" t="s">
        <v>753</v>
      </c>
      <c r="L107" s="225">
        <v>11</v>
      </c>
      <c r="M107" s="438"/>
    </row>
    <row r="108" spans="1:15" s="444" customFormat="1" ht="78" customHeight="1" x14ac:dyDescent="0.2">
      <c r="A108" s="316">
        <v>16</v>
      </c>
      <c r="B108" s="113" t="s">
        <v>443</v>
      </c>
      <c r="C108" s="270">
        <v>1127</v>
      </c>
      <c r="D108" s="83">
        <f>E108+F108+G108</f>
        <v>5300</v>
      </c>
      <c r="E108" s="95">
        <v>5300</v>
      </c>
      <c r="F108" s="95">
        <v>0</v>
      </c>
      <c r="G108" s="95">
        <v>0</v>
      </c>
      <c r="H108" s="95">
        <v>0</v>
      </c>
      <c r="I108" s="87" t="s">
        <v>263</v>
      </c>
      <c r="J108" s="87" t="s">
        <v>754</v>
      </c>
      <c r="K108" s="89" t="s">
        <v>755</v>
      </c>
      <c r="L108" s="225"/>
      <c r="M108" s="441"/>
      <c r="N108" s="509"/>
      <c r="O108" s="320"/>
    </row>
    <row r="109" spans="1:15" s="444" customFormat="1" ht="67.5" customHeight="1" x14ac:dyDescent="0.2">
      <c r="A109" s="316">
        <v>11</v>
      </c>
      <c r="B109" s="321" t="s">
        <v>444</v>
      </c>
      <c r="C109" s="106">
        <v>1891</v>
      </c>
      <c r="D109" s="83">
        <f t="shared" ref="D109" si="20">E109+F109+G109+H110</f>
        <v>3750</v>
      </c>
      <c r="E109" s="95">
        <v>0</v>
      </c>
      <c r="F109" s="95">
        <v>3750</v>
      </c>
      <c r="G109" s="95">
        <v>0</v>
      </c>
      <c r="H109" s="95">
        <v>0</v>
      </c>
      <c r="I109" s="87" t="s">
        <v>756</v>
      </c>
      <c r="J109" s="112" t="s">
        <v>445</v>
      </c>
      <c r="K109" s="89" t="s">
        <v>757</v>
      </c>
      <c r="L109" s="225">
        <v>11</v>
      </c>
      <c r="M109" s="438"/>
    </row>
    <row r="110" spans="1:15" s="444" customFormat="1" ht="45" customHeight="1" x14ac:dyDescent="0.2">
      <c r="A110" s="316">
        <v>11</v>
      </c>
      <c r="B110" s="230" t="s">
        <v>446</v>
      </c>
      <c r="C110" s="106">
        <v>1891</v>
      </c>
      <c r="D110" s="83">
        <f t="shared" ref="D110" si="21">E110+F110+G110</f>
        <v>660</v>
      </c>
      <c r="E110" s="95">
        <v>660</v>
      </c>
      <c r="F110" s="95">
        <v>0</v>
      </c>
      <c r="G110" s="95">
        <v>0</v>
      </c>
      <c r="H110" s="95">
        <v>0</v>
      </c>
      <c r="I110" s="87" t="s">
        <v>447</v>
      </c>
      <c r="J110" s="112" t="s">
        <v>448</v>
      </c>
      <c r="K110" s="89" t="s">
        <v>758</v>
      </c>
      <c r="L110" s="225">
        <v>11</v>
      </c>
      <c r="M110" s="438"/>
    </row>
    <row r="111" spans="1:15" s="444" customFormat="1" ht="45" customHeight="1" x14ac:dyDescent="0.2">
      <c r="A111" s="316">
        <v>11</v>
      </c>
      <c r="B111" s="230" t="s">
        <v>449</v>
      </c>
      <c r="C111" s="106">
        <v>1891</v>
      </c>
      <c r="D111" s="83">
        <f t="shared" ref="D111" si="22">E111+F111+G111+H112</f>
        <v>345</v>
      </c>
      <c r="E111" s="95">
        <v>345</v>
      </c>
      <c r="F111" s="95">
        <v>0</v>
      </c>
      <c r="G111" s="95">
        <v>0</v>
      </c>
      <c r="H111" s="95">
        <v>0</v>
      </c>
      <c r="I111" s="87" t="s">
        <v>450</v>
      </c>
      <c r="J111" s="112" t="s">
        <v>451</v>
      </c>
      <c r="K111" s="89" t="s">
        <v>758</v>
      </c>
      <c r="L111" s="225">
        <v>11</v>
      </c>
      <c r="M111" s="438"/>
    </row>
    <row r="112" spans="1:15" s="444" customFormat="1" ht="45" customHeight="1" x14ac:dyDescent="0.2">
      <c r="A112" s="316">
        <v>11</v>
      </c>
      <c r="B112" s="230" t="s">
        <v>452</v>
      </c>
      <c r="C112" s="106">
        <v>1891</v>
      </c>
      <c r="D112" s="83">
        <f t="shared" ref="D112" si="23">E112+F112+G112</f>
        <v>805</v>
      </c>
      <c r="E112" s="95">
        <v>805</v>
      </c>
      <c r="F112" s="95">
        <v>0</v>
      </c>
      <c r="G112" s="95">
        <v>0</v>
      </c>
      <c r="H112" s="95">
        <v>0</v>
      </c>
      <c r="I112" s="87" t="s">
        <v>453</v>
      </c>
      <c r="J112" s="112" t="s">
        <v>454</v>
      </c>
      <c r="K112" s="89" t="s">
        <v>758</v>
      </c>
      <c r="L112" s="225">
        <v>11</v>
      </c>
      <c r="M112" s="438"/>
    </row>
    <row r="113" spans="1:14" s="444" customFormat="1" ht="45" customHeight="1" x14ac:dyDescent="0.2">
      <c r="A113" s="316">
        <v>11</v>
      </c>
      <c r="B113" s="230" t="s">
        <v>455</v>
      </c>
      <c r="C113" s="106">
        <v>1891</v>
      </c>
      <c r="D113" s="83">
        <f>E113+F113+G113+H113</f>
        <v>230</v>
      </c>
      <c r="E113" s="95">
        <v>230</v>
      </c>
      <c r="F113" s="95">
        <v>0</v>
      </c>
      <c r="G113" s="95">
        <v>0</v>
      </c>
      <c r="H113" s="95">
        <v>0</v>
      </c>
      <c r="I113" s="87" t="s">
        <v>456</v>
      </c>
      <c r="J113" s="112" t="s">
        <v>457</v>
      </c>
      <c r="K113" s="89" t="s">
        <v>758</v>
      </c>
      <c r="L113" s="225">
        <v>11</v>
      </c>
      <c r="M113" s="438"/>
    </row>
    <row r="114" spans="1:14" s="444" customFormat="1" ht="84" x14ac:dyDescent="0.2">
      <c r="A114" s="316">
        <v>11</v>
      </c>
      <c r="B114" s="230" t="s">
        <v>759</v>
      </c>
      <c r="C114" s="106">
        <v>1894</v>
      </c>
      <c r="D114" s="83">
        <f t="shared" ref="D114" si="24">E114+F114+G114</f>
        <v>1500</v>
      </c>
      <c r="E114" s="95">
        <v>500</v>
      </c>
      <c r="F114" s="95">
        <v>500</v>
      </c>
      <c r="G114" s="95">
        <v>500</v>
      </c>
      <c r="H114" s="95" t="s">
        <v>6</v>
      </c>
      <c r="I114" s="87" t="s">
        <v>760</v>
      </c>
      <c r="J114" s="112" t="s">
        <v>349</v>
      </c>
      <c r="K114" s="89" t="s">
        <v>458</v>
      </c>
      <c r="L114" s="225">
        <v>11</v>
      </c>
      <c r="M114" s="438"/>
    </row>
    <row r="115" spans="1:14" s="444" customFormat="1" ht="84" x14ac:dyDescent="0.2">
      <c r="A115" s="316">
        <v>11</v>
      </c>
      <c r="B115" s="230" t="s">
        <v>759</v>
      </c>
      <c r="C115" s="94">
        <v>1894</v>
      </c>
      <c r="D115" s="83">
        <f t="shared" ref="D115" si="25">E115+F115+G115+H116</f>
        <v>1500</v>
      </c>
      <c r="E115" s="95">
        <v>500</v>
      </c>
      <c r="F115" s="95">
        <v>500</v>
      </c>
      <c r="G115" s="95">
        <v>500</v>
      </c>
      <c r="H115" s="95" t="s">
        <v>6</v>
      </c>
      <c r="I115" s="87" t="s">
        <v>761</v>
      </c>
      <c r="J115" s="112" t="s">
        <v>459</v>
      </c>
      <c r="K115" s="89" t="s">
        <v>762</v>
      </c>
      <c r="L115" s="225">
        <v>11</v>
      </c>
      <c r="M115" s="438"/>
    </row>
    <row r="116" spans="1:14" s="444" customFormat="1" ht="44.25" customHeight="1" x14ac:dyDescent="0.2">
      <c r="A116" s="316">
        <v>11</v>
      </c>
      <c r="B116" s="111" t="s">
        <v>460</v>
      </c>
      <c r="C116" s="94">
        <v>1740</v>
      </c>
      <c r="D116" s="83">
        <f t="shared" ref="D116" si="26">E116+F116+G116</f>
        <v>1518</v>
      </c>
      <c r="E116" s="95">
        <v>1518</v>
      </c>
      <c r="F116" s="95">
        <v>0</v>
      </c>
      <c r="G116" s="95">
        <v>0</v>
      </c>
      <c r="H116" s="95">
        <v>0</v>
      </c>
      <c r="I116" s="87" t="s">
        <v>201</v>
      </c>
      <c r="J116" s="87" t="s">
        <v>200</v>
      </c>
      <c r="K116" s="89" t="s">
        <v>763</v>
      </c>
      <c r="L116" s="225">
        <v>11</v>
      </c>
      <c r="M116" s="438"/>
    </row>
    <row r="117" spans="1:14" s="444" customFormat="1" ht="34.5" customHeight="1" x14ac:dyDescent="0.2">
      <c r="A117" s="510">
        <v>11</v>
      </c>
      <c r="B117" s="511" t="s">
        <v>764</v>
      </c>
      <c r="C117" s="290">
        <v>1742</v>
      </c>
      <c r="D117" s="83">
        <f t="shared" ref="D117" si="27">E117+F117+G117+H118</f>
        <v>10000</v>
      </c>
      <c r="E117" s="512">
        <v>10000</v>
      </c>
      <c r="F117" s="95">
        <v>0</v>
      </c>
      <c r="G117" s="95">
        <v>0</v>
      </c>
      <c r="H117" s="95">
        <v>0</v>
      </c>
      <c r="I117" s="87" t="s">
        <v>223</v>
      </c>
      <c r="J117" s="513" t="s">
        <v>200</v>
      </c>
      <c r="K117" s="89" t="s">
        <v>736</v>
      </c>
      <c r="L117" s="225"/>
      <c r="M117" s="438"/>
    </row>
    <row r="118" spans="1:14" s="444" customFormat="1" ht="45" customHeight="1" x14ac:dyDescent="0.2">
      <c r="A118" s="514">
        <v>11</v>
      </c>
      <c r="B118" s="515" t="s">
        <v>765</v>
      </c>
      <c r="C118" s="271">
        <v>1744</v>
      </c>
      <c r="D118" s="83">
        <f t="shared" ref="D118" si="28">E118+F118+G118</f>
        <v>2496</v>
      </c>
      <c r="E118" s="516">
        <v>2496</v>
      </c>
      <c r="F118" s="95">
        <v>0</v>
      </c>
      <c r="G118" s="95">
        <v>0</v>
      </c>
      <c r="H118" s="95">
        <v>0</v>
      </c>
      <c r="I118" s="87" t="s">
        <v>223</v>
      </c>
      <c r="J118" s="517" t="s">
        <v>200</v>
      </c>
      <c r="K118" s="89" t="s">
        <v>766</v>
      </c>
      <c r="L118" s="225"/>
      <c r="M118" s="438"/>
    </row>
    <row r="119" spans="1:14" s="444" customFormat="1" ht="73.5" x14ac:dyDescent="0.2">
      <c r="A119" s="514">
        <v>11</v>
      </c>
      <c r="B119" s="515" t="s">
        <v>767</v>
      </c>
      <c r="C119" s="271">
        <v>1745</v>
      </c>
      <c r="D119" s="83">
        <f t="shared" ref="D119" si="29">E119+F119+G119+H120</f>
        <v>1306</v>
      </c>
      <c r="E119" s="516">
        <f>984+322</f>
        <v>1306</v>
      </c>
      <c r="F119" s="95">
        <v>0</v>
      </c>
      <c r="G119" s="95">
        <v>0</v>
      </c>
      <c r="H119" s="95">
        <v>0</v>
      </c>
      <c r="I119" s="87" t="s">
        <v>223</v>
      </c>
      <c r="J119" s="517" t="s">
        <v>200</v>
      </c>
      <c r="K119" s="89" t="s">
        <v>768</v>
      </c>
      <c r="L119" s="225"/>
      <c r="M119" s="438"/>
    </row>
    <row r="120" spans="1:14" s="444" customFormat="1" ht="35.25" customHeight="1" thickBot="1" x14ac:dyDescent="0.25">
      <c r="A120" s="514">
        <v>11</v>
      </c>
      <c r="B120" s="515" t="s">
        <v>769</v>
      </c>
      <c r="C120" s="271">
        <v>1729</v>
      </c>
      <c r="D120" s="83">
        <f t="shared" ref="D120" si="30">E120+F120+G120</f>
        <v>2000</v>
      </c>
      <c r="E120" s="272">
        <v>2000</v>
      </c>
      <c r="F120" s="276">
        <v>0</v>
      </c>
      <c r="G120" s="276">
        <v>0</v>
      </c>
      <c r="H120" s="320">
        <v>0</v>
      </c>
      <c r="I120" s="273" t="s">
        <v>223</v>
      </c>
      <c r="J120" s="273" t="s">
        <v>200</v>
      </c>
      <c r="K120" s="89" t="s">
        <v>770</v>
      </c>
      <c r="L120" s="225"/>
      <c r="M120" s="508"/>
    </row>
    <row r="121" spans="1:14" ht="21.75" thickBot="1" x14ac:dyDescent="0.3">
      <c r="A121" s="315"/>
      <c r="B121" s="57" t="s">
        <v>96</v>
      </c>
      <c r="C121" s="58"/>
      <c r="D121" s="58">
        <f>E121+F121+G121+H121</f>
        <v>31920</v>
      </c>
      <c r="E121" s="58">
        <f>SUM(E107:E120)</f>
        <v>25830</v>
      </c>
      <c r="F121" s="58">
        <f t="shared" ref="F121:H121" si="31">SUM(F107:F120)</f>
        <v>4920</v>
      </c>
      <c r="G121" s="58">
        <f t="shared" si="31"/>
        <v>1170</v>
      </c>
      <c r="H121" s="58">
        <f t="shared" si="31"/>
        <v>0</v>
      </c>
      <c r="I121" s="93"/>
      <c r="J121" s="93"/>
      <c r="K121" s="59"/>
      <c r="L121" s="225"/>
    </row>
    <row r="122" spans="1:14" ht="18" customHeight="1" x14ac:dyDescent="0.25">
      <c r="A122" s="443"/>
      <c r="B122" s="704" t="s">
        <v>99</v>
      </c>
      <c r="C122" s="704"/>
      <c r="D122" s="704"/>
      <c r="E122" s="704"/>
      <c r="F122" s="704"/>
      <c r="G122" s="704"/>
      <c r="H122" s="704"/>
      <c r="I122" s="704"/>
      <c r="J122" s="704"/>
      <c r="K122" s="705"/>
      <c r="L122" s="225"/>
    </row>
    <row r="123" spans="1:14" ht="63" x14ac:dyDescent="0.25">
      <c r="A123" s="316">
        <v>15</v>
      </c>
      <c r="B123" s="96" t="s">
        <v>292</v>
      </c>
      <c r="C123" s="94">
        <v>1502</v>
      </c>
      <c r="D123" s="274">
        <f>E123+F123+G123</f>
        <v>9</v>
      </c>
      <c r="E123" s="95">
        <v>3</v>
      </c>
      <c r="F123" s="95">
        <v>3</v>
      </c>
      <c r="G123" s="95">
        <v>3</v>
      </c>
      <c r="H123" s="95" t="s">
        <v>6</v>
      </c>
      <c r="I123" s="87" t="s">
        <v>771</v>
      </c>
      <c r="J123" s="87" t="s">
        <v>726</v>
      </c>
      <c r="K123" s="108" t="s">
        <v>772</v>
      </c>
      <c r="L123" s="225">
        <v>15</v>
      </c>
    </row>
    <row r="124" spans="1:14" ht="63" x14ac:dyDescent="0.25">
      <c r="A124" s="316">
        <v>3.5</v>
      </c>
      <c r="B124" s="96" t="s">
        <v>350</v>
      </c>
      <c r="C124" s="94">
        <v>517</v>
      </c>
      <c r="D124" s="274">
        <f t="shared" ref="D124" si="32">E124+F124+G124</f>
        <v>6111</v>
      </c>
      <c r="E124" s="95">
        <v>2037</v>
      </c>
      <c r="F124" s="95">
        <v>2037</v>
      </c>
      <c r="G124" s="95">
        <v>2037</v>
      </c>
      <c r="H124" s="95" t="s">
        <v>6</v>
      </c>
      <c r="I124" s="87" t="s">
        <v>223</v>
      </c>
      <c r="J124" s="87" t="s">
        <v>200</v>
      </c>
      <c r="K124" s="108" t="s">
        <v>728</v>
      </c>
      <c r="L124" s="225"/>
      <c r="N124" s="456"/>
    </row>
    <row r="125" spans="1:14" ht="45" customHeight="1" x14ac:dyDescent="0.25">
      <c r="A125" s="316">
        <v>15</v>
      </c>
      <c r="B125" s="518" t="s">
        <v>461</v>
      </c>
      <c r="C125" s="94" t="s">
        <v>6</v>
      </c>
      <c r="D125" s="274">
        <f>E125+F125+G125+H125</f>
        <v>3000</v>
      </c>
      <c r="E125" s="95">
        <v>3000</v>
      </c>
      <c r="F125" s="95">
        <v>0</v>
      </c>
      <c r="G125" s="95">
        <v>0</v>
      </c>
      <c r="H125" s="115">
        <v>0</v>
      </c>
      <c r="I125" s="97" t="s">
        <v>462</v>
      </c>
      <c r="J125" s="97" t="s">
        <v>463</v>
      </c>
      <c r="K125" s="108" t="s">
        <v>464</v>
      </c>
      <c r="L125" s="225"/>
    </row>
    <row r="126" spans="1:14" ht="35.25" customHeight="1" thickBot="1" x14ac:dyDescent="0.3">
      <c r="A126" s="317">
        <v>15</v>
      </c>
      <c r="B126" s="275" t="s">
        <v>773</v>
      </c>
      <c r="C126" s="263">
        <v>1930</v>
      </c>
      <c r="D126" s="274">
        <f>E126+F126+G126+H126</f>
        <v>100000</v>
      </c>
      <c r="E126" s="116">
        <v>100000</v>
      </c>
      <c r="F126" s="116">
        <v>0</v>
      </c>
      <c r="G126" s="116">
        <v>0</v>
      </c>
      <c r="H126" s="519">
        <v>0</v>
      </c>
      <c r="I126" s="277" t="s">
        <v>774</v>
      </c>
      <c r="J126" s="277" t="s">
        <v>338</v>
      </c>
      <c r="K126" s="253" t="s">
        <v>775</v>
      </c>
      <c r="L126" s="225"/>
    </row>
    <row r="127" spans="1:14" ht="15.75" thickBot="1" x14ac:dyDescent="0.3">
      <c r="A127" s="315"/>
      <c r="B127" s="57" t="s">
        <v>100</v>
      </c>
      <c r="C127" s="58"/>
      <c r="D127" s="58">
        <f>E127+F127+G127+H127</f>
        <v>109120</v>
      </c>
      <c r="E127" s="58">
        <f>SUM(E123:E126)</f>
        <v>105040</v>
      </c>
      <c r="F127" s="58">
        <f t="shared" ref="F127:H127" si="33">SUM(F123:F126)</f>
        <v>2040</v>
      </c>
      <c r="G127" s="58">
        <f t="shared" si="33"/>
        <v>2040</v>
      </c>
      <c r="H127" s="58">
        <f t="shared" si="33"/>
        <v>0</v>
      </c>
      <c r="I127" s="93"/>
      <c r="J127" s="93"/>
      <c r="K127" s="59"/>
      <c r="L127" s="225"/>
    </row>
    <row r="128" spans="1:14" ht="18" customHeight="1" x14ac:dyDescent="0.25">
      <c r="A128" s="443"/>
      <c r="B128" s="696" t="s">
        <v>101</v>
      </c>
      <c r="C128" s="697"/>
      <c r="D128" s="697"/>
      <c r="E128" s="697"/>
      <c r="F128" s="697"/>
      <c r="G128" s="697"/>
      <c r="H128" s="697"/>
      <c r="I128" s="697"/>
      <c r="J128" s="697"/>
      <c r="K128" s="698"/>
      <c r="L128" s="225"/>
    </row>
    <row r="129" spans="1:14" ht="45" customHeight="1" x14ac:dyDescent="0.25">
      <c r="A129" s="445">
        <v>13</v>
      </c>
      <c r="B129" s="449" t="s">
        <v>465</v>
      </c>
      <c r="C129" s="94">
        <v>1308</v>
      </c>
      <c r="D129" s="83">
        <f>SUM(E129:H129)</f>
        <v>2610</v>
      </c>
      <c r="E129" s="474">
        <v>1740</v>
      </c>
      <c r="F129" s="474">
        <v>870</v>
      </c>
      <c r="G129" s="474">
        <v>0</v>
      </c>
      <c r="H129" s="520">
        <v>0</v>
      </c>
      <c r="I129" s="94" t="s">
        <v>776</v>
      </c>
      <c r="J129" s="94" t="s">
        <v>777</v>
      </c>
      <c r="K129" s="89" t="s">
        <v>778</v>
      </c>
      <c r="L129" s="225"/>
      <c r="M129" s="521"/>
    </row>
    <row r="130" spans="1:14" ht="78" customHeight="1" x14ac:dyDescent="0.25">
      <c r="A130" s="445">
        <v>13</v>
      </c>
      <c r="B130" s="449" t="s">
        <v>351</v>
      </c>
      <c r="C130" s="94">
        <v>1310</v>
      </c>
      <c r="D130" s="83">
        <f>SUM(E130:H130)</f>
        <v>180</v>
      </c>
      <c r="E130" s="474">
        <v>60</v>
      </c>
      <c r="F130" s="474">
        <v>60</v>
      </c>
      <c r="G130" s="474">
        <v>60</v>
      </c>
      <c r="H130" s="520" t="s">
        <v>6</v>
      </c>
      <c r="I130" s="94" t="s">
        <v>779</v>
      </c>
      <c r="J130" s="94" t="s">
        <v>466</v>
      </c>
      <c r="K130" s="89" t="s">
        <v>780</v>
      </c>
      <c r="L130" s="90">
        <v>13</v>
      </c>
    </row>
    <row r="131" spans="1:14" ht="126" x14ac:dyDescent="0.25">
      <c r="A131" s="445">
        <v>13</v>
      </c>
      <c r="B131" s="537" t="s">
        <v>366</v>
      </c>
      <c r="C131" s="94">
        <v>1907</v>
      </c>
      <c r="D131" s="83">
        <f t="shared" ref="D131:D138" si="34">SUM(E131:H131)</f>
        <v>11000</v>
      </c>
      <c r="E131" s="520">
        <v>5500</v>
      </c>
      <c r="F131" s="520">
        <v>5500</v>
      </c>
      <c r="G131" s="520">
        <v>0</v>
      </c>
      <c r="H131" s="520">
        <v>0</v>
      </c>
      <c r="I131" s="94" t="s">
        <v>467</v>
      </c>
      <c r="J131" s="94" t="s">
        <v>781</v>
      </c>
      <c r="K131" s="89" t="s">
        <v>782</v>
      </c>
      <c r="L131" s="90"/>
    </row>
    <row r="132" spans="1:14" ht="75.75" customHeight="1" x14ac:dyDescent="0.25">
      <c r="A132" s="445">
        <v>13</v>
      </c>
      <c r="B132" s="449" t="s">
        <v>352</v>
      </c>
      <c r="C132" s="94">
        <v>1314</v>
      </c>
      <c r="D132" s="83">
        <f t="shared" si="34"/>
        <v>12000</v>
      </c>
      <c r="E132" s="474">
        <v>4000</v>
      </c>
      <c r="F132" s="520">
        <v>4000</v>
      </c>
      <c r="G132" s="474">
        <v>4000</v>
      </c>
      <c r="H132" s="520" t="s">
        <v>6</v>
      </c>
      <c r="I132" s="94" t="s">
        <v>783</v>
      </c>
      <c r="J132" s="94" t="s">
        <v>632</v>
      </c>
      <c r="K132" s="89" t="s">
        <v>784</v>
      </c>
      <c r="L132" s="90"/>
    </row>
    <row r="133" spans="1:14" ht="55.5" customHeight="1" x14ac:dyDescent="0.25">
      <c r="A133" s="445">
        <v>13</v>
      </c>
      <c r="B133" s="446" t="s">
        <v>198</v>
      </c>
      <c r="C133" s="110">
        <v>1131</v>
      </c>
      <c r="D133" s="83">
        <f t="shared" si="34"/>
        <v>13200</v>
      </c>
      <c r="E133" s="86">
        <v>4400</v>
      </c>
      <c r="F133" s="86">
        <v>4400</v>
      </c>
      <c r="G133" s="86">
        <v>4400</v>
      </c>
      <c r="H133" s="86" t="s">
        <v>6</v>
      </c>
      <c r="I133" s="87" t="s">
        <v>222</v>
      </c>
      <c r="J133" s="94" t="s">
        <v>632</v>
      </c>
      <c r="K133" s="89" t="s">
        <v>785</v>
      </c>
      <c r="L133" s="225">
        <v>11</v>
      </c>
      <c r="M133" s="522"/>
    </row>
    <row r="134" spans="1:14" ht="78" customHeight="1" x14ac:dyDescent="0.25">
      <c r="A134" s="445">
        <v>13</v>
      </c>
      <c r="B134" s="449" t="s">
        <v>786</v>
      </c>
      <c r="C134" s="94">
        <v>1909</v>
      </c>
      <c r="D134" s="83">
        <f t="shared" si="34"/>
        <v>50000</v>
      </c>
      <c r="E134" s="474">
        <v>50000</v>
      </c>
      <c r="F134" s="474">
        <v>0</v>
      </c>
      <c r="G134" s="474">
        <v>0</v>
      </c>
      <c r="H134" s="520">
        <v>0</v>
      </c>
      <c r="I134" s="523" t="s">
        <v>787</v>
      </c>
      <c r="J134" s="94" t="s">
        <v>658</v>
      </c>
      <c r="K134" s="465" t="s">
        <v>788</v>
      </c>
      <c r="L134" s="90"/>
    </row>
    <row r="135" spans="1:14" ht="78" customHeight="1" x14ac:dyDescent="0.25">
      <c r="A135" s="445">
        <v>13</v>
      </c>
      <c r="B135" s="449" t="s">
        <v>789</v>
      </c>
      <c r="C135" s="94">
        <v>1932</v>
      </c>
      <c r="D135" s="83">
        <f t="shared" si="34"/>
        <v>200000</v>
      </c>
      <c r="E135" s="474">
        <v>0</v>
      </c>
      <c r="F135" s="474">
        <v>100000</v>
      </c>
      <c r="G135" s="474">
        <v>0</v>
      </c>
      <c r="H135" s="520">
        <v>100000</v>
      </c>
      <c r="I135" s="523" t="s">
        <v>787</v>
      </c>
      <c r="J135" s="94" t="s">
        <v>658</v>
      </c>
      <c r="K135" s="465" t="s">
        <v>790</v>
      </c>
      <c r="L135" s="90"/>
    </row>
    <row r="136" spans="1:14" ht="144" customHeight="1" x14ac:dyDescent="0.25">
      <c r="A136" s="445">
        <v>11</v>
      </c>
      <c r="B136" s="451" t="s">
        <v>468</v>
      </c>
      <c r="C136" s="106">
        <v>1928</v>
      </c>
      <c r="D136" s="83">
        <f t="shared" si="34"/>
        <v>40000</v>
      </c>
      <c r="E136" s="474">
        <v>40000</v>
      </c>
      <c r="F136" s="520">
        <v>0</v>
      </c>
      <c r="G136" s="474">
        <v>0</v>
      </c>
      <c r="H136" s="520">
        <v>0</v>
      </c>
      <c r="I136" s="523" t="s">
        <v>357</v>
      </c>
      <c r="J136" s="94" t="s">
        <v>791</v>
      </c>
      <c r="K136" s="452" t="s">
        <v>792</v>
      </c>
      <c r="L136" s="90"/>
    </row>
    <row r="137" spans="1:14" ht="67.5" customHeight="1" x14ac:dyDescent="0.25">
      <c r="A137" s="447">
        <v>13</v>
      </c>
      <c r="B137" s="449" t="s">
        <v>353</v>
      </c>
      <c r="C137" s="94">
        <v>514</v>
      </c>
      <c r="D137" s="83">
        <f t="shared" si="34"/>
        <v>20700</v>
      </c>
      <c r="E137" s="474">
        <v>10350</v>
      </c>
      <c r="F137" s="520">
        <v>10350</v>
      </c>
      <c r="G137" s="474">
        <v>0</v>
      </c>
      <c r="H137" s="520">
        <v>0</v>
      </c>
      <c r="I137" s="94" t="s">
        <v>634</v>
      </c>
      <c r="J137" s="94" t="s">
        <v>658</v>
      </c>
      <c r="K137" s="452" t="s">
        <v>793</v>
      </c>
      <c r="L137" s="90"/>
      <c r="M137" s="524"/>
    </row>
    <row r="138" spans="1:14" ht="78.75" customHeight="1" thickBot="1" x14ac:dyDescent="0.3">
      <c r="A138" s="525">
        <v>5.3</v>
      </c>
      <c r="B138" s="449" t="s">
        <v>353</v>
      </c>
      <c r="C138" s="94">
        <v>514</v>
      </c>
      <c r="D138" s="83">
        <f t="shared" si="34"/>
        <v>45900</v>
      </c>
      <c r="E138" s="95">
        <v>15300</v>
      </c>
      <c r="F138" s="95">
        <v>15300</v>
      </c>
      <c r="G138" s="95">
        <v>15300</v>
      </c>
      <c r="H138" s="520" t="s">
        <v>6</v>
      </c>
      <c r="I138" s="87" t="s">
        <v>223</v>
      </c>
      <c r="J138" s="87" t="s">
        <v>200</v>
      </c>
      <c r="K138" s="108" t="s">
        <v>794</v>
      </c>
      <c r="L138" s="90"/>
      <c r="N138" s="438"/>
    </row>
    <row r="139" spans="1:14" ht="15.75" thickBot="1" x14ac:dyDescent="0.3">
      <c r="A139" s="315"/>
      <c r="B139" s="60" t="s">
        <v>102</v>
      </c>
      <c r="C139" s="58"/>
      <c r="D139" s="58">
        <f>SUM(E139:H139)</f>
        <v>395590</v>
      </c>
      <c r="E139" s="58">
        <f>SUM(E129:E138)</f>
        <v>131350</v>
      </c>
      <c r="F139" s="58">
        <f>SUM(F129:F138)</f>
        <v>140480</v>
      </c>
      <c r="G139" s="58">
        <f>SUM(G129:G138)</f>
        <v>23760</v>
      </c>
      <c r="H139" s="58">
        <f>SUM(H129:H138)</f>
        <v>100000</v>
      </c>
      <c r="I139" s="58"/>
      <c r="J139" s="93"/>
      <c r="K139" s="59"/>
      <c r="L139" s="225"/>
    </row>
    <row r="140" spans="1:14" ht="18" customHeight="1" x14ac:dyDescent="0.25">
      <c r="A140" s="443"/>
      <c r="B140" s="696" t="s">
        <v>205</v>
      </c>
      <c r="C140" s="697"/>
      <c r="D140" s="697"/>
      <c r="E140" s="697"/>
      <c r="F140" s="697"/>
      <c r="G140" s="697"/>
      <c r="H140" s="697"/>
      <c r="I140" s="697"/>
      <c r="J140" s="697"/>
      <c r="K140" s="698"/>
      <c r="L140" s="225"/>
    </row>
    <row r="141" spans="1:14" ht="70.5" customHeight="1" thickBot="1" x14ac:dyDescent="0.3">
      <c r="A141" s="454">
        <v>5</v>
      </c>
      <c r="B141" s="455" t="s">
        <v>288</v>
      </c>
      <c r="C141" s="121" t="s">
        <v>293</v>
      </c>
      <c r="D141" s="257">
        <f>SUM(E141:G141)</f>
        <v>12510</v>
      </c>
      <c r="E141" s="122">
        <v>4170</v>
      </c>
      <c r="F141" s="122">
        <v>4170</v>
      </c>
      <c r="G141" s="122">
        <v>4170</v>
      </c>
      <c r="H141" s="122" t="s">
        <v>6</v>
      </c>
      <c r="I141" s="256" t="s">
        <v>294</v>
      </c>
      <c r="J141" s="120" t="s">
        <v>295</v>
      </c>
      <c r="K141" s="253" t="s">
        <v>795</v>
      </c>
      <c r="L141" s="225">
        <v>5</v>
      </c>
      <c r="N141" s="456"/>
    </row>
    <row r="142" spans="1:14" ht="27" customHeight="1" thickBot="1" x14ac:dyDescent="0.3">
      <c r="A142" s="315"/>
      <c r="B142" s="57" t="s">
        <v>226</v>
      </c>
      <c r="C142" s="84"/>
      <c r="D142" s="58">
        <f>SUM(D141)</f>
        <v>12510</v>
      </c>
      <c r="E142" s="58">
        <f t="shared" ref="E142:H142" si="35">SUM(E141)</f>
        <v>4170</v>
      </c>
      <c r="F142" s="58">
        <f t="shared" si="35"/>
        <v>4170</v>
      </c>
      <c r="G142" s="58">
        <f t="shared" si="35"/>
        <v>4170</v>
      </c>
      <c r="H142" s="58">
        <f t="shared" si="35"/>
        <v>0</v>
      </c>
      <c r="I142" s="58"/>
      <c r="J142" s="93"/>
      <c r="K142" s="59"/>
      <c r="L142" s="225"/>
    </row>
    <row r="143" spans="1:14" ht="18" customHeight="1" x14ac:dyDescent="0.25">
      <c r="A143" s="443"/>
      <c r="B143" s="696" t="s">
        <v>103</v>
      </c>
      <c r="C143" s="697"/>
      <c r="D143" s="697"/>
      <c r="E143" s="697"/>
      <c r="F143" s="697"/>
      <c r="G143" s="697"/>
      <c r="H143" s="697"/>
      <c r="I143" s="697"/>
      <c r="J143" s="697"/>
      <c r="K143" s="698"/>
      <c r="L143" s="225">
        <v>9</v>
      </c>
    </row>
    <row r="144" spans="1:14" ht="55.5" customHeight="1" x14ac:dyDescent="0.25">
      <c r="A144" s="316">
        <v>9</v>
      </c>
      <c r="B144" s="96" t="s">
        <v>354</v>
      </c>
      <c r="C144" s="94" t="s">
        <v>207</v>
      </c>
      <c r="D144" s="83">
        <f>E144+F144+G144+H144</f>
        <v>97000</v>
      </c>
      <c r="E144" s="115">
        <v>0</v>
      </c>
      <c r="F144" s="115">
        <v>0</v>
      </c>
      <c r="G144" s="115">
        <v>0</v>
      </c>
      <c r="H144" s="115">
        <v>97000</v>
      </c>
      <c r="I144" s="97" t="s">
        <v>296</v>
      </c>
      <c r="J144" s="97" t="s">
        <v>202</v>
      </c>
      <c r="K144" s="108" t="s">
        <v>469</v>
      </c>
      <c r="L144" s="225"/>
    </row>
    <row r="145" spans="1:14" ht="35.25" customHeight="1" x14ac:dyDescent="0.25">
      <c r="A145" s="450">
        <v>9</v>
      </c>
      <c r="B145" s="451" t="s">
        <v>203</v>
      </c>
      <c r="C145" s="106">
        <v>904</v>
      </c>
      <c r="D145" s="83">
        <f>E145+F145+G145</f>
        <v>600</v>
      </c>
      <c r="E145" s="115">
        <v>200</v>
      </c>
      <c r="F145" s="115">
        <v>200</v>
      </c>
      <c r="G145" s="115">
        <v>200</v>
      </c>
      <c r="H145" s="115" t="s">
        <v>6</v>
      </c>
      <c r="I145" s="97" t="s">
        <v>270</v>
      </c>
      <c r="J145" s="101" t="s">
        <v>204</v>
      </c>
      <c r="K145" s="107" t="s">
        <v>297</v>
      </c>
      <c r="L145" s="225">
        <v>5</v>
      </c>
    </row>
    <row r="146" spans="1:14" s="444" customFormat="1" ht="55.5" customHeight="1" x14ac:dyDescent="0.2">
      <c r="A146" s="445">
        <v>9</v>
      </c>
      <c r="B146" s="449" t="s">
        <v>225</v>
      </c>
      <c r="C146" s="85" t="s">
        <v>470</v>
      </c>
      <c r="D146" s="83">
        <f t="shared" ref="D146:D150" si="36">E146+F146+G146+H146</f>
        <v>30000</v>
      </c>
      <c r="E146" s="115">
        <v>10000</v>
      </c>
      <c r="F146" s="115">
        <v>10000</v>
      </c>
      <c r="G146" s="115">
        <v>10000</v>
      </c>
      <c r="H146" s="115">
        <v>0</v>
      </c>
      <c r="I146" s="87" t="s">
        <v>634</v>
      </c>
      <c r="J146" s="87" t="s">
        <v>658</v>
      </c>
      <c r="K146" s="108" t="s">
        <v>796</v>
      </c>
      <c r="L146" s="225">
        <v>9</v>
      </c>
      <c r="M146" s="438"/>
    </row>
    <row r="147" spans="1:14" ht="89.25" customHeight="1" x14ac:dyDescent="0.25">
      <c r="A147" s="445">
        <v>9</v>
      </c>
      <c r="B147" s="449" t="s">
        <v>298</v>
      </c>
      <c r="C147" s="85" t="s">
        <v>299</v>
      </c>
      <c r="D147" s="83">
        <f t="shared" si="36"/>
        <v>24000</v>
      </c>
      <c r="E147" s="115">
        <v>12000</v>
      </c>
      <c r="F147" s="115">
        <v>12000</v>
      </c>
      <c r="G147" s="115">
        <v>0</v>
      </c>
      <c r="H147" s="115">
        <v>0</v>
      </c>
      <c r="I147" s="87" t="s">
        <v>300</v>
      </c>
      <c r="J147" s="101" t="s">
        <v>301</v>
      </c>
      <c r="K147" s="108" t="s">
        <v>797</v>
      </c>
      <c r="L147" s="225">
        <v>9</v>
      </c>
    </row>
    <row r="148" spans="1:14" ht="67.5" customHeight="1" x14ac:dyDescent="0.25">
      <c r="A148" s="445">
        <v>9</v>
      </c>
      <c r="B148" s="449" t="s">
        <v>355</v>
      </c>
      <c r="C148" s="85" t="s">
        <v>471</v>
      </c>
      <c r="D148" s="83">
        <f t="shared" si="36"/>
        <v>33000</v>
      </c>
      <c r="E148" s="115">
        <v>11000</v>
      </c>
      <c r="F148" s="115">
        <v>11000</v>
      </c>
      <c r="G148" s="115">
        <v>11000</v>
      </c>
      <c r="H148" s="115">
        <v>0</v>
      </c>
      <c r="I148" s="87" t="s">
        <v>798</v>
      </c>
      <c r="J148" s="87" t="s">
        <v>658</v>
      </c>
      <c r="K148" s="108" t="s">
        <v>799</v>
      </c>
      <c r="L148" s="225"/>
    </row>
    <row r="149" spans="1:14" ht="67.900000000000006" customHeight="1" x14ac:dyDescent="0.25">
      <c r="A149" s="445">
        <v>9</v>
      </c>
      <c r="B149" s="449" t="s">
        <v>302</v>
      </c>
      <c r="C149" s="85" t="s">
        <v>303</v>
      </c>
      <c r="D149" s="83">
        <f t="shared" si="36"/>
        <v>6400</v>
      </c>
      <c r="E149" s="115">
        <v>3200</v>
      </c>
      <c r="F149" s="115">
        <v>3200</v>
      </c>
      <c r="G149" s="115">
        <v>0</v>
      </c>
      <c r="H149" s="115">
        <v>0</v>
      </c>
      <c r="I149" s="87" t="s">
        <v>210</v>
      </c>
      <c r="J149" s="87" t="s">
        <v>304</v>
      </c>
      <c r="K149" s="108" t="s">
        <v>800</v>
      </c>
      <c r="L149" s="225">
        <v>9</v>
      </c>
    </row>
    <row r="150" spans="1:14" ht="99" customHeight="1" x14ac:dyDescent="0.25">
      <c r="A150" s="445">
        <v>9</v>
      </c>
      <c r="B150" s="449" t="s">
        <v>356</v>
      </c>
      <c r="C150" s="85" t="s">
        <v>473</v>
      </c>
      <c r="D150" s="83">
        <f t="shared" si="36"/>
        <v>875</v>
      </c>
      <c r="E150" s="109">
        <v>350</v>
      </c>
      <c r="F150" s="109">
        <v>350</v>
      </c>
      <c r="G150" s="115">
        <v>175</v>
      </c>
      <c r="H150" s="109">
        <v>0</v>
      </c>
      <c r="I150" s="87" t="s">
        <v>357</v>
      </c>
      <c r="J150" s="94" t="s">
        <v>472</v>
      </c>
      <c r="K150" s="108" t="s">
        <v>801</v>
      </c>
      <c r="L150" s="225"/>
    </row>
    <row r="151" spans="1:14" ht="74.25" thickBot="1" x14ac:dyDescent="0.3">
      <c r="A151" s="526">
        <v>5.9</v>
      </c>
      <c r="B151" s="451" t="s">
        <v>170</v>
      </c>
      <c r="C151" s="299" t="s">
        <v>474</v>
      </c>
      <c r="D151" s="83">
        <f>E151+F151+G151</f>
        <v>27945</v>
      </c>
      <c r="E151" s="527">
        <v>9265</v>
      </c>
      <c r="F151" s="527">
        <v>9315</v>
      </c>
      <c r="G151" s="527">
        <v>9365</v>
      </c>
      <c r="H151" s="527" t="s">
        <v>6</v>
      </c>
      <c r="I151" s="322" t="s">
        <v>223</v>
      </c>
      <c r="J151" s="322" t="s">
        <v>200</v>
      </c>
      <c r="K151" s="107" t="s">
        <v>802</v>
      </c>
      <c r="L151" s="225"/>
      <c r="N151" s="438"/>
    </row>
    <row r="152" spans="1:14" ht="15.75" thickBot="1" x14ac:dyDescent="0.3">
      <c r="A152" s="315"/>
      <c r="B152" s="57" t="s">
        <v>104</v>
      </c>
      <c r="C152" s="84"/>
      <c r="D152" s="58">
        <f>SUM(D144:D151)</f>
        <v>219820</v>
      </c>
      <c r="E152" s="58">
        <f>SUM(E144:E151)</f>
        <v>46015</v>
      </c>
      <c r="F152" s="58">
        <f>SUM(F144:F151)</f>
        <v>46065</v>
      </c>
      <c r="G152" s="58">
        <f>SUM(G144:G151)</f>
        <v>30740</v>
      </c>
      <c r="H152" s="58">
        <f>SUM(H144:H151)</f>
        <v>97000</v>
      </c>
      <c r="I152" s="58"/>
      <c r="J152" s="93"/>
      <c r="K152" s="59"/>
      <c r="L152" s="229"/>
    </row>
    <row r="153" spans="1:14" ht="18" customHeight="1" x14ac:dyDescent="0.25">
      <c r="A153" s="443"/>
      <c r="B153" s="696" t="s">
        <v>121</v>
      </c>
      <c r="C153" s="697"/>
      <c r="D153" s="697"/>
      <c r="E153" s="697"/>
      <c r="F153" s="697"/>
      <c r="G153" s="697"/>
      <c r="H153" s="697"/>
      <c r="I153" s="697"/>
      <c r="J153" s="697"/>
      <c r="K153" s="698"/>
      <c r="L153" s="229">
        <v>12</v>
      </c>
    </row>
    <row r="154" spans="1:14" ht="55.5" customHeight="1" x14ac:dyDescent="0.25">
      <c r="A154" s="316">
        <v>12</v>
      </c>
      <c r="B154" s="96" t="s">
        <v>358</v>
      </c>
      <c r="C154" s="94">
        <v>1202</v>
      </c>
      <c r="D154" s="83">
        <f>SUM(E154:H154)</f>
        <v>50</v>
      </c>
      <c r="E154" s="95">
        <v>50</v>
      </c>
      <c r="F154" s="95">
        <v>0</v>
      </c>
      <c r="G154" s="95">
        <v>0</v>
      </c>
      <c r="H154" s="95">
        <v>0</v>
      </c>
      <c r="I154" s="87" t="s">
        <v>363</v>
      </c>
      <c r="J154" s="87" t="s">
        <v>359</v>
      </c>
      <c r="K154" s="108" t="s">
        <v>803</v>
      </c>
      <c r="L154" s="229"/>
    </row>
    <row r="155" spans="1:14" ht="89.25" customHeight="1" x14ac:dyDescent="0.25">
      <c r="A155" s="316">
        <v>12</v>
      </c>
      <c r="B155" s="96" t="s">
        <v>137</v>
      </c>
      <c r="C155" s="94">
        <v>1218</v>
      </c>
      <c r="D155" s="83">
        <f t="shared" ref="D155:D162" si="37">SUM(E155:H155)</f>
        <v>15000</v>
      </c>
      <c r="E155" s="95">
        <v>5000</v>
      </c>
      <c r="F155" s="95">
        <v>5000</v>
      </c>
      <c r="G155" s="95">
        <v>5000</v>
      </c>
      <c r="H155" s="95" t="s">
        <v>6</v>
      </c>
      <c r="I155" s="87" t="s">
        <v>223</v>
      </c>
      <c r="J155" s="87" t="s">
        <v>200</v>
      </c>
      <c r="K155" s="108" t="s">
        <v>305</v>
      </c>
      <c r="L155" s="229">
        <v>12</v>
      </c>
    </row>
    <row r="156" spans="1:14" ht="45" customHeight="1" x14ac:dyDescent="0.25">
      <c r="A156" s="316">
        <v>3.5</v>
      </c>
      <c r="B156" s="96" t="s">
        <v>360</v>
      </c>
      <c r="C156" s="94">
        <v>518</v>
      </c>
      <c r="D156" s="83">
        <f t="shared" si="37"/>
        <v>492</v>
      </c>
      <c r="E156" s="95">
        <v>164</v>
      </c>
      <c r="F156" s="95">
        <v>164</v>
      </c>
      <c r="G156" s="95">
        <v>164</v>
      </c>
      <c r="H156" s="95">
        <v>0</v>
      </c>
      <c r="I156" s="87" t="s">
        <v>361</v>
      </c>
      <c r="J156" s="87" t="s">
        <v>362</v>
      </c>
      <c r="K156" s="108" t="s">
        <v>804</v>
      </c>
      <c r="L156" s="229"/>
      <c r="N156" s="438"/>
    </row>
    <row r="157" spans="1:14" ht="45" customHeight="1" x14ac:dyDescent="0.25">
      <c r="A157" s="316">
        <v>12</v>
      </c>
      <c r="B157" s="96" t="s">
        <v>805</v>
      </c>
      <c r="C157" s="94">
        <v>1913</v>
      </c>
      <c r="D157" s="83">
        <f t="shared" si="37"/>
        <v>4000</v>
      </c>
      <c r="E157" s="95">
        <v>2000</v>
      </c>
      <c r="F157" s="95">
        <v>2000</v>
      </c>
      <c r="G157" s="95">
        <v>0</v>
      </c>
      <c r="H157" s="95">
        <v>0</v>
      </c>
      <c r="I157" s="87" t="s">
        <v>223</v>
      </c>
      <c r="J157" s="87" t="s">
        <v>200</v>
      </c>
      <c r="K157" s="108" t="s">
        <v>806</v>
      </c>
      <c r="L157" s="229"/>
    </row>
    <row r="158" spans="1:14" ht="45" customHeight="1" x14ac:dyDescent="0.25">
      <c r="A158" s="316">
        <v>12</v>
      </c>
      <c r="B158" s="96" t="s">
        <v>807</v>
      </c>
      <c r="C158" s="94">
        <v>1755</v>
      </c>
      <c r="D158" s="83">
        <f t="shared" si="37"/>
        <v>3000</v>
      </c>
      <c r="E158" s="528">
        <v>1500</v>
      </c>
      <c r="F158" s="528">
        <v>1500</v>
      </c>
      <c r="G158" s="95">
        <v>0</v>
      </c>
      <c r="H158" s="95">
        <v>0</v>
      </c>
      <c r="I158" s="87" t="s">
        <v>223</v>
      </c>
      <c r="J158" s="87" t="s">
        <v>200</v>
      </c>
      <c r="K158" s="108" t="s">
        <v>808</v>
      </c>
      <c r="L158" s="229"/>
    </row>
    <row r="159" spans="1:14" ht="55.5" customHeight="1" x14ac:dyDescent="0.25">
      <c r="A159" s="316">
        <v>12</v>
      </c>
      <c r="B159" s="96" t="s">
        <v>809</v>
      </c>
      <c r="C159" s="94">
        <v>1763</v>
      </c>
      <c r="D159" s="83">
        <f t="shared" si="37"/>
        <v>6000</v>
      </c>
      <c r="E159" s="95">
        <v>3000</v>
      </c>
      <c r="F159" s="95">
        <v>3000</v>
      </c>
      <c r="G159" s="95">
        <v>0</v>
      </c>
      <c r="H159" s="95">
        <v>0</v>
      </c>
      <c r="I159" s="87" t="s">
        <v>223</v>
      </c>
      <c r="J159" s="87" t="s">
        <v>200</v>
      </c>
      <c r="K159" s="108" t="s">
        <v>810</v>
      </c>
      <c r="L159" s="229"/>
    </row>
    <row r="160" spans="1:14" ht="45" customHeight="1" x14ac:dyDescent="0.25">
      <c r="A160" s="316">
        <v>12</v>
      </c>
      <c r="B160" s="96" t="s">
        <v>811</v>
      </c>
      <c r="C160" s="94">
        <v>1915</v>
      </c>
      <c r="D160" s="83">
        <f t="shared" si="37"/>
        <v>2800</v>
      </c>
      <c r="E160" s="95">
        <v>1400</v>
      </c>
      <c r="F160" s="95">
        <v>1400</v>
      </c>
      <c r="G160" s="95">
        <v>0</v>
      </c>
      <c r="H160" s="95">
        <v>0</v>
      </c>
      <c r="I160" s="87" t="s">
        <v>223</v>
      </c>
      <c r="J160" s="87" t="s">
        <v>200</v>
      </c>
      <c r="K160" s="108" t="s">
        <v>812</v>
      </c>
      <c r="L160" s="229"/>
    </row>
    <row r="161" spans="1:15" ht="45" customHeight="1" x14ac:dyDescent="0.25">
      <c r="A161" s="316">
        <v>12</v>
      </c>
      <c r="B161" s="96" t="s">
        <v>813</v>
      </c>
      <c r="C161" s="94">
        <v>1914</v>
      </c>
      <c r="D161" s="83">
        <f t="shared" si="37"/>
        <v>2000</v>
      </c>
      <c r="E161" s="95">
        <v>1000</v>
      </c>
      <c r="F161" s="95">
        <v>1000</v>
      </c>
      <c r="G161" s="95">
        <v>0</v>
      </c>
      <c r="H161" s="95">
        <v>0</v>
      </c>
      <c r="I161" s="87" t="s">
        <v>223</v>
      </c>
      <c r="J161" s="87" t="s">
        <v>200</v>
      </c>
      <c r="K161" s="108" t="s">
        <v>814</v>
      </c>
      <c r="L161" s="229"/>
    </row>
    <row r="162" spans="1:15" ht="45.75" customHeight="1" thickBot="1" x14ac:dyDescent="0.3">
      <c r="A162" s="529">
        <v>11</v>
      </c>
      <c r="B162" s="626" t="s">
        <v>815</v>
      </c>
      <c r="C162" s="106">
        <v>1919</v>
      </c>
      <c r="D162" s="83">
        <f t="shared" si="37"/>
        <v>1000</v>
      </c>
      <c r="E162" s="81">
        <v>1000</v>
      </c>
      <c r="F162" s="86">
        <v>0</v>
      </c>
      <c r="G162" s="86">
        <v>0</v>
      </c>
      <c r="H162" s="91">
        <v>0</v>
      </c>
      <c r="I162" s="322" t="s">
        <v>816</v>
      </c>
      <c r="J162" s="322" t="s">
        <v>817</v>
      </c>
      <c r="K162" s="92" t="s">
        <v>818</v>
      </c>
      <c r="L162" s="225"/>
    </row>
    <row r="163" spans="1:15" ht="27" customHeight="1" thickBot="1" x14ac:dyDescent="0.3">
      <c r="A163" s="315"/>
      <c r="B163" s="60" t="s">
        <v>105</v>
      </c>
      <c r="C163" s="80"/>
      <c r="D163" s="58">
        <f>SUM(D154:D162)</f>
        <v>34342</v>
      </c>
      <c r="E163" s="58">
        <f>SUM(E154:E162)</f>
        <v>15114</v>
      </c>
      <c r="F163" s="58">
        <f>SUM(F154:F162)</f>
        <v>14064</v>
      </c>
      <c r="G163" s="58">
        <f>SUM(G154:G162)</f>
        <v>5164</v>
      </c>
      <c r="H163" s="58">
        <f>SUM(H154:H162)</f>
        <v>0</v>
      </c>
      <c r="I163" s="58"/>
      <c r="J163" s="93"/>
      <c r="K163" s="59"/>
      <c r="L163" s="231"/>
    </row>
    <row r="164" spans="1:15" s="56" customFormat="1" ht="9" customHeight="1" thickBot="1" x14ac:dyDescent="0.25">
      <c r="A164" s="117"/>
      <c r="B164" s="117"/>
      <c r="C164" s="332"/>
      <c r="D164" s="74"/>
      <c r="E164" s="74"/>
      <c r="F164" s="74"/>
      <c r="G164" s="74"/>
      <c r="H164" s="534"/>
      <c r="I164" s="535"/>
      <c r="K164" s="533"/>
    </row>
    <row r="165" spans="1:15" s="521" customFormat="1" ht="18" customHeight="1" thickBot="1" x14ac:dyDescent="0.3">
      <c r="A165" s="315"/>
      <c r="B165" s="63" t="s">
        <v>106</v>
      </c>
      <c r="C165" s="80"/>
      <c r="D165" s="58">
        <f>SUM(D163,D152,D142,D139,D127,D121,D105,D88,D85,D80,D76,D70,D23,D10)</f>
        <v>34808523</v>
      </c>
      <c r="E165" s="58">
        <f>SUM(E163,E152,E142,E139,E127,E121,E105,E88,E85,E80,E76,E70,E23,E10)</f>
        <v>6796563</v>
      </c>
      <c r="F165" s="58">
        <f>SUM(F163,F152,F142,F139,F127,F121,F105,F88,F85,F80,F76,F70,F23,F10)</f>
        <v>6391498</v>
      </c>
      <c r="G165" s="58">
        <f>SUM(G163,G152,G142,G139,G127,G121,G105,G88,G85,G80,G76,G70,G23,G10)</f>
        <v>4313194</v>
      </c>
      <c r="H165" s="58">
        <f>SUM(H163,H152,H142,H139,H127,H121,H105,H88,H85,H80,H76,H70,H23,H10)</f>
        <v>17307268</v>
      </c>
      <c r="I165" s="93"/>
      <c r="J165" s="93"/>
      <c r="K165" s="64"/>
      <c r="L165" s="436"/>
      <c r="M165" s="438"/>
      <c r="N165" s="436"/>
      <c r="O165" s="436"/>
    </row>
    <row r="166" spans="1:15" s="521" customFormat="1" x14ac:dyDescent="0.25">
      <c r="A166" s="530"/>
      <c r="B166" s="436"/>
      <c r="C166" s="436"/>
      <c r="D166" s="436"/>
      <c r="E166" s="437"/>
      <c r="F166" s="437"/>
      <c r="G166" s="437"/>
      <c r="H166" s="437"/>
      <c r="I166" s="436"/>
      <c r="J166" s="436"/>
      <c r="K166" s="436"/>
      <c r="L166" s="436"/>
      <c r="M166" s="438"/>
      <c r="N166" s="436"/>
      <c r="O166" s="436"/>
    </row>
    <row r="167" spans="1:15" s="521" customFormat="1" x14ac:dyDescent="0.25">
      <c r="A167" s="531"/>
      <c r="B167" s="532" t="s">
        <v>825</v>
      </c>
      <c r="C167" s="436"/>
      <c r="D167" s="436"/>
      <c r="E167" s="437"/>
      <c r="F167" s="437"/>
      <c r="G167" s="437"/>
      <c r="H167" s="437"/>
      <c r="I167" s="436"/>
      <c r="J167" s="436"/>
      <c r="K167" s="436"/>
      <c r="L167" s="436"/>
      <c r="M167" s="438"/>
      <c r="N167" s="436"/>
      <c r="O167" s="436"/>
    </row>
  </sheetData>
  <mergeCells count="24">
    <mergeCell ref="B2:K2"/>
    <mergeCell ref="A4:A5"/>
    <mergeCell ref="B4:B5"/>
    <mergeCell ref="C4:C5"/>
    <mergeCell ref="D4:D5"/>
    <mergeCell ref="I4:I5"/>
    <mergeCell ref="J4:J5"/>
    <mergeCell ref="K4:K5"/>
    <mergeCell ref="L4:L5"/>
    <mergeCell ref="B6:K6"/>
    <mergeCell ref="B11:K11"/>
    <mergeCell ref="B24:K24"/>
    <mergeCell ref="B71:K71"/>
    <mergeCell ref="B140:K140"/>
    <mergeCell ref="B143:K143"/>
    <mergeCell ref="B153:K153"/>
    <mergeCell ref="E4:H4"/>
    <mergeCell ref="B81:K81"/>
    <mergeCell ref="B86:K86"/>
    <mergeCell ref="B89:K89"/>
    <mergeCell ref="B106:K106"/>
    <mergeCell ref="B122:K122"/>
    <mergeCell ref="B128:K128"/>
    <mergeCell ref="B77:K77"/>
  </mergeCells>
  <pageMargins left="0.39370078740157483" right="0.39370078740157483" top="0.59055118110236227" bottom="0.39370078740157483" header="0.31496062992125984" footer="0.11811023622047245"/>
  <pageSetup paperSize="9" scale="91" firstPageNumber="18" fitToHeight="0" orientation="landscape" useFirstPageNumber="1" r:id="rId1"/>
  <headerFooter>
    <oddHeader>&amp;L&amp;"Tahoma,Kurzíva"&amp;9Střednědobý výhled rozpočtu Moravskoslezského kraje na léta 2027-2029&amp;R&amp;"Tahoma,Kurzíva"&amp;9Přehled ostatních dlouhodobých závazků kraje</oddHeader>
    <oddFooter>&amp;C&amp;"Tahoma,Obyčejné"&amp;P</oddFooter>
  </headerFooter>
  <rowBreaks count="6" manualBreakCount="6">
    <brk id="85" max="16383" man="1"/>
    <brk id="108" max="16383" man="1"/>
    <brk id="117" max="16383" man="1"/>
    <brk id="144" max="16383" man="1"/>
    <brk id="152" max="16383" man="1"/>
    <brk id="161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81A874-3FEB-4876-9087-917309700028}">
  <sheetPr>
    <pageSetUpPr fitToPage="1"/>
  </sheetPr>
  <dimension ref="A1:J93"/>
  <sheetViews>
    <sheetView zoomScaleNormal="100" zoomScaleSheetLayoutView="100" workbookViewId="0">
      <pane ySplit="5" topLeftCell="A6" activePane="bottomLeft" state="frozen"/>
      <selection activeCell="B26" sqref="B26"/>
      <selection pane="bottomLeft" activeCell="L6" sqref="L6"/>
    </sheetView>
  </sheetViews>
  <sheetFormatPr defaultRowHeight="15" x14ac:dyDescent="0.25"/>
  <cols>
    <col min="1" max="1" width="54.140625" style="401" customWidth="1"/>
    <col min="2" max="2" width="9.28515625" style="401" hidden="1" customWidth="1"/>
    <col min="3" max="3" width="12.7109375" style="402" customWidth="1"/>
    <col min="4" max="4" width="11.85546875" style="403" customWidth="1"/>
    <col min="5" max="6" width="7.7109375" style="404" customWidth="1"/>
    <col min="7" max="10" width="12.7109375" style="401" customWidth="1"/>
    <col min="11" max="16384" width="9.140625" style="405"/>
  </cols>
  <sheetData>
    <row r="1" spans="1:10" s="399" customFormat="1" x14ac:dyDescent="0.25">
      <c r="A1" s="394" t="s">
        <v>59</v>
      </c>
      <c r="B1" s="395"/>
      <c r="C1" s="396"/>
      <c r="D1" s="397"/>
      <c r="E1" s="398"/>
      <c r="F1" s="398"/>
      <c r="G1" s="395"/>
      <c r="H1" s="395"/>
      <c r="I1" s="395"/>
      <c r="J1" s="395"/>
    </row>
    <row r="2" spans="1:10" s="53" customFormat="1" ht="30" customHeight="1" x14ac:dyDescent="0.2">
      <c r="A2" s="659" t="s">
        <v>87</v>
      </c>
      <c r="B2" s="719"/>
      <c r="C2" s="719"/>
      <c r="D2" s="719"/>
      <c r="E2" s="719"/>
      <c r="F2" s="719"/>
      <c r="G2" s="719"/>
      <c r="H2" s="719"/>
      <c r="I2" s="719"/>
      <c r="J2" s="719"/>
    </row>
    <row r="3" spans="1:10" s="53" customFormat="1" ht="15.75" customHeight="1" thickBot="1" x14ac:dyDescent="0.25">
      <c r="A3" s="54"/>
      <c r="B3" s="54"/>
      <c r="C3" s="55"/>
      <c r="D3" s="341"/>
      <c r="E3" s="342"/>
      <c r="F3" s="342"/>
      <c r="G3" s="324"/>
      <c r="H3" s="324"/>
      <c r="I3" s="324"/>
      <c r="J3" s="55" t="s">
        <v>88</v>
      </c>
    </row>
    <row r="4" spans="1:10" s="53" customFormat="1" ht="24" customHeight="1" x14ac:dyDescent="0.2">
      <c r="A4" s="661" t="s">
        <v>316</v>
      </c>
      <c r="B4" s="663" t="s">
        <v>477</v>
      </c>
      <c r="C4" s="722" t="s">
        <v>89</v>
      </c>
      <c r="D4" s="724" t="s">
        <v>206</v>
      </c>
      <c r="E4" s="726" t="s">
        <v>319</v>
      </c>
      <c r="F4" s="727"/>
      <c r="G4" s="669" t="s">
        <v>90</v>
      </c>
      <c r="H4" s="728"/>
      <c r="I4" s="729"/>
      <c r="J4" s="730"/>
    </row>
    <row r="5" spans="1:10" s="53" customFormat="1" ht="24" customHeight="1" thickBot="1" x14ac:dyDescent="0.25">
      <c r="A5" s="720"/>
      <c r="B5" s="721"/>
      <c r="C5" s="723"/>
      <c r="D5" s="725"/>
      <c r="E5" s="333" t="s">
        <v>317</v>
      </c>
      <c r="F5" s="333" t="s">
        <v>318</v>
      </c>
      <c r="G5" s="52" t="s">
        <v>330</v>
      </c>
      <c r="H5" s="339" t="s">
        <v>514</v>
      </c>
      <c r="I5" s="339" t="s">
        <v>618</v>
      </c>
      <c r="J5" s="340" t="s">
        <v>619</v>
      </c>
    </row>
    <row r="6" spans="1:10" s="56" customFormat="1" ht="18" customHeight="1" x14ac:dyDescent="0.2">
      <c r="A6" s="279" t="s">
        <v>117</v>
      </c>
      <c r="B6" s="280"/>
      <c r="C6" s="280"/>
      <c r="D6" s="343"/>
      <c r="E6" s="344"/>
      <c r="F6" s="344"/>
      <c r="G6" s="280"/>
      <c r="H6" s="280"/>
      <c r="I6" s="280"/>
      <c r="J6" s="281"/>
    </row>
    <row r="7" spans="1:10" s="56" customFormat="1" ht="15.75" customHeight="1" thickBot="1" x14ac:dyDescent="0.25">
      <c r="A7" s="222" t="s">
        <v>331</v>
      </c>
      <c r="B7" s="94">
        <v>3519</v>
      </c>
      <c r="C7" s="86">
        <v>231075</v>
      </c>
      <c r="D7" s="224">
        <v>0.15000000000000002</v>
      </c>
      <c r="E7" s="110">
        <v>2021</v>
      </c>
      <c r="F7" s="110">
        <v>2026</v>
      </c>
      <c r="G7" s="86">
        <v>7500</v>
      </c>
      <c r="H7" s="86">
        <v>7500</v>
      </c>
      <c r="I7" s="86">
        <v>7500</v>
      </c>
      <c r="J7" s="334">
        <f>7500+7500</f>
        <v>15000</v>
      </c>
    </row>
    <row r="8" spans="1:10" s="56" customFormat="1" ht="16.5" customHeight="1" thickBot="1" x14ac:dyDescent="0.25">
      <c r="A8" s="57" t="s">
        <v>118</v>
      </c>
      <c r="B8" s="80">
        <f>COUNT(B7)</f>
        <v>1</v>
      </c>
      <c r="C8" s="82" t="s">
        <v>313</v>
      </c>
      <c r="D8" s="82" t="s">
        <v>313</v>
      </c>
      <c r="E8" s="82" t="s">
        <v>313</v>
      </c>
      <c r="F8" s="82" t="s">
        <v>313</v>
      </c>
      <c r="G8" s="58">
        <f t="shared" ref="G8:J8" si="0">SUM(G7)</f>
        <v>7500</v>
      </c>
      <c r="H8" s="58">
        <f t="shared" si="0"/>
        <v>7500</v>
      </c>
      <c r="I8" s="58">
        <f t="shared" si="0"/>
        <v>7500</v>
      </c>
      <c r="J8" s="123">
        <f t="shared" si="0"/>
        <v>15000</v>
      </c>
    </row>
    <row r="9" spans="1:10" s="56" customFormat="1" ht="18" customHeight="1" x14ac:dyDescent="0.2">
      <c r="A9" s="326" t="s">
        <v>93</v>
      </c>
      <c r="B9" s="327"/>
      <c r="C9" s="327"/>
      <c r="D9" s="345"/>
      <c r="E9" s="346"/>
      <c r="F9" s="346"/>
      <c r="G9" s="327"/>
      <c r="H9" s="327"/>
      <c r="I9" s="327"/>
      <c r="J9" s="328"/>
    </row>
    <row r="10" spans="1:10" s="56" customFormat="1" ht="15" customHeight="1" x14ac:dyDescent="0.2">
      <c r="A10" s="222" t="s">
        <v>276</v>
      </c>
      <c r="B10" s="94">
        <v>3505</v>
      </c>
      <c r="C10" s="86">
        <v>2249944</v>
      </c>
      <c r="D10" s="224">
        <v>0.15000000000000002</v>
      </c>
      <c r="E10" s="110">
        <v>2017</v>
      </c>
      <c r="F10" s="110">
        <v>2027</v>
      </c>
      <c r="G10" s="86">
        <v>0</v>
      </c>
      <c r="H10" s="86">
        <v>111200</v>
      </c>
      <c r="I10" s="86">
        <v>111200</v>
      </c>
      <c r="J10" s="334">
        <f>111200*8</f>
        <v>889600</v>
      </c>
    </row>
    <row r="11" spans="1:10" s="56" customFormat="1" ht="15" customHeight="1" x14ac:dyDescent="0.2">
      <c r="A11" s="222" t="s">
        <v>277</v>
      </c>
      <c r="B11" s="94">
        <v>3523</v>
      </c>
      <c r="C11" s="86">
        <v>122000</v>
      </c>
      <c r="D11" s="224">
        <v>0</v>
      </c>
      <c r="E11" s="110">
        <v>2023</v>
      </c>
      <c r="F11" s="110">
        <v>2027</v>
      </c>
      <c r="G11" s="86">
        <v>0</v>
      </c>
      <c r="H11" s="86">
        <v>7000</v>
      </c>
      <c r="I11" s="86">
        <v>7000</v>
      </c>
      <c r="J11" s="334">
        <v>21000</v>
      </c>
    </row>
    <row r="12" spans="1:10" s="56" customFormat="1" ht="15" customHeight="1" x14ac:dyDescent="0.2">
      <c r="A12" s="222" t="s">
        <v>278</v>
      </c>
      <c r="B12" s="94">
        <v>3555</v>
      </c>
      <c r="C12" s="86">
        <v>152000</v>
      </c>
      <c r="D12" s="224">
        <v>0.15000000000000002</v>
      </c>
      <c r="E12" s="110">
        <v>2019</v>
      </c>
      <c r="F12" s="110">
        <v>2027</v>
      </c>
      <c r="G12" s="86">
        <v>0</v>
      </c>
      <c r="H12" s="86">
        <v>2200</v>
      </c>
      <c r="I12" s="86">
        <v>2200</v>
      </c>
      <c r="J12" s="334">
        <f>2200*8</f>
        <v>17600</v>
      </c>
    </row>
    <row r="13" spans="1:10" s="400" customFormat="1" ht="15" customHeight="1" x14ac:dyDescent="0.2">
      <c r="A13" s="222" t="s">
        <v>275</v>
      </c>
      <c r="B13" s="94">
        <v>3556</v>
      </c>
      <c r="C13" s="86">
        <v>613000</v>
      </c>
      <c r="D13" s="224">
        <v>0.15000000000000002</v>
      </c>
      <c r="E13" s="110">
        <v>2023</v>
      </c>
      <c r="F13" s="110">
        <v>2028</v>
      </c>
      <c r="G13" s="86">
        <v>0</v>
      </c>
      <c r="H13" s="86">
        <v>4500</v>
      </c>
      <c r="I13" s="86">
        <v>9000</v>
      </c>
      <c r="J13" s="334">
        <f>(9000*8)+4500</f>
        <v>76500</v>
      </c>
    </row>
    <row r="14" spans="1:10" s="56" customFormat="1" ht="15.75" customHeight="1" thickBot="1" x14ac:dyDescent="0.25">
      <c r="A14" s="222" t="s">
        <v>279</v>
      </c>
      <c r="B14" s="94">
        <v>3514</v>
      </c>
      <c r="C14" s="86">
        <v>122222</v>
      </c>
      <c r="D14" s="224">
        <v>0.15000000000000002</v>
      </c>
      <c r="E14" s="110">
        <v>2020</v>
      </c>
      <c r="F14" s="110">
        <v>2026</v>
      </c>
      <c r="G14" s="86">
        <v>300</v>
      </c>
      <c r="H14" s="86">
        <v>300</v>
      </c>
      <c r="I14" s="86">
        <v>300</v>
      </c>
      <c r="J14" s="334">
        <v>600</v>
      </c>
    </row>
    <row r="15" spans="1:10" s="56" customFormat="1" ht="16.5" customHeight="1" thickBot="1" x14ac:dyDescent="0.25">
      <c r="A15" s="57" t="s">
        <v>94</v>
      </c>
      <c r="B15" s="80">
        <f>COUNT(B10:B14)</f>
        <v>5</v>
      </c>
      <c r="C15" s="82" t="s">
        <v>313</v>
      </c>
      <c r="D15" s="82" t="s">
        <v>313</v>
      </c>
      <c r="E15" s="82" t="s">
        <v>313</v>
      </c>
      <c r="F15" s="82" t="s">
        <v>313</v>
      </c>
      <c r="G15" s="58">
        <f>SUM(G10:G14)</f>
        <v>300</v>
      </c>
      <c r="H15" s="58">
        <f>SUM(H10:H14)</f>
        <v>125200</v>
      </c>
      <c r="I15" s="58">
        <f>SUM(I10:I14)</f>
        <v>129700</v>
      </c>
      <c r="J15" s="123">
        <f>SUM(J10:J14)</f>
        <v>1005300</v>
      </c>
    </row>
    <row r="16" spans="1:10" s="56" customFormat="1" ht="18" customHeight="1" x14ac:dyDescent="0.2">
      <c r="A16" s="326" t="s">
        <v>97</v>
      </c>
      <c r="B16" s="327"/>
      <c r="C16" s="327"/>
      <c r="D16" s="345"/>
      <c r="E16" s="346"/>
      <c r="F16" s="346"/>
      <c r="G16" s="327"/>
      <c r="H16" s="327"/>
      <c r="I16" s="327"/>
      <c r="J16" s="328"/>
    </row>
    <row r="17" spans="1:10" s="56" customFormat="1" ht="15.75" customHeight="1" thickBot="1" x14ac:dyDescent="0.25">
      <c r="A17" s="222" t="s">
        <v>280</v>
      </c>
      <c r="B17" s="94">
        <v>3562</v>
      </c>
      <c r="C17" s="86">
        <v>75500</v>
      </c>
      <c r="D17" s="224">
        <v>0.15</v>
      </c>
      <c r="E17" s="110">
        <v>2023</v>
      </c>
      <c r="F17" s="110">
        <v>2026</v>
      </c>
      <c r="G17" s="86">
        <v>500</v>
      </c>
      <c r="H17" s="86">
        <v>0</v>
      </c>
      <c r="I17" s="86">
        <v>0</v>
      </c>
      <c r="J17" s="334">
        <v>0</v>
      </c>
    </row>
    <row r="18" spans="1:10" s="56" customFormat="1" ht="16.5" customHeight="1" thickBot="1" x14ac:dyDescent="0.25">
      <c r="A18" s="57" t="s">
        <v>98</v>
      </c>
      <c r="B18" s="80">
        <f>COUNT(B17:B17)</f>
        <v>1</v>
      </c>
      <c r="C18" s="82" t="s">
        <v>313</v>
      </c>
      <c r="D18" s="82" t="s">
        <v>313</v>
      </c>
      <c r="E18" s="82" t="s">
        <v>313</v>
      </c>
      <c r="F18" s="82" t="s">
        <v>313</v>
      </c>
      <c r="G18" s="58">
        <f>SUM(G17:G17)</f>
        <v>500</v>
      </c>
      <c r="H18" s="58">
        <f>SUM(H17:H17)</f>
        <v>0</v>
      </c>
      <c r="I18" s="58">
        <f>SUM(I17:I17)</f>
        <v>0</v>
      </c>
      <c r="J18" s="123">
        <f>SUM(J17:J17)</f>
        <v>0</v>
      </c>
    </row>
    <row r="19" spans="1:10" s="56" customFormat="1" ht="18" customHeight="1" x14ac:dyDescent="0.2">
      <c r="A19" s="326" t="s">
        <v>99</v>
      </c>
      <c r="B19" s="327"/>
      <c r="C19" s="327"/>
      <c r="D19" s="345"/>
      <c r="E19" s="346"/>
      <c r="F19" s="346"/>
      <c r="G19" s="327"/>
      <c r="H19" s="327"/>
      <c r="I19" s="327"/>
      <c r="J19" s="328"/>
    </row>
    <row r="20" spans="1:10" s="56" customFormat="1" ht="15" customHeight="1" x14ac:dyDescent="0.2">
      <c r="A20" s="222" t="s">
        <v>487</v>
      </c>
      <c r="B20" s="94">
        <v>3591</v>
      </c>
      <c r="C20" s="86">
        <v>47131</v>
      </c>
      <c r="D20" s="224">
        <v>0</v>
      </c>
      <c r="E20" s="110">
        <v>2023</v>
      </c>
      <c r="F20" s="110">
        <v>2026</v>
      </c>
      <c r="G20" s="86">
        <v>1500</v>
      </c>
      <c r="H20" s="86">
        <v>1500</v>
      </c>
      <c r="I20" s="86">
        <v>1500</v>
      </c>
      <c r="J20" s="334">
        <f>1500*7</f>
        <v>10500</v>
      </c>
    </row>
    <row r="21" spans="1:10" s="56" customFormat="1" ht="15" customHeight="1" x14ac:dyDescent="0.2">
      <c r="A21" s="222" t="s">
        <v>488</v>
      </c>
      <c r="B21" s="94">
        <v>3672</v>
      </c>
      <c r="C21" s="86">
        <v>75845</v>
      </c>
      <c r="D21" s="224">
        <v>0</v>
      </c>
      <c r="E21" s="110">
        <v>2020</v>
      </c>
      <c r="F21" s="110">
        <v>2026</v>
      </c>
      <c r="G21" s="86">
        <v>1000</v>
      </c>
      <c r="H21" s="86">
        <v>1000</v>
      </c>
      <c r="I21" s="86">
        <v>1000</v>
      </c>
      <c r="J21" s="334">
        <v>7000</v>
      </c>
    </row>
    <row r="22" spans="1:10" s="56" customFormat="1" ht="15" customHeight="1" x14ac:dyDescent="0.2">
      <c r="A22" s="222" t="s">
        <v>620</v>
      </c>
      <c r="B22" s="94">
        <v>3629</v>
      </c>
      <c r="C22" s="86">
        <v>19388</v>
      </c>
      <c r="D22" s="224">
        <v>0</v>
      </c>
      <c r="E22" s="110">
        <v>2023</v>
      </c>
      <c r="F22" s="110">
        <v>2026</v>
      </c>
      <c r="G22" s="86">
        <v>1000</v>
      </c>
      <c r="H22" s="86">
        <v>1000</v>
      </c>
      <c r="I22" s="86">
        <v>1000</v>
      </c>
      <c r="J22" s="334">
        <v>7000</v>
      </c>
    </row>
    <row r="23" spans="1:10" s="56" customFormat="1" ht="15" customHeight="1" x14ac:dyDescent="0.2">
      <c r="A23" s="222" t="s">
        <v>494</v>
      </c>
      <c r="B23" s="94">
        <v>3579</v>
      </c>
      <c r="C23" s="86">
        <v>60000</v>
      </c>
      <c r="D23" s="224">
        <v>0.15000000000000002</v>
      </c>
      <c r="E23" s="110">
        <v>2023</v>
      </c>
      <c r="F23" s="110">
        <v>2026</v>
      </c>
      <c r="G23" s="86">
        <v>500</v>
      </c>
      <c r="H23" s="86">
        <v>500</v>
      </c>
      <c r="I23" s="86">
        <v>500</v>
      </c>
      <c r="J23" s="334">
        <v>1000</v>
      </c>
    </row>
    <row r="24" spans="1:10" s="56" customFormat="1" ht="15.75" customHeight="1" thickBot="1" x14ac:dyDescent="0.25">
      <c r="A24" s="222" t="s">
        <v>495</v>
      </c>
      <c r="B24" s="94">
        <v>3582</v>
      </c>
      <c r="C24" s="86">
        <v>130369</v>
      </c>
      <c r="D24" s="224">
        <v>0.15000000000000002</v>
      </c>
      <c r="E24" s="110">
        <v>2021</v>
      </c>
      <c r="F24" s="110">
        <v>2027</v>
      </c>
      <c r="G24" s="86">
        <v>0</v>
      </c>
      <c r="H24" s="86">
        <v>500</v>
      </c>
      <c r="I24" s="86">
        <v>500</v>
      </c>
      <c r="J24" s="334">
        <f>500*3</f>
        <v>1500</v>
      </c>
    </row>
    <row r="25" spans="1:10" s="56" customFormat="1" ht="16.5" customHeight="1" thickBot="1" x14ac:dyDescent="0.25">
      <c r="A25" s="57" t="s">
        <v>100</v>
      </c>
      <c r="B25" s="80">
        <f>COUNT(B20:B24)</f>
        <v>5</v>
      </c>
      <c r="C25" s="82" t="s">
        <v>313</v>
      </c>
      <c r="D25" s="82" t="s">
        <v>313</v>
      </c>
      <c r="E25" s="82" t="s">
        <v>313</v>
      </c>
      <c r="F25" s="82" t="s">
        <v>313</v>
      </c>
      <c r="G25" s="58">
        <f>SUM(G20:G24)</f>
        <v>4000</v>
      </c>
      <c r="H25" s="58">
        <f>SUM(H20:H24)</f>
        <v>4500</v>
      </c>
      <c r="I25" s="58">
        <f>SUM(I20:I24)</f>
        <v>4500</v>
      </c>
      <c r="J25" s="123">
        <f>SUM(J20:J24)</f>
        <v>27000</v>
      </c>
    </row>
    <row r="26" spans="1:10" s="56" customFormat="1" ht="18" customHeight="1" x14ac:dyDescent="0.2">
      <c r="A26" s="326" t="s">
        <v>101</v>
      </c>
      <c r="B26" s="327"/>
      <c r="C26" s="327"/>
      <c r="D26" s="345"/>
      <c r="E26" s="346"/>
      <c r="F26" s="346"/>
      <c r="G26" s="327"/>
      <c r="H26" s="327"/>
      <c r="I26" s="327"/>
      <c r="J26" s="328"/>
    </row>
    <row r="27" spans="1:10" s="56" customFormat="1" ht="15" customHeight="1" x14ac:dyDescent="0.2">
      <c r="A27" s="222" t="s">
        <v>611</v>
      </c>
      <c r="B27" s="94">
        <v>3515</v>
      </c>
      <c r="C27" s="86">
        <v>90075</v>
      </c>
      <c r="D27" s="224">
        <v>9.9999999999999978E-2</v>
      </c>
      <c r="E27" s="110">
        <v>2021</v>
      </c>
      <c r="F27" s="110">
        <v>2027</v>
      </c>
      <c r="G27" s="86">
        <v>0</v>
      </c>
      <c r="H27" s="86">
        <v>520</v>
      </c>
      <c r="I27" s="86">
        <v>520</v>
      </c>
      <c r="J27" s="334">
        <f>520*3</f>
        <v>1560</v>
      </c>
    </row>
    <row r="28" spans="1:10" s="56" customFormat="1" ht="24" customHeight="1" x14ac:dyDescent="0.2">
      <c r="A28" s="222" t="s">
        <v>332</v>
      </c>
      <c r="B28" s="94">
        <v>3516</v>
      </c>
      <c r="C28" s="86">
        <v>117141</v>
      </c>
      <c r="D28" s="224">
        <v>9.9999999999999978E-2</v>
      </c>
      <c r="E28" s="110">
        <v>2021</v>
      </c>
      <c r="F28" s="110">
        <v>2027</v>
      </c>
      <c r="G28" s="86">
        <v>0</v>
      </c>
      <c r="H28" s="86">
        <v>800</v>
      </c>
      <c r="I28" s="86">
        <v>800</v>
      </c>
      <c r="J28" s="334">
        <f>800*3</f>
        <v>2400</v>
      </c>
    </row>
    <row r="29" spans="1:10" s="56" customFormat="1" ht="15" customHeight="1" x14ac:dyDescent="0.2">
      <c r="A29" s="222" t="s">
        <v>505</v>
      </c>
      <c r="B29" s="94">
        <v>3517</v>
      </c>
      <c r="C29" s="86">
        <v>122127</v>
      </c>
      <c r="D29" s="224">
        <v>9.9999999999999978E-2</v>
      </c>
      <c r="E29" s="110">
        <v>2021</v>
      </c>
      <c r="F29" s="110">
        <v>2027</v>
      </c>
      <c r="G29" s="86">
        <v>0</v>
      </c>
      <c r="H29" s="86">
        <v>4424</v>
      </c>
      <c r="I29" s="86">
        <v>4424</v>
      </c>
      <c r="J29" s="334">
        <f>4424*3</f>
        <v>13272</v>
      </c>
    </row>
    <row r="30" spans="1:10" s="56" customFormat="1" ht="15" customHeight="1" x14ac:dyDescent="0.2">
      <c r="A30" s="222" t="s">
        <v>506</v>
      </c>
      <c r="B30" s="94">
        <v>3435</v>
      </c>
      <c r="C30" s="86">
        <v>28000.36</v>
      </c>
      <c r="D30" s="224">
        <v>9.9999999999999978E-2</v>
      </c>
      <c r="E30" s="110">
        <v>2020</v>
      </c>
      <c r="F30" s="110">
        <v>2026</v>
      </c>
      <c r="G30" s="86">
        <v>0</v>
      </c>
      <c r="H30" s="86">
        <v>662</v>
      </c>
      <c r="I30" s="86">
        <v>662</v>
      </c>
      <c r="J30" s="334">
        <f>662*3</f>
        <v>1986</v>
      </c>
    </row>
    <row r="31" spans="1:10" s="56" customFormat="1" ht="24" customHeight="1" x14ac:dyDescent="0.2">
      <c r="A31" s="222" t="s">
        <v>507</v>
      </c>
      <c r="B31" s="94">
        <v>3434</v>
      </c>
      <c r="C31" s="86">
        <v>32049</v>
      </c>
      <c r="D31" s="224">
        <v>9.9999999999999978E-2</v>
      </c>
      <c r="E31" s="110">
        <v>2019</v>
      </c>
      <c r="F31" s="110">
        <v>2026</v>
      </c>
      <c r="G31" s="86">
        <v>1270</v>
      </c>
      <c r="H31" s="86">
        <v>1270</v>
      </c>
      <c r="I31" s="86">
        <v>1270</v>
      </c>
      <c r="J31" s="334">
        <f>1270*2</f>
        <v>2540</v>
      </c>
    </row>
    <row r="32" spans="1:10" s="56" customFormat="1" ht="15" customHeight="1" x14ac:dyDescent="0.2">
      <c r="A32" s="222" t="s">
        <v>515</v>
      </c>
      <c r="B32" s="94">
        <v>3520</v>
      </c>
      <c r="C32" s="86">
        <v>60230</v>
      </c>
      <c r="D32" s="224">
        <v>9.9999999999999978E-2</v>
      </c>
      <c r="E32" s="110">
        <v>2020</v>
      </c>
      <c r="F32" s="110">
        <v>2026</v>
      </c>
      <c r="G32" s="86">
        <v>110</v>
      </c>
      <c r="H32" s="86">
        <v>110</v>
      </c>
      <c r="I32" s="86">
        <v>110</v>
      </c>
      <c r="J32" s="334">
        <v>220</v>
      </c>
    </row>
    <row r="33" spans="1:10" s="56" customFormat="1" ht="15.75" customHeight="1" thickBot="1" x14ac:dyDescent="0.25">
      <c r="A33" s="222" t="s">
        <v>281</v>
      </c>
      <c r="B33" s="94">
        <v>3502</v>
      </c>
      <c r="C33" s="86">
        <v>1140040</v>
      </c>
      <c r="D33" s="224">
        <v>0.15000000000000002</v>
      </c>
      <c r="E33" s="110">
        <v>2021</v>
      </c>
      <c r="F33" s="110">
        <v>2028</v>
      </c>
      <c r="G33" s="86">
        <v>0</v>
      </c>
      <c r="H33" s="86">
        <v>54528</v>
      </c>
      <c r="I33" s="86">
        <v>109055</v>
      </c>
      <c r="J33" s="334">
        <f>(109055*8)+54527</f>
        <v>926967</v>
      </c>
    </row>
    <row r="34" spans="1:10" s="56" customFormat="1" ht="16.5" customHeight="1" thickBot="1" x14ac:dyDescent="0.25">
      <c r="A34" s="57" t="s">
        <v>102</v>
      </c>
      <c r="B34" s="80">
        <f>COUNT(B27:B33)</f>
        <v>7</v>
      </c>
      <c r="C34" s="82" t="s">
        <v>313</v>
      </c>
      <c r="D34" s="82" t="s">
        <v>313</v>
      </c>
      <c r="E34" s="82" t="s">
        <v>313</v>
      </c>
      <c r="F34" s="82" t="s">
        <v>313</v>
      </c>
      <c r="G34" s="58">
        <f>SUM(G27:G33)</f>
        <v>1380</v>
      </c>
      <c r="H34" s="58">
        <f>SUM(H27:H33)</f>
        <v>62314</v>
      </c>
      <c r="I34" s="58">
        <f>SUM(I27:I33)</f>
        <v>116841</v>
      </c>
      <c r="J34" s="123">
        <f>SUM(J27:J33)</f>
        <v>948945</v>
      </c>
    </row>
    <row r="35" spans="1:10" s="56" customFormat="1" ht="18" customHeight="1" x14ac:dyDescent="0.2">
      <c r="A35" s="326" t="s">
        <v>103</v>
      </c>
      <c r="B35" s="327"/>
      <c r="C35" s="327"/>
      <c r="D35" s="345"/>
      <c r="E35" s="346"/>
      <c r="F35" s="346"/>
      <c r="G35" s="327"/>
      <c r="H35" s="327"/>
      <c r="I35" s="327"/>
      <c r="J35" s="328"/>
    </row>
    <row r="36" spans="1:10" s="56" customFormat="1" ht="15.75" customHeight="1" thickBot="1" x14ac:dyDescent="0.25">
      <c r="A36" s="222" t="s">
        <v>282</v>
      </c>
      <c r="B36" s="94">
        <v>3292</v>
      </c>
      <c r="C36" s="86">
        <v>180905</v>
      </c>
      <c r="D36" s="224">
        <v>0.15000000000000002</v>
      </c>
      <c r="E36" s="110">
        <v>2017</v>
      </c>
      <c r="F36" s="110">
        <v>2027</v>
      </c>
      <c r="G36" s="86">
        <v>0</v>
      </c>
      <c r="H36" s="86">
        <v>3127</v>
      </c>
      <c r="I36" s="86">
        <v>3127</v>
      </c>
      <c r="J36" s="334">
        <f>3127*3</f>
        <v>9381</v>
      </c>
    </row>
    <row r="37" spans="1:10" s="56" customFormat="1" ht="16.5" customHeight="1" thickBot="1" x14ac:dyDescent="0.25">
      <c r="A37" s="57" t="s">
        <v>104</v>
      </c>
      <c r="B37" s="80">
        <f>COUNT(B36:B36)</f>
        <v>1</v>
      </c>
      <c r="C37" s="82" t="s">
        <v>313</v>
      </c>
      <c r="D37" s="82" t="s">
        <v>313</v>
      </c>
      <c r="E37" s="82" t="s">
        <v>313</v>
      </c>
      <c r="F37" s="82" t="s">
        <v>313</v>
      </c>
      <c r="G37" s="58">
        <f>SUM(G36:G36)</f>
        <v>0</v>
      </c>
      <c r="H37" s="58">
        <f>SUM(H36:H36)</f>
        <v>3127</v>
      </c>
      <c r="I37" s="58">
        <f>SUM(I36:I36)</f>
        <v>3127</v>
      </c>
      <c r="J37" s="123">
        <f>SUM(J36:J36)</f>
        <v>9381</v>
      </c>
    </row>
    <row r="38" spans="1:10" s="56" customFormat="1" ht="18" customHeight="1" x14ac:dyDescent="0.2">
      <c r="A38" s="326" t="s">
        <v>121</v>
      </c>
      <c r="B38" s="327"/>
      <c r="C38" s="327"/>
      <c r="D38" s="345"/>
      <c r="E38" s="346"/>
      <c r="F38" s="346"/>
      <c r="G38" s="327"/>
      <c r="H38" s="327"/>
      <c r="I38" s="327"/>
      <c r="J38" s="328"/>
    </row>
    <row r="39" spans="1:10" s="56" customFormat="1" ht="24" customHeight="1" x14ac:dyDescent="0.2">
      <c r="A39" s="222" t="s">
        <v>283</v>
      </c>
      <c r="B39" s="94">
        <v>3452</v>
      </c>
      <c r="C39" s="86">
        <v>437325.47</v>
      </c>
      <c r="D39" s="224">
        <v>0.4</v>
      </c>
      <c r="E39" s="110">
        <v>2019</v>
      </c>
      <c r="F39" s="110">
        <v>2031</v>
      </c>
      <c r="G39" s="86">
        <v>0</v>
      </c>
      <c r="H39" s="86">
        <v>0</v>
      </c>
      <c r="I39" s="86">
        <v>0</v>
      </c>
      <c r="J39" s="334">
        <f>250*5</f>
        <v>1250</v>
      </c>
    </row>
    <row r="40" spans="1:10" s="56" customFormat="1" ht="21.75" thickBot="1" x14ac:dyDescent="0.25">
      <c r="A40" s="222" t="s">
        <v>333</v>
      </c>
      <c r="B40" s="94">
        <v>3599</v>
      </c>
      <c r="C40" s="86">
        <v>12595</v>
      </c>
      <c r="D40" s="224">
        <v>0.6</v>
      </c>
      <c r="E40" s="110">
        <v>2024</v>
      </c>
      <c r="F40" s="110">
        <v>2031</v>
      </c>
      <c r="G40" s="86">
        <v>0</v>
      </c>
      <c r="H40" s="86">
        <v>0</v>
      </c>
      <c r="I40" s="86">
        <v>0</v>
      </c>
      <c r="J40" s="334">
        <f>100*30</f>
        <v>3000</v>
      </c>
    </row>
    <row r="41" spans="1:10" s="56" customFormat="1" ht="16.5" customHeight="1" thickBot="1" x14ac:dyDescent="0.25">
      <c r="A41" s="57" t="s">
        <v>105</v>
      </c>
      <c r="B41" s="80">
        <f>COUNT(B39:B40)</f>
        <v>2</v>
      </c>
      <c r="C41" s="82" t="s">
        <v>313</v>
      </c>
      <c r="D41" s="82" t="s">
        <v>313</v>
      </c>
      <c r="E41" s="82" t="s">
        <v>313</v>
      </c>
      <c r="F41" s="82" t="s">
        <v>313</v>
      </c>
      <c r="G41" s="58">
        <f>SUM(G39:G40)</f>
        <v>0</v>
      </c>
      <c r="H41" s="58">
        <f>SUM(H39:H40)</f>
        <v>0</v>
      </c>
      <c r="I41" s="58">
        <f>SUM(I39:I40)</f>
        <v>0</v>
      </c>
      <c r="J41" s="123">
        <f>SUM(J39:J40)</f>
        <v>4250</v>
      </c>
    </row>
    <row r="42" spans="1:10" s="56" customFormat="1" ht="9" customHeight="1" thickBot="1" x14ac:dyDescent="0.25">
      <c r="A42" s="335"/>
      <c r="B42" s="336"/>
      <c r="C42" s="337"/>
      <c r="D42" s="347"/>
      <c r="E42" s="348"/>
      <c r="F42" s="348"/>
      <c r="G42" s="336"/>
      <c r="H42" s="336"/>
      <c r="I42" s="336"/>
      <c r="J42" s="338"/>
    </row>
    <row r="43" spans="1:10" s="56" customFormat="1" ht="18" customHeight="1" thickBot="1" x14ac:dyDescent="0.25">
      <c r="A43" s="63" t="s">
        <v>106</v>
      </c>
      <c r="B43" s="84">
        <f>B41+B37+B34+B25+B18+B15+B8</f>
        <v>22</v>
      </c>
      <c r="C43" s="82" t="s">
        <v>313</v>
      </c>
      <c r="D43" s="82" t="s">
        <v>313</v>
      </c>
      <c r="E43" s="82" t="s">
        <v>313</v>
      </c>
      <c r="F43" s="82" t="s">
        <v>313</v>
      </c>
      <c r="G43" s="58">
        <f>G41+G37+G34+G25+G18+G15+G8</f>
        <v>13680</v>
      </c>
      <c r="H43" s="58">
        <f t="shared" ref="H43:J43" si="1">H41+H37+H34+H25+H18+H15+H8</f>
        <v>202641</v>
      </c>
      <c r="I43" s="58">
        <f t="shared" si="1"/>
        <v>261668</v>
      </c>
      <c r="J43" s="58">
        <f t="shared" si="1"/>
        <v>2009876</v>
      </c>
    </row>
    <row r="44" spans="1:10" ht="15" customHeight="1" x14ac:dyDescent="0.25"/>
    <row r="45" spans="1:10" x14ac:dyDescent="0.25">
      <c r="A45" s="532" t="s">
        <v>922</v>
      </c>
      <c r="B45" s="406"/>
      <c r="E45" s="407"/>
      <c r="F45" s="407"/>
      <c r="G45" s="408"/>
      <c r="H45" s="408"/>
    </row>
    <row r="46" spans="1:10" x14ac:dyDescent="0.25">
      <c r="B46" s="406"/>
      <c r="E46" s="407"/>
      <c r="F46" s="407"/>
      <c r="G46" s="408"/>
      <c r="H46" s="408"/>
    </row>
    <row r="47" spans="1:10" x14ac:dyDescent="0.25">
      <c r="B47" s="406"/>
      <c r="E47" s="407"/>
      <c r="F47" s="407"/>
      <c r="G47" s="408"/>
      <c r="H47" s="408"/>
    </row>
    <row r="48" spans="1:10" x14ac:dyDescent="0.25">
      <c r="B48" s="406"/>
      <c r="E48" s="407"/>
      <c r="F48" s="407"/>
      <c r="G48" s="408"/>
      <c r="H48" s="408"/>
    </row>
    <row r="49" spans="2:8" x14ac:dyDescent="0.25">
      <c r="B49" s="406"/>
      <c r="E49" s="407"/>
      <c r="F49" s="407"/>
      <c r="G49" s="408"/>
      <c r="H49" s="408"/>
    </row>
    <row r="50" spans="2:8" x14ac:dyDescent="0.25">
      <c r="B50" s="406"/>
      <c r="E50" s="407"/>
      <c r="F50" s="407"/>
      <c r="G50" s="408"/>
      <c r="H50" s="408"/>
    </row>
    <row r="51" spans="2:8" x14ac:dyDescent="0.25">
      <c r="B51" s="406"/>
      <c r="E51" s="407"/>
      <c r="F51" s="407"/>
      <c r="G51" s="408"/>
      <c r="H51" s="408"/>
    </row>
    <row r="52" spans="2:8" s="401" customFormat="1" x14ac:dyDescent="0.25">
      <c r="B52" s="406"/>
      <c r="C52" s="402"/>
      <c r="D52" s="403"/>
      <c r="E52" s="407"/>
      <c r="F52" s="407"/>
      <c r="G52" s="408"/>
      <c r="H52" s="408"/>
    </row>
    <row r="53" spans="2:8" s="401" customFormat="1" x14ac:dyDescent="0.25">
      <c r="B53" s="406"/>
      <c r="C53" s="402"/>
      <c r="D53" s="403"/>
      <c r="E53" s="407"/>
      <c r="F53" s="407"/>
      <c r="G53" s="408"/>
      <c r="H53" s="408"/>
    </row>
    <row r="54" spans="2:8" s="401" customFormat="1" x14ac:dyDescent="0.25">
      <c r="B54" s="406"/>
      <c r="C54" s="402"/>
      <c r="D54" s="403"/>
      <c r="E54" s="407"/>
      <c r="F54" s="407"/>
      <c r="G54" s="408"/>
      <c r="H54" s="408"/>
    </row>
    <row r="55" spans="2:8" s="401" customFormat="1" x14ac:dyDescent="0.25">
      <c r="B55" s="406"/>
      <c r="C55" s="402"/>
      <c r="D55" s="403"/>
      <c r="E55" s="407"/>
      <c r="F55" s="407"/>
      <c r="G55" s="408"/>
      <c r="H55" s="408"/>
    </row>
    <row r="56" spans="2:8" s="401" customFormat="1" x14ac:dyDescent="0.25">
      <c r="B56" s="406"/>
      <c r="C56" s="402"/>
      <c r="D56" s="403"/>
      <c r="E56" s="407"/>
      <c r="F56" s="407"/>
      <c r="G56" s="408"/>
      <c r="H56" s="408"/>
    </row>
    <row r="57" spans="2:8" s="401" customFormat="1" x14ac:dyDescent="0.25">
      <c r="B57" s="406"/>
      <c r="C57" s="402"/>
      <c r="D57" s="403"/>
      <c r="E57" s="407"/>
      <c r="F57" s="407"/>
      <c r="G57" s="408"/>
      <c r="H57" s="408"/>
    </row>
    <row r="58" spans="2:8" s="401" customFormat="1" x14ac:dyDescent="0.25">
      <c r="B58" s="406"/>
      <c r="C58" s="402"/>
      <c r="D58" s="403"/>
      <c r="E58" s="407"/>
      <c r="F58" s="407"/>
      <c r="G58" s="408"/>
      <c r="H58" s="408"/>
    </row>
    <row r="59" spans="2:8" s="401" customFormat="1" x14ac:dyDescent="0.25">
      <c r="B59" s="406"/>
      <c r="C59" s="402"/>
      <c r="D59" s="403"/>
      <c r="E59" s="407"/>
      <c r="F59" s="407"/>
      <c r="G59" s="408"/>
      <c r="H59" s="408"/>
    </row>
    <row r="60" spans="2:8" s="401" customFormat="1" x14ac:dyDescent="0.25">
      <c r="B60" s="406"/>
      <c r="C60" s="402"/>
      <c r="D60" s="403"/>
      <c r="E60" s="407"/>
      <c r="F60" s="407"/>
      <c r="G60" s="408"/>
      <c r="H60" s="408"/>
    </row>
    <row r="61" spans="2:8" s="401" customFormat="1" x14ac:dyDescent="0.25">
      <c r="B61" s="406"/>
      <c r="C61" s="402"/>
      <c r="D61" s="403"/>
      <c r="E61" s="407"/>
      <c r="F61" s="407"/>
      <c r="G61" s="408"/>
      <c r="H61" s="408"/>
    </row>
    <row r="62" spans="2:8" s="401" customFormat="1" x14ac:dyDescent="0.25">
      <c r="B62" s="406"/>
      <c r="C62" s="402"/>
      <c r="D62" s="403"/>
      <c r="E62" s="407"/>
      <c r="F62" s="407"/>
      <c r="G62" s="408"/>
      <c r="H62" s="408"/>
    </row>
    <row r="63" spans="2:8" s="401" customFormat="1" x14ac:dyDescent="0.25">
      <c r="B63" s="406"/>
      <c r="C63" s="402"/>
      <c r="D63" s="403"/>
      <c r="E63" s="407"/>
      <c r="F63" s="407"/>
      <c r="G63" s="408"/>
      <c r="H63" s="408"/>
    </row>
    <row r="64" spans="2:8" s="401" customFormat="1" x14ac:dyDescent="0.25">
      <c r="B64" s="406"/>
      <c r="C64" s="402"/>
      <c r="D64" s="403"/>
      <c r="E64" s="407"/>
      <c r="F64" s="407"/>
      <c r="G64" s="408"/>
      <c r="H64" s="408"/>
    </row>
    <row r="65" spans="2:8" s="401" customFormat="1" x14ac:dyDescent="0.25">
      <c r="B65" s="406"/>
      <c r="C65" s="402"/>
      <c r="D65" s="403"/>
      <c r="E65" s="407"/>
      <c r="F65" s="407"/>
      <c r="G65" s="408"/>
      <c r="H65" s="408"/>
    </row>
    <row r="66" spans="2:8" s="401" customFormat="1" x14ac:dyDescent="0.25">
      <c r="B66" s="406"/>
      <c r="C66" s="402"/>
      <c r="D66" s="403"/>
      <c r="E66" s="407"/>
      <c r="F66" s="407"/>
      <c r="G66" s="408"/>
      <c r="H66" s="408"/>
    </row>
    <row r="67" spans="2:8" s="401" customFormat="1" x14ac:dyDescent="0.25">
      <c r="B67" s="406"/>
      <c r="C67" s="402"/>
      <c r="D67" s="403"/>
      <c r="E67" s="407"/>
      <c r="F67" s="407"/>
      <c r="G67" s="408"/>
      <c r="H67" s="408"/>
    </row>
    <row r="68" spans="2:8" s="401" customFormat="1" x14ac:dyDescent="0.25">
      <c r="B68" s="406"/>
      <c r="C68" s="402"/>
      <c r="D68" s="403"/>
      <c r="E68" s="407"/>
      <c r="F68" s="407"/>
      <c r="G68" s="408"/>
      <c r="H68" s="408"/>
    </row>
    <row r="69" spans="2:8" s="401" customFormat="1" x14ac:dyDescent="0.25">
      <c r="B69" s="406"/>
      <c r="C69" s="402"/>
      <c r="D69" s="403"/>
      <c r="E69" s="407"/>
      <c r="F69" s="407"/>
      <c r="G69" s="408"/>
      <c r="H69" s="408"/>
    </row>
    <row r="70" spans="2:8" s="401" customFormat="1" x14ac:dyDescent="0.25">
      <c r="B70" s="406"/>
      <c r="C70" s="402"/>
      <c r="D70" s="403"/>
      <c r="E70" s="407"/>
      <c r="F70" s="407"/>
      <c r="G70" s="408"/>
      <c r="H70" s="408"/>
    </row>
    <row r="71" spans="2:8" s="401" customFormat="1" x14ac:dyDescent="0.25">
      <c r="B71" s="406"/>
      <c r="C71" s="402"/>
      <c r="D71" s="403"/>
      <c r="E71" s="407"/>
      <c r="F71" s="407"/>
      <c r="G71" s="408"/>
      <c r="H71" s="408"/>
    </row>
    <row r="72" spans="2:8" s="401" customFormat="1" x14ac:dyDescent="0.25">
      <c r="B72" s="406"/>
      <c r="C72" s="402"/>
      <c r="D72" s="403"/>
      <c r="E72" s="407"/>
      <c r="F72" s="407"/>
      <c r="G72" s="408"/>
      <c r="H72" s="408"/>
    </row>
    <row r="73" spans="2:8" s="401" customFormat="1" x14ac:dyDescent="0.25">
      <c r="B73" s="406"/>
      <c r="C73" s="402"/>
      <c r="D73" s="403"/>
      <c r="E73" s="407"/>
      <c r="F73" s="407"/>
      <c r="G73" s="408"/>
      <c r="H73" s="408"/>
    </row>
    <row r="74" spans="2:8" s="401" customFormat="1" x14ac:dyDescent="0.25">
      <c r="B74" s="406"/>
      <c r="C74" s="402"/>
      <c r="D74" s="403"/>
      <c r="E74" s="407"/>
      <c r="F74" s="407"/>
      <c r="G74" s="408"/>
      <c r="H74" s="408"/>
    </row>
    <row r="75" spans="2:8" s="401" customFormat="1" x14ac:dyDescent="0.25">
      <c r="B75" s="406"/>
      <c r="C75" s="402"/>
      <c r="D75" s="403"/>
      <c r="E75" s="407"/>
      <c r="F75" s="407"/>
      <c r="G75" s="408"/>
      <c r="H75" s="408"/>
    </row>
    <row r="76" spans="2:8" s="401" customFormat="1" x14ac:dyDescent="0.25">
      <c r="B76" s="406"/>
      <c r="C76" s="402"/>
      <c r="D76" s="403"/>
      <c r="E76" s="407"/>
      <c r="F76" s="407"/>
      <c r="G76" s="408"/>
      <c r="H76" s="408"/>
    </row>
    <row r="77" spans="2:8" s="401" customFormat="1" x14ac:dyDescent="0.25">
      <c r="B77" s="406"/>
      <c r="C77" s="402"/>
      <c r="D77" s="403"/>
      <c r="E77" s="407"/>
      <c r="F77" s="407"/>
      <c r="G77" s="408"/>
      <c r="H77" s="408"/>
    </row>
    <row r="78" spans="2:8" s="401" customFormat="1" x14ac:dyDescent="0.25">
      <c r="B78" s="406"/>
      <c r="C78" s="402"/>
      <c r="D78" s="403"/>
      <c r="E78" s="407"/>
      <c r="F78" s="407"/>
      <c r="G78" s="408"/>
      <c r="H78" s="408"/>
    </row>
    <row r="79" spans="2:8" s="401" customFormat="1" x14ac:dyDescent="0.25">
      <c r="B79" s="406"/>
      <c r="C79" s="402"/>
      <c r="D79" s="403"/>
      <c r="E79" s="407"/>
      <c r="F79" s="407"/>
      <c r="G79" s="408"/>
      <c r="H79" s="408"/>
    </row>
    <row r="80" spans="2:8" s="401" customFormat="1" x14ac:dyDescent="0.25">
      <c r="B80" s="406"/>
      <c r="C80" s="402"/>
      <c r="D80" s="403"/>
      <c r="E80" s="407"/>
      <c r="F80" s="407"/>
      <c r="G80" s="408"/>
      <c r="H80" s="408"/>
    </row>
    <row r="81" spans="2:8" s="401" customFormat="1" x14ac:dyDescent="0.25">
      <c r="B81" s="406"/>
      <c r="C81" s="402"/>
      <c r="D81" s="403"/>
      <c r="E81" s="407"/>
      <c r="F81" s="407"/>
      <c r="G81" s="408"/>
      <c r="H81" s="408"/>
    </row>
    <row r="82" spans="2:8" s="401" customFormat="1" x14ac:dyDescent="0.25">
      <c r="B82" s="406"/>
      <c r="C82" s="402"/>
      <c r="D82" s="403"/>
      <c r="E82" s="407"/>
      <c r="F82" s="407"/>
      <c r="G82" s="408"/>
      <c r="H82" s="408"/>
    </row>
    <row r="83" spans="2:8" s="401" customFormat="1" x14ac:dyDescent="0.25">
      <c r="B83" s="406"/>
      <c r="C83" s="402"/>
      <c r="D83" s="403"/>
      <c r="E83" s="407"/>
      <c r="F83" s="407"/>
      <c r="G83" s="408"/>
      <c r="H83" s="408"/>
    </row>
    <row r="84" spans="2:8" s="401" customFormat="1" x14ac:dyDescent="0.25">
      <c r="B84" s="406"/>
      <c r="C84" s="402"/>
      <c r="D84" s="403"/>
      <c r="E84" s="407"/>
      <c r="F84" s="407"/>
      <c r="G84" s="408"/>
      <c r="H84" s="408"/>
    </row>
    <row r="85" spans="2:8" s="401" customFormat="1" x14ac:dyDescent="0.25">
      <c r="B85" s="406"/>
      <c r="C85" s="402"/>
      <c r="D85" s="403"/>
      <c r="E85" s="407"/>
      <c r="F85" s="407"/>
      <c r="G85" s="408"/>
      <c r="H85" s="408"/>
    </row>
    <row r="86" spans="2:8" s="401" customFormat="1" x14ac:dyDescent="0.25">
      <c r="B86" s="406"/>
      <c r="C86" s="402"/>
      <c r="D86" s="403"/>
      <c r="E86" s="407"/>
      <c r="F86" s="407"/>
      <c r="G86" s="408"/>
      <c r="H86" s="408"/>
    </row>
    <row r="87" spans="2:8" s="401" customFormat="1" x14ac:dyDescent="0.25">
      <c r="B87" s="406"/>
      <c r="C87" s="402"/>
      <c r="D87" s="403"/>
      <c r="E87" s="407"/>
      <c r="F87" s="407"/>
      <c r="G87" s="408"/>
      <c r="H87" s="408"/>
    </row>
    <row r="88" spans="2:8" s="401" customFormat="1" x14ac:dyDescent="0.25">
      <c r="B88" s="406"/>
      <c r="C88" s="402"/>
      <c r="D88" s="403"/>
      <c r="E88" s="407"/>
      <c r="F88" s="407"/>
      <c r="G88" s="408"/>
      <c r="H88" s="408"/>
    </row>
    <row r="89" spans="2:8" s="401" customFormat="1" x14ac:dyDescent="0.25">
      <c r="B89" s="406"/>
      <c r="C89" s="402"/>
      <c r="D89" s="403"/>
      <c r="E89" s="407"/>
      <c r="F89" s="407"/>
      <c r="G89" s="408"/>
      <c r="H89" s="408"/>
    </row>
    <row r="90" spans="2:8" s="401" customFormat="1" x14ac:dyDescent="0.25">
      <c r="B90" s="406"/>
      <c r="C90" s="402"/>
      <c r="D90" s="403"/>
      <c r="E90" s="407"/>
      <c r="F90" s="407"/>
      <c r="G90" s="408"/>
      <c r="H90" s="408"/>
    </row>
    <row r="91" spans="2:8" s="401" customFormat="1" x14ac:dyDescent="0.25">
      <c r="B91" s="406"/>
      <c r="C91" s="402"/>
      <c r="D91" s="403"/>
      <c r="E91" s="407"/>
      <c r="F91" s="407"/>
      <c r="G91" s="408"/>
      <c r="H91" s="408"/>
    </row>
    <row r="92" spans="2:8" s="401" customFormat="1" x14ac:dyDescent="0.25">
      <c r="B92" s="406"/>
      <c r="C92" s="402"/>
      <c r="D92" s="403"/>
      <c r="E92" s="407"/>
      <c r="F92" s="407"/>
      <c r="G92" s="408"/>
      <c r="H92" s="408"/>
    </row>
    <row r="93" spans="2:8" s="401" customFormat="1" x14ac:dyDescent="0.25">
      <c r="B93" s="406"/>
      <c r="C93" s="402"/>
      <c r="D93" s="403"/>
      <c r="E93" s="407"/>
      <c r="F93" s="407"/>
      <c r="G93" s="408"/>
      <c r="H93" s="408"/>
    </row>
  </sheetData>
  <autoFilter ref="A2:J41" xr:uid="{EA406F4D-2D9B-4E15-816A-64ED6BEF598E}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</autoFilter>
  <mergeCells count="7">
    <mergeCell ref="A2:J2"/>
    <mergeCell ref="A4:A5"/>
    <mergeCell ref="B4:B5"/>
    <mergeCell ref="C4:C5"/>
    <mergeCell ref="D4:D5"/>
    <mergeCell ref="E4:F4"/>
    <mergeCell ref="G4:J4"/>
  </mergeCells>
  <pageMargins left="0.39370078740157483" right="0.39370078740157483" top="0.59055118110236227" bottom="0.39370078740157483" header="0.31496062992125984" footer="0.11811023622047245"/>
  <pageSetup paperSize="9" scale="97" firstPageNumber="40" fitToHeight="0" orientation="landscape" useFirstPageNumber="1" r:id="rId1"/>
  <headerFooter>
    <oddHeader>&amp;L&amp;"Tahoma,Kurzíva"&amp;9Střednědobý výhled rozpočtu Moravskoslezského kraje na léta 2027-2029&amp;R&amp;"Tahoma,Kurzíva"&amp;9Přehled výdajů na zajištění udržitelnosti akcí spolufinancovaných z evropských finančních zdrojů</oddHeader>
    <oddFooter>&amp;C&amp;"Tahoma,Obyčejné"&amp;P</oddFooter>
  </headerFooter>
  <rowBreaks count="1" manualBreakCount="1">
    <brk id="31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020EFB-F8ED-4757-91D8-C50519A24015}">
  <sheetPr>
    <pageSetUpPr fitToPage="1"/>
  </sheetPr>
  <dimension ref="A1:M16"/>
  <sheetViews>
    <sheetView zoomScaleNormal="100" zoomScaleSheetLayoutView="100" workbookViewId="0">
      <selection activeCell="M6" sqref="M6"/>
    </sheetView>
  </sheetViews>
  <sheetFormatPr defaultColWidth="9.140625" defaultRowHeight="12.75" x14ac:dyDescent="0.2"/>
  <cols>
    <col min="1" max="1" width="8.7109375" style="40" customWidth="1"/>
    <col min="2" max="10" width="12.7109375" style="40" customWidth="1"/>
    <col min="11" max="11" width="6.85546875" style="40" customWidth="1"/>
    <col min="12" max="13" width="9.42578125" style="40" customWidth="1"/>
    <col min="14" max="16" width="6.85546875" style="40" customWidth="1"/>
    <col min="17" max="16384" width="9.140625" style="40"/>
  </cols>
  <sheetData>
    <row r="1" spans="1:13" ht="18.600000000000001" customHeight="1" x14ac:dyDescent="0.2">
      <c r="A1" s="21" t="s">
        <v>60</v>
      </c>
      <c r="J1" s="305"/>
    </row>
    <row r="2" spans="1:13" ht="30" customHeight="1" x14ac:dyDescent="0.2">
      <c r="A2" s="731" t="s">
        <v>245</v>
      </c>
      <c r="B2" s="732"/>
      <c r="C2" s="732"/>
      <c r="D2" s="732"/>
      <c r="E2" s="732"/>
      <c r="F2" s="732"/>
      <c r="G2" s="732"/>
      <c r="H2" s="732"/>
      <c r="I2" s="732"/>
      <c r="J2" s="732"/>
    </row>
    <row r="3" spans="1:13" ht="13.5" thickBot="1" x14ac:dyDescent="0.25">
      <c r="G3" s="41"/>
      <c r="J3" s="42" t="s">
        <v>88</v>
      </c>
    </row>
    <row r="4" spans="1:13" ht="55.5" customHeight="1" x14ac:dyDescent="0.2">
      <c r="A4" s="223" t="s">
        <v>107</v>
      </c>
      <c r="B4" s="733" t="s">
        <v>329</v>
      </c>
      <c r="C4" s="734"/>
      <c r="D4" s="735"/>
      <c r="E4" s="734" t="s">
        <v>623</v>
      </c>
      <c r="F4" s="734"/>
      <c r="G4" s="734"/>
      <c r="H4" s="733" t="s">
        <v>108</v>
      </c>
      <c r="I4" s="736"/>
      <c r="J4" s="737"/>
    </row>
    <row r="5" spans="1:13" ht="33.75" customHeight="1" x14ac:dyDescent="0.2">
      <c r="A5" s="43" t="s">
        <v>109</v>
      </c>
      <c r="B5" s="77" t="s">
        <v>110</v>
      </c>
      <c r="C5" s="75" t="s">
        <v>111</v>
      </c>
      <c r="D5" s="78" t="s">
        <v>112</v>
      </c>
      <c r="E5" s="200" t="s">
        <v>110</v>
      </c>
      <c r="F5" s="75" t="s">
        <v>111</v>
      </c>
      <c r="G5" s="76" t="s">
        <v>112</v>
      </c>
      <c r="H5" s="77" t="s">
        <v>113</v>
      </c>
      <c r="I5" s="75" t="s">
        <v>111</v>
      </c>
      <c r="J5" s="78" t="s">
        <v>112</v>
      </c>
      <c r="K5" s="302"/>
    </row>
    <row r="6" spans="1:13" ht="16.5" customHeight="1" x14ac:dyDescent="0.2">
      <c r="A6" s="44">
        <v>2026</v>
      </c>
      <c r="B6" s="47">
        <f>3000000-C6</f>
        <v>2700000</v>
      </c>
      <c r="C6" s="45">
        <v>300000</v>
      </c>
      <c r="D6" s="48">
        <v>100000</v>
      </c>
      <c r="E6" s="197">
        <v>909348.58065999998</v>
      </c>
      <c r="F6" s="45">
        <v>1947006</v>
      </c>
      <c r="G6" s="46">
        <v>36000</v>
      </c>
      <c r="H6" s="47">
        <f>B6+E6</f>
        <v>3609348.58066</v>
      </c>
      <c r="I6" s="45">
        <f>C6+F6</f>
        <v>2247006</v>
      </c>
      <c r="J6" s="48">
        <f>D6+G6</f>
        <v>136000</v>
      </c>
      <c r="K6" s="303"/>
    </row>
    <row r="7" spans="1:13" ht="16.5" customHeight="1" x14ac:dyDescent="0.2">
      <c r="A7" s="44">
        <v>2027</v>
      </c>
      <c r="B7" s="47">
        <f>B6-C7</f>
        <v>2400000</v>
      </c>
      <c r="C7" s="45">
        <v>300000</v>
      </c>
      <c r="D7" s="48">
        <v>90000</v>
      </c>
      <c r="E7" s="197">
        <v>1102711.58066</v>
      </c>
      <c r="F7" s="45">
        <v>2063208</v>
      </c>
      <c r="G7" s="46">
        <v>50000</v>
      </c>
      <c r="H7" s="47">
        <f t="shared" ref="H7:J15" si="0">B7+E7</f>
        <v>3502711.58066</v>
      </c>
      <c r="I7" s="45">
        <f t="shared" si="0"/>
        <v>2363208</v>
      </c>
      <c r="J7" s="48">
        <f>D7+G7</f>
        <v>140000</v>
      </c>
      <c r="L7" s="304"/>
      <c r="M7" s="304"/>
    </row>
    <row r="8" spans="1:13" ht="16.5" customHeight="1" x14ac:dyDescent="0.2">
      <c r="A8" s="44">
        <v>2028</v>
      </c>
      <c r="B8" s="47">
        <f t="shared" ref="B8:B14" si="1">B7-C8</f>
        <v>2100000</v>
      </c>
      <c r="C8" s="45">
        <v>300000</v>
      </c>
      <c r="D8" s="48">
        <v>80000</v>
      </c>
      <c r="E8" s="197">
        <v>6552.5806599999778</v>
      </c>
      <c r="F8" s="45">
        <v>1217745</v>
      </c>
      <c r="G8" s="46">
        <v>50000</v>
      </c>
      <c r="H8" s="47">
        <f t="shared" si="0"/>
        <v>2106552.58066</v>
      </c>
      <c r="I8" s="45">
        <f t="shared" si="0"/>
        <v>1517745</v>
      </c>
      <c r="J8" s="48">
        <f t="shared" si="0"/>
        <v>130000</v>
      </c>
      <c r="L8" s="305"/>
      <c r="M8" s="304"/>
    </row>
    <row r="9" spans="1:13" ht="16.5" customHeight="1" x14ac:dyDescent="0.2">
      <c r="A9" s="44">
        <v>2029</v>
      </c>
      <c r="B9" s="47">
        <f t="shared" si="1"/>
        <v>1800000</v>
      </c>
      <c r="C9" s="45">
        <v>300000</v>
      </c>
      <c r="D9" s="48">
        <v>70000</v>
      </c>
      <c r="E9" s="197">
        <v>52.580659999977797</v>
      </c>
      <c r="F9" s="45">
        <v>6500</v>
      </c>
      <c r="G9" s="46">
        <v>50000</v>
      </c>
      <c r="H9" s="47">
        <f>B9+E9</f>
        <v>1800052.58066</v>
      </c>
      <c r="I9" s="45">
        <f t="shared" si="0"/>
        <v>306500</v>
      </c>
      <c r="J9" s="48">
        <f t="shared" si="0"/>
        <v>120000</v>
      </c>
      <c r="L9" s="306"/>
    </row>
    <row r="10" spans="1:13" ht="16.5" customHeight="1" x14ac:dyDescent="0.2">
      <c r="A10" s="44">
        <v>2030</v>
      </c>
      <c r="B10" s="47">
        <f t="shared" si="1"/>
        <v>1500000</v>
      </c>
      <c r="C10" s="45">
        <v>300000</v>
      </c>
      <c r="D10" s="48">
        <v>60000</v>
      </c>
      <c r="E10" s="197">
        <v>0</v>
      </c>
      <c r="F10" s="45">
        <v>52.580659999977797</v>
      </c>
      <c r="G10" s="46">
        <v>25000</v>
      </c>
      <c r="H10" s="47">
        <f>B10+E10</f>
        <v>1500000</v>
      </c>
      <c r="I10" s="45">
        <f>C10+F10</f>
        <v>300052.58065999998</v>
      </c>
      <c r="J10" s="48">
        <f t="shared" si="0"/>
        <v>85000</v>
      </c>
    </row>
    <row r="11" spans="1:13" ht="16.5" customHeight="1" x14ac:dyDescent="0.2">
      <c r="A11" s="44">
        <v>2031</v>
      </c>
      <c r="B11" s="47">
        <f t="shared" si="1"/>
        <v>1200000</v>
      </c>
      <c r="C11" s="45">
        <v>300000</v>
      </c>
      <c r="D11" s="48">
        <v>50000</v>
      </c>
      <c r="E11" s="197">
        <v>0</v>
      </c>
      <c r="F11" s="45">
        <v>0</v>
      </c>
      <c r="G11" s="46">
        <v>0</v>
      </c>
      <c r="H11" s="47">
        <f>B11+E11</f>
        <v>1200000</v>
      </c>
      <c r="I11" s="45">
        <f t="shared" si="0"/>
        <v>300000</v>
      </c>
      <c r="J11" s="48">
        <f t="shared" si="0"/>
        <v>50000</v>
      </c>
    </row>
    <row r="12" spans="1:13" ht="16.5" customHeight="1" x14ac:dyDescent="0.2">
      <c r="A12" s="44">
        <v>2032</v>
      </c>
      <c r="B12" s="47">
        <f t="shared" si="1"/>
        <v>900000</v>
      </c>
      <c r="C12" s="45">
        <v>300000</v>
      </c>
      <c r="D12" s="48">
        <v>40000</v>
      </c>
      <c r="E12" s="197">
        <v>0</v>
      </c>
      <c r="F12" s="45">
        <v>0</v>
      </c>
      <c r="G12" s="46">
        <v>0</v>
      </c>
      <c r="H12" s="47">
        <f t="shared" si="0"/>
        <v>900000</v>
      </c>
      <c r="I12" s="45">
        <f t="shared" si="0"/>
        <v>300000</v>
      </c>
      <c r="J12" s="48">
        <f t="shared" si="0"/>
        <v>40000</v>
      </c>
    </row>
    <row r="13" spans="1:13" ht="16.5" customHeight="1" x14ac:dyDescent="0.2">
      <c r="A13" s="44">
        <v>2033</v>
      </c>
      <c r="B13" s="47">
        <f t="shared" si="1"/>
        <v>600000</v>
      </c>
      <c r="C13" s="45">
        <v>300000</v>
      </c>
      <c r="D13" s="48">
        <v>30000</v>
      </c>
      <c r="E13" s="197">
        <v>0</v>
      </c>
      <c r="F13" s="45">
        <v>0</v>
      </c>
      <c r="G13" s="46">
        <v>0</v>
      </c>
      <c r="H13" s="47">
        <f t="shared" si="0"/>
        <v>600000</v>
      </c>
      <c r="I13" s="45">
        <f t="shared" si="0"/>
        <v>300000</v>
      </c>
      <c r="J13" s="48">
        <f t="shared" si="0"/>
        <v>30000</v>
      </c>
    </row>
    <row r="14" spans="1:13" ht="16.5" customHeight="1" x14ac:dyDescent="0.2">
      <c r="A14" s="44">
        <v>2034</v>
      </c>
      <c r="B14" s="47">
        <f t="shared" si="1"/>
        <v>300000</v>
      </c>
      <c r="C14" s="45">
        <v>300000</v>
      </c>
      <c r="D14" s="48">
        <v>20000</v>
      </c>
      <c r="E14" s="197">
        <v>0</v>
      </c>
      <c r="F14" s="45">
        <v>0</v>
      </c>
      <c r="G14" s="46">
        <v>0</v>
      </c>
      <c r="H14" s="47">
        <f t="shared" si="0"/>
        <v>300000</v>
      </c>
      <c r="I14" s="45">
        <f t="shared" si="0"/>
        <v>300000</v>
      </c>
      <c r="J14" s="48">
        <f t="shared" si="0"/>
        <v>20000</v>
      </c>
    </row>
    <row r="15" spans="1:13" ht="16.5" customHeight="1" thickBot="1" x14ac:dyDescent="0.25">
      <c r="A15" s="198">
        <v>2035</v>
      </c>
      <c r="B15" s="50">
        <f>B14-C15</f>
        <v>0</v>
      </c>
      <c r="C15" s="49">
        <v>300000</v>
      </c>
      <c r="D15" s="51">
        <v>10000</v>
      </c>
      <c r="E15" s="201">
        <v>0</v>
      </c>
      <c r="F15" s="49">
        <v>0</v>
      </c>
      <c r="G15" s="199">
        <v>0</v>
      </c>
      <c r="H15" s="50">
        <f t="shared" si="0"/>
        <v>0</v>
      </c>
      <c r="I15" s="49">
        <f t="shared" si="0"/>
        <v>300000</v>
      </c>
      <c r="J15" s="51">
        <f t="shared" si="0"/>
        <v>10000</v>
      </c>
    </row>
    <row r="16" spans="1:13" ht="17.25" customHeight="1" x14ac:dyDescent="0.2"/>
  </sheetData>
  <mergeCells count="4">
    <mergeCell ref="A2:J2"/>
    <mergeCell ref="B4:D4"/>
    <mergeCell ref="E4:G4"/>
    <mergeCell ref="H4:J4"/>
  </mergeCells>
  <printOptions horizontalCentered="1"/>
  <pageMargins left="0.31496062992125984" right="0.31496062992125984" top="0.59055118110236227" bottom="0.39370078740157483" header="0.31496062992125984" footer="0.11811023622047245"/>
  <pageSetup paperSize="9" scale="80" firstPageNumber="42" orientation="portrait" useFirstPageNumber="1" r:id="rId1"/>
  <headerFooter>
    <oddHeader>&amp;L&amp;"Tahoma,Kurzíva"Střednědobý výhled rozpočtu Moravskoslezského kraje na léta 2027-2029&amp;R&amp;"Tahoma,Kurzíva"Přehled splácení jistiny a úroků z úvěrů čerpaných Moravskoslezským krajem</oddHeader>
    <oddFooter>&amp;C&amp;"Tahoma,Obyčejné"&amp;P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BC6294676561344BD372BEA72638A28" ma:contentTypeVersion="4" ma:contentTypeDescription="Create a new document." ma:contentTypeScope="" ma:versionID="c1758718e5e0cc27a32f4e2e7ba0bbba">
  <xsd:schema xmlns:xsd="http://www.w3.org/2001/XMLSchema" xmlns:xs="http://www.w3.org/2001/XMLSchema" xmlns:p="http://schemas.microsoft.com/office/2006/metadata/properties" xmlns:ns2="4af3958b-5764-41fd-9e51-7f968bd77d68" targetNamespace="http://schemas.microsoft.com/office/2006/metadata/properties" ma:root="true" ma:fieldsID="2b87ebe51e789ce78480e89d1712c55f" ns2:_="">
    <xsd:import namespace="4af3958b-5764-41fd-9e51-7f968bd77d6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f3958b-5764-41fd-9e51-7f968bd77d6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BAD1738-15FF-4B5D-B6B2-812D364CF33D}">
  <ds:schemaRefs>
    <ds:schemaRef ds:uri="http://purl.org/dc/dcmitype/"/>
    <ds:schemaRef ds:uri="http://www.w3.org/XML/1998/namespace"/>
    <ds:schemaRef ds:uri="http://schemas.microsoft.com/office/2006/documentManagement/types"/>
    <ds:schemaRef ds:uri="http://purl.org/dc/terms/"/>
    <ds:schemaRef ds:uri="http://purl.org/dc/elements/1.1/"/>
    <ds:schemaRef ds:uri="http://schemas.microsoft.com/office/2006/metadata/properties"/>
    <ds:schemaRef ds:uri="e3b2b205-de92-4ce4-a1ef-b5d6008670aa"/>
    <ds:schemaRef ds:uri="http://schemas.microsoft.com/office/infopath/2007/PartnerControl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9932D584-DB4C-4E23-AD1F-104B6D988A4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f3958b-5764-41fd-9e51-7f968bd77d6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012DBBC-52A0-4DBC-9B23-9C0C2551308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10</vt:i4>
      </vt:variant>
      <vt:variant>
        <vt:lpstr>Pojmenované oblasti</vt:lpstr>
      </vt:variant>
      <vt:variant>
        <vt:i4>14</vt:i4>
      </vt:variant>
    </vt:vector>
  </HeadingPairs>
  <TitlesOfParts>
    <vt:vector size="24" baseType="lpstr">
      <vt:lpstr>seznam</vt:lpstr>
      <vt:lpstr>Tab. 1 </vt:lpstr>
      <vt:lpstr>Tab. 1 VÝDAJE</vt:lpstr>
      <vt:lpstr>Tab. 2 </vt:lpstr>
      <vt:lpstr>Tab. 3</vt:lpstr>
      <vt:lpstr>Tab. 4</vt:lpstr>
      <vt:lpstr>Tab. 5</vt:lpstr>
      <vt:lpstr>Tab. 6 </vt:lpstr>
      <vt:lpstr>Tab. 7</vt:lpstr>
      <vt:lpstr>Tab. 8</vt:lpstr>
      <vt:lpstr>'Tab. 1 '!Názvy_tisku</vt:lpstr>
      <vt:lpstr>'Tab. 1 VÝDAJE'!Názvy_tisku</vt:lpstr>
      <vt:lpstr>'Tab. 2 '!Názvy_tisku</vt:lpstr>
      <vt:lpstr>'Tab. 3'!Názvy_tisku</vt:lpstr>
      <vt:lpstr>'Tab. 4'!Názvy_tisku</vt:lpstr>
      <vt:lpstr>'Tab. 5'!Názvy_tisku</vt:lpstr>
      <vt:lpstr>'Tab. 6 '!Názvy_tisku</vt:lpstr>
      <vt:lpstr>'Tab. 1 '!Oblast_tisku</vt:lpstr>
      <vt:lpstr>'Tab. 2 '!Oblast_tisku</vt:lpstr>
      <vt:lpstr>'Tab. 3'!Oblast_tisku</vt:lpstr>
      <vt:lpstr>'Tab. 4'!Oblast_tisku</vt:lpstr>
      <vt:lpstr>'Tab. 6 '!Oblast_tisku</vt:lpstr>
      <vt:lpstr>'Tab. 7'!Oblast_tisku</vt:lpstr>
      <vt:lpstr>'Tab. 8'!Oblast_tisku</vt:lpstr>
    </vt:vector>
  </TitlesOfParts>
  <Company>KUMSK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Metelka Tomáš</dc:creator>
  <cp:lastModifiedBy>Metelka Tomáš</cp:lastModifiedBy>
  <cp:lastPrinted>2025-11-26T13:30:21Z</cp:lastPrinted>
  <dcterms:created xsi:type="dcterms:W3CDTF">2015-11-13T16:09:39Z</dcterms:created>
  <dcterms:modified xsi:type="dcterms:W3CDTF">2025-11-26T13:35:25Z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0x0101006BC6294676561344BD372BEA72638A28</vt:lpwstr>
  </property>
  <property fmtid="{D5CDD505-2E9C-101B-9397-08002B2CF9AE}" pid="3" name="MSIP_Label_bc18e8b5-cf04-4356-9f73-4b8f937bc4ae_Enabled">
    <vt:lpwstr>true</vt:lpwstr>
  </property>
  <property fmtid="{D5CDD505-2E9C-101B-9397-08002B2CF9AE}" pid="4" name="MSIP_Label_bc18e8b5-cf04-4356-9f73-4b8f937bc4ae_SetDate">
    <vt:lpwstr>2023-11-10T13:51:56Z</vt:lpwstr>
  </property>
  <property fmtid="{D5CDD505-2E9C-101B-9397-08002B2CF9AE}" pid="5" name="MSIP_Label_bc18e8b5-cf04-4356-9f73-4b8f937bc4ae_Method">
    <vt:lpwstr>Privileged</vt:lpwstr>
  </property>
  <property fmtid="{D5CDD505-2E9C-101B-9397-08002B2CF9AE}" pid="6" name="MSIP_Label_bc18e8b5-cf04-4356-9f73-4b8f937bc4ae_Name">
    <vt:lpwstr>Neveřejná informace (bez označení)</vt:lpwstr>
  </property>
  <property fmtid="{D5CDD505-2E9C-101B-9397-08002B2CF9AE}" pid="7" name="MSIP_Label_bc18e8b5-cf04-4356-9f73-4b8f937bc4ae_SiteId">
    <vt:lpwstr>39f24d0b-aa30-4551-8e81-43c77cf1000e</vt:lpwstr>
  </property>
  <property fmtid="{D5CDD505-2E9C-101B-9397-08002B2CF9AE}" pid="8" name="MSIP_Label_bc18e8b5-cf04-4356-9f73-4b8f937bc4ae_ActionId">
    <vt:lpwstr>935a304b-e56b-4d5a-aa92-94154490cd50</vt:lpwstr>
  </property>
  <property fmtid="{D5CDD505-2E9C-101B-9397-08002B2CF9AE}" pid="9" name="MSIP_Label_bc18e8b5-cf04-4356-9f73-4b8f937bc4ae_ContentBits">
    <vt:lpwstr>0</vt:lpwstr>
  </property>
</Properties>
</file>